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xml"/>
  <Override PartName="/xl/charts/chart9.xml" ContentType="application/vnd.openxmlformats-officedocument.drawingml.chart+xml"/>
  <Override PartName="/xl/drawings/drawing14.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ml.chartshapes+xml"/>
  <Override PartName="/xl/charts/chart13.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3206"/>
  <workbookPr autoCompressPictures="0"/>
  <bookViews>
    <workbookView xWindow="4020" yWindow="0" windowWidth="15260" windowHeight="23360" tabRatio="500" firstSheet="1" activeTab="1"/>
  </bookViews>
  <sheets>
    <sheet name="INSTRUCTIONS" sheetId="12" r:id="rId1"/>
    <sheet name="FIG1" sheetId="65" r:id="rId2"/>
    <sheet name="FIG2" sheetId="66" r:id="rId3"/>
    <sheet name="FIG3" sheetId="11" r:id="rId4"/>
    <sheet name="FIG4" sheetId="84" r:id="rId5"/>
    <sheet name="FIG5" sheetId="69" r:id="rId6"/>
    <sheet name="FIG6" sheetId="70" r:id="rId7"/>
    <sheet name="FIG7" sheetId="71" r:id="rId8"/>
    <sheet name="FIG8" sheetId="72" r:id="rId9"/>
    <sheet name="FIG9" sheetId="83" r:id="rId10"/>
    <sheet name="FIG10" sheetId="74" r:id="rId11"/>
    <sheet name="FIG11" sheetId="75" r:id="rId12"/>
    <sheet name="FIG12" sheetId="82" r:id="rId13"/>
    <sheet name="CONVERSIONS-CONV" sheetId="89" r:id="rId14"/>
    <sheet name="$REV-DB" sheetId="87" r:id="rId15"/>
    <sheet name="$REV-DSUM" sheetId="13" r:id="rId16"/>
    <sheet name="$REV-DSUM-CONV" sheetId="91" r:id="rId17"/>
    <sheet name="$REV-PROOF" sheetId="28" r:id="rId18"/>
    <sheet name="$REV-HEADINGS" sheetId="22" r:id="rId19"/>
    <sheet name="$REV-NOTES" sheetId="25" r:id="rId20"/>
    <sheet name="1$REV-DATA-AKCharterWorkingData" sheetId="18" r:id="rId21"/>
    <sheet name="2$REV-DATA-AKDistrictWorkingDat" sheetId="19" r:id="rId22"/>
    <sheet name="3$REV-DATA-" sheetId="27" r:id="rId23"/>
    <sheet name="4$REV-DATA-" sheetId="37" r:id="rId24"/>
    <sheet name="5$REV-DATA-" sheetId="38" r:id="rId25"/>
    <sheet name="6$REV-DATA-" sheetId="42" r:id="rId26"/>
    <sheet name="7$REV-DATA-" sheetId="43" r:id="rId27"/>
    <sheet name="8$REV-DATA-" sheetId="44" r:id="rId28"/>
    <sheet name="9$REV-DATA-" sheetId="45" r:id="rId29"/>
    <sheet name="10$REV-DATA-" sheetId="64" r:id="rId30"/>
    <sheet name="$REV-DATA-END" sheetId="39" r:id="rId31"/>
    <sheet name="1$REV-ARCHIVE-" sheetId="40" r:id="rId32"/>
    <sheet name="2$REV-ARCHIVE-" sheetId="30" r:id="rId33"/>
    <sheet name="3$REV-ARCHIVE-" sheetId="31" r:id="rId34"/>
    <sheet name="4$REV-ARCHIVE-" sheetId="32" r:id="rId35"/>
    <sheet name="5$REV-ARCHIVE-" sheetId="33" r:id="rId36"/>
    <sheet name="6$REV-ARCHIVE-" sheetId="34" r:id="rId37"/>
    <sheet name="7$REV-ARCHIVE-" sheetId="47" r:id="rId38"/>
    <sheet name="8$REV-ARCHIVE-" sheetId="56" r:id="rId39"/>
    <sheet name="$REV-ARCHIVE-END" sheetId="46" r:id="rId40"/>
    <sheet name="ENR#-DB" sheetId="88" r:id="rId41"/>
    <sheet name="ENR#-DSUM" sheetId="15" r:id="rId42"/>
    <sheet name="ENR#-DSUM-CONV" sheetId="90" r:id="rId43"/>
    <sheet name="ENR#-PROOF" sheetId="29" r:id="rId44"/>
    <sheet name="ENR#-HEADINGS" sheetId="23" r:id="rId45"/>
    <sheet name="ENR#-NOTES" sheetId="26" r:id="rId46"/>
    <sheet name="1ENR#DATA-AllDistrictADM" sheetId="41" r:id="rId47"/>
    <sheet name="2ENR#DATA-allCharterRev&amp;ADM" sheetId="20" r:id="rId48"/>
    <sheet name="3ENR#DATA-CharterRev&amp;EnrollChan" sheetId="48" r:id="rId49"/>
    <sheet name="DistrictRev&amp;EnrollChange1" sheetId="49" r:id="rId50"/>
    <sheet name="5ENR#DATA-Charter" sheetId="54" r:id="rId51"/>
    <sheet name="6ENR#DATA-alldistricts" sheetId="50" r:id="rId52"/>
    <sheet name="7ENR#DATA-F&amp;RPLData" sheetId="51" r:id="rId53"/>
    <sheet name="8ENR#DATA-" sheetId="52" r:id="rId54"/>
    <sheet name="9ENR#DATA-" sheetId="53" r:id="rId55"/>
    <sheet name="10ENR#DATA-" sheetId="63" r:id="rId56"/>
    <sheet name="ENR#DATA-END" sheetId="21" r:id="rId57"/>
    <sheet name="1ENR#ARCHIVE-" sheetId="17" r:id="rId58"/>
    <sheet name="2ENR#ARCHIVE-" sheetId="35" r:id="rId59"/>
    <sheet name="3ENR#ARCHIVE-" sheetId="57" r:id="rId60"/>
    <sheet name="4ENR#ARCHIVE-" sheetId="58" r:id="rId61"/>
    <sheet name="5ENR#ARCHIVE-" sheetId="59" r:id="rId62"/>
    <sheet name="6ENR#ARCHIVE-" sheetId="60" r:id="rId63"/>
    <sheet name="7ENR#ARCHIVE-" sheetId="61" r:id="rId64"/>
    <sheet name="8ENR#ARCHIVE-" sheetId="62" r:id="rId65"/>
    <sheet name="ENR#ARCHIVE-END" sheetId="36" r:id="rId66"/>
    <sheet name="END" sheetId="24" r:id="rId67"/>
  </sheets>
  <externalReferences>
    <externalReference r:id="rId68"/>
  </externalReferences>
  <definedNames>
    <definedName name="_xlnm._FilterDatabase" localSheetId="14" hidden="1">'$REV-DB'!$A$35:$AG$374</definedName>
    <definedName name="_xlnm._FilterDatabase" localSheetId="20" hidden="1">'1$REV-DATA-AKCharterWorkingData'!#REF!</definedName>
    <definedName name="_xlnm._FilterDatabase" localSheetId="40" hidden="1">'ENR#-DB'!$A$35:$T$93</definedName>
    <definedName name="_xlnm.Criteria" localSheetId="40">'ENR#-DB'!$U$95:$U$98</definedName>
    <definedName name="_xlnm.Extract" localSheetId="40">'ENR#-DB'!$Z$95</definedName>
    <definedName name="_xlnm.Print_Area" localSheetId="17">'$REV-PROOF'!$B$6:$F$93</definedName>
    <definedName name="_xlnm.Print_Area" localSheetId="43">'ENR#-PROOF'!$B$6:$F$21</definedName>
    <definedName name="_xlnm.Print_Area" localSheetId="1">'FIG1'!$M$2:$V$57</definedName>
    <definedName name="_xlnm.Print_Area" localSheetId="10">'FIG10'!$C$5:$H$10</definedName>
    <definedName name="_xlnm.Print_Area" localSheetId="11">'FIG11'!$C$6:$M$11,'FIG11'!$P$2:$AA$54</definedName>
    <definedName name="_xlnm.Print_Area" localSheetId="12">'FIG12'!$C$4:$L$18,'FIG12'!$O$2:$X$47</definedName>
    <definedName name="_xlnm.Print_Area" localSheetId="2">'FIG2'!$M$2:$V$55</definedName>
    <definedName name="_xlnm.Print_Area" localSheetId="3">'FIG3'!$C$4:$L$42</definedName>
    <definedName name="_xlnm.Print_Area" localSheetId="4">'FIG4'!$M$2:$U$59</definedName>
    <definedName name="_xlnm.Print_Area" localSheetId="5">'FIG5'!$M$2:$U$59</definedName>
    <definedName name="_xlnm.Print_Area" localSheetId="6">'FIG6'!$N$2:$U$77</definedName>
    <definedName name="_xlnm.Print_Area" localSheetId="8">'FIG8'!$X$1</definedName>
    <definedName name="_xlnm.Print_Area" localSheetId="9">'FIG9'!$C$5:$K$13</definedName>
    <definedName name="_xlnm.Print_Area" localSheetId="0">INSTRUCTIONS!$A$2:$O$41,INSTRUCTIONS!$R$2:$U$23</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J25" i="11" l="1"/>
  <c r="F25" i="11"/>
  <c r="F8" i="15"/>
  <c r="N42" i="15"/>
  <c r="N43" i="15"/>
  <c r="N44" i="15"/>
  <c r="N45" i="15"/>
  <c r="N46" i="15"/>
  <c r="N47" i="15"/>
  <c r="N48" i="15"/>
  <c r="B43" i="15"/>
  <c r="I23" i="11"/>
  <c r="N22" i="15"/>
  <c r="N23" i="15"/>
  <c r="N24" i="15"/>
  <c r="N25" i="15"/>
  <c r="N26" i="15"/>
  <c r="N27" i="15"/>
  <c r="N28" i="15"/>
  <c r="B23" i="15"/>
  <c r="E23" i="11"/>
  <c r="AD23" i="11"/>
  <c r="N32" i="15"/>
  <c r="N33" i="15"/>
  <c r="N34" i="15"/>
  <c r="N35" i="15"/>
  <c r="N36" i="15"/>
  <c r="N37" i="15"/>
  <c r="N38" i="15"/>
  <c r="B33" i="15"/>
  <c r="I21" i="11"/>
  <c r="N12" i="15"/>
  <c r="N13" i="15"/>
  <c r="N14" i="15"/>
  <c r="N15" i="15"/>
  <c r="N16" i="15"/>
  <c r="N17" i="15"/>
  <c r="N18" i="15"/>
  <c r="B13" i="15"/>
  <c r="E21" i="11"/>
  <c r="AD21" i="11"/>
  <c r="O46" i="72"/>
  <c r="O47" i="72"/>
  <c r="R64" i="72"/>
  <c r="R63" i="72"/>
  <c r="R62" i="72"/>
  <c r="R61" i="72"/>
  <c r="P61" i="71"/>
  <c r="Q61" i="71"/>
  <c r="P62" i="71"/>
  <c r="Q62" i="71"/>
  <c r="P63" i="71"/>
  <c r="Q63" i="71"/>
  <c r="P64" i="71"/>
  <c r="Q64" i="71"/>
  <c r="R64" i="71"/>
  <c r="R63" i="71"/>
  <c r="J6" i="13"/>
  <c r="N165" i="13"/>
  <c r="N166" i="13"/>
  <c r="N167" i="13"/>
  <c r="N168" i="13"/>
  <c r="N169" i="13"/>
  <c r="N170" i="13"/>
  <c r="N171" i="13"/>
  <c r="B166" i="13"/>
  <c r="I13" i="11"/>
  <c r="N175" i="13"/>
  <c r="N176" i="13"/>
  <c r="N177" i="13"/>
  <c r="N178" i="13"/>
  <c r="N179" i="13"/>
  <c r="N180" i="13"/>
  <c r="N181" i="13"/>
  <c r="B176" i="13"/>
  <c r="I14" i="11"/>
  <c r="N185" i="13"/>
  <c r="N186" i="13"/>
  <c r="N187" i="13"/>
  <c r="N188" i="13"/>
  <c r="N189" i="13"/>
  <c r="N190" i="13"/>
  <c r="N191" i="13"/>
  <c r="B186" i="13"/>
  <c r="I15" i="11"/>
  <c r="N205" i="13"/>
  <c r="N206" i="13"/>
  <c r="N207" i="13"/>
  <c r="N208" i="13"/>
  <c r="N209" i="13"/>
  <c r="N210" i="13"/>
  <c r="N211" i="13"/>
  <c r="B206" i="13"/>
  <c r="I17" i="11"/>
  <c r="N215" i="13"/>
  <c r="N216" i="13"/>
  <c r="N217" i="13"/>
  <c r="N218" i="13"/>
  <c r="N219" i="13"/>
  <c r="N220" i="13"/>
  <c r="N221" i="13"/>
  <c r="B216" i="13"/>
  <c r="I18" i="11"/>
  <c r="R44" i="71"/>
  <c r="N95" i="13"/>
  <c r="N96" i="13"/>
  <c r="N97" i="13"/>
  <c r="N98" i="13"/>
  <c r="N99" i="13"/>
  <c r="N100" i="13"/>
  <c r="N101" i="13"/>
  <c r="B96" i="13"/>
  <c r="F13" i="11"/>
  <c r="N105" i="13"/>
  <c r="N106" i="13"/>
  <c r="N107" i="13"/>
  <c r="N108" i="13"/>
  <c r="N109" i="13"/>
  <c r="N110" i="13"/>
  <c r="N111" i="13"/>
  <c r="B106" i="13"/>
  <c r="F14" i="11"/>
  <c r="N115" i="13"/>
  <c r="N116" i="13"/>
  <c r="N117" i="13"/>
  <c r="N118" i="13"/>
  <c r="N119" i="13"/>
  <c r="N120" i="13"/>
  <c r="N121" i="13"/>
  <c r="B116" i="13"/>
  <c r="F15" i="11"/>
  <c r="N135" i="13"/>
  <c r="N136" i="13"/>
  <c r="N137" i="13"/>
  <c r="N138" i="13"/>
  <c r="N139" i="13"/>
  <c r="N140" i="13"/>
  <c r="N141" i="13"/>
  <c r="B136" i="13"/>
  <c r="F17" i="11"/>
  <c r="N145" i="13"/>
  <c r="N146" i="13"/>
  <c r="N147" i="13"/>
  <c r="N148" i="13"/>
  <c r="N149" i="13"/>
  <c r="N150" i="13"/>
  <c r="N151" i="13"/>
  <c r="B146" i="13"/>
  <c r="F18" i="11"/>
  <c r="R43" i="71"/>
  <c r="R62" i="71"/>
  <c r="N25" i="13"/>
  <c r="N26" i="13"/>
  <c r="N27" i="13"/>
  <c r="N28" i="13"/>
  <c r="N29" i="13"/>
  <c r="N30" i="13"/>
  <c r="N31" i="13"/>
  <c r="B26" i="13"/>
  <c r="E13" i="11"/>
  <c r="N35" i="13"/>
  <c r="N36" i="13"/>
  <c r="N37" i="13"/>
  <c r="N38" i="13"/>
  <c r="N39" i="13"/>
  <c r="N40" i="13"/>
  <c r="N41" i="13"/>
  <c r="B36" i="13"/>
  <c r="E14" i="11"/>
  <c r="N45" i="13"/>
  <c r="N46" i="13"/>
  <c r="N47" i="13"/>
  <c r="N48" i="13"/>
  <c r="N49" i="13"/>
  <c r="N50" i="13"/>
  <c r="N51" i="13"/>
  <c r="B46" i="13"/>
  <c r="E15" i="11"/>
  <c r="N65" i="13"/>
  <c r="N66" i="13"/>
  <c r="N67" i="13"/>
  <c r="N68" i="13"/>
  <c r="N69" i="13"/>
  <c r="N70" i="13"/>
  <c r="N71" i="13"/>
  <c r="B66" i="13"/>
  <c r="E17" i="11"/>
  <c r="N75" i="13"/>
  <c r="N76" i="13"/>
  <c r="N77" i="13"/>
  <c r="N78" i="13"/>
  <c r="N79" i="13"/>
  <c r="N80" i="13"/>
  <c r="N81" i="13"/>
  <c r="B76" i="13"/>
  <c r="E18" i="11"/>
  <c r="R42" i="71"/>
  <c r="R61" i="71"/>
  <c r="N235" i="13"/>
  <c r="N236" i="13"/>
  <c r="N237" i="13"/>
  <c r="N238" i="13"/>
  <c r="N239" i="13"/>
  <c r="N240" i="13"/>
  <c r="N241" i="13"/>
  <c r="B236" i="13"/>
  <c r="J13" i="11"/>
  <c r="N245" i="13"/>
  <c r="N246" i="13"/>
  <c r="N247" i="13"/>
  <c r="N248" i="13"/>
  <c r="N249" i="13"/>
  <c r="N250" i="13"/>
  <c r="N251" i="13"/>
  <c r="B246" i="13"/>
  <c r="J14" i="11"/>
  <c r="N255" i="13"/>
  <c r="N256" i="13"/>
  <c r="N257" i="13"/>
  <c r="N258" i="13"/>
  <c r="N259" i="13"/>
  <c r="N260" i="13"/>
  <c r="N261" i="13"/>
  <c r="B256" i="13"/>
  <c r="J15" i="11"/>
  <c r="N265" i="13"/>
  <c r="N266" i="13"/>
  <c r="N267" i="13"/>
  <c r="N268" i="13"/>
  <c r="N269" i="13"/>
  <c r="N270" i="13"/>
  <c r="N271" i="13"/>
  <c r="B266" i="13"/>
  <c r="J16" i="11"/>
  <c r="N275" i="13"/>
  <c r="N276" i="13"/>
  <c r="N277" i="13"/>
  <c r="N278" i="13"/>
  <c r="N279" i="13"/>
  <c r="N280" i="13"/>
  <c r="N281" i="13"/>
  <c r="B276" i="13"/>
  <c r="J17" i="11"/>
  <c r="N285" i="13"/>
  <c r="N286" i="13"/>
  <c r="N287" i="13"/>
  <c r="N288" i="13"/>
  <c r="N289" i="13"/>
  <c r="N290" i="13"/>
  <c r="N291" i="13"/>
  <c r="B286" i="13"/>
  <c r="J18" i="11"/>
  <c r="J19" i="11"/>
  <c r="J9" i="11"/>
  <c r="N195" i="13"/>
  <c r="N196" i="13"/>
  <c r="N197" i="13"/>
  <c r="N198" i="13"/>
  <c r="N199" i="13"/>
  <c r="N200" i="13"/>
  <c r="N201" i="13"/>
  <c r="B196" i="13"/>
  <c r="I16" i="11"/>
  <c r="I19" i="11"/>
  <c r="J8" i="11"/>
  <c r="J10" i="11"/>
  <c r="I42" i="11"/>
  <c r="N125" i="13"/>
  <c r="N126" i="13"/>
  <c r="N127" i="13"/>
  <c r="N128" i="13"/>
  <c r="N129" i="13"/>
  <c r="N130" i="13"/>
  <c r="N131" i="13"/>
  <c r="B126" i="13"/>
  <c r="F16" i="11"/>
  <c r="F19" i="11"/>
  <c r="F9" i="11"/>
  <c r="N55" i="13"/>
  <c r="N56" i="13"/>
  <c r="N57" i="13"/>
  <c r="N58" i="13"/>
  <c r="N59" i="13"/>
  <c r="N60" i="13"/>
  <c r="N61" i="13"/>
  <c r="B56" i="13"/>
  <c r="E16" i="11"/>
  <c r="E19" i="11"/>
  <c r="F8" i="11"/>
  <c r="F10" i="11"/>
  <c r="E42" i="11"/>
  <c r="Y23" i="18"/>
  <c r="Z23" i="18"/>
  <c r="AA23" i="18"/>
  <c r="AC23" i="18"/>
  <c r="Y31" i="18"/>
  <c r="E23" i="18"/>
  <c r="Y32" i="18"/>
  <c r="AG245" i="19"/>
  <c r="AG249" i="19"/>
  <c r="AH245" i="19"/>
  <c r="AH249" i="19"/>
  <c r="AI245" i="19"/>
  <c r="AI249" i="19"/>
  <c r="AK245" i="19"/>
  <c r="AK249" i="19"/>
  <c r="AG253" i="19"/>
  <c r="C245" i="19"/>
  <c r="AG254" i="19"/>
  <c r="R43" i="72"/>
  <c r="R44" i="72"/>
  <c r="R45" i="72"/>
  <c r="N335" i="13"/>
  <c r="N336" i="13"/>
  <c r="N337" i="13"/>
  <c r="N338" i="13"/>
  <c r="N339" i="13"/>
  <c r="N340" i="13"/>
  <c r="N341" i="13"/>
  <c r="B336" i="13"/>
  <c r="N52" i="15"/>
  <c r="N53" i="15"/>
  <c r="N54" i="15"/>
  <c r="N55" i="15"/>
  <c r="N56" i="15"/>
  <c r="N57" i="15"/>
  <c r="N58" i="15"/>
  <c r="B53" i="15"/>
  <c r="K21" i="11"/>
  <c r="K16" i="11"/>
  <c r="R46" i="72"/>
  <c r="N405" i="13"/>
  <c r="N406" i="13"/>
  <c r="N407" i="13"/>
  <c r="N408" i="13"/>
  <c r="N409" i="13"/>
  <c r="N410" i="13"/>
  <c r="N411" i="13"/>
  <c r="B406" i="13"/>
  <c r="N62" i="15"/>
  <c r="N63" i="15"/>
  <c r="N64" i="15"/>
  <c r="N65" i="15"/>
  <c r="N66" i="15"/>
  <c r="N67" i="15"/>
  <c r="N68" i="15"/>
  <c r="B63" i="15"/>
  <c r="K23" i="11"/>
  <c r="L16" i="11"/>
  <c r="R47" i="72"/>
  <c r="N475" i="13"/>
  <c r="N476" i="13"/>
  <c r="N477" i="13"/>
  <c r="N478" i="13"/>
  <c r="N479" i="13"/>
  <c r="N480" i="13"/>
  <c r="N481" i="13"/>
  <c r="B476" i="13"/>
  <c r="N72" i="15"/>
  <c r="N73" i="15"/>
  <c r="N74" i="15"/>
  <c r="N75" i="15"/>
  <c r="N76" i="15"/>
  <c r="N77" i="15"/>
  <c r="N78" i="15"/>
  <c r="B73" i="15"/>
  <c r="M21" i="11"/>
  <c r="M16" i="11"/>
  <c r="R48" i="72"/>
  <c r="N545" i="13"/>
  <c r="N546" i="13"/>
  <c r="N547" i="13"/>
  <c r="N548" i="13"/>
  <c r="N549" i="13"/>
  <c r="N550" i="13"/>
  <c r="N551" i="13"/>
  <c r="B546" i="13"/>
  <c r="N82" i="15"/>
  <c r="N83" i="15"/>
  <c r="N84" i="15"/>
  <c r="N85" i="15"/>
  <c r="N86" i="15"/>
  <c r="N87" i="15"/>
  <c r="N88" i="15"/>
  <c r="B83" i="15"/>
  <c r="M23" i="11"/>
  <c r="N16" i="11"/>
  <c r="R49" i="72"/>
  <c r="N615" i="13"/>
  <c r="N616" i="13"/>
  <c r="N617" i="13"/>
  <c r="N618" i="13"/>
  <c r="N619" i="13"/>
  <c r="N620" i="13"/>
  <c r="N621" i="13"/>
  <c r="B616" i="13"/>
  <c r="N92" i="15"/>
  <c r="N93" i="15"/>
  <c r="N94" i="15"/>
  <c r="N95" i="15"/>
  <c r="N96" i="15"/>
  <c r="N97" i="15"/>
  <c r="N98" i="15"/>
  <c r="B93" i="15"/>
  <c r="O21" i="11"/>
  <c r="O16" i="11"/>
  <c r="R50" i="72"/>
  <c r="N685" i="13"/>
  <c r="N686" i="13"/>
  <c r="N687" i="13"/>
  <c r="N688" i="13"/>
  <c r="N689" i="13"/>
  <c r="N690" i="13"/>
  <c r="N691" i="13"/>
  <c r="B686" i="13"/>
  <c r="N102" i="15"/>
  <c r="N103" i="15"/>
  <c r="N104" i="15"/>
  <c r="N105" i="15"/>
  <c r="N106" i="15"/>
  <c r="N107" i="15"/>
  <c r="N108" i="15"/>
  <c r="B103" i="15"/>
  <c r="O23" i="11"/>
  <c r="P16" i="11"/>
  <c r="R51" i="72"/>
  <c r="N755" i="13"/>
  <c r="N756" i="13"/>
  <c r="N757" i="13"/>
  <c r="N758" i="13"/>
  <c r="N759" i="13"/>
  <c r="N760" i="13"/>
  <c r="N761" i="13"/>
  <c r="B756" i="13"/>
  <c r="N112" i="15"/>
  <c r="N113" i="15"/>
  <c r="N114" i="15"/>
  <c r="N115" i="15"/>
  <c r="N116" i="15"/>
  <c r="N117" i="15"/>
  <c r="N118" i="15"/>
  <c r="B113" i="15"/>
  <c r="Q21" i="11"/>
  <c r="Q16" i="11"/>
  <c r="R52" i="72"/>
  <c r="N825" i="13"/>
  <c r="N826" i="13"/>
  <c r="N827" i="13"/>
  <c r="N828" i="13"/>
  <c r="N829" i="13"/>
  <c r="N830" i="13"/>
  <c r="N831" i="13"/>
  <c r="B826" i="13"/>
  <c r="N122" i="15"/>
  <c r="N123" i="15"/>
  <c r="N124" i="15"/>
  <c r="N125" i="15"/>
  <c r="N126" i="15"/>
  <c r="N127" i="15"/>
  <c r="N128" i="15"/>
  <c r="B123" i="15"/>
  <c r="Q23" i="11"/>
  <c r="R16" i="11"/>
  <c r="R53" i="72"/>
  <c r="R45" i="71"/>
  <c r="N305" i="13"/>
  <c r="N306" i="13"/>
  <c r="N307" i="13"/>
  <c r="N308" i="13"/>
  <c r="N309" i="13"/>
  <c r="N310" i="13"/>
  <c r="N311" i="13"/>
  <c r="B306" i="13"/>
  <c r="K13" i="11"/>
  <c r="N315" i="13"/>
  <c r="N316" i="13"/>
  <c r="N317" i="13"/>
  <c r="N318" i="13"/>
  <c r="N319" i="13"/>
  <c r="N320" i="13"/>
  <c r="N321" i="13"/>
  <c r="B316" i="13"/>
  <c r="K14" i="11"/>
  <c r="N325" i="13"/>
  <c r="N326" i="13"/>
  <c r="N327" i="13"/>
  <c r="N328" i="13"/>
  <c r="N329" i="13"/>
  <c r="N330" i="13"/>
  <c r="N331" i="13"/>
  <c r="B326" i="13"/>
  <c r="K15" i="11"/>
  <c r="N345" i="13"/>
  <c r="N346" i="13"/>
  <c r="N347" i="13"/>
  <c r="N348" i="13"/>
  <c r="N349" i="13"/>
  <c r="N350" i="13"/>
  <c r="N351" i="13"/>
  <c r="B346" i="13"/>
  <c r="K17" i="11"/>
  <c r="N355" i="13"/>
  <c r="N356" i="13"/>
  <c r="N357" i="13"/>
  <c r="N358" i="13"/>
  <c r="N359" i="13"/>
  <c r="N360" i="13"/>
  <c r="N361" i="13"/>
  <c r="B356" i="13"/>
  <c r="K18" i="11"/>
  <c r="R46" i="71"/>
  <c r="N375" i="13"/>
  <c r="N376" i="13"/>
  <c r="N377" i="13"/>
  <c r="N378" i="13"/>
  <c r="N379" i="13"/>
  <c r="N380" i="13"/>
  <c r="N381" i="13"/>
  <c r="B376" i="13"/>
  <c r="L13" i="11"/>
  <c r="N385" i="13"/>
  <c r="N386" i="13"/>
  <c r="N387" i="13"/>
  <c r="N388" i="13"/>
  <c r="N389" i="13"/>
  <c r="N390" i="13"/>
  <c r="N391" i="13"/>
  <c r="B386" i="13"/>
  <c r="L14" i="11"/>
  <c r="N395" i="13"/>
  <c r="N396" i="13"/>
  <c r="N397" i="13"/>
  <c r="N398" i="13"/>
  <c r="N399" i="13"/>
  <c r="N400" i="13"/>
  <c r="N401" i="13"/>
  <c r="B396" i="13"/>
  <c r="L15" i="11"/>
  <c r="N415" i="13"/>
  <c r="N416" i="13"/>
  <c r="N417" i="13"/>
  <c r="N418" i="13"/>
  <c r="N419" i="13"/>
  <c r="N420" i="13"/>
  <c r="N421" i="13"/>
  <c r="B416" i="13"/>
  <c r="L17" i="11"/>
  <c r="N425" i="13"/>
  <c r="N426" i="13"/>
  <c r="N427" i="13"/>
  <c r="N428" i="13"/>
  <c r="N429" i="13"/>
  <c r="N430" i="13"/>
  <c r="N431" i="13"/>
  <c r="B426" i="13"/>
  <c r="L18" i="11"/>
  <c r="R47" i="71"/>
  <c r="N445" i="13"/>
  <c r="N446" i="13"/>
  <c r="N447" i="13"/>
  <c r="N448" i="13"/>
  <c r="N449" i="13"/>
  <c r="N450" i="13"/>
  <c r="N451" i="13"/>
  <c r="B446" i="13"/>
  <c r="M13" i="11"/>
  <c r="N455" i="13"/>
  <c r="N456" i="13"/>
  <c r="N457" i="13"/>
  <c r="N458" i="13"/>
  <c r="N459" i="13"/>
  <c r="N460" i="13"/>
  <c r="N461" i="13"/>
  <c r="B456" i="13"/>
  <c r="M14" i="11"/>
  <c r="N465" i="13"/>
  <c r="N466" i="13"/>
  <c r="N467" i="13"/>
  <c r="N468" i="13"/>
  <c r="N469" i="13"/>
  <c r="N470" i="13"/>
  <c r="N471" i="13"/>
  <c r="B466" i="13"/>
  <c r="M15" i="11"/>
  <c r="N485" i="13"/>
  <c r="N486" i="13"/>
  <c r="N487" i="13"/>
  <c r="N488" i="13"/>
  <c r="N489" i="13"/>
  <c r="N490" i="13"/>
  <c r="N491" i="13"/>
  <c r="B486" i="13"/>
  <c r="M17" i="11"/>
  <c r="N495" i="13"/>
  <c r="N496" i="13"/>
  <c r="N497" i="13"/>
  <c r="N498" i="13"/>
  <c r="N499" i="13"/>
  <c r="N500" i="13"/>
  <c r="N501" i="13"/>
  <c r="B496" i="13"/>
  <c r="M18" i="11"/>
  <c r="R48" i="71"/>
  <c r="N515" i="13"/>
  <c r="N516" i="13"/>
  <c r="N517" i="13"/>
  <c r="N518" i="13"/>
  <c r="N519" i="13"/>
  <c r="N520" i="13"/>
  <c r="N521" i="13"/>
  <c r="B516" i="13"/>
  <c r="N13" i="11"/>
  <c r="N525" i="13"/>
  <c r="N526" i="13"/>
  <c r="N527" i="13"/>
  <c r="N528" i="13"/>
  <c r="N529" i="13"/>
  <c r="N530" i="13"/>
  <c r="N531" i="13"/>
  <c r="B526" i="13"/>
  <c r="N14" i="11"/>
  <c r="N535" i="13"/>
  <c r="N536" i="13"/>
  <c r="N537" i="13"/>
  <c r="N538" i="13"/>
  <c r="N539" i="13"/>
  <c r="N540" i="13"/>
  <c r="N541" i="13"/>
  <c r="B536" i="13"/>
  <c r="N15" i="11"/>
  <c r="N555" i="13"/>
  <c r="N556" i="13"/>
  <c r="N557" i="13"/>
  <c r="N558" i="13"/>
  <c r="N559" i="13"/>
  <c r="N560" i="13"/>
  <c r="N561" i="13"/>
  <c r="B556" i="13"/>
  <c r="N17" i="11"/>
  <c r="N565" i="13"/>
  <c r="N566" i="13"/>
  <c r="N567" i="13"/>
  <c r="N568" i="13"/>
  <c r="N569" i="13"/>
  <c r="N570" i="13"/>
  <c r="N571" i="13"/>
  <c r="B566" i="13"/>
  <c r="N18" i="11"/>
  <c r="R49" i="71"/>
  <c r="N585" i="13"/>
  <c r="N586" i="13"/>
  <c r="N587" i="13"/>
  <c r="N588" i="13"/>
  <c r="N589" i="13"/>
  <c r="N590" i="13"/>
  <c r="N591" i="13"/>
  <c r="B586" i="13"/>
  <c r="O13" i="11"/>
  <c r="N595" i="13"/>
  <c r="N596" i="13"/>
  <c r="N597" i="13"/>
  <c r="N598" i="13"/>
  <c r="N599" i="13"/>
  <c r="N600" i="13"/>
  <c r="N601" i="13"/>
  <c r="B596" i="13"/>
  <c r="O14" i="11"/>
  <c r="N605" i="13"/>
  <c r="N606" i="13"/>
  <c r="N607" i="13"/>
  <c r="N608" i="13"/>
  <c r="N609" i="13"/>
  <c r="N610" i="13"/>
  <c r="N611" i="13"/>
  <c r="B606" i="13"/>
  <c r="O15" i="11"/>
  <c r="N625" i="13"/>
  <c r="N626" i="13"/>
  <c r="N627" i="13"/>
  <c r="N628" i="13"/>
  <c r="N629" i="13"/>
  <c r="N630" i="13"/>
  <c r="N631" i="13"/>
  <c r="B626" i="13"/>
  <c r="O17" i="11"/>
  <c r="N635" i="13"/>
  <c r="N636" i="13"/>
  <c r="N637" i="13"/>
  <c r="N638" i="13"/>
  <c r="N639" i="13"/>
  <c r="N640" i="13"/>
  <c r="N641" i="13"/>
  <c r="B636" i="13"/>
  <c r="O18" i="11"/>
  <c r="R50" i="71"/>
  <c r="N655" i="13"/>
  <c r="N656" i="13"/>
  <c r="N657" i="13"/>
  <c r="N658" i="13"/>
  <c r="N659" i="13"/>
  <c r="N660" i="13"/>
  <c r="N661" i="13"/>
  <c r="B656" i="13"/>
  <c r="P13" i="11"/>
  <c r="N665" i="13"/>
  <c r="N666" i="13"/>
  <c r="N667" i="13"/>
  <c r="N668" i="13"/>
  <c r="N669" i="13"/>
  <c r="N670" i="13"/>
  <c r="N671" i="13"/>
  <c r="B666" i="13"/>
  <c r="P14" i="11"/>
  <c r="N675" i="13"/>
  <c r="N676" i="13"/>
  <c r="N677" i="13"/>
  <c r="N678" i="13"/>
  <c r="N679" i="13"/>
  <c r="N680" i="13"/>
  <c r="N681" i="13"/>
  <c r="B676" i="13"/>
  <c r="P15" i="11"/>
  <c r="N695" i="13"/>
  <c r="N696" i="13"/>
  <c r="N697" i="13"/>
  <c r="N698" i="13"/>
  <c r="N699" i="13"/>
  <c r="N700" i="13"/>
  <c r="N701" i="13"/>
  <c r="B696" i="13"/>
  <c r="P17" i="11"/>
  <c r="N705" i="13"/>
  <c r="N706" i="13"/>
  <c r="N707" i="13"/>
  <c r="N708" i="13"/>
  <c r="N709" i="13"/>
  <c r="N710" i="13"/>
  <c r="N711" i="13"/>
  <c r="B706" i="13"/>
  <c r="P18" i="11"/>
  <c r="R51" i="71"/>
  <c r="N725" i="13"/>
  <c r="N726" i="13"/>
  <c r="N727" i="13"/>
  <c r="N728" i="13"/>
  <c r="N729" i="13"/>
  <c r="N730" i="13"/>
  <c r="N731" i="13"/>
  <c r="B726" i="13"/>
  <c r="Q13" i="11"/>
  <c r="N735" i="13"/>
  <c r="N736" i="13"/>
  <c r="N737" i="13"/>
  <c r="N738" i="13"/>
  <c r="N739" i="13"/>
  <c r="N740" i="13"/>
  <c r="N741" i="13"/>
  <c r="B736" i="13"/>
  <c r="Q14" i="11"/>
  <c r="N745" i="13"/>
  <c r="N746" i="13"/>
  <c r="N747" i="13"/>
  <c r="N748" i="13"/>
  <c r="N749" i="13"/>
  <c r="N750" i="13"/>
  <c r="N751" i="13"/>
  <c r="B746" i="13"/>
  <c r="Q15" i="11"/>
  <c r="N765" i="13"/>
  <c r="N766" i="13"/>
  <c r="N767" i="13"/>
  <c r="N768" i="13"/>
  <c r="N769" i="13"/>
  <c r="N770" i="13"/>
  <c r="N771" i="13"/>
  <c r="B766" i="13"/>
  <c r="Q17" i="11"/>
  <c r="N775" i="13"/>
  <c r="N776" i="13"/>
  <c r="N777" i="13"/>
  <c r="N778" i="13"/>
  <c r="N779" i="13"/>
  <c r="N780" i="13"/>
  <c r="N781" i="13"/>
  <c r="B776" i="13"/>
  <c r="Q18" i="11"/>
  <c r="R52" i="71"/>
  <c r="N795" i="13"/>
  <c r="N796" i="13"/>
  <c r="N797" i="13"/>
  <c r="N798" i="13"/>
  <c r="N799" i="13"/>
  <c r="N800" i="13"/>
  <c r="N801" i="13"/>
  <c r="B796" i="13"/>
  <c r="R13" i="11"/>
  <c r="N805" i="13"/>
  <c r="N806" i="13"/>
  <c r="N807" i="13"/>
  <c r="N808" i="13"/>
  <c r="N809" i="13"/>
  <c r="N810" i="13"/>
  <c r="N811" i="13"/>
  <c r="B806" i="13"/>
  <c r="R14" i="11"/>
  <c r="N815" i="13"/>
  <c r="N816" i="13"/>
  <c r="N817" i="13"/>
  <c r="N818" i="13"/>
  <c r="N819" i="13"/>
  <c r="N820" i="13"/>
  <c r="N821" i="13"/>
  <c r="B816" i="13"/>
  <c r="R15" i="11"/>
  <c r="N835" i="13"/>
  <c r="N836" i="13"/>
  <c r="N837" i="13"/>
  <c r="N838" i="13"/>
  <c r="N839" i="13"/>
  <c r="N840" i="13"/>
  <c r="N841" i="13"/>
  <c r="B836" i="13"/>
  <c r="R17" i="11"/>
  <c r="N845" i="13"/>
  <c r="N846" i="13"/>
  <c r="N847" i="13"/>
  <c r="N848" i="13"/>
  <c r="N849" i="13"/>
  <c r="N850" i="13"/>
  <c r="N851" i="13"/>
  <c r="B846" i="13"/>
  <c r="R18" i="11"/>
  <c r="R53" i="71"/>
  <c r="AC21" i="87"/>
  <c r="BD21" i="87"/>
  <c r="Q21" i="88"/>
  <c r="Z21" i="88"/>
  <c r="BN17" i="87"/>
  <c r="Q22" i="88"/>
  <c r="Z22" i="88"/>
  <c r="BN8" i="87"/>
  <c r="Q10" i="88"/>
  <c r="Z10" i="88"/>
  <c r="BO8" i="87"/>
  <c r="Q12" i="88"/>
  <c r="Z12" i="88"/>
  <c r="BP8" i="87"/>
  <c r="Q14" i="88"/>
  <c r="Z14" i="88"/>
  <c r="BQ8" i="87"/>
  <c r="Q16" i="88"/>
  <c r="Z16" i="88"/>
  <c r="BR8" i="87"/>
  <c r="Q18" i="88"/>
  <c r="Z18" i="88"/>
  <c r="BS8" i="87"/>
  <c r="BT8" i="87"/>
  <c r="BN9" i="87"/>
  <c r="BN27" i="87"/>
  <c r="AC9" i="87"/>
  <c r="BD9" i="87"/>
  <c r="Q9" i="88"/>
  <c r="Z9" i="88"/>
  <c r="BO17" i="87"/>
  <c r="BO9" i="87"/>
  <c r="BO27" i="87"/>
  <c r="AC11" i="87"/>
  <c r="BD11" i="87"/>
  <c r="Q11" i="88"/>
  <c r="Z11" i="88"/>
  <c r="BP17" i="87"/>
  <c r="BP9" i="87"/>
  <c r="BP27" i="87"/>
  <c r="AC13" i="87"/>
  <c r="BD13" i="87"/>
  <c r="Q13" i="88"/>
  <c r="Z13" i="88"/>
  <c r="BQ17" i="87"/>
  <c r="BQ9" i="87"/>
  <c r="BQ27" i="87"/>
  <c r="AC15" i="87"/>
  <c r="BD15" i="87"/>
  <c r="Q15" i="88"/>
  <c r="Z15" i="88"/>
  <c r="BR17" i="87"/>
  <c r="BR9" i="87"/>
  <c r="BR27" i="87"/>
  <c r="AC17" i="87"/>
  <c r="BD17" i="87"/>
  <c r="Q17" i="88"/>
  <c r="Z17" i="88"/>
  <c r="BS17" i="87"/>
  <c r="BS9" i="87"/>
  <c r="BS27" i="87"/>
  <c r="BT27" i="87"/>
  <c r="AB21" i="87"/>
  <c r="BC21" i="87"/>
  <c r="BN16" i="87"/>
  <c r="BN26" i="87"/>
  <c r="AB9" i="87"/>
  <c r="BC9" i="87"/>
  <c r="BO16" i="87"/>
  <c r="BO26" i="87"/>
  <c r="AB11" i="87"/>
  <c r="BC11" i="87"/>
  <c r="BP16" i="87"/>
  <c r="BP26" i="87"/>
  <c r="AB13" i="87"/>
  <c r="BC13" i="87"/>
  <c r="BQ16" i="87"/>
  <c r="BQ26" i="87"/>
  <c r="AB15" i="87"/>
  <c r="BC15" i="87"/>
  <c r="BR16" i="87"/>
  <c r="BR26" i="87"/>
  <c r="AB17" i="87"/>
  <c r="BC17" i="87"/>
  <c r="BS16" i="87"/>
  <c r="BS26" i="87"/>
  <c r="BT26" i="87"/>
  <c r="AA21" i="87"/>
  <c r="BB21" i="87"/>
  <c r="BN15" i="87"/>
  <c r="BN25" i="87"/>
  <c r="AA9" i="87"/>
  <c r="BB9" i="87"/>
  <c r="BO15" i="87"/>
  <c r="BO25" i="87"/>
  <c r="AA11" i="87"/>
  <c r="BB11" i="87"/>
  <c r="BP15" i="87"/>
  <c r="BP25" i="87"/>
  <c r="AA13" i="87"/>
  <c r="BB13" i="87"/>
  <c r="BQ15" i="87"/>
  <c r="BQ25" i="87"/>
  <c r="AA15" i="87"/>
  <c r="BB15" i="87"/>
  <c r="BR15" i="87"/>
  <c r="BR25" i="87"/>
  <c r="AA17" i="87"/>
  <c r="BB17" i="87"/>
  <c r="BS15" i="87"/>
  <c r="BS25" i="87"/>
  <c r="BT25" i="87"/>
  <c r="Z21" i="87"/>
  <c r="BA21" i="87"/>
  <c r="BN14" i="87"/>
  <c r="BN24" i="87"/>
  <c r="Z9" i="87"/>
  <c r="BA9" i="87"/>
  <c r="BO14" i="87"/>
  <c r="BO24" i="87"/>
  <c r="Z11" i="87"/>
  <c r="BA11" i="87"/>
  <c r="BP14" i="87"/>
  <c r="BP24" i="87"/>
  <c r="Z13" i="87"/>
  <c r="BA13" i="87"/>
  <c r="BQ14" i="87"/>
  <c r="BQ24" i="87"/>
  <c r="Z15" i="87"/>
  <c r="BA15" i="87"/>
  <c r="BR14" i="87"/>
  <c r="BR24" i="87"/>
  <c r="Z17" i="87"/>
  <c r="BA17" i="87"/>
  <c r="BS14" i="87"/>
  <c r="BS24" i="87"/>
  <c r="BT24" i="87"/>
  <c r="Y21" i="87"/>
  <c r="AZ21" i="87"/>
  <c r="BN13" i="87"/>
  <c r="BN23" i="87"/>
  <c r="Y9" i="87"/>
  <c r="AZ9" i="87"/>
  <c r="BO13" i="87"/>
  <c r="BO23" i="87"/>
  <c r="Y11" i="87"/>
  <c r="AZ11" i="87"/>
  <c r="BP13" i="87"/>
  <c r="BP23" i="87"/>
  <c r="Y13" i="87"/>
  <c r="AZ13" i="87"/>
  <c r="BQ13" i="87"/>
  <c r="BQ23" i="87"/>
  <c r="Y15" i="87"/>
  <c r="AZ15" i="87"/>
  <c r="BR13" i="87"/>
  <c r="BR23" i="87"/>
  <c r="Y17" i="87"/>
  <c r="AZ17" i="87"/>
  <c r="BS13" i="87"/>
  <c r="BS23" i="87"/>
  <c r="BT23" i="87"/>
  <c r="X21" i="87"/>
  <c r="AY21" i="87"/>
  <c r="BN12" i="87"/>
  <c r="BN22" i="87"/>
  <c r="X9" i="87"/>
  <c r="AY9" i="87"/>
  <c r="BO12" i="87"/>
  <c r="BO22" i="87"/>
  <c r="X11" i="87"/>
  <c r="AY11" i="87"/>
  <c r="BP12" i="87"/>
  <c r="BP22" i="87"/>
  <c r="X13" i="87"/>
  <c r="AY13" i="87"/>
  <c r="BQ12" i="87"/>
  <c r="BQ22" i="87"/>
  <c r="X15" i="87"/>
  <c r="AY15" i="87"/>
  <c r="BR12" i="87"/>
  <c r="BR22" i="87"/>
  <c r="X17" i="87"/>
  <c r="AY17" i="87"/>
  <c r="BS12" i="87"/>
  <c r="BS22" i="87"/>
  <c r="BT22" i="87"/>
  <c r="J6" i="91"/>
  <c r="N925" i="91"/>
  <c r="B926" i="91"/>
  <c r="AY28" i="87"/>
  <c r="N935" i="91"/>
  <c r="B936" i="91"/>
  <c r="AZ28" i="87"/>
  <c r="N945" i="91"/>
  <c r="B946" i="91"/>
  <c r="BA28" i="87"/>
  <c r="N955" i="91"/>
  <c r="B956" i="91"/>
  <c r="BB28" i="87"/>
  <c r="N965" i="91"/>
  <c r="B966" i="91"/>
  <c r="BC28" i="87"/>
  <c r="N975" i="91"/>
  <c r="B976" i="91"/>
  <c r="BD28" i="87"/>
  <c r="BE28" i="87"/>
  <c r="N915" i="91"/>
  <c r="B916" i="91"/>
  <c r="BF28" i="87"/>
  <c r="Q10" i="87"/>
  <c r="Q12" i="87"/>
  <c r="Q14" i="87"/>
  <c r="Q16" i="87"/>
  <c r="Q18" i="87"/>
  <c r="Q20" i="87"/>
  <c r="Q22" i="87"/>
  <c r="Q24" i="87"/>
  <c r="X10" i="87"/>
  <c r="AY10" i="87"/>
  <c r="X12" i="87"/>
  <c r="AY12" i="87"/>
  <c r="X14" i="87"/>
  <c r="AY14" i="87"/>
  <c r="X16" i="87"/>
  <c r="AY16" i="87"/>
  <c r="X18" i="87"/>
  <c r="AY18" i="87"/>
  <c r="AY20" i="87"/>
  <c r="X22" i="87"/>
  <c r="AY22" i="87"/>
  <c r="AY24" i="87"/>
  <c r="Y10" i="87"/>
  <c r="AZ10" i="87"/>
  <c r="Y12" i="87"/>
  <c r="AZ12" i="87"/>
  <c r="Y14" i="87"/>
  <c r="AZ14" i="87"/>
  <c r="Y16" i="87"/>
  <c r="AZ16" i="87"/>
  <c r="Y18" i="87"/>
  <c r="AZ18" i="87"/>
  <c r="AZ20" i="87"/>
  <c r="Y22" i="87"/>
  <c r="AZ22" i="87"/>
  <c r="AZ24" i="87"/>
  <c r="Z10" i="87"/>
  <c r="BA10" i="87"/>
  <c r="Z12" i="87"/>
  <c r="BA12" i="87"/>
  <c r="Z14" i="87"/>
  <c r="BA14" i="87"/>
  <c r="Z16" i="87"/>
  <c r="BA16" i="87"/>
  <c r="Z18" i="87"/>
  <c r="BA18" i="87"/>
  <c r="BA20" i="87"/>
  <c r="Z22" i="87"/>
  <c r="BA22" i="87"/>
  <c r="BA24" i="87"/>
  <c r="AA10" i="87"/>
  <c r="BB10" i="87"/>
  <c r="AA12" i="87"/>
  <c r="BB12" i="87"/>
  <c r="AA14" i="87"/>
  <c r="BB14" i="87"/>
  <c r="AA16" i="87"/>
  <c r="BB16" i="87"/>
  <c r="AA18" i="87"/>
  <c r="BB18" i="87"/>
  <c r="BB20" i="87"/>
  <c r="AA22" i="87"/>
  <c r="BB22" i="87"/>
  <c r="BB24" i="87"/>
  <c r="AB10" i="87"/>
  <c r="BC10" i="87"/>
  <c r="AB12" i="87"/>
  <c r="BC12" i="87"/>
  <c r="AB14" i="87"/>
  <c r="BC14" i="87"/>
  <c r="AB16" i="87"/>
  <c r="BC16" i="87"/>
  <c r="AB18" i="87"/>
  <c r="BC18" i="87"/>
  <c r="BC20" i="87"/>
  <c r="AB22" i="87"/>
  <c r="BC22" i="87"/>
  <c r="BC24" i="87"/>
  <c r="AC10" i="87"/>
  <c r="BD10" i="87"/>
  <c r="AC12" i="87"/>
  <c r="BD12" i="87"/>
  <c r="AC14" i="87"/>
  <c r="BD14" i="87"/>
  <c r="AC16" i="87"/>
  <c r="BD16" i="87"/>
  <c r="AC18" i="87"/>
  <c r="BD18" i="87"/>
  <c r="BD20" i="87"/>
  <c r="AC22" i="87"/>
  <c r="BD22" i="87"/>
  <c r="BD24" i="87"/>
  <c r="BE24" i="87"/>
  <c r="BF30" i="87"/>
  <c r="AX30" i="87"/>
  <c r="Q9" i="87"/>
  <c r="Q11" i="87"/>
  <c r="Q13" i="87"/>
  <c r="Q15" i="87"/>
  <c r="Q17" i="87"/>
  <c r="Q19" i="87"/>
  <c r="Q21" i="87"/>
  <c r="Q23" i="87"/>
  <c r="AY19" i="87"/>
  <c r="AY23" i="87"/>
  <c r="AZ19" i="87"/>
  <c r="AZ23" i="87"/>
  <c r="BA19" i="87"/>
  <c r="BA23" i="87"/>
  <c r="BB19" i="87"/>
  <c r="BB23" i="87"/>
  <c r="BC19" i="87"/>
  <c r="BC23" i="87"/>
  <c r="BD19" i="87"/>
  <c r="BD23" i="87"/>
  <c r="BE23" i="87"/>
  <c r="BF29" i="87"/>
  <c r="AX29" i="87"/>
  <c r="AX28" i="87"/>
  <c r="I33" i="87"/>
  <c r="J33" i="87"/>
  <c r="AJ4" i="87"/>
  <c r="BK4" i="87"/>
  <c r="F28" i="87" a="1"/>
  <c r="F28" i="87"/>
  <c r="H28" i="87" a="1"/>
  <c r="H28" i="87"/>
  <c r="F27" i="87" a="1"/>
  <c r="F27" i="87"/>
  <c r="H27" i="87" a="1"/>
  <c r="H27" i="87"/>
  <c r="F26" i="87" a="1"/>
  <c r="F26" i="87"/>
  <c r="H26" i="87" a="1"/>
  <c r="H26" i="87"/>
  <c r="F25" i="87" a="1"/>
  <c r="F25" i="87"/>
  <c r="H25" i="87" a="1"/>
  <c r="H25" i="87"/>
  <c r="F24" i="87" a="1"/>
  <c r="F24" i="87"/>
  <c r="H24" i="87" a="1"/>
  <c r="H24" i="87"/>
  <c r="F23" i="87" a="1"/>
  <c r="F23" i="87"/>
  <c r="H23" i="87" a="1"/>
  <c r="H23" i="87"/>
  <c r="F22" i="87" a="1"/>
  <c r="F22" i="87"/>
  <c r="H22" i="87" a="1"/>
  <c r="H22" i="87"/>
  <c r="H29" i="87"/>
  <c r="F29" i="87"/>
  <c r="G28" i="87" a="1"/>
  <c r="G28" i="87"/>
  <c r="I28" i="87" a="1"/>
  <c r="I28" i="87"/>
  <c r="G27" i="87" a="1"/>
  <c r="G27" i="87"/>
  <c r="I27" i="87" a="1"/>
  <c r="I27" i="87"/>
  <c r="G26" i="87" a="1"/>
  <c r="G26" i="87"/>
  <c r="I26" i="87" a="1"/>
  <c r="I26" i="87"/>
  <c r="G25" i="87" a="1"/>
  <c r="G25" i="87"/>
  <c r="I25" i="87" a="1"/>
  <c r="I25" i="87"/>
  <c r="G24" i="87" a="1"/>
  <c r="G24" i="87"/>
  <c r="I24" i="87" a="1"/>
  <c r="I24" i="87"/>
  <c r="G23" i="87" a="1"/>
  <c r="G23" i="87"/>
  <c r="G22" i="87" a="1"/>
  <c r="G22" i="87"/>
  <c r="I22" i="87" a="1"/>
  <c r="I22" i="87"/>
  <c r="G29" i="87"/>
  <c r="I23" i="87" a="1"/>
  <c r="I23" i="87"/>
  <c r="I29" i="87"/>
  <c r="X7" i="87"/>
  <c r="AY7" i="87"/>
  <c r="Y7" i="87"/>
  <c r="AZ7" i="87"/>
  <c r="Z7" i="87"/>
  <c r="BA7" i="87"/>
  <c r="AA7" i="87"/>
  <c r="BB7" i="87"/>
  <c r="AB7" i="87"/>
  <c r="BC7" i="87"/>
  <c r="AC7" i="87"/>
  <c r="BD7" i="87"/>
  <c r="BE7" i="87"/>
  <c r="N85" i="91"/>
  <c r="B86" i="91"/>
  <c r="BF7" i="87"/>
  <c r="AX7" i="87"/>
  <c r="BE22" i="87"/>
  <c r="N885" i="91"/>
  <c r="B886" i="91"/>
  <c r="BF22" i="87"/>
  <c r="AX22" i="87"/>
  <c r="BE20" i="87"/>
  <c r="N905" i="91"/>
  <c r="B906" i="91"/>
  <c r="BF20" i="87"/>
  <c r="AX20" i="87"/>
  <c r="BE19" i="87"/>
  <c r="N895" i="91"/>
  <c r="N896" i="91"/>
  <c r="B896" i="91"/>
  <c r="BF19" i="87"/>
  <c r="AX19" i="87"/>
  <c r="AY26" i="87"/>
  <c r="AZ26" i="87"/>
  <c r="BA26" i="87"/>
  <c r="BB26" i="87"/>
  <c r="BC26" i="87"/>
  <c r="BD26" i="87"/>
  <c r="AY27" i="87"/>
  <c r="AZ27" i="87"/>
  <c r="BA27" i="87"/>
  <c r="BB27" i="87"/>
  <c r="BC27" i="87"/>
  <c r="BD27" i="87"/>
  <c r="X6" i="87"/>
  <c r="AY6" i="87"/>
  <c r="Y6" i="87"/>
  <c r="AZ6" i="87"/>
  <c r="Z6" i="87"/>
  <c r="BA6" i="87"/>
  <c r="AA6" i="87"/>
  <c r="BB6" i="87"/>
  <c r="AB6" i="87"/>
  <c r="BC6" i="87"/>
  <c r="AC6" i="87"/>
  <c r="BD6" i="87"/>
  <c r="BE6" i="87"/>
  <c r="N15" i="91"/>
  <c r="N16" i="91"/>
  <c r="B16" i="91"/>
  <c r="BF6" i="87"/>
  <c r="AX6" i="87"/>
  <c r="BE18" i="87"/>
  <c r="N785" i="91"/>
  <c r="B786" i="91"/>
  <c r="BF18" i="87"/>
  <c r="AX18" i="87"/>
  <c r="BE21" i="87"/>
  <c r="N875" i="91"/>
  <c r="N876" i="91"/>
  <c r="B876" i="91"/>
  <c r="BF21" i="87"/>
  <c r="AX21" i="87"/>
  <c r="BE10" i="87"/>
  <c r="N225" i="91"/>
  <c r="B226" i="91"/>
  <c r="BF10" i="87"/>
  <c r="AX10" i="87"/>
  <c r="BE16" i="87"/>
  <c r="N645" i="91"/>
  <c r="B646" i="91"/>
  <c r="BF16" i="87"/>
  <c r="AX16" i="87"/>
  <c r="BE17" i="87"/>
  <c r="N715" i="91"/>
  <c r="N716" i="91"/>
  <c r="B716" i="91"/>
  <c r="BF17" i="87"/>
  <c r="AX17" i="87"/>
  <c r="BE12" i="87"/>
  <c r="N365" i="91"/>
  <c r="B366" i="91"/>
  <c r="BF12" i="87"/>
  <c r="AX12" i="87"/>
  <c r="BE9" i="87"/>
  <c r="N155" i="91"/>
  <c r="N156" i="91"/>
  <c r="B156" i="91"/>
  <c r="BF9" i="87"/>
  <c r="AX9" i="87"/>
  <c r="N435" i="91"/>
  <c r="N436" i="91"/>
  <c r="B436" i="91"/>
  <c r="BF13" i="87"/>
  <c r="AX13" i="87"/>
  <c r="BE14" i="87"/>
  <c r="N505" i="91"/>
  <c r="B506" i="91"/>
  <c r="BF14" i="87"/>
  <c r="AX14" i="87"/>
  <c r="BE26" i="87"/>
  <c r="BE27" i="87"/>
  <c r="BE15" i="87"/>
  <c r="N575" i="91"/>
  <c r="N576" i="91"/>
  <c r="B576" i="91"/>
  <c r="BF15" i="87"/>
  <c r="AX15" i="87"/>
  <c r="BE11" i="87"/>
  <c r="N295" i="91"/>
  <c r="N296" i="91"/>
  <c r="B296" i="91"/>
  <c r="BF11" i="87"/>
  <c r="AX11" i="87"/>
  <c r="AQ8" i="87"/>
  <c r="AO8" i="87"/>
  <c r="AM8" i="87"/>
  <c r="AN8" i="87"/>
  <c r="AR8" i="87"/>
  <c r="AP8" i="87"/>
  <c r="AG33" i="87"/>
  <c r="AF33" i="87"/>
  <c r="AE33" i="87"/>
  <c r="AD33" i="87"/>
  <c r="AC33" i="87"/>
  <c r="AB33" i="87"/>
  <c r="AA33" i="87"/>
  <c r="Z33" i="87"/>
  <c r="Y33" i="87"/>
  <c r="X33" i="87"/>
  <c r="W33" i="87"/>
  <c r="V33" i="87"/>
  <c r="U33" i="87"/>
  <c r="T33" i="87"/>
  <c r="S33" i="87"/>
  <c r="R33" i="87"/>
  <c r="Q33" i="87"/>
  <c r="P33" i="87"/>
  <c r="O33" i="87"/>
  <c r="N33" i="87"/>
  <c r="M33" i="87"/>
  <c r="L33" i="87"/>
  <c r="K33" i="87"/>
  <c r="H33" i="87"/>
  <c r="G33" i="87"/>
  <c r="F33" i="87"/>
  <c r="E33" i="87"/>
  <c r="D33" i="87"/>
  <c r="AA29" i="87"/>
  <c r="AA28" i="87"/>
  <c r="AC27" i="87"/>
  <c r="AB27" i="87"/>
  <c r="AA27" i="87"/>
  <c r="Z27" i="87"/>
  <c r="Y27" i="87"/>
  <c r="X27" i="87"/>
  <c r="Q27" i="87"/>
  <c r="AC26" i="87"/>
  <c r="AB26" i="87"/>
  <c r="AA26" i="87"/>
  <c r="Z26" i="87"/>
  <c r="Y26" i="87"/>
  <c r="X26" i="87"/>
  <c r="Q26" i="87"/>
  <c r="J25" i="87"/>
  <c r="J24" i="87"/>
  <c r="J23" i="87"/>
  <c r="J22" i="87"/>
  <c r="J21" i="87"/>
  <c r="J20" i="87"/>
  <c r="J19" i="87"/>
  <c r="J18" i="87"/>
  <c r="J17" i="87"/>
  <c r="J16" i="87"/>
  <c r="J15" i="87"/>
  <c r="J14" i="87"/>
  <c r="J13" i="87"/>
  <c r="J12" i="87"/>
  <c r="Q7" i="87"/>
  <c r="Q6" i="87"/>
  <c r="AC5" i="87"/>
  <c r="BD5" i="87"/>
  <c r="AB5" i="87"/>
  <c r="BC5" i="87"/>
  <c r="AA5" i="87"/>
  <c r="Z5" i="87"/>
  <c r="BA5" i="87"/>
  <c r="Y5" i="87"/>
  <c r="AZ5" i="87"/>
  <c r="X5" i="87"/>
  <c r="AY5" i="87"/>
  <c r="Q4" i="87"/>
  <c r="AJ3" i="87"/>
  <c r="BK3" i="87"/>
  <c r="Q3" i="87"/>
  <c r="Q5" i="87"/>
  <c r="AS8" i="87"/>
  <c r="AN9" i="87"/>
  <c r="AZ8" i="87"/>
  <c r="BB8" i="87"/>
  <c r="X8" i="87"/>
  <c r="AD14" i="87"/>
  <c r="AD15" i="87"/>
  <c r="AN16" i="87"/>
  <c r="AO17" i="87"/>
  <c r="AP16" i="87"/>
  <c r="AQ14" i="87"/>
  <c r="AR12" i="87"/>
  <c r="AM15" i="87"/>
  <c r="AC8" i="87"/>
  <c r="BD8" i="87"/>
  <c r="Y8" i="87"/>
  <c r="AN17" i="87"/>
  <c r="AD12" i="87"/>
  <c r="AP17" i="87"/>
  <c r="AQ15" i="87"/>
  <c r="AR13" i="87"/>
  <c r="AM16" i="87"/>
  <c r="AA8" i="87"/>
  <c r="AD13" i="87"/>
  <c r="AQ16" i="87"/>
  <c r="AR14" i="87"/>
  <c r="AC20" i="87"/>
  <c r="AC24" i="87"/>
  <c r="AM17" i="87"/>
  <c r="AY8" i="87"/>
  <c r="X20" i="87"/>
  <c r="X24" i="87"/>
  <c r="AO12" i="87"/>
  <c r="AQ17" i="87"/>
  <c r="AR15" i="87"/>
  <c r="AD7" i="87"/>
  <c r="X19" i="87"/>
  <c r="X23" i="87"/>
  <c r="AN12" i="87"/>
  <c r="Y20" i="87"/>
  <c r="Y24" i="87"/>
  <c r="AO13" i="87"/>
  <c r="AP12" i="87"/>
  <c r="AR16" i="87"/>
  <c r="Z8" i="87"/>
  <c r="BA8" i="87"/>
  <c r="Y19" i="87"/>
  <c r="Y23" i="87"/>
  <c r="AN13" i="87"/>
  <c r="Z20" i="87"/>
  <c r="Z24" i="87"/>
  <c r="AO14" i="87"/>
  <c r="AP13" i="87"/>
  <c r="AD16" i="87"/>
  <c r="AR17" i="87"/>
  <c r="AD21" i="87"/>
  <c r="AM12" i="87"/>
  <c r="Z19" i="87"/>
  <c r="Z23" i="87"/>
  <c r="AN14" i="87"/>
  <c r="AA20" i="87"/>
  <c r="AA24" i="87"/>
  <c r="AO15" i="87"/>
  <c r="AP14" i="87"/>
  <c r="AQ12" i="87"/>
  <c r="AD17" i="87"/>
  <c r="AM13" i="87"/>
  <c r="AD27" i="87"/>
  <c r="AD5" i="87"/>
  <c r="AE5" i="87"/>
  <c r="W5" i="87"/>
  <c r="BB5" i="87"/>
  <c r="BE5" i="87"/>
  <c r="AB8" i="87"/>
  <c r="BC8" i="87"/>
  <c r="AN15" i="87"/>
  <c r="AB20" i="87"/>
  <c r="AB24" i="87"/>
  <c r="AO16" i="87"/>
  <c r="AP15" i="87"/>
  <c r="AQ13" i="87"/>
  <c r="AD18" i="87"/>
  <c r="AM14" i="87"/>
  <c r="AD22" i="87"/>
  <c r="AD26" i="87"/>
  <c r="AA19" i="87"/>
  <c r="AA23" i="87"/>
  <c r="Q8" i="87"/>
  <c r="R8" i="87"/>
  <c r="P8" i="87"/>
  <c r="AD10" i="87"/>
  <c r="AB19" i="87"/>
  <c r="AB23" i="87"/>
  <c r="AD6" i="87"/>
  <c r="AD9" i="87"/>
  <c r="AD11" i="87"/>
  <c r="AC19" i="87"/>
  <c r="AC23" i="87"/>
  <c r="AO9" i="87"/>
  <c r="AO22" i="87"/>
  <c r="AO23" i="87"/>
  <c r="AP9" i="87"/>
  <c r="AP27" i="87"/>
  <c r="AO26" i="87"/>
  <c r="AM9" i="87"/>
  <c r="AQ9" i="87"/>
  <c r="AQ25" i="87"/>
  <c r="AR9" i="87"/>
  <c r="AR27" i="87"/>
  <c r="AN26" i="87"/>
  <c r="AN24" i="87"/>
  <c r="AO27" i="87"/>
  <c r="AN23" i="87"/>
  <c r="AN25" i="87"/>
  <c r="AN27" i="87"/>
  <c r="Z25" i="87"/>
  <c r="Y25" i="87"/>
  <c r="R29" i="87"/>
  <c r="P29" i="87"/>
  <c r="AD8" i="87"/>
  <c r="AE8" i="87"/>
  <c r="W8" i="87"/>
  <c r="R23" i="87"/>
  <c r="P23" i="87"/>
  <c r="AA25" i="87"/>
  <c r="AD24" i="87"/>
  <c r="AQ18" i="87"/>
  <c r="BT15" i="87"/>
  <c r="AB25" i="87"/>
  <c r="AC25" i="87"/>
  <c r="AS17" i="87"/>
  <c r="AS14" i="87"/>
  <c r="AE24" i="87"/>
  <c r="W24" i="87"/>
  <c r="AS13" i="87"/>
  <c r="AO18" i="87"/>
  <c r="AO25" i="87"/>
  <c r="BE13" i="87"/>
  <c r="BT17" i="87"/>
  <c r="AR18" i="87"/>
  <c r="BT13" i="87"/>
  <c r="BB25" i="87"/>
  <c r="AS12" i="87"/>
  <c r="AM18" i="87"/>
  <c r="AN18" i="87"/>
  <c r="AP18" i="87"/>
  <c r="AS18" i="87"/>
  <c r="AN22" i="87"/>
  <c r="AN28" i="87"/>
  <c r="R24" i="87"/>
  <c r="P24" i="87"/>
  <c r="AE29" i="87"/>
  <c r="W29" i="87"/>
  <c r="AS16" i="87"/>
  <c r="BT14" i="87"/>
  <c r="AD20" i="87"/>
  <c r="BP18" i="87"/>
  <c r="BE8" i="87"/>
  <c r="BF8" i="87"/>
  <c r="BT16" i="87"/>
  <c r="AS15" i="87"/>
  <c r="X25" i="87"/>
  <c r="AD23" i="87"/>
  <c r="R30" i="87"/>
  <c r="AD19" i="87"/>
  <c r="AE23" i="87"/>
  <c r="W23" i="87"/>
  <c r="Q25" i="87"/>
  <c r="R25" i="87"/>
  <c r="P25" i="87"/>
  <c r="AX5" i="87"/>
  <c r="AX8" i="87"/>
  <c r="AS9" i="87"/>
  <c r="AM22" i="87"/>
  <c r="AM23" i="87"/>
  <c r="AM24" i="87"/>
  <c r="AM25" i="87"/>
  <c r="AM26" i="87"/>
  <c r="AM27" i="87"/>
  <c r="AM28" i="87"/>
  <c r="AO24" i="87"/>
  <c r="AO28" i="87"/>
  <c r="AP23" i="87"/>
  <c r="AQ23" i="87"/>
  <c r="AR23" i="87"/>
  <c r="AS23" i="87"/>
  <c r="AP25" i="87"/>
  <c r="AR25" i="87"/>
  <c r="AS25" i="87"/>
  <c r="AP26" i="87"/>
  <c r="AQ26" i="87"/>
  <c r="AR26" i="87"/>
  <c r="AS26" i="87"/>
  <c r="AP24" i="87"/>
  <c r="AQ24" i="87"/>
  <c r="AR24" i="87"/>
  <c r="AS24" i="87"/>
  <c r="AR22" i="87"/>
  <c r="AQ27" i="87"/>
  <c r="AS27" i="87"/>
  <c r="AP22" i="87"/>
  <c r="AQ22" i="87"/>
  <c r="BC25" i="87"/>
  <c r="BA25" i="87"/>
  <c r="BT12" i="87"/>
  <c r="BN18" i="87"/>
  <c r="BO18" i="87"/>
  <c r="BQ18" i="87"/>
  <c r="BR18" i="87"/>
  <c r="BS18" i="87"/>
  <c r="BT18" i="87"/>
  <c r="BD25" i="87"/>
  <c r="AE30" i="87"/>
  <c r="AZ25" i="87"/>
  <c r="AD25" i="87"/>
  <c r="AE25" i="87"/>
  <c r="W25" i="87"/>
  <c r="AE28" i="87"/>
  <c r="W28" i="87"/>
  <c r="R28" i="87"/>
  <c r="P28" i="87"/>
  <c r="AS22" i="87"/>
  <c r="BT9" i="87"/>
  <c r="BO28" i="87"/>
  <c r="AR28" i="87"/>
  <c r="AQ28" i="87"/>
  <c r="AP28" i="87"/>
  <c r="AY25" i="87"/>
  <c r="BF23" i="87"/>
  <c r="AX23" i="87"/>
  <c r="BF24" i="87"/>
  <c r="AX24" i="87"/>
  <c r="AS28" i="87"/>
  <c r="BT28" i="87"/>
  <c r="BN28" i="87"/>
  <c r="BS28" i="87"/>
  <c r="BR28" i="87"/>
  <c r="BQ28" i="87"/>
  <c r="BP28" i="87"/>
  <c r="BE25" i="87"/>
  <c r="BF25" i="87"/>
  <c r="AX25" i="87"/>
  <c r="N865" i="13"/>
  <c r="N866" i="13"/>
  <c r="N867" i="13"/>
  <c r="N868" i="13"/>
  <c r="N869" i="13"/>
  <c r="N870" i="13"/>
  <c r="N871" i="13"/>
  <c r="B866" i="13"/>
  <c r="F2" i="13"/>
  <c r="R3" i="87"/>
  <c r="P3" i="87"/>
  <c r="AG863" i="13"/>
  <c r="AF863" i="13"/>
  <c r="AE863" i="13"/>
  <c r="AD863" i="13"/>
  <c r="AC863" i="13"/>
  <c r="AB863" i="13"/>
  <c r="AA863" i="13"/>
  <c r="Z863" i="13"/>
  <c r="Y863" i="13"/>
  <c r="X863" i="13"/>
  <c r="W863" i="13"/>
  <c r="V863" i="13"/>
  <c r="U863" i="13"/>
  <c r="T863" i="13"/>
  <c r="AG853" i="13"/>
  <c r="AF853" i="13"/>
  <c r="AE853" i="13"/>
  <c r="AD853" i="13"/>
  <c r="AC853" i="13"/>
  <c r="AB853" i="13"/>
  <c r="AA853" i="13"/>
  <c r="Z853" i="13"/>
  <c r="Y853" i="13"/>
  <c r="X853" i="13"/>
  <c r="W853" i="13"/>
  <c r="V853" i="13"/>
  <c r="U853" i="13"/>
  <c r="T853" i="13"/>
  <c r="AG843" i="13"/>
  <c r="AF843" i="13"/>
  <c r="AE843" i="13"/>
  <c r="AD843" i="13"/>
  <c r="AC843" i="13"/>
  <c r="AB843" i="13"/>
  <c r="AA843" i="13"/>
  <c r="Z843" i="13"/>
  <c r="Y843" i="13"/>
  <c r="X843" i="13"/>
  <c r="W843" i="13"/>
  <c r="V843" i="13"/>
  <c r="U843" i="13"/>
  <c r="T843" i="13"/>
  <c r="AG833" i="13"/>
  <c r="AF833" i="13"/>
  <c r="AE833" i="13"/>
  <c r="AD833" i="13"/>
  <c r="AC833" i="13"/>
  <c r="AB833" i="13"/>
  <c r="AA833" i="13"/>
  <c r="Z833" i="13"/>
  <c r="Y833" i="13"/>
  <c r="X833" i="13"/>
  <c r="W833" i="13"/>
  <c r="V833" i="13"/>
  <c r="U833" i="13"/>
  <c r="T833" i="13"/>
  <c r="AG823" i="13"/>
  <c r="AF823" i="13"/>
  <c r="AE823" i="13"/>
  <c r="AD823" i="13"/>
  <c r="AC823" i="13"/>
  <c r="AB823" i="13"/>
  <c r="AA823" i="13"/>
  <c r="Z823" i="13"/>
  <c r="Y823" i="13"/>
  <c r="X823" i="13"/>
  <c r="W823" i="13"/>
  <c r="V823" i="13"/>
  <c r="U823" i="13"/>
  <c r="T823" i="13"/>
  <c r="AG813" i="13"/>
  <c r="AF813" i="13"/>
  <c r="AE813" i="13"/>
  <c r="AD813" i="13"/>
  <c r="AC813" i="13"/>
  <c r="AB813" i="13"/>
  <c r="AA813" i="13"/>
  <c r="Z813" i="13"/>
  <c r="Y813" i="13"/>
  <c r="X813" i="13"/>
  <c r="W813" i="13"/>
  <c r="V813" i="13"/>
  <c r="U813" i="13"/>
  <c r="T813" i="13"/>
  <c r="AG803" i="13"/>
  <c r="AF803" i="13"/>
  <c r="AE803" i="13"/>
  <c r="AD803" i="13"/>
  <c r="AC803" i="13"/>
  <c r="AB803" i="13"/>
  <c r="AA803" i="13"/>
  <c r="Z803" i="13"/>
  <c r="Y803" i="13"/>
  <c r="X803" i="13"/>
  <c r="W803" i="13"/>
  <c r="V803" i="13"/>
  <c r="U803" i="13"/>
  <c r="T803" i="13"/>
  <c r="AG793" i="13"/>
  <c r="AF793" i="13"/>
  <c r="AE793" i="13"/>
  <c r="AD793" i="13"/>
  <c r="AC793" i="13"/>
  <c r="AB793" i="13"/>
  <c r="AA793" i="13"/>
  <c r="Z793" i="13"/>
  <c r="Y793" i="13"/>
  <c r="X793" i="13"/>
  <c r="W793" i="13"/>
  <c r="V793" i="13"/>
  <c r="U793" i="13"/>
  <c r="T793" i="13"/>
  <c r="AG783" i="13"/>
  <c r="AF783" i="13"/>
  <c r="AE783" i="13"/>
  <c r="AD783" i="13"/>
  <c r="AC783" i="13"/>
  <c r="AB783" i="13"/>
  <c r="AA783" i="13"/>
  <c r="Z783" i="13"/>
  <c r="Y783" i="13"/>
  <c r="X783" i="13"/>
  <c r="W783" i="13"/>
  <c r="V783" i="13"/>
  <c r="U783" i="13"/>
  <c r="T783" i="13"/>
  <c r="AG773" i="13"/>
  <c r="AF773" i="13"/>
  <c r="AE773" i="13"/>
  <c r="AD773" i="13"/>
  <c r="AC773" i="13"/>
  <c r="AB773" i="13"/>
  <c r="AA773" i="13"/>
  <c r="Z773" i="13"/>
  <c r="Y773" i="13"/>
  <c r="X773" i="13"/>
  <c r="W773" i="13"/>
  <c r="V773" i="13"/>
  <c r="U773" i="13"/>
  <c r="T773" i="13"/>
  <c r="AG763" i="13"/>
  <c r="AF763" i="13"/>
  <c r="AE763" i="13"/>
  <c r="AD763" i="13"/>
  <c r="AC763" i="13"/>
  <c r="AB763" i="13"/>
  <c r="AA763" i="13"/>
  <c r="Z763" i="13"/>
  <c r="Y763" i="13"/>
  <c r="X763" i="13"/>
  <c r="W763" i="13"/>
  <c r="V763" i="13"/>
  <c r="U763" i="13"/>
  <c r="T763" i="13"/>
  <c r="AG753" i="13"/>
  <c r="AF753" i="13"/>
  <c r="AE753" i="13"/>
  <c r="AD753" i="13"/>
  <c r="AC753" i="13"/>
  <c r="AB753" i="13"/>
  <c r="AA753" i="13"/>
  <c r="Z753" i="13"/>
  <c r="Y753" i="13"/>
  <c r="X753" i="13"/>
  <c r="W753" i="13"/>
  <c r="V753" i="13"/>
  <c r="U753" i="13"/>
  <c r="T753" i="13"/>
  <c r="AG743" i="13"/>
  <c r="AF743" i="13"/>
  <c r="AE743" i="13"/>
  <c r="AD743" i="13"/>
  <c r="AC743" i="13"/>
  <c r="AB743" i="13"/>
  <c r="AA743" i="13"/>
  <c r="Z743" i="13"/>
  <c r="Y743" i="13"/>
  <c r="X743" i="13"/>
  <c r="W743" i="13"/>
  <c r="V743" i="13"/>
  <c r="U743" i="13"/>
  <c r="T743" i="13"/>
  <c r="AG733" i="13"/>
  <c r="AF733" i="13"/>
  <c r="AE733" i="13"/>
  <c r="AD733" i="13"/>
  <c r="AC733" i="13"/>
  <c r="AB733" i="13"/>
  <c r="AA733" i="13"/>
  <c r="Z733" i="13"/>
  <c r="Y733" i="13"/>
  <c r="X733" i="13"/>
  <c r="W733" i="13"/>
  <c r="V733" i="13"/>
  <c r="U733" i="13"/>
  <c r="T733" i="13"/>
  <c r="AG723" i="13"/>
  <c r="AF723" i="13"/>
  <c r="AE723" i="13"/>
  <c r="AD723" i="13"/>
  <c r="AC723" i="13"/>
  <c r="AB723" i="13"/>
  <c r="AA723" i="13"/>
  <c r="Z723" i="13"/>
  <c r="Y723" i="13"/>
  <c r="X723" i="13"/>
  <c r="W723" i="13"/>
  <c r="V723" i="13"/>
  <c r="U723" i="13"/>
  <c r="T723" i="13"/>
  <c r="AG713" i="13"/>
  <c r="AF713" i="13"/>
  <c r="AE713" i="13"/>
  <c r="AD713" i="13"/>
  <c r="AC713" i="13"/>
  <c r="AB713" i="13"/>
  <c r="AA713" i="13"/>
  <c r="Z713" i="13"/>
  <c r="Y713" i="13"/>
  <c r="X713" i="13"/>
  <c r="W713" i="13"/>
  <c r="V713" i="13"/>
  <c r="U713" i="13"/>
  <c r="T713" i="13"/>
  <c r="AG703" i="13"/>
  <c r="AF703" i="13"/>
  <c r="AE703" i="13"/>
  <c r="AD703" i="13"/>
  <c r="AC703" i="13"/>
  <c r="AB703" i="13"/>
  <c r="AA703" i="13"/>
  <c r="Z703" i="13"/>
  <c r="Y703" i="13"/>
  <c r="X703" i="13"/>
  <c r="W703" i="13"/>
  <c r="V703" i="13"/>
  <c r="U703" i="13"/>
  <c r="T703" i="13"/>
  <c r="AG693" i="13"/>
  <c r="AF693" i="13"/>
  <c r="AE693" i="13"/>
  <c r="AD693" i="13"/>
  <c r="AC693" i="13"/>
  <c r="AB693" i="13"/>
  <c r="AA693" i="13"/>
  <c r="Z693" i="13"/>
  <c r="Y693" i="13"/>
  <c r="X693" i="13"/>
  <c r="W693" i="13"/>
  <c r="V693" i="13"/>
  <c r="U693" i="13"/>
  <c r="T693" i="13"/>
  <c r="AG683" i="13"/>
  <c r="AF683" i="13"/>
  <c r="AE683" i="13"/>
  <c r="AD683" i="13"/>
  <c r="AC683" i="13"/>
  <c r="AB683" i="13"/>
  <c r="AA683" i="13"/>
  <c r="Z683" i="13"/>
  <c r="Y683" i="13"/>
  <c r="X683" i="13"/>
  <c r="W683" i="13"/>
  <c r="V683" i="13"/>
  <c r="U683" i="13"/>
  <c r="T683" i="13"/>
  <c r="AG673" i="13"/>
  <c r="AF673" i="13"/>
  <c r="AE673" i="13"/>
  <c r="AD673" i="13"/>
  <c r="AC673" i="13"/>
  <c r="AB673" i="13"/>
  <c r="AA673" i="13"/>
  <c r="Z673" i="13"/>
  <c r="Y673" i="13"/>
  <c r="X673" i="13"/>
  <c r="W673" i="13"/>
  <c r="V673" i="13"/>
  <c r="U673" i="13"/>
  <c r="T673" i="13"/>
  <c r="AG663" i="13"/>
  <c r="AF663" i="13"/>
  <c r="AE663" i="13"/>
  <c r="AD663" i="13"/>
  <c r="AC663" i="13"/>
  <c r="AB663" i="13"/>
  <c r="AA663" i="13"/>
  <c r="Z663" i="13"/>
  <c r="Y663" i="13"/>
  <c r="X663" i="13"/>
  <c r="W663" i="13"/>
  <c r="V663" i="13"/>
  <c r="U663" i="13"/>
  <c r="T663" i="13"/>
  <c r="AG653" i="13"/>
  <c r="AF653" i="13"/>
  <c r="AE653" i="13"/>
  <c r="AD653" i="13"/>
  <c r="AC653" i="13"/>
  <c r="AB653" i="13"/>
  <c r="AA653" i="13"/>
  <c r="Z653" i="13"/>
  <c r="Y653" i="13"/>
  <c r="X653" i="13"/>
  <c r="W653" i="13"/>
  <c r="V653" i="13"/>
  <c r="U653" i="13"/>
  <c r="T653" i="13"/>
  <c r="AG643" i="13"/>
  <c r="AF643" i="13"/>
  <c r="AE643" i="13"/>
  <c r="AD643" i="13"/>
  <c r="AC643" i="13"/>
  <c r="AB643" i="13"/>
  <c r="AA643" i="13"/>
  <c r="Z643" i="13"/>
  <c r="Y643" i="13"/>
  <c r="X643" i="13"/>
  <c r="W643" i="13"/>
  <c r="V643" i="13"/>
  <c r="U643" i="13"/>
  <c r="T643" i="13"/>
  <c r="AG633" i="13"/>
  <c r="AF633" i="13"/>
  <c r="AE633" i="13"/>
  <c r="AD633" i="13"/>
  <c r="AC633" i="13"/>
  <c r="AB633" i="13"/>
  <c r="AA633" i="13"/>
  <c r="Z633" i="13"/>
  <c r="Y633" i="13"/>
  <c r="X633" i="13"/>
  <c r="W633" i="13"/>
  <c r="V633" i="13"/>
  <c r="U633" i="13"/>
  <c r="T633" i="13"/>
  <c r="AG623" i="13"/>
  <c r="AF623" i="13"/>
  <c r="AE623" i="13"/>
  <c r="AD623" i="13"/>
  <c r="AC623" i="13"/>
  <c r="AB623" i="13"/>
  <c r="AA623" i="13"/>
  <c r="Z623" i="13"/>
  <c r="Y623" i="13"/>
  <c r="X623" i="13"/>
  <c r="W623" i="13"/>
  <c r="V623" i="13"/>
  <c r="U623" i="13"/>
  <c r="T623" i="13"/>
  <c r="AG613" i="13"/>
  <c r="AF613" i="13"/>
  <c r="AE613" i="13"/>
  <c r="AD613" i="13"/>
  <c r="AC613" i="13"/>
  <c r="AB613" i="13"/>
  <c r="AA613" i="13"/>
  <c r="Z613" i="13"/>
  <c r="Y613" i="13"/>
  <c r="X613" i="13"/>
  <c r="W613" i="13"/>
  <c r="V613" i="13"/>
  <c r="U613" i="13"/>
  <c r="T613" i="13"/>
  <c r="AG603" i="13"/>
  <c r="AF603" i="13"/>
  <c r="AE603" i="13"/>
  <c r="AD603" i="13"/>
  <c r="AC603" i="13"/>
  <c r="AB603" i="13"/>
  <c r="AA603" i="13"/>
  <c r="Z603" i="13"/>
  <c r="Y603" i="13"/>
  <c r="X603" i="13"/>
  <c r="W603" i="13"/>
  <c r="V603" i="13"/>
  <c r="U603" i="13"/>
  <c r="T603" i="13"/>
  <c r="AG593" i="13"/>
  <c r="AF593" i="13"/>
  <c r="AE593" i="13"/>
  <c r="AD593" i="13"/>
  <c r="AC593" i="13"/>
  <c r="AB593" i="13"/>
  <c r="AA593" i="13"/>
  <c r="Z593" i="13"/>
  <c r="Y593" i="13"/>
  <c r="X593" i="13"/>
  <c r="W593" i="13"/>
  <c r="V593" i="13"/>
  <c r="U593" i="13"/>
  <c r="T593" i="13"/>
  <c r="AG583" i="13"/>
  <c r="AF583" i="13"/>
  <c r="AE583" i="13"/>
  <c r="AD583" i="13"/>
  <c r="AC583" i="13"/>
  <c r="AB583" i="13"/>
  <c r="AA583" i="13"/>
  <c r="Z583" i="13"/>
  <c r="Y583" i="13"/>
  <c r="X583" i="13"/>
  <c r="W583" i="13"/>
  <c r="V583" i="13"/>
  <c r="U583" i="13"/>
  <c r="T583" i="13"/>
  <c r="AG573" i="13"/>
  <c r="AF573" i="13"/>
  <c r="AE573" i="13"/>
  <c r="AD573" i="13"/>
  <c r="AC573" i="13"/>
  <c r="AB573" i="13"/>
  <c r="AA573" i="13"/>
  <c r="Z573" i="13"/>
  <c r="Y573" i="13"/>
  <c r="X573" i="13"/>
  <c r="W573" i="13"/>
  <c r="V573" i="13"/>
  <c r="U573" i="13"/>
  <c r="T573" i="13"/>
  <c r="AG563" i="13"/>
  <c r="AF563" i="13"/>
  <c r="AE563" i="13"/>
  <c r="AD563" i="13"/>
  <c r="AC563" i="13"/>
  <c r="AB563" i="13"/>
  <c r="AA563" i="13"/>
  <c r="Z563" i="13"/>
  <c r="Y563" i="13"/>
  <c r="X563" i="13"/>
  <c r="W563" i="13"/>
  <c r="V563" i="13"/>
  <c r="U563" i="13"/>
  <c r="T563" i="13"/>
  <c r="AG553" i="13"/>
  <c r="AF553" i="13"/>
  <c r="AE553" i="13"/>
  <c r="AD553" i="13"/>
  <c r="AC553" i="13"/>
  <c r="AB553" i="13"/>
  <c r="AA553" i="13"/>
  <c r="Z553" i="13"/>
  <c r="Y553" i="13"/>
  <c r="X553" i="13"/>
  <c r="W553" i="13"/>
  <c r="V553" i="13"/>
  <c r="U553" i="13"/>
  <c r="T553" i="13"/>
  <c r="AG543" i="13"/>
  <c r="AF543" i="13"/>
  <c r="AE543" i="13"/>
  <c r="AD543" i="13"/>
  <c r="AC543" i="13"/>
  <c r="AB543" i="13"/>
  <c r="AA543" i="13"/>
  <c r="Z543" i="13"/>
  <c r="Y543" i="13"/>
  <c r="X543" i="13"/>
  <c r="W543" i="13"/>
  <c r="V543" i="13"/>
  <c r="U543" i="13"/>
  <c r="T543" i="13"/>
  <c r="AG533" i="13"/>
  <c r="AF533" i="13"/>
  <c r="AE533" i="13"/>
  <c r="AD533" i="13"/>
  <c r="AC533" i="13"/>
  <c r="AB533" i="13"/>
  <c r="AA533" i="13"/>
  <c r="Z533" i="13"/>
  <c r="Y533" i="13"/>
  <c r="X533" i="13"/>
  <c r="W533" i="13"/>
  <c r="V533" i="13"/>
  <c r="U533" i="13"/>
  <c r="T533" i="13"/>
  <c r="AG523" i="13"/>
  <c r="AF523" i="13"/>
  <c r="AE523" i="13"/>
  <c r="AD523" i="13"/>
  <c r="AC523" i="13"/>
  <c r="AB523" i="13"/>
  <c r="AA523" i="13"/>
  <c r="Z523" i="13"/>
  <c r="Y523" i="13"/>
  <c r="X523" i="13"/>
  <c r="W523" i="13"/>
  <c r="V523" i="13"/>
  <c r="U523" i="13"/>
  <c r="T523" i="13"/>
  <c r="AG513" i="13"/>
  <c r="AF513" i="13"/>
  <c r="AE513" i="13"/>
  <c r="AD513" i="13"/>
  <c r="AC513" i="13"/>
  <c r="AB513" i="13"/>
  <c r="AA513" i="13"/>
  <c r="Z513" i="13"/>
  <c r="Y513" i="13"/>
  <c r="X513" i="13"/>
  <c r="W513" i="13"/>
  <c r="V513" i="13"/>
  <c r="U513" i="13"/>
  <c r="T513" i="13"/>
  <c r="AG503" i="13"/>
  <c r="AF503" i="13"/>
  <c r="AE503" i="13"/>
  <c r="AD503" i="13"/>
  <c r="AC503" i="13"/>
  <c r="AB503" i="13"/>
  <c r="AA503" i="13"/>
  <c r="Z503" i="13"/>
  <c r="Y503" i="13"/>
  <c r="X503" i="13"/>
  <c r="W503" i="13"/>
  <c r="V503" i="13"/>
  <c r="U503" i="13"/>
  <c r="T503" i="13"/>
  <c r="AG493" i="13"/>
  <c r="AF493" i="13"/>
  <c r="AE493" i="13"/>
  <c r="AD493" i="13"/>
  <c r="AC493" i="13"/>
  <c r="AB493" i="13"/>
  <c r="AA493" i="13"/>
  <c r="Z493" i="13"/>
  <c r="Y493" i="13"/>
  <c r="X493" i="13"/>
  <c r="W493" i="13"/>
  <c r="V493" i="13"/>
  <c r="U493" i="13"/>
  <c r="T493" i="13"/>
  <c r="AG483" i="13"/>
  <c r="AF483" i="13"/>
  <c r="AE483" i="13"/>
  <c r="AD483" i="13"/>
  <c r="AC483" i="13"/>
  <c r="AB483" i="13"/>
  <c r="AA483" i="13"/>
  <c r="Z483" i="13"/>
  <c r="Y483" i="13"/>
  <c r="X483" i="13"/>
  <c r="W483" i="13"/>
  <c r="V483" i="13"/>
  <c r="U483" i="13"/>
  <c r="T483" i="13"/>
  <c r="AG473" i="13"/>
  <c r="AF473" i="13"/>
  <c r="AE473" i="13"/>
  <c r="AD473" i="13"/>
  <c r="AC473" i="13"/>
  <c r="AB473" i="13"/>
  <c r="AA473" i="13"/>
  <c r="Z473" i="13"/>
  <c r="Y473" i="13"/>
  <c r="X473" i="13"/>
  <c r="W473" i="13"/>
  <c r="V473" i="13"/>
  <c r="U473" i="13"/>
  <c r="T473" i="13"/>
  <c r="AG463" i="13"/>
  <c r="AF463" i="13"/>
  <c r="AE463" i="13"/>
  <c r="AD463" i="13"/>
  <c r="AC463" i="13"/>
  <c r="AB463" i="13"/>
  <c r="AA463" i="13"/>
  <c r="Z463" i="13"/>
  <c r="Y463" i="13"/>
  <c r="X463" i="13"/>
  <c r="W463" i="13"/>
  <c r="V463" i="13"/>
  <c r="U463" i="13"/>
  <c r="T463" i="13"/>
  <c r="AG453" i="13"/>
  <c r="AF453" i="13"/>
  <c r="AE453" i="13"/>
  <c r="AD453" i="13"/>
  <c r="AC453" i="13"/>
  <c r="AB453" i="13"/>
  <c r="AA453" i="13"/>
  <c r="Z453" i="13"/>
  <c r="Y453" i="13"/>
  <c r="X453" i="13"/>
  <c r="W453" i="13"/>
  <c r="V453" i="13"/>
  <c r="U453" i="13"/>
  <c r="T453" i="13"/>
  <c r="AG443" i="13"/>
  <c r="AF443" i="13"/>
  <c r="AE443" i="13"/>
  <c r="AD443" i="13"/>
  <c r="AC443" i="13"/>
  <c r="AB443" i="13"/>
  <c r="AA443" i="13"/>
  <c r="Z443" i="13"/>
  <c r="Y443" i="13"/>
  <c r="X443" i="13"/>
  <c r="W443" i="13"/>
  <c r="V443" i="13"/>
  <c r="U443" i="13"/>
  <c r="T443" i="13"/>
  <c r="AG433" i="13"/>
  <c r="AF433" i="13"/>
  <c r="AE433" i="13"/>
  <c r="AD433" i="13"/>
  <c r="AC433" i="13"/>
  <c r="AB433" i="13"/>
  <c r="AA433" i="13"/>
  <c r="Z433" i="13"/>
  <c r="Y433" i="13"/>
  <c r="X433" i="13"/>
  <c r="W433" i="13"/>
  <c r="V433" i="13"/>
  <c r="U433" i="13"/>
  <c r="T433" i="13"/>
  <c r="AG423" i="13"/>
  <c r="AF423" i="13"/>
  <c r="AE423" i="13"/>
  <c r="AD423" i="13"/>
  <c r="AC423" i="13"/>
  <c r="AB423" i="13"/>
  <c r="AA423" i="13"/>
  <c r="Z423" i="13"/>
  <c r="Y423" i="13"/>
  <c r="X423" i="13"/>
  <c r="W423" i="13"/>
  <c r="V423" i="13"/>
  <c r="U423" i="13"/>
  <c r="T423" i="13"/>
  <c r="AG413" i="13"/>
  <c r="AF413" i="13"/>
  <c r="AE413" i="13"/>
  <c r="AD413" i="13"/>
  <c r="AC413" i="13"/>
  <c r="AB413" i="13"/>
  <c r="AA413" i="13"/>
  <c r="Z413" i="13"/>
  <c r="Y413" i="13"/>
  <c r="X413" i="13"/>
  <c r="W413" i="13"/>
  <c r="V413" i="13"/>
  <c r="U413" i="13"/>
  <c r="T413" i="13"/>
  <c r="AG403" i="13"/>
  <c r="AF403" i="13"/>
  <c r="AE403" i="13"/>
  <c r="AD403" i="13"/>
  <c r="AC403" i="13"/>
  <c r="AB403" i="13"/>
  <c r="AA403" i="13"/>
  <c r="Z403" i="13"/>
  <c r="Y403" i="13"/>
  <c r="X403" i="13"/>
  <c r="W403" i="13"/>
  <c r="V403" i="13"/>
  <c r="U403" i="13"/>
  <c r="T403" i="13"/>
  <c r="AG393" i="13"/>
  <c r="AF393" i="13"/>
  <c r="AE393" i="13"/>
  <c r="AD393" i="13"/>
  <c r="AC393" i="13"/>
  <c r="AB393" i="13"/>
  <c r="AA393" i="13"/>
  <c r="Z393" i="13"/>
  <c r="Y393" i="13"/>
  <c r="X393" i="13"/>
  <c r="W393" i="13"/>
  <c r="V393" i="13"/>
  <c r="U393" i="13"/>
  <c r="T393" i="13"/>
  <c r="AG383" i="13"/>
  <c r="AF383" i="13"/>
  <c r="AE383" i="13"/>
  <c r="AD383" i="13"/>
  <c r="AC383" i="13"/>
  <c r="AB383" i="13"/>
  <c r="AA383" i="13"/>
  <c r="Z383" i="13"/>
  <c r="Y383" i="13"/>
  <c r="X383" i="13"/>
  <c r="W383" i="13"/>
  <c r="V383" i="13"/>
  <c r="U383" i="13"/>
  <c r="T383" i="13"/>
  <c r="AG373" i="13"/>
  <c r="AF373" i="13"/>
  <c r="AE373" i="13"/>
  <c r="AD373" i="13"/>
  <c r="AC373" i="13"/>
  <c r="AB373" i="13"/>
  <c r="AA373" i="13"/>
  <c r="Z373" i="13"/>
  <c r="Y373" i="13"/>
  <c r="X373" i="13"/>
  <c r="W373" i="13"/>
  <c r="V373" i="13"/>
  <c r="U373" i="13"/>
  <c r="T373" i="13"/>
  <c r="AG363" i="13"/>
  <c r="AF363" i="13"/>
  <c r="AE363" i="13"/>
  <c r="AD363" i="13"/>
  <c r="AC363" i="13"/>
  <c r="AB363" i="13"/>
  <c r="AA363" i="13"/>
  <c r="Z363" i="13"/>
  <c r="Y363" i="13"/>
  <c r="X363" i="13"/>
  <c r="W363" i="13"/>
  <c r="V363" i="13"/>
  <c r="U363" i="13"/>
  <c r="T363" i="13"/>
  <c r="AG353" i="13"/>
  <c r="AF353" i="13"/>
  <c r="AE353" i="13"/>
  <c r="AD353" i="13"/>
  <c r="AC353" i="13"/>
  <c r="AB353" i="13"/>
  <c r="AA353" i="13"/>
  <c r="Z353" i="13"/>
  <c r="Y353" i="13"/>
  <c r="X353" i="13"/>
  <c r="W353" i="13"/>
  <c r="V353" i="13"/>
  <c r="U353" i="13"/>
  <c r="T353" i="13"/>
  <c r="AG343" i="13"/>
  <c r="AF343" i="13"/>
  <c r="AE343" i="13"/>
  <c r="AD343" i="13"/>
  <c r="AC343" i="13"/>
  <c r="AB343" i="13"/>
  <c r="AA343" i="13"/>
  <c r="Z343" i="13"/>
  <c r="Y343" i="13"/>
  <c r="X343" i="13"/>
  <c r="W343" i="13"/>
  <c r="V343" i="13"/>
  <c r="U343" i="13"/>
  <c r="T343" i="13"/>
  <c r="AG333" i="13"/>
  <c r="AF333" i="13"/>
  <c r="AE333" i="13"/>
  <c r="AD333" i="13"/>
  <c r="AC333" i="13"/>
  <c r="AB333" i="13"/>
  <c r="AA333" i="13"/>
  <c r="Z333" i="13"/>
  <c r="Y333" i="13"/>
  <c r="X333" i="13"/>
  <c r="W333" i="13"/>
  <c r="V333" i="13"/>
  <c r="U333" i="13"/>
  <c r="T333" i="13"/>
  <c r="AG323" i="13"/>
  <c r="AF323" i="13"/>
  <c r="AE323" i="13"/>
  <c r="AD323" i="13"/>
  <c r="AC323" i="13"/>
  <c r="AB323" i="13"/>
  <c r="AA323" i="13"/>
  <c r="Z323" i="13"/>
  <c r="Y323" i="13"/>
  <c r="X323" i="13"/>
  <c r="W323" i="13"/>
  <c r="V323" i="13"/>
  <c r="U323" i="13"/>
  <c r="T323" i="13"/>
  <c r="AG313" i="13"/>
  <c r="AF313" i="13"/>
  <c r="AE313" i="13"/>
  <c r="AD313" i="13"/>
  <c r="AC313" i="13"/>
  <c r="AB313" i="13"/>
  <c r="AA313" i="13"/>
  <c r="Z313" i="13"/>
  <c r="Y313" i="13"/>
  <c r="X313" i="13"/>
  <c r="W313" i="13"/>
  <c r="V313" i="13"/>
  <c r="U313" i="13"/>
  <c r="T313" i="13"/>
  <c r="AG303" i="13"/>
  <c r="AF303" i="13"/>
  <c r="AE303" i="13"/>
  <c r="AD303" i="13"/>
  <c r="AC303" i="13"/>
  <c r="AB303" i="13"/>
  <c r="AA303" i="13"/>
  <c r="Z303" i="13"/>
  <c r="Y303" i="13"/>
  <c r="X303" i="13"/>
  <c r="W303" i="13"/>
  <c r="V303" i="13"/>
  <c r="U303" i="13"/>
  <c r="T303" i="13"/>
  <c r="AG293" i="13"/>
  <c r="AF293" i="13"/>
  <c r="AE293" i="13"/>
  <c r="AD293" i="13"/>
  <c r="AC293" i="13"/>
  <c r="AB293" i="13"/>
  <c r="AA293" i="13"/>
  <c r="Z293" i="13"/>
  <c r="Y293" i="13"/>
  <c r="X293" i="13"/>
  <c r="W293" i="13"/>
  <c r="V293" i="13"/>
  <c r="U293" i="13"/>
  <c r="T293" i="13"/>
  <c r="AG283" i="13"/>
  <c r="AF283" i="13"/>
  <c r="AE283" i="13"/>
  <c r="AD283" i="13"/>
  <c r="AC283" i="13"/>
  <c r="AB283" i="13"/>
  <c r="AA283" i="13"/>
  <c r="Z283" i="13"/>
  <c r="Y283" i="13"/>
  <c r="X283" i="13"/>
  <c r="W283" i="13"/>
  <c r="V283" i="13"/>
  <c r="U283" i="13"/>
  <c r="T283" i="13"/>
  <c r="AG273" i="13"/>
  <c r="AF273" i="13"/>
  <c r="AE273" i="13"/>
  <c r="AD273" i="13"/>
  <c r="AC273" i="13"/>
  <c r="AB273" i="13"/>
  <c r="AA273" i="13"/>
  <c r="Z273" i="13"/>
  <c r="Y273" i="13"/>
  <c r="X273" i="13"/>
  <c r="W273" i="13"/>
  <c r="V273" i="13"/>
  <c r="U273" i="13"/>
  <c r="T273" i="13"/>
  <c r="AG263" i="13"/>
  <c r="AF263" i="13"/>
  <c r="AE263" i="13"/>
  <c r="AD263" i="13"/>
  <c r="AC263" i="13"/>
  <c r="AB263" i="13"/>
  <c r="AA263" i="13"/>
  <c r="Z263" i="13"/>
  <c r="Y263" i="13"/>
  <c r="X263" i="13"/>
  <c r="W263" i="13"/>
  <c r="V263" i="13"/>
  <c r="U263" i="13"/>
  <c r="T263" i="13"/>
  <c r="AG253" i="13"/>
  <c r="AF253" i="13"/>
  <c r="AE253" i="13"/>
  <c r="AD253" i="13"/>
  <c r="AC253" i="13"/>
  <c r="AB253" i="13"/>
  <c r="AA253" i="13"/>
  <c r="Z253" i="13"/>
  <c r="Y253" i="13"/>
  <c r="X253" i="13"/>
  <c r="W253" i="13"/>
  <c r="V253" i="13"/>
  <c r="U253" i="13"/>
  <c r="T253" i="13"/>
  <c r="AG243" i="13"/>
  <c r="AF243" i="13"/>
  <c r="AE243" i="13"/>
  <c r="AD243" i="13"/>
  <c r="AC243" i="13"/>
  <c r="AB243" i="13"/>
  <c r="AA243" i="13"/>
  <c r="Z243" i="13"/>
  <c r="Y243" i="13"/>
  <c r="X243" i="13"/>
  <c r="W243" i="13"/>
  <c r="V243" i="13"/>
  <c r="U243" i="13"/>
  <c r="T243" i="13"/>
  <c r="AG233" i="13"/>
  <c r="AF233" i="13"/>
  <c r="AE233" i="13"/>
  <c r="AD233" i="13"/>
  <c r="AC233" i="13"/>
  <c r="AB233" i="13"/>
  <c r="AA233" i="13"/>
  <c r="Z233" i="13"/>
  <c r="Y233" i="13"/>
  <c r="X233" i="13"/>
  <c r="W233" i="13"/>
  <c r="V233" i="13"/>
  <c r="U233" i="13"/>
  <c r="T233" i="13"/>
  <c r="AG223" i="13"/>
  <c r="AF223" i="13"/>
  <c r="AE223" i="13"/>
  <c r="AD223" i="13"/>
  <c r="AC223" i="13"/>
  <c r="AB223" i="13"/>
  <c r="AA223" i="13"/>
  <c r="Z223" i="13"/>
  <c r="Y223" i="13"/>
  <c r="X223" i="13"/>
  <c r="W223" i="13"/>
  <c r="V223" i="13"/>
  <c r="U223" i="13"/>
  <c r="T223" i="13"/>
  <c r="AG213" i="13"/>
  <c r="AF213" i="13"/>
  <c r="AE213" i="13"/>
  <c r="AD213" i="13"/>
  <c r="AC213" i="13"/>
  <c r="AB213" i="13"/>
  <c r="AA213" i="13"/>
  <c r="Z213" i="13"/>
  <c r="Y213" i="13"/>
  <c r="X213" i="13"/>
  <c r="W213" i="13"/>
  <c r="V213" i="13"/>
  <c r="U213" i="13"/>
  <c r="T213" i="13"/>
  <c r="AG203" i="13"/>
  <c r="AF203" i="13"/>
  <c r="AE203" i="13"/>
  <c r="AD203" i="13"/>
  <c r="AC203" i="13"/>
  <c r="AB203" i="13"/>
  <c r="AA203" i="13"/>
  <c r="Z203" i="13"/>
  <c r="Y203" i="13"/>
  <c r="X203" i="13"/>
  <c r="W203" i="13"/>
  <c r="V203" i="13"/>
  <c r="U203" i="13"/>
  <c r="T203" i="13"/>
  <c r="AG193" i="13"/>
  <c r="AF193" i="13"/>
  <c r="AE193" i="13"/>
  <c r="AD193" i="13"/>
  <c r="AC193" i="13"/>
  <c r="AB193" i="13"/>
  <c r="AA193" i="13"/>
  <c r="Z193" i="13"/>
  <c r="Y193" i="13"/>
  <c r="X193" i="13"/>
  <c r="W193" i="13"/>
  <c r="V193" i="13"/>
  <c r="U193" i="13"/>
  <c r="T193" i="13"/>
  <c r="AG183" i="13"/>
  <c r="AF183" i="13"/>
  <c r="AE183" i="13"/>
  <c r="AD183" i="13"/>
  <c r="AC183" i="13"/>
  <c r="AB183" i="13"/>
  <c r="AA183" i="13"/>
  <c r="Z183" i="13"/>
  <c r="Y183" i="13"/>
  <c r="X183" i="13"/>
  <c r="W183" i="13"/>
  <c r="V183" i="13"/>
  <c r="U183" i="13"/>
  <c r="T183" i="13"/>
  <c r="AG173" i="13"/>
  <c r="AF173" i="13"/>
  <c r="AE173" i="13"/>
  <c r="AD173" i="13"/>
  <c r="AC173" i="13"/>
  <c r="AB173" i="13"/>
  <c r="AA173" i="13"/>
  <c r="Z173" i="13"/>
  <c r="Y173" i="13"/>
  <c r="X173" i="13"/>
  <c r="W173" i="13"/>
  <c r="V173" i="13"/>
  <c r="U173" i="13"/>
  <c r="T173" i="13"/>
  <c r="AG163" i="13"/>
  <c r="AF163" i="13"/>
  <c r="AE163" i="13"/>
  <c r="AD163" i="13"/>
  <c r="AC163" i="13"/>
  <c r="AB163" i="13"/>
  <c r="AA163" i="13"/>
  <c r="Z163" i="13"/>
  <c r="Y163" i="13"/>
  <c r="X163" i="13"/>
  <c r="W163" i="13"/>
  <c r="V163" i="13"/>
  <c r="U163" i="13"/>
  <c r="T163" i="13"/>
  <c r="AG153" i="13"/>
  <c r="AF153" i="13"/>
  <c r="AE153" i="13"/>
  <c r="AD153" i="13"/>
  <c r="AC153" i="13"/>
  <c r="AB153" i="13"/>
  <c r="AA153" i="13"/>
  <c r="Z153" i="13"/>
  <c r="Y153" i="13"/>
  <c r="X153" i="13"/>
  <c r="W153" i="13"/>
  <c r="V153" i="13"/>
  <c r="U153" i="13"/>
  <c r="T153" i="13"/>
  <c r="AG143" i="13"/>
  <c r="AF143" i="13"/>
  <c r="AE143" i="13"/>
  <c r="AD143" i="13"/>
  <c r="AC143" i="13"/>
  <c r="AB143" i="13"/>
  <c r="AA143" i="13"/>
  <c r="Z143" i="13"/>
  <c r="Y143" i="13"/>
  <c r="X143" i="13"/>
  <c r="W143" i="13"/>
  <c r="V143" i="13"/>
  <c r="U143" i="13"/>
  <c r="T143" i="13"/>
  <c r="AG133" i="13"/>
  <c r="AF133" i="13"/>
  <c r="AE133" i="13"/>
  <c r="AD133" i="13"/>
  <c r="AC133" i="13"/>
  <c r="AB133" i="13"/>
  <c r="AA133" i="13"/>
  <c r="Z133" i="13"/>
  <c r="Y133" i="13"/>
  <c r="X133" i="13"/>
  <c r="W133" i="13"/>
  <c r="V133" i="13"/>
  <c r="U133" i="13"/>
  <c r="T133" i="13"/>
  <c r="AG123" i="13"/>
  <c r="AF123" i="13"/>
  <c r="AE123" i="13"/>
  <c r="AD123" i="13"/>
  <c r="AC123" i="13"/>
  <c r="AB123" i="13"/>
  <c r="AA123" i="13"/>
  <c r="Z123" i="13"/>
  <c r="Y123" i="13"/>
  <c r="X123" i="13"/>
  <c r="W123" i="13"/>
  <c r="V123" i="13"/>
  <c r="U123" i="13"/>
  <c r="T123" i="13"/>
  <c r="AG113" i="13"/>
  <c r="AF113" i="13"/>
  <c r="AE113" i="13"/>
  <c r="AD113" i="13"/>
  <c r="AC113" i="13"/>
  <c r="AB113" i="13"/>
  <c r="AA113" i="13"/>
  <c r="Z113" i="13"/>
  <c r="Y113" i="13"/>
  <c r="X113" i="13"/>
  <c r="W113" i="13"/>
  <c r="V113" i="13"/>
  <c r="U113" i="13"/>
  <c r="T113" i="13"/>
  <c r="AG103" i="13"/>
  <c r="AF103" i="13"/>
  <c r="AE103" i="13"/>
  <c r="AD103" i="13"/>
  <c r="AC103" i="13"/>
  <c r="AB103" i="13"/>
  <c r="AA103" i="13"/>
  <c r="Z103" i="13"/>
  <c r="Y103" i="13"/>
  <c r="X103" i="13"/>
  <c r="W103" i="13"/>
  <c r="V103" i="13"/>
  <c r="U103" i="13"/>
  <c r="T103" i="13"/>
  <c r="AG93" i="13"/>
  <c r="AF93" i="13"/>
  <c r="AE93" i="13"/>
  <c r="AD93" i="13"/>
  <c r="AC93" i="13"/>
  <c r="AB93" i="13"/>
  <c r="AA93" i="13"/>
  <c r="Z93" i="13"/>
  <c r="Y93" i="13"/>
  <c r="X93" i="13"/>
  <c r="W93" i="13"/>
  <c r="V93" i="13"/>
  <c r="U93" i="13"/>
  <c r="T93" i="13"/>
  <c r="AG83" i="13"/>
  <c r="AF83" i="13"/>
  <c r="AE83" i="13"/>
  <c r="AD83" i="13"/>
  <c r="AC83" i="13"/>
  <c r="AB83" i="13"/>
  <c r="AA83" i="13"/>
  <c r="Z83" i="13"/>
  <c r="Y83" i="13"/>
  <c r="X83" i="13"/>
  <c r="W83" i="13"/>
  <c r="V83" i="13"/>
  <c r="U83" i="13"/>
  <c r="T83" i="13"/>
  <c r="AG73" i="13"/>
  <c r="AF73" i="13"/>
  <c r="AE73" i="13"/>
  <c r="AD73" i="13"/>
  <c r="AC73" i="13"/>
  <c r="AB73" i="13"/>
  <c r="AA73" i="13"/>
  <c r="Z73" i="13"/>
  <c r="Y73" i="13"/>
  <c r="X73" i="13"/>
  <c r="W73" i="13"/>
  <c r="V73" i="13"/>
  <c r="U73" i="13"/>
  <c r="T73" i="13"/>
  <c r="AG63" i="13"/>
  <c r="AF63" i="13"/>
  <c r="AE63" i="13"/>
  <c r="AD63" i="13"/>
  <c r="AC63" i="13"/>
  <c r="AB63" i="13"/>
  <c r="AA63" i="13"/>
  <c r="Z63" i="13"/>
  <c r="Y63" i="13"/>
  <c r="X63" i="13"/>
  <c r="W63" i="13"/>
  <c r="V63" i="13"/>
  <c r="U63" i="13"/>
  <c r="T63" i="13"/>
  <c r="AG53" i="13"/>
  <c r="AF53" i="13"/>
  <c r="AE53" i="13"/>
  <c r="AD53" i="13"/>
  <c r="AC53" i="13"/>
  <c r="AB53" i="13"/>
  <c r="AA53" i="13"/>
  <c r="Z53" i="13"/>
  <c r="Y53" i="13"/>
  <c r="X53" i="13"/>
  <c r="W53" i="13"/>
  <c r="V53" i="13"/>
  <c r="U53" i="13"/>
  <c r="T53" i="13"/>
  <c r="AG43" i="13"/>
  <c r="AF43" i="13"/>
  <c r="AE43" i="13"/>
  <c r="AD43" i="13"/>
  <c r="AC43" i="13"/>
  <c r="AB43" i="13"/>
  <c r="AA43" i="13"/>
  <c r="Z43" i="13"/>
  <c r="Y43" i="13"/>
  <c r="X43" i="13"/>
  <c r="W43" i="13"/>
  <c r="V43" i="13"/>
  <c r="U43" i="13"/>
  <c r="T43" i="13"/>
  <c r="AG33" i="13"/>
  <c r="AF33" i="13"/>
  <c r="AE33" i="13"/>
  <c r="AD33" i="13"/>
  <c r="AC33" i="13"/>
  <c r="AB33" i="13"/>
  <c r="AA33" i="13"/>
  <c r="Z33" i="13"/>
  <c r="Y33" i="13"/>
  <c r="X33" i="13"/>
  <c r="W33" i="13"/>
  <c r="V33" i="13"/>
  <c r="U33" i="13"/>
  <c r="T33" i="13"/>
  <c r="AG23" i="13"/>
  <c r="AF23" i="13"/>
  <c r="AE23" i="13"/>
  <c r="AD23" i="13"/>
  <c r="AC23" i="13"/>
  <c r="AB23" i="13"/>
  <c r="AA23" i="13"/>
  <c r="Z23" i="13"/>
  <c r="Y23" i="13"/>
  <c r="X23" i="13"/>
  <c r="W23" i="13"/>
  <c r="V23" i="13"/>
  <c r="U23" i="13"/>
  <c r="T23" i="13"/>
  <c r="AG13" i="13"/>
  <c r="AF13" i="13"/>
  <c r="AE13" i="13"/>
  <c r="AD13" i="13"/>
  <c r="AC13" i="13"/>
  <c r="AB13" i="13"/>
  <c r="AA13" i="13"/>
  <c r="Z13" i="13"/>
  <c r="Y13" i="13"/>
  <c r="X13" i="13"/>
  <c r="W13" i="13"/>
  <c r="V13" i="13"/>
  <c r="U13" i="13"/>
  <c r="T13" i="13"/>
  <c r="N855" i="13"/>
  <c r="N856" i="13"/>
  <c r="N857" i="13"/>
  <c r="N858" i="13"/>
  <c r="N859" i="13"/>
  <c r="N860" i="13"/>
  <c r="N861" i="13"/>
  <c r="B856" i="13"/>
  <c r="N785" i="13"/>
  <c r="N786" i="13"/>
  <c r="N787" i="13"/>
  <c r="N788" i="13"/>
  <c r="N789" i="13"/>
  <c r="N790" i="13"/>
  <c r="N791" i="13"/>
  <c r="B786" i="13"/>
  <c r="N715" i="13"/>
  <c r="N716" i="13"/>
  <c r="N717" i="13"/>
  <c r="N718" i="13"/>
  <c r="N719" i="13"/>
  <c r="N720" i="13"/>
  <c r="N721" i="13"/>
  <c r="B716" i="13"/>
  <c r="N645" i="13"/>
  <c r="N646" i="13"/>
  <c r="N647" i="13"/>
  <c r="N648" i="13"/>
  <c r="N649" i="13"/>
  <c r="N650" i="13"/>
  <c r="N651" i="13"/>
  <c r="B646" i="13"/>
  <c r="N575" i="13"/>
  <c r="N576" i="13"/>
  <c r="N577" i="13"/>
  <c r="N578" i="13"/>
  <c r="N579" i="13"/>
  <c r="N580" i="13"/>
  <c r="N581" i="13"/>
  <c r="B576" i="13"/>
  <c r="N505" i="13"/>
  <c r="N506" i="13"/>
  <c r="N507" i="13"/>
  <c r="N508" i="13"/>
  <c r="N509" i="13"/>
  <c r="N510" i="13"/>
  <c r="N511" i="13"/>
  <c r="B506" i="13"/>
  <c r="N435" i="13"/>
  <c r="N436" i="13"/>
  <c r="N437" i="13"/>
  <c r="N438" i="13"/>
  <c r="N439" i="13"/>
  <c r="N440" i="13"/>
  <c r="N441" i="13"/>
  <c r="B436" i="13"/>
  <c r="N365" i="13"/>
  <c r="N366" i="13"/>
  <c r="N367" i="13"/>
  <c r="N368" i="13"/>
  <c r="N369" i="13"/>
  <c r="N370" i="13"/>
  <c r="N371" i="13"/>
  <c r="B366" i="13"/>
  <c r="N295" i="13"/>
  <c r="N296" i="13"/>
  <c r="N297" i="13"/>
  <c r="N298" i="13"/>
  <c r="N299" i="13"/>
  <c r="N300" i="13"/>
  <c r="N301" i="13"/>
  <c r="B296" i="13"/>
  <c r="N225" i="13"/>
  <c r="N226" i="13"/>
  <c r="N227" i="13"/>
  <c r="N228" i="13"/>
  <c r="N229" i="13"/>
  <c r="N230" i="13"/>
  <c r="N231" i="13"/>
  <c r="B226" i="13"/>
  <c r="N155" i="13"/>
  <c r="N156" i="13"/>
  <c r="N157" i="13"/>
  <c r="N158" i="13"/>
  <c r="N159" i="13"/>
  <c r="N160" i="13"/>
  <c r="N161" i="13"/>
  <c r="B156" i="13"/>
  <c r="N85" i="13"/>
  <c r="N86" i="13"/>
  <c r="N87" i="13"/>
  <c r="N88" i="13"/>
  <c r="N89" i="13"/>
  <c r="N90" i="13"/>
  <c r="N91" i="13"/>
  <c r="B86" i="13"/>
  <c r="N15" i="13"/>
  <c r="N16" i="13"/>
  <c r="N17" i="13"/>
  <c r="N18" i="13"/>
  <c r="N19" i="13"/>
  <c r="N20" i="13"/>
  <c r="N21" i="13"/>
  <c r="B16" i="13"/>
  <c r="AE8" i="13"/>
  <c r="AE5" i="13"/>
  <c r="AA8" i="13"/>
  <c r="AA5" i="13"/>
  <c r="W8" i="13"/>
  <c r="W5" i="13"/>
  <c r="R8" i="13"/>
  <c r="R5" i="13"/>
  <c r="F8" i="13"/>
  <c r="N8" i="13"/>
  <c r="F5" i="13"/>
  <c r="N5" i="13"/>
  <c r="B833" i="13"/>
  <c r="B763" i="13"/>
  <c r="B693" i="13"/>
  <c r="B623" i="13"/>
  <c r="B553" i="13"/>
  <c r="B483" i="13"/>
  <c r="B413" i="13"/>
  <c r="B343" i="13"/>
  <c r="B273" i="13"/>
  <c r="B203" i="13"/>
  <c r="F3" i="13"/>
  <c r="F4" i="13"/>
  <c r="F10" i="13"/>
  <c r="F7" i="13"/>
  <c r="AA9" i="13"/>
  <c r="R9" i="13"/>
  <c r="F9" i="13"/>
  <c r="F6" i="13"/>
  <c r="B843" i="13"/>
  <c r="B823" i="13"/>
  <c r="B813" i="13"/>
  <c r="B803" i="13"/>
  <c r="B793" i="13"/>
  <c r="B783" i="13"/>
  <c r="B773" i="13"/>
  <c r="B753" i="13"/>
  <c r="B743" i="13"/>
  <c r="B733" i="13"/>
  <c r="B723" i="13"/>
  <c r="B713" i="13"/>
  <c r="AC1" i="13"/>
  <c r="B703" i="13"/>
  <c r="B683" i="13"/>
  <c r="B673" i="13"/>
  <c r="B663" i="13"/>
  <c r="B653" i="13"/>
  <c r="B643" i="13"/>
  <c r="B633" i="13"/>
  <c r="B613" i="13"/>
  <c r="B603" i="13"/>
  <c r="B593" i="13"/>
  <c r="B583" i="13"/>
  <c r="B573" i="13"/>
  <c r="Y1" i="13"/>
  <c r="B563" i="13"/>
  <c r="B543" i="13"/>
  <c r="B533" i="13"/>
  <c r="B523" i="13"/>
  <c r="B513" i="13"/>
  <c r="B503" i="13"/>
  <c r="B493" i="13"/>
  <c r="B473" i="13"/>
  <c r="B463" i="13"/>
  <c r="B453" i="13"/>
  <c r="B443" i="13"/>
  <c r="B433" i="13"/>
  <c r="T1" i="13"/>
  <c r="B423" i="13"/>
  <c r="B403" i="13"/>
  <c r="B393" i="13"/>
  <c r="B383" i="13"/>
  <c r="B373" i="13"/>
  <c r="B363" i="13"/>
  <c r="B353" i="13"/>
  <c r="B333" i="13"/>
  <c r="B323" i="13"/>
  <c r="B313" i="13"/>
  <c r="B303" i="13"/>
  <c r="B293" i="13"/>
  <c r="P1" i="13"/>
  <c r="B283" i="13"/>
  <c r="B263" i="13"/>
  <c r="B253" i="13"/>
  <c r="B243" i="13"/>
  <c r="B233" i="13"/>
  <c r="B223" i="13"/>
  <c r="B213" i="13"/>
  <c r="B193" i="13"/>
  <c r="B183" i="13"/>
  <c r="B173" i="13"/>
  <c r="B163" i="13"/>
  <c r="B153" i="13"/>
  <c r="M1" i="13"/>
  <c r="S9" i="13"/>
  <c r="P9" i="13"/>
  <c r="AB9" i="13"/>
  <c r="Y9" i="13"/>
  <c r="AE10" i="13"/>
  <c r="AF10" i="13"/>
  <c r="AC10" i="13"/>
  <c r="AE7" i="13"/>
  <c r="AA10" i="13"/>
  <c r="AB10" i="13"/>
  <c r="Y10" i="13"/>
  <c r="AA7" i="13"/>
  <c r="W10" i="13"/>
  <c r="X10" i="13"/>
  <c r="W7" i="13"/>
  <c r="R10" i="13"/>
  <c r="S10" i="13"/>
  <c r="P10" i="13"/>
  <c r="R7" i="13"/>
  <c r="N10" i="13"/>
  <c r="N7" i="13"/>
  <c r="N9" i="13"/>
  <c r="R6" i="13"/>
  <c r="W6" i="13"/>
  <c r="X6" i="13"/>
  <c r="W9" i="13"/>
  <c r="X9" i="13"/>
  <c r="AE6" i="13"/>
  <c r="AF6" i="13"/>
  <c r="AC6" i="13"/>
  <c r="AE9" i="13"/>
  <c r="AF9" i="13"/>
  <c r="AC9" i="13"/>
  <c r="N6" i="13"/>
  <c r="AA6" i="13"/>
  <c r="AB6" i="13"/>
  <c r="Y6" i="13"/>
  <c r="H7" i="13"/>
  <c r="E7" i="13"/>
  <c r="V10" i="13"/>
  <c r="U10" i="13"/>
  <c r="V9" i="13"/>
  <c r="U9" i="13"/>
  <c r="V6" i="13"/>
  <c r="U6" i="13"/>
  <c r="O10" i="13"/>
  <c r="M10" i="13"/>
  <c r="H6" i="13"/>
  <c r="E6" i="13"/>
  <c r="H10" i="13"/>
  <c r="E10" i="13"/>
  <c r="H9" i="13"/>
  <c r="E9" i="13"/>
  <c r="S7" i="13"/>
  <c r="P7" i="13"/>
  <c r="AF7" i="13"/>
  <c r="AC7" i="13"/>
  <c r="O9" i="13"/>
  <c r="M9" i="13"/>
  <c r="AB7" i="13"/>
  <c r="Y7" i="13"/>
  <c r="X7" i="13"/>
  <c r="O7" i="13"/>
  <c r="M7" i="13"/>
  <c r="S6" i="13"/>
  <c r="P6" i="13"/>
  <c r="O6" i="13"/>
  <c r="M6" i="13"/>
  <c r="V7" i="13"/>
  <c r="U7" i="13"/>
  <c r="AG913" i="91"/>
  <c r="AF913" i="91"/>
  <c r="AE913" i="91"/>
  <c r="AD913" i="91"/>
  <c r="AC913" i="91"/>
  <c r="AB913" i="91"/>
  <c r="AA913" i="91"/>
  <c r="Z913" i="91"/>
  <c r="Y913" i="91"/>
  <c r="X913" i="91"/>
  <c r="W913" i="91"/>
  <c r="V913" i="91"/>
  <c r="U913" i="91"/>
  <c r="T913" i="91"/>
  <c r="AG973" i="91"/>
  <c r="AF973" i="91"/>
  <c r="AE973" i="91"/>
  <c r="AD973" i="91"/>
  <c r="AC973" i="91"/>
  <c r="AB973" i="91"/>
  <c r="AA973" i="91"/>
  <c r="Z973" i="91"/>
  <c r="Y973" i="91"/>
  <c r="X973" i="91"/>
  <c r="W973" i="91"/>
  <c r="V973" i="91"/>
  <c r="U973" i="91"/>
  <c r="T973" i="91"/>
  <c r="AG963" i="91"/>
  <c r="AF963" i="91"/>
  <c r="AE963" i="91"/>
  <c r="AD963" i="91"/>
  <c r="AC963" i="91"/>
  <c r="AB963" i="91"/>
  <c r="AA963" i="91"/>
  <c r="Z963" i="91"/>
  <c r="Y963" i="91"/>
  <c r="X963" i="91"/>
  <c r="W963" i="91"/>
  <c r="V963" i="91"/>
  <c r="U963" i="91"/>
  <c r="T963" i="91"/>
  <c r="AG953" i="91"/>
  <c r="AF953" i="91"/>
  <c r="AE953" i="91"/>
  <c r="AD953" i="91"/>
  <c r="AC953" i="91"/>
  <c r="AB953" i="91"/>
  <c r="AA953" i="91"/>
  <c r="Z953" i="91"/>
  <c r="Y953" i="91"/>
  <c r="X953" i="91"/>
  <c r="W953" i="91"/>
  <c r="V953" i="91"/>
  <c r="U953" i="91"/>
  <c r="T953" i="91"/>
  <c r="AG943" i="91"/>
  <c r="AF943" i="91"/>
  <c r="AE943" i="91"/>
  <c r="AD943" i="91"/>
  <c r="AC943" i="91"/>
  <c r="AB943" i="91"/>
  <c r="AA943" i="91"/>
  <c r="Z943" i="91"/>
  <c r="Y943" i="91"/>
  <c r="X943" i="91"/>
  <c r="W943" i="91"/>
  <c r="V943" i="91"/>
  <c r="U943" i="91"/>
  <c r="T943" i="91"/>
  <c r="AG933" i="91"/>
  <c r="AF933" i="91"/>
  <c r="AE933" i="91"/>
  <c r="AD933" i="91"/>
  <c r="AC933" i="91"/>
  <c r="AB933" i="91"/>
  <c r="AA933" i="91"/>
  <c r="Z933" i="91"/>
  <c r="Y933" i="91"/>
  <c r="X933" i="91"/>
  <c r="W933" i="91"/>
  <c r="V933" i="91"/>
  <c r="U933" i="91"/>
  <c r="T933" i="91"/>
  <c r="AG923" i="91"/>
  <c r="AF923" i="91"/>
  <c r="AE923" i="91"/>
  <c r="AD923" i="91"/>
  <c r="AC923" i="91"/>
  <c r="AB923" i="91"/>
  <c r="AA923" i="91"/>
  <c r="Z923" i="91"/>
  <c r="Y923" i="91"/>
  <c r="X923" i="91"/>
  <c r="W923" i="91"/>
  <c r="V923" i="91"/>
  <c r="U923" i="91"/>
  <c r="T923" i="91"/>
  <c r="AG903" i="91"/>
  <c r="AF903" i="91"/>
  <c r="AE903" i="91"/>
  <c r="AD903" i="91"/>
  <c r="AC903" i="91"/>
  <c r="AB903" i="91"/>
  <c r="AA903" i="91"/>
  <c r="Z903" i="91"/>
  <c r="Y903" i="91"/>
  <c r="X903" i="91"/>
  <c r="W903" i="91"/>
  <c r="V903" i="91"/>
  <c r="U903" i="91"/>
  <c r="T903" i="91"/>
  <c r="AG893" i="91"/>
  <c r="AF893" i="91"/>
  <c r="AE893" i="91"/>
  <c r="AD893" i="91"/>
  <c r="AC893" i="91"/>
  <c r="AB893" i="91"/>
  <c r="AA893" i="91"/>
  <c r="Z893" i="91"/>
  <c r="Y893" i="91"/>
  <c r="X893" i="91"/>
  <c r="W893" i="91"/>
  <c r="V893" i="91"/>
  <c r="U893" i="91"/>
  <c r="T893" i="91"/>
  <c r="AG883" i="91"/>
  <c r="AF883" i="91"/>
  <c r="AE883" i="91"/>
  <c r="AD883" i="91"/>
  <c r="AC883" i="91"/>
  <c r="AB883" i="91"/>
  <c r="AA883" i="91"/>
  <c r="Z883" i="91"/>
  <c r="Y883" i="91"/>
  <c r="X883" i="91"/>
  <c r="W883" i="91"/>
  <c r="V883" i="91"/>
  <c r="U883" i="91"/>
  <c r="T883" i="91"/>
  <c r="AG873" i="91"/>
  <c r="AF873" i="91"/>
  <c r="AE873" i="91"/>
  <c r="AD873" i="91"/>
  <c r="AC873" i="91"/>
  <c r="AB873" i="91"/>
  <c r="AA873" i="91"/>
  <c r="Z873" i="91"/>
  <c r="Y873" i="91"/>
  <c r="X873" i="91"/>
  <c r="W873" i="91"/>
  <c r="V873" i="91"/>
  <c r="U873" i="91"/>
  <c r="T873" i="91"/>
  <c r="AG863" i="91"/>
  <c r="AF863" i="91"/>
  <c r="AE863" i="91"/>
  <c r="AD863" i="91"/>
  <c r="AC863" i="91"/>
  <c r="AB863" i="91"/>
  <c r="AA863" i="91"/>
  <c r="Z863" i="91"/>
  <c r="Y863" i="91"/>
  <c r="X863" i="91"/>
  <c r="W863" i="91"/>
  <c r="V863" i="91"/>
  <c r="U863" i="91"/>
  <c r="T863" i="91"/>
  <c r="AG853" i="91"/>
  <c r="AF853" i="91"/>
  <c r="AE853" i="91"/>
  <c r="AD853" i="91"/>
  <c r="AC853" i="91"/>
  <c r="AB853" i="91"/>
  <c r="AA853" i="91"/>
  <c r="Z853" i="91"/>
  <c r="Y853" i="91"/>
  <c r="X853" i="91"/>
  <c r="W853" i="91"/>
  <c r="V853" i="91"/>
  <c r="U853" i="91"/>
  <c r="T853" i="91"/>
  <c r="AG843" i="91"/>
  <c r="AF843" i="91"/>
  <c r="AE843" i="91"/>
  <c r="AD843" i="91"/>
  <c r="AC843" i="91"/>
  <c r="AB843" i="91"/>
  <c r="AA843" i="91"/>
  <c r="Z843" i="91"/>
  <c r="Y843" i="91"/>
  <c r="X843" i="91"/>
  <c r="W843" i="91"/>
  <c r="V843" i="91"/>
  <c r="U843" i="91"/>
  <c r="T843" i="91"/>
  <c r="B843" i="91"/>
  <c r="AG833" i="91"/>
  <c r="AF833" i="91"/>
  <c r="AE833" i="91"/>
  <c r="AD833" i="91"/>
  <c r="AC833" i="91"/>
  <c r="AB833" i="91"/>
  <c r="AA833" i="91"/>
  <c r="Z833" i="91"/>
  <c r="Y833" i="91"/>
  <c r="X833" i="91"/>
  <c r="W833" i="91"/>
  <c r="V833" i="91"/>
  <c r="U833" i="91"/>
  <c r="T833" i="91"/>
  <c r="B833" i="91"/>
  <c r="AG823" i="91"/>
  <c r="AF823" i="91"/>
  <c r="AE823" i="91"/>
  <c r="AD823" i="91"/>
  <c r="AC823" i="91"/>
  <c r="AB823" i="91"/>
  <c r="AA823" i="91"/>
  <c r="Z823" i="91"/>
  <c r="Y823" i="91"/>
  <c r="X823" i="91"/>
  <c r="W823" i="91"/>
  <c r="V823" i="91"/>
  <c r="U823" i="91"/>
  <c r="T823" i="91"/>
  <c r="B823" i="91"/>
  <c r="AG813" i="91"/>
  <c r="AF813" i="91"/>
  <c r="AE813" i="91"/>
  <c r="AD813" i="91"/>
  <c r="AC813" i="91"/>
  <c r="AB813" i="91"/>
  <c r="AA813" i="91"/>
  <c r="Z813" i="91"/>
  <c r="Y813" i="91"/>
  <c r="X813" i="91"/>
  <c r="W813" i="91"/>
  <c r="V813" i="91"/>
  <c r="U813" i="91"/>
  <c r="T813" i="91"/>
  <c r="B813" i="91"/>
  <c r="AG803" i="91"/>
  <c r="AF803" i="91"/>
  <c r="AE803" i="91"/>
  <c r="AD803" i="91"/>
  <c r="AC803" i="91"/>
  <c r="AB803" i="91"/>
  <c r="AA803" i="91"/>
  <c r="Z803" i="91"/>
  <c r="Y803" i="91"/>
  <c r="X803" i="91"/>
  <c r="W803" i="91"/>
  <c r="V803" i="91"/>
  <c r="U803" i="91"/>
  <c r="T803" i="91"/>
  <c r="B803" i="91"/>
  <c r="AG793" i="91"/>
  <c r="AF793" i="91"/>
  <c r="AE793" i="91"/>
  <c r="AD793" i="91"/>
  <c r="AC793" i="91"/>
  <c r="AB793" i="91"/>
  <c r="AA793" i="91"/>
  <c r="Z793" i="91"/>
  <c r="Y793" i="91"/>
  <c r="X793" i="91"/>
  <c r="W793" i="91"/>
  <c r="V793" i="91"/>
  <c r="U793" i="91"/>
  <c r="T793" i="91"/>
  <c r="B793" i="91"/>
  <c r="AG783" i="91"/>
  <c r="AF783" i="91"/>
  <c r="AE783" i="91"/>
  <c r="AD783" i="91"/>
  <c r="AC783" i="91"/>
  <c r="AB783" i="91"/>
  <c r="AA783" i="91"/>
  <c r="Z783" i="91"/>
  <c r="Y783" i="91"/>
  <c r="X783" i="91"/>
  <c r="W783" i="91"/>
  <c r="V783" i="91"/>
  <c r="U783" i="91"/>
  <c r="T783" i="91"/>
  <c r="B783" i="91"/>
  <c r="AG773" i="91"/>
  <c r="AF773" i="91"/>
  <c r="AE773" i="91"/>
  <c r="AD773" i="91"/>
  <c r="AC773" i="91"/>
  <c r="AB773" i="91"/>
  <c r="AA773" i="91"/>
  <c r="Z773" i="91"/>
  <c r="Y773" i="91"/>
  <c r="X773" i="91"/>
  <c r="W773" i="91"/>
  <c r="V773" i="91"/>
  <c r="U773" i="91"/>
  <c r="T773" i="91"/>
  <c r="B773" i="91"/>
  <c r="AG763" i="91"/>
  <c r="AF763" i="91"/>
  <c r="AE763" i="91"/>
  <c r="AD763" i="91"/>
  <c r="AC763" i="91"/>
  <c r="AB763" i="91"/>
  <c r="AA763" i="91"/>
  <c r="Z763" i="91"/>
  <c r="Y763" i="91"/>
  <c r="X763" i="91"/>
  <c r="W763" i="91"/>
  <c r="V763" i="91"/>
  <c r="U763" i="91"/>
  <c r="T763" i="91"/>
  <c r="B763" i="91"/>
  <c r="AG753" i="91"/>
  <c r="AF753" i="91"/>
  <c r="AE753" i="91"/>
  <c r="AD753" i="91"/>
  <c r="AC753" i="91"/>
  <c r="AB753" i="91"/>
  <c r="AA753" i="91"/>
  <c r="Z753" i="91"/>
  <c r="Y753" i="91"/>
  <c r="X753" i="91"/>
  <c r="W753" i="91"/>
  <c r="V753" i="91"/>
  <c r="U753" i="91"/>
  <c r="T753" i="91"/>
  <c r="B753" i="91"/>
  <c r="AG743" i="91"/>
  <c r="AF743" i="91"/>
  <c r="AE743" i="91"/>
  <c r="AD743" i="91"/>
  <c r="AC743" i="91"/>
  <c r="AB743" i="91"/>
  <c r="AA743" i="91"/>
  <c r="Z743" i="91"/>
  <c r="Y743" i="91"/>
  <c r="X743" i="91"/>
  <c r="W743" i="91"/>
  <c r="V743" i="91"/>
  <c r="U743" i="91"/>
  <c r="T743" i="91"/>
  <c r="B743" i="91"/>
  <c r="AG733" i="91"/>
  <c r="AF733" i="91"/>
  <c r="AE733" i="91"/>
  <c r="AD733" i="91"/>
  <c r="AC733" i="91"/>
  <c r="AB733" i="91"/>
  <c r="AA733" i="91"/>
  <c r="Z733" i="91"/>
  <c r="Y733" i="91"/>
  <c r="X733" i="91"/>
  <c r="W733" i="91"/>
  <c r="V733" i="91"/>
  <c r="U733" i="91"/>
  <c r="T733" i="91"/>
  <c r="B733" i="91"/>
  <c r="AG723" i="91"/>
  <c r="AF723" i="91"/>
  <c r="AE723" i="91"/>
  <c r="AD723" i="91"/>
  <c r="AC723" i="91"/>
  <c r="AB723" i="91"/>
  <c r="AA723" i="91"/>
  <c r="Z723" i="91"/>
  <c r="Y723" i="91"/>
  <c r="X723" i="91"/>
  <c r="W723" i="91"/>
  <c r="V723" i="91"/>
  <c r="U723" i="91"/>
  <c r="T723" i="91"/>
  <c r="B723" i="91"/>
  <c r="AG713" i="91"/>
  <c r="AF713" i="91"/>
  <c r="AE713" i="91"/>
  <c r="AD713" i="91"/>
  <c r="AC713" i="91"/>
  <c r="AB713" i="91"/>
  <c r="AA713" i="91"/>
  <c r="Z713" i="91"/>
  <c r="Y713" i="91"/>
  <c r="X713" i="91"/>
  <c r="W713" i="91"/>
  <c r="V713" i="91"/>
  <c r="U713" i="91"/>
  <c r="T713" i="91"/>
  <c r="B713" i="91"/>
  <c r="AG703" i="91"/>
  <c r="AF703" i="91"/>
  <c r="AE703" i="91"/>
  <c r="AD703" i="91"/>
  <c r="AC703" i="91"/>
  <c r="AB703" i="91"/>
  <c r="AA703" i="91"/>
  <c r="Z703" i="91"/>
  <c r="Y703" i="91"/>
  <c r="X703" i="91"/>
  <c r="W703" i="91"/>
  <c r="V703" i="91"/>
  <c r="U703" i="91"/>
  <c r="T703" i="91"/>
  <c r="B703" i="91"/>
  <c r="AG693" i="91"/>
  <c r="AF693" i="91"/>
  <c r="AE693" i="91"/>
  <c r="AD693" i="91"/>
  <c r="AC693" i="91"/>
  <c r="AB693" i="91"/>
  <c r="AA693" i="91"/>
  <c r="Z693" i="91"/>
  <c r="Y693" i="91"/>
  <c r="X693" i="91"/>
  <c r="W693" i="91"/>
  <c r="V693" i="91"/>
  <c r="U693" i="91"/>
  <c r="T693" i="91"/>
  <c r="B693" i="91"/>
  <c r="AG683" i="91"/>
  <c r="AF683" i="91"/>
  <c r="AE683" i="91"/>
  <c r="AD683" i="91"/>
  <c r="AC683" i="91"/>
  <c r="AB683" i="91"/>
  <c r="AA683" i="91"/>
  <c r="Z683" i="91"/>
  <c r="Y683" i="91"/>
  <c r="X683" i="91"/>
  <c r="W683" i="91"/>
  <c r="V683" i="91"/>
  <c r="U683" i="91"/>
  <c r="T683" i="91"/>
  <c r="B683" i="91"/>
  <c r="AG673" i="91"/>
  <c r="AF673" i="91"/>
  <c r="AE673" i="91"/>
  <c r="AD673" i="91"/>
  <c r="AC673" i="91"/>
  <c r="AB673" i="91"/>
  <c r="AA673" i="91"/>
  <c r="Z673" i="91"/>
  <c r="Y673" i="91"/>
  <c r="X673" i="91"/>
  <c r="W673" i="91"/>
  <c r="V673" i="91"/>
  <c r="U673" i="91"/>
  <c r="T673" i="91"/>
  <c r="B673" i="91"/>
  <c r="AG663" i="91"/>
  <c r="AF663" i="91"/>
  <c r="AE663" i="91"/>
  <c r="AD663" i="91"/>
  <c r="AC663" i="91"/>
  <c r="AB663" i="91"/>
  <c r="AA663" i="91"/>
  <c r="Z663" i="91"/>
  <c r="Y663" i="91"/>
  <c r="X663" i="91"/>
  <c r="W663" i="91"/>
  <c r="V663" i="91"/>
  <c r="U663" i="91"/>
  <c r="T663" i="91"/>
  <c r="B663" i="91"/>
  <c r="AG653" i="91"/>
  <c r="AF653" i="91"/>
  <c r="AE653" i="91"/>
  <c r="AD653" i="91"/>
  <c r="AC653" i="91"/>
  <c r="AB653" i="91"/>
  <c r="AA653" i="91"/>
  <c r="Z653" i="91"/>
  <c r="Y653" i="91"/>
  <c r="X653" i="91"/>
  <c r="W653" i="91"/>
  <c r="V653" i="91"/>
  <c r="U653" i="91"/>
  <c r="T653" i="91"/>
  <c r="B653" i="91"/>
  <c r="AG643" i="91"/>
  <c r="AF643" i="91"/>
  <c r="AE643" i="91"/>
  <c r="AD643" i="91"/>
  <c r="AC643" i="91"/>
  <c r="AB643" i="91"/>
  <c r="AA643" i="91"/>
  <c r="Z643" i="91"/>
  <c r="Y643" i="91"/>
  <c r="X643" i="91"/>
  <c r="W643" i="91"/>
  <c r="V643" i="91"/>
  <c r="U643" i="91"/>
  <c r="T643" i="91"/>
  <c r="B643" i="91"/>
  <c r="AG633" i="91"/>
  <c r="AF633" i="91"/>
  <c r="AE633" i="91"/>
  <c r="AD633" i="91"/>
  <c r="AC633" i="91"/>
  <c r="AB633" i="91"/>
  <c r="AA633" i="91"/>
  <c r="Z633" i="91"/>
  <c r="Y633" i="91"/>
  <c r="X633" i="91"/>
  <c r="W633" i="91"/>
  <c r="V633" i="91"/>
  <c r="U633" i="91"/>
  <c r="T633" i="91"/>
  <c r="B633" i="91"/>
  <c r="AG623" i="91"/>
  <c r="AF623" i="91"/>
  <c r="AE623" i="91"/>
  <c r="AD623" i="91"/>
  <c r="AC623" i="91"/>
  <c r="AB623" i="91"/>
  <c r="AA623" i="91"/>
  <c r="Z623" i="91"/>
  <c r="Y623" i="91"/>
  <c r="X623" i="91"/>
  <c r="W623" i="91"/>
  <c r="V623" i="91"/>
  <c r="U623" i="91"/>
  <c r="T623" i="91"/>
  <c r="B623" i="91"/>
  <c r="AG613" i="91"/>
  <c r="AF613" i="91"/>
  <c r="AE613" i="91"/>
  <c r="AD613" i="91"/>
  <c r="AC613" i="91"/>
  <c r="AB613" i="91"/>
  <c r="AA613" i="91"/>
  <c r="Z613" i="91"/>
  <c r="Y613" i="91"/>
  <c r="X613" i="91"/>
  <c r="W613" i="91"/>
  <c r="V613" i="91"/>
  <c r="U613" i="91"/>
  <c r="T613" i="91"/>
  <c r="B613" i="91"/>
  <c r="AG603" i="91"/>
  <c r="AF603" i="91"/>
  <c r="AE603" i="91"/>
  <c r="AD603" i="91"/>
  <c r="AC603" i="91"/>
  <c r="AB603" i="91"/>
  <c r="AA603" i="91"/>
  <c r="Z603" i="91"/>
  <c r="Y603" i="91"/>
  <c r="X603" i="91"/>
  <c r="W603" i="91"/>
  <c r="V603" i="91"/>
  <c r="U603" i="91"/>
  <c r="T603" i="91"/>
  <c r="B603" i="91"/>
  <c r="AG593" i="91"/>
  <c r="AF593" i="91"/>
  <c r="AE593" i="91"/>
  <c r="AD593" i="91"/>
  <c r="AC593" i="91"/>
  <c r="AB593" i="91"/>
  <c r="AA593" i="91"/>
  <c r="Z593" i="91"/>
  <c r="Y593" i="91"/>
  <c r="X593" i="91"/>
  <c r="W593" i="91"/>
  <c r="V593" i="91"/>
  <c r="U593" i="91"/>
  <c r="T593" i="91"/>
  <c r="B593" i="91"/>
  <c r="AG583" i="91"/>
  <c r="AF583" i="91"/>
  <c r="AE583" i="91"/>
  <c r="AD583" i="91"/>
  <c r="AC583" i="91"/>
  <c r="AB583" i="91"/>
  <c r="AA583" i="91"/>
  <c r="Z583" i="91"/>
  <c r="Y583" i="91"/>
  <c r="X583" i="91"/>
  <c r="W583" i="91"/>
  <c r="V583" i="91"/>
  <c r="U583" i="91"/>
  <c r="T583" i="91"/>
  <c r="B583" i="91"/>
  <c r="AG573" i="91"/>
  <c r="AF573" i="91"/>
  <c r="AE573" i="91"/>
  <c r="AD573" i="91"/>
  <c r="AC573" i="91"/>
  <c r="AB573" i="91"/>
  <c r="AA573" i="91"/>
  <c r="Z573" i="91"/>
  <c r="Y573" i="91"/>
  <c r="X573" i="91"/>
  <c r="W573" i="91"/>
  <c r="V573" i="91"/>
  <c r="U573" i="91"/>
  <c r="T573" i="91"/>
  <c r="B573" i="91"/>
  <c r="AG563" i="91"/>
  <c r="AF563" i="91"/>
  <c r="AE563" i="91"/>
  <c r="AD563" i="91"/>
  <c r="AC563" i="91"/>
  <c r="AB563" i="91"/>
  <c r="AA563" i="91"/>
  <c r="Z563" i="91"/>
  <c r="Y563" i="91"/>
  <c r="X563" i="91"/>
  <c r="W563" i="91"/>
  <c r="V563" i="91"/>
  <c r="U563" i="91"/>
  <c r="T563" i="91"/>
  <c r="B563" i="91"/>
  <c r="AG553" i="91"/>
  <c r="AF553" i="91"/>
  <c r="AE553" i="91"/>
  <c r="AD553" i="91"/>
  <c r="AC553" i="91"/>
  <c r="AB553" i="91"/>
  <c r="AA553" i="91"/>
  <c r="Z553" i="91"/>
  <c r="Y553" i="91"/>
  <c r="X553" i="91"/>
  <c r="W553" i="91"/>
  <c r="V553" i="91"/>
  <c r="U553" i="91"/>
  <c r="T553" i="91"/>
  <c r="B553" i="91"/>
  <c r="AG543" i="91"/>
  <c r="AF543" i="91"/>
  <c r="AE543" i="91"/>
  <c r="AD543" i="91"/>
  <c r="AC543" i="91"/>
  <c r="AB543" i="91"/>
  <c r="AA543" i="91"/>
  <c r="Z543" i="91"/>
  <c r="Y543" i="91"/>
  <c r="X543" i="91"/>
  <c r="W543" i="91"/>
  <c r="V543" i="91"/>
  <c r="U543" i="91"/>
  <c r="T543" i="91"/>
  <c r="B543" i="91"/>
  <c r="AG533" i="91"/>
  <c r="AF533" i="91"/>
  <c r="AE533" i="91"/>
  <c r="AD533" i="91"/>
  <c r="AC533" i="91"/>
  <c r="AB533" i="91"/>
  <c r="AA533" i="91"/>
  <c r="Z533" i="91"/>
  <c r="Y533" i="91"/>
  <c r="X533" i="91"/>
  <c r="W533" i="91"/>
  <c r="V533" i="91"/>
  <c r="U533" i="91"/>
  <c r="T533" i="91"/>
  <c r="B533" i="91"/>
  <c r="AG523" i="91"/>
  <c r="AF523" i="91"/>
  <c r="AE523" i="91"/>
  <c r="AD523" i="91"/>
  <c r="AC523" i="91"/>
  <c r="AB523" i="91"/>
  <c r="AA523" i="91"/>
  <c r="Z523" i="91"/>
  <c r="Y523" i="91"/>
  <c r="X523" i="91"/>
  <c r="W523" i="91"/>
  <c r="V523" i="91"/>
  <c r="U523" i="91"/>
  <c r="T523" i="91"/>
  <c r="B523" i="91"/>
  <c r="AG513" i="91"/>
  <c r="AF513" i="91"/>
  <c r="AE513" i="91"/>
  <c r="AD513" i="91"/>
  <c r="AC513" i="91"/>
  <c r="AB513" i="91"/>
  <c r="AA513" i="91"/>
  <c r="Z513" i="91"/>
  <c r="Y513" i="91"/>
  <c r="X513" i="91"/>
  <c r="W513" i="91"/>
  <c r="V513" i="91"/>
  <c r="U513" i="91"/>
  <c r="T513" i="91"/>
  <c r="B513" i="91"/>
  <c r="AG503" i="91"/>
  <c r="AF503" i="91"/>
  <c r="AE503" i="91"/>
  <c r="AD503" i="91"/>
  <c r="AC503" i="91"/>
  <c r="AB503" i="91"/>
  <c r="AA503" i="91"/>
  <c r="Z503" i="91"/>
  <c r="Y503" i="91"/>
  <c r="X503" i="91"/>
  <c r="W503" i="91"/>
  <c r="V503" i="91"/>
  <c r="U503" i="91"/>
  <c r="T503" i="91"/>
  <c r="B503" i="91"/>
  <c r="AG493" i="91"/>
  <c r="AF493" i="91"/>
  <c r="AE493" i="91"/>
  <c r="AD493" i="91"/>
  <c r="AC493" i="91"/>
  <c r="AB493" i="91"/>
  <c r="AA493" i="91"/>
  <c r="Z493" i="91"/>
  <c r="Y493" i="91"/>
  <c r="X493" i="91"/>
  <c r="W493" i="91"/>
  <c r="V493" i="91"/>
  <c r="U493" i="91"/>
  <c r="T493" i="91"/>
  <c r="B493" i="91"/>
  <c r="AG483" i="91"/>
  <c r="AF483" i="91"/>
  <c r="AE483" i="91"/>
  <c r="AD483" i="91"/>
  <c r="AC483" i="91"/>
  <c r="AB483" i="91"/>
  <c r="AA483" i="91"/>
  <c r="Z483" i="91"/>
  <c r="Y483" i="91"/>
  <c r="X483" i="91"/>
  <c r="W483" i="91"/>
  <c r="V483" i="91"/>
  <c r="U483" i="91"/>
  <c r="T483" i="91"/>
  <c r="B483" i="91"/>
  <c r="AG473" i="91"/>
  <c r="AF473" i="91"/>
  <c r="AE473" i="91"/>
  <c r="AD473" i="91"/>
  <c r="AC473" i="91"/>
  <c r="AB473" i="91"/>
  <c r="AA473" i="91"/>
  <c r="Z473" i="91"/>
  <c r="Y473" i="91"/>
  <c r="X473" i="91"/>
  <c r="W473" i="91"/>
  <c r="V473" i="91"/>
  <c r="U473" i="91"/>
  <c r="T473" i="91"/>
  <c r="B473" i="91"/>
  <c r="AG463" i="91"/>
  <c r="AF463" i="91"/>
  <c r="AE463" i="91"/>
  <c r="AD463" i="91"/>
  <c r="AC463" i="91"/>
  <c r="AB463" i="91"/>
  <c r="AA463" i="91"/>
  <c r="Z463" i="91"/>
  <c r="Y463" i="91"/>
  <c r="X463" i="91"/>
  <c r="W463" i="91"/>
  <c r="V463" i="91"/>
  <c r="U463" i="91"/>
  <c r="T463" i="91"/>
  <c r="B463" i="91"/>
  <c r="AG453" i="91"/>
  <c r="AF453" i="91"/>
  <c r="AE453" i="91"/>
  <c r="AD453" i="91"/>
  <c r="AC453" i="91"/>
  <c r="AB453" i="91"/>
  <c r="AA453" i="91"/>
  <c r="Z453" i="91"/>
  <c r="Y453" i="91"/>
  <c r="X453" i="91"/>
  <c r="W453" i="91"/>
  <c r="V453" i="91"/>
  <c r="U453" i="91"/>
  <c r="T453" i="91"/>
  <c r="B453" i="91"/>
  <c r="AG443" i="91"/>
  <c r="AF443" i="91"/>
  <c r="AE443" i="91"/>
  <c r="AD443" i="91"/>
  <c r="AC443" i="91"/>
  <c r="AB443" i="91"/>
  <c r="AA443" i="91"/>
  <c r="Z443" i="91"/>
  <c r="Y443" i="91"/>
  <c r="X443" i="91"/>
  <c r="W443" i="91"/>
  <c r="V443" i="91"/>
  <c r="U443" i="91"/>
  <c r="T443" i="91"/>
  <c r="B443" i="91"/>
  <c r="AG433" i="91"/>
  <c r="AF433" i="91"/>
  <c r="AE433" i="91"/>
  <c r="AD433" i="91"/>
  <c r="AC433" i="91"/>
  <c r="AB433" i="91"/>
  <c r="AA433" i="91"/>
  <c r="Z433" i="91"/>
  <c r="Y433" i="91"/>
  <c r="X433" i="91"/>
  <c r="W433" i="91"/>
  <c r="V433" i="91"/>
  <c r="U433" i="91"/>
  <c r="T433" i="91"/>
  <c r="B433" i="91"/>
  <c r="T1" i="91"/>
  <c r="AG423" i="91"/>
  <c r="AF423" i="91"/>
  <c r="AE423" i="91"/>
  <c r="AD423" i="91"/>
  <c r="AC423" i="91"/>
  <c r="AB423" i="91"/>
  <c r="AA423" i="91"/>
  <c r="Z423" i="91"/>
  <c r="Y423" i="91"/>
  <c r="X423" i="91"/>
  <c r="W423" i="91"/>
  <c r="V423" i="91"/>
  <c r="U423" i="91"/>
  <c r="T423" i="91"/>
  <c r="B423" i="91"/>
  <c r="AG413" i="91"/>
  <c r="AF413" i="91"/>
  <c r="AE413" i="91"/>
  <c r="AD413" i="91"/>
  <c r="AC413" i="91"/>
  <c r="AB413" i="91"/>
  <c r="AA413" i="91"/>
  <c r="Z413" i="91"/>
  <c r="Y413" i="91"/>
  <c r="X413" i="91"/>
  <c r="W413" i="91"/>
  <c r="V413" i="91"/>
  <c r="U413" i="91"/>
  <c r="T413" i="91"/>
  <c r="B413" i="91"/>
  <c r="AG403" i="91"/>
  <c r="AF403" i="91"/>
  <c r="AE403" i="91"/>
  <c r="AD403" i="91"/>
  <c r="AC403" i="91"/>
  <c r="AB403" i="91"/>
  <c r="AA403" i="91"/>
  <c r="Z403" i="91"/>
  <c r="Y403" i="91"/>
  <c r="X403" i="91"/>
  <c r="W403" i="91"/>
  <c r="V403" i="91"/>
  <c r="U403" i="91"/>
  <c r="T403" i="91"/>
  <c r="B403" i="91"/>
  <c r="AG393" i="91"/>
  <c r="AF393" i="91"/>
  <c r="AE393" i="91"/>
  <c r="AD393" i="91"/>
  <c r="AC393" i="91"/>
  <c r="AB393" i="91"/>
  <c r="AA393" i="91"/>
  <c r="Z393" i="91"/>
  <c r="Y393" i="91"/>
  <c r="X393" i="91"/>
  <c r="W393" i="91"/>
  <c r="V393" i="91"/>
  <c r="U393" i="91"/>
  <c r="T393" i="91"/>
  <c r="B393" i="91"/>
  <c r="AG383" i="91"/>
  <c r="AF383" i="91"/>
  <c r="AE383" i="91"/>
  <c r="AD383" i="91"/>
  <c r="AC383" i="91"/>
  <c r="AB383" i="91"/>
  <c r="AA383" i="91"/>
  <c r="Z383" i="91"/>
  <c r="Y383" i="91"/>
  <c r="X383" i="91"/>
  <c r="W383" i="91"/>
  <c r="V383" i="91"/>
  <c r="U383" i="91"/>
  <c r="T383" i="91"/>
  <c r="B383" i="91"/>
  <c r="AG373" i="91"/>
  <c r="AF373" i="91"/>
  <c r="AE373" i="91"/>
  <c r="AD373" i="91"/>
  <c r="AC373" i="91"/>
  <c r="AB373" i="91"/>
  <c r="AA373" i="91"/>
  <c r="Z373" i="91"/>
  <c r="Y373" i="91"/>
  <c r="X373" i="91"/>
  <c r="W373" i="91"/>
  <c r="V373" i="91"/>
  <c r="U373" i="91"/>
  <c r="T373" i="91"/>
  <c r="B373" i="91"/>
  <c r="AG363" i="91"/>
  <c r="AF363" i="91"/>
  <c r="AE363" i="91"/>
  <c r="AD363" i="91"/>
  <c r="AC363" i="91"/>
  <c r="AB363" i="91"/>
  <c r="AA363" i="91"/>
  <c r="Z363" i="91"/>
  <c r="Y363" i="91"/>
  <c r="X363" i="91"/>
  <c r="W363" i="91"/>
  <c r="V363" i="91"/>
  <c r="U363" i="91"/>
  <c r="T363" i="91"/>
  <c r="B363" i="91"/>
  <c r="AG353" i="91"/>
  <c r="AF353" i="91"/>
  <c r="AE353" i="91"/>
  <c r="AD353" i="91"/>
  <c r="AC353" i="91"/>
  <c r="AB353" i="91"/>
  <c r="AA353" i="91"/>
  <c r="Z353" i="91"/>
  <c r="Y353" i="91"/>
  <c r="X353" i="91"/>
  <c r="W353" i="91"/>
  <c r="V353" i="91"/>
  <c r="U353" i="91"/>
  <c r="T353" i="91"/>
  <c r="B353" i="91"/>
  <c r="AG343" i="91"/>
  <c r="AF343" i="91"/>
  <c r="AE343" i="91"/>
  <c r="AD343" i="91"/>
  <c r="AC343" i="91"/>
  <c r="AB343" i="91"/>
  <c r="AA343" i="91"/>
  <c r="Z343" i="91"/>
  <c r="Y343" i="91"/>
  <c r="X343" i="91"/>
  <c r="W343" i="91"/>
  <c r="V343" i="91"/>
  <c r="U343" i="91"/>
  <c r="T343" i="91"/>
  <c r="B343" i="91"/>
  <c r="AG333" i="91"/>
  <c r="AF333" i="91"/>
  <c r="AE333" i="91"/>
  <c r="AD333" i="91"/>
  <c r="AC333" i="91"/>
  <c r="AB333" i="91"/>
  <c r="AA333" i="91"/>
  <c r="Z333" i="91"/>
  <c r="Y333" i="91"/>
  <c r="X333" i="91"/>
  <c r="W333" i="91"/>
  <c r="V333" i="91"/>
  <c r="U333" i="91"/>
  <c r="T333" i="91"/>
  <c r="B333" i="91"/>
  <c r="AG323" i="91"/>
  <c r="AF323" i="91"/>
  <c r="AE323" i="91"/>
  <c r="AD323" i="91"/>
  <c r="AC323" i="91"/>
  <c r="AB323" i="91"/>
  <c r="AA323" i="91"/>
  <c r="Z323" i="91"/>
  <c r="Y323" i="91"/>
  <c r="X323" i="91"/>
  <c r="W323" i="91"/>
  <c r="V323" i="91"/>
  <c r="U323" i="91"/>
  <c r="T323" i="91"/>
  <c r="B323" i="91"/>
  <c r="AG313" i="91"/>
  <c r="AF313" i="91"/>
  <c r="AE313" i="91"/>
  <c r="AD313" i="91"/>
  <c r="AC313" i="91"/>
  <c r="AB313" i="91"/>
  <c r="AA313" i="91"/>
  <c r="Z313" i="91"/>
  <c r="Y313" i="91"/>
  <c r="X313" i="91"/>
  <c r="W313" i="91"/>
  <c r="V313" i="91"/>
  <c r="U313" i="91"/>
  <c r="T313" i="91"/>
  <c r="B313" i="91"/>
  <c r="AG303" i="91"/>
  <c r="AF303" i="91"/>
  <c r="AE303" i="91"/>
  <c r="AD303" i="91"/>
  <c r="AC303" i="91"/>
  <c r="AB303" i="91"/>
  <c r="AA303" i="91"/>
  <c r="Z303" i="91"/>
  <c r="Y303" i="91"/>
  <c r="X303" i="91"/>
  <c r="W303" i="91"/>
  <c r="V303" i="91"/>
  <c r="U303" i="91"/>
  <c r="T303" i="91"/>
  <c r="B303" i="91"/>
  <c r="AG293" i="91"/>
  <c r="AF293" i="91"/>
  <c r="AE293" i="91"/>
  <c r="AD293" i="91"/>
  <c r="AC293" i="91"/>
  <c r="AB293" i="91"/>
  <c r="AA293" i="91"/>
  <c r="Z293" i="91"/>
  <c r="Y293" i="91"/>
  <c r="X293" i="91"/>
  <c r="W293" i="91"/>
  <c r="V293" i="91"/>
  <c r="U293" i="91"/>
  <c r="T293" i="91"/>
  <c r="B293" i="91"/>
  <c r="P1" i="91"/>
  <c r="AG283" i="91"/>
  <c r="AF283" i="91"/>
  <c r="AE283" i="91"/>
  <c r="AD283" i="91"/>
  <c r="AC283" i="91"/>
  <c r="AB283" i="91"/>
  <c r="AA283" i="91"/>
  <c r="Z283" i="91"/>
  <c r="Y283" i="91"/>
  <c r="X283" i="91"/>
  <c r="W283" i="91"/>
  <c r="V283" i="91"/>
  <c r="U283" i="91"/>
  <c r="T283" i="91"/>
  <c r="B283" i="91"/>
  <c r="AG273" i="91"/>
  <c r="AF273" i="91"/>
  <c r="AE273" i="91"/>
  <c r="AD273" i="91"/>
  <c r="AC273" i="91"/>
  <c r="AB273" i="91"/>
  <c r="AA273" i="91"/>
  <c r="Z273" i="91"/>
  <c r="Y273" i="91"/>
  <c r="X273" i="91"/>
  <c r="W273" i="91"/>
  <c r="V273" i="91"/>
  <c r="U273" i="91"/>
  <c r="T273" i="91"/>
  <c r="B273" i="91"/>
  <c r="AG263" i="91"/>
  <c r="AF263" i="91"/>
  <c r="AE263" i="91"/>
  <c r="AD263" i="91"/>
  <c r="AC263" i="91"/>
  <c r="AB263" i="91"/>
  <c r="AA263" i="91"/>
  <c r="Z263" i="91"/>
  <c r="Y263" i="91"/>
  <c r="X263" i="91"/>
  <c r="W263" i="91"/>
  <c r="V263" i="91"/>
  <c r="U263" i="91"/>
  <c r="T263" i="91"/>
  <c r="B263" i="91"/>
  <c r="AG253" i="91"/>
  <c r="AF253" i="91"/>
  <c r="AE253" i="91"/>
  <c r="AD253" i="91"/>
  <c r="AC253" i="91"/>
  <c r="AB253" i="91"/>
  <c r="AA253" i="91"/>
  <c r="Z253" i="91"/>
  <c r="Y253" i="91"/>
  <c r="X253" i="91"/>
  <c r="W253" i="91"/>
  <c r="V253" i="91"/>
  <c r="U253" i="91"/>
  <c r="T253" i="91"/>
  <c r="B253" i="91"/>
  <c r="AG243" i="91"/>
  <c r="AF243" i="91"/>
  <c r="AE243" i="91"/>
  <c r="AD243" i="91"/>
  <c r="AC243" i="91"/>
  <c r="AB243" i="91"/>
  <c r="AA243" i="91"/>
  <c r="Z243" i="91"/>
  <c r="Y243" i="91"/>
  <c r="X243" i="91"/>
  <c r="W243" i="91"/>
  <c r="V243" i="91"/>
  <c r="U243" i="91"/>
  <c r="T243" i="91"/>
  <c r="B243" i="91"/>
  <c r="AG233" i="91"/>
  <c r="AF233" i="91"/>
  <c r="AE233" i="91"/>
  <c r="AD233" i="91"/>
  <c r="AC233" i="91"/>
  <c r="AB233" i="91"/>
  <c r="AA233" i="91"/>
  <c r="Z233" i="91"/>
  <c r="Y233" i="91"/>
  <c r="X233" i="91"/>
  <c r="W233" i="91"/>
  <c r="V233" i="91"/>
  <c r="U233" i="91"/>
  <c r="T233" i="91"/>
  <c r="B233" i="91"/>
  <c r="AG223" i="91"/>
  <c r="AF223" i="91"/>
  <c r="AE223" i="91"/>
  <c r="AD223" i="91"/>
  <c r="AC223" i="91"/>
  <c r="AB223" i="91"/>
  <c r="AA223" i="91"/>
  <c r="Z223" i="91"/>
  <c r="Y223" i="91"/>
  <c r="X223" i="91"/>
  <c r="W223" i="91"/>
  <c r="V223" i="91"/>
  <c r="U223" i="91"/>
  <c r="T223" i="91"/>
  <c r="B223" i="91"/>
  <c r="AG213" i="91"/>
  <c r="AF213" i="91"/>
  <c r="AE213" i="91"/>
  <c r="AD213" i="91"/>
  <c r="AC213" i="91"/>
  <c r="AB213" i="91"/>
  <c r="AA213" i="91"/>
  <c r="Z213" i="91"/>
  <c r="Y213" i="91"/>
  <c r="X213" i="91"/>
  <c r="W213" i="91"/>
  <c r="V213" i="91"/>
  <c r="U213" i="91"/>
  <c r="T213" i="91"/>
  <c r="B213" i="91"/>
  <c r="AG203" i="91"/>
  <c r="AF203" i="91"/>
  <c r="AE203" i="91"/>
  <c r="AD203" i="91"/>
  <c r="AC203" i="91"/>
  <c r="AB203" i="91"/>
  <c r="AA203" i="91"/>
  <c r="Z203" i="91"/>
  <c r="Y203" i="91"/>
  <c r="X203" i="91"/>
  <c r="W203" i="91"/>
  <c r="V203" i="91"/>
  <c r="U203" i="91"/>
  <c r="T203" i="91"/>
  <c r="B203" i="91"/>
  <c r="AG193" i="91"/>
  <c r="AF193" i="91"/>
  <c r="AE193" i="91"/>
  <c r="AD193" i="91"/>
  <c r="AC193" i="91"/>
  <c r="AB193" i="91"/>
  <c r="AA193" i="91"/>
  <c r="Z193" i="91"/>
  <c r="Y193" i="91"/>
  <c r="X193" i="91"/>
  <c r="W193" i="91"/>
  <c r="V193" i="91"/>
  <c r="U193" i="91"/>
  <c r="T193" i="91"/>
  <c r="B193" i="91"/>
  <c r="AG183" i="91"/>
  <c r="AF183" i="91"/>
  <c r="AE183" i="91"/>
  <c r="AD183" i="91"/>
  <c r="AC183" i="91"/>
  <c r="AB183" i="91"/>
  <c r="AA183" i="91"/>
  <c r="Z183" i="91"/>
  <c r="Y183" i="91"/>
  <c r="X183" i="91"/>
  <c r="W183" i="91"/>
  <c r="V183" i="91"/>
  <c r="U183" i="91"/>
  <c r="T183" i="91"/>
  <c r="B183" i="91"/>
  <c r="AG173" i="91"/>
  <c r="AF173" i="91"/>
  <c r="AE173" i="91"/>
  <c r="AD173" i="91"/>
  <c r="AC173" i="91"/>
  <c r="AB173" i="91"/>
  <c r="AA173" i="91"/>
  <c r="Z173" i="91"/>
  <c r="Y173" i="91"/>
  <c r="X173" i="91"/>
  <c r="W173" i="91"/>
  <c r="V173" i="91"/>
  <c r="U173" i="91"/>
  <c r="T173" i="91"/>
  <c r="B173" i="91"/>
  <c r="AG163" i="91"/>
  <c r="AF163" i="91"/>
  <c r="AE163" i="91"/>
  <c r="AD163" i="91"/>
  <c r="AC163" i="91"/>
  <c r="AB163" i="91"/>
  <c r="AA163" i="91"/>
  <c r="Z163" i="91"/>
  <c r="Y163" i="91"/>
  <c r="X163" i="91"/>
  <c r="W163" i="91"/>
  <c r="V163" i="91"/>
  <c r="U163" i="91"/>
  <c r="T163" i="91"/>
  <c r="B163" i="91"/>
  <c r="AG153" i="91"/>
  <c r="AF153" i="91"/>
  <c r="AE153" i="91"/>
  <c r="AD153" i="91"/>
  <c r="AC153" i="91"/>
  <c r="AB153" i="91"/>
  <c r="AA153" i="91"/>
  <c r="Z153" i="91"/>
  <c r="Y153" i="91"/>
  <c r="X153" i="91"/>
  <c r="W153" i="91"/>
  <c r="V153" i="91"/>
  <c r="U153" i="91"/>
  <c r="T153" i="91"/>
  <c r="B153" i="91"/>
  <c r="M1" i="91"/>
  <c r="AG143" i="91"/>
  <c r="AF143" i="91"/>
  <c r="AE143" i="91"/>
  <c r="AD143" i="91"/>
  <c r="AC143" i="91"/>
  <c r="AB143" i="91"/>
  <c r="AA143" i="91"/>
  <c r="Z143" i="91"/>
  <c r="Y143" i="91"/>
  <c r="X143" i="91"/>
  <c r="W143" i="91"/>
  <c r="V143" i="91"/>
  <c r="U143" i="91"/>
  <c r="T143" i="91"/>
  <c r="AG133" i="91"/>
  <c r="AF133" i="91"/>
  <c r="AE133" i="91"/>
  <c r="AD133" i="91"/>
  <c r="AC133" i="91"/>
  <c r="AB133" i="91"/>
  <c r="AA133" i="91"/>
  <c r="Z133" i="91"/>
  <c r="Y133" i="91"/>
  <c r="X133" i="91"/>
  <c r="W133" i="91"/>
  <c r="V133" i="91"/>
  <c r="U133" i="91"/>
  <c r="T133" i="91"/>
  <c r="AG123" i="91"/>
  <c r="AF123" i="91"/>
  <c r="AE123" i="91"/>
  <c r="AD123" i="91"/>
  <c r="AC123" i="91"/>
  <c r="AB123" i="91"/>
  <c r="AA123" i="91"/>
  <c r="Z123" i="91"/>
  <c r="Y123" i="91"/>
  <c r="X123" i="91"/>
  <c r="W123" i="91"/>
  <c r="V123" i="91"/>
  <c r="U123" i="91"/>
  <c r="T123" i="91"/>
  <c r="AG113" i="91"/>
  <c r="AF113" i="91"/>
  <c r="AE113" i="91"/>
  <c r="AD113" i="91"/>
  <c r="AC113" i="91"/>
  <c r="AB113" i="91"/>
  <c r="AA113" i="91"/>
  <c r="Z113" i="91"/>
  <c r="Y113" i="91"/>
  <c r="X113" i="91"/>
  <c r="W113" i="91"/>
  <c r="V113" i="91"/>
  <c r="U113" i="91"/>
  <c r="T113" i="91"/>
  <c r="AG103" i="91"/>
  <c r="AF103" i="91"/>
  <c r="AE103" i="91"/>
  <c r="AD103" i="91"/>
  <c r="AC103" i="91"/>
  <c r="AB103" i="91"/>
  <c r="AA103" i="91"/>
  <c r="Z103" i="91"/>
  <c r="Y103" i="91"/>
  <c r="X103" i="91"/>
  <c r="W103" i="91"/>
  <c r="V103" i="91"/>
  <c r="U103" i="91"/>
  <c r="T103" i="91"/>
  <c r="AG93" i="91"/>
  <c r="AF93" i="91"/>
  <c r="AE93" i="91"/>
  <c r="AD93" i="91"/>
  <c r="AC93" i="91"/>
  <c r="AB93" i="91"/>
  <c r="AA93" i="91"/>
  <c r="Z93" i="91"/>
  <c r="Y93" i="91"/>
  <c r="X93" i="91"/>
  <c r="W93" i="91"/>
  <c r="V93" i="91"/>
  <c r="U93" i="91"/>
  <c r="T93" i="91"/>
  <c r="AG83" i="91"/>
  <c r="AF83" i="91"/>
  <c r="AE83" i="91"/>
  <c r="AD83" i="91"/>
  <c r="AC83" i="91"/>
  <c r="AB83" i="91"/>
  <c r="AA83" i="91"/>
  <c r="Z83" i="91"/>
  <c r="Y83" i="91"/>
  <c r="X83" i="91"/>
  <c r="W83" i="91"/>
  <c r="V83" i="91"/>
  <c r="U83" i="91"/>
  <c r="T83" i="91"/>
  <c r="AG73" i="91"/>
  <c r="AF73" i="91"/>
  <c r="AE73" i="91"/>
  <c r="AD73" i="91"/>
  <c r="AC73" i="91"/>
  <c r="AB73" i="91"/>
  <c r="AA73" i="91"/>
  <c r="Z73" i="91"/>
  <c r="Y73" i="91"/>
  <c r="X73" i="91"/>
  <c r="W73" i="91"/>
  <c r="V73" i="91"/>
  <c r="U73" i="91"/>
  <c r="T73" i="91"/>
  <c r="AG63" i="91"/>
  <c r="AF63" i="91"/>
  <c r="AE63" i="91"/>
  <c r="AD63" i="91"/>
  <c r="AC63" i="91"/>
  <c r="AB63" i="91"/>
  <c r="AA63" i="91"/>
  <c r="Z63" i="91"/>
  <c r="Y63" i="91"/>
  <c r="X63" i="91"/>
  <c r="W63" i="91"/>
  <c r="V63" i="91"/>
  <c r="U63" i="91"/>
  <c r="T63" i="91"/>
  <c r="AG53" i="91"/>
  <c r="AF53" i="91"/>
  <c r="AE53" i="91"/>
  <c r="AD53" i="91"/>
  <c r="AC53" i="91"/>
  <c r="AB53" i="91"/>
  <c r="AA53" i="91"/>
  <c r="Z53" i="91"/>
  <c r="Y53" i="91"/>
  <c r="X53" i="91"/>
  <c r="W53" i="91"/>
  <c r="V53" i="91"/>
  <c r="U53" i="91"/>
  <c r="T53" i="91"/>
  <c r="AG43" i="91"/>
  <c r="AF43" i="91"/>
  <c r="AE43" i="91"/>
  <c r="AD43" i="91"/>
  <c r="AC43" i="91"/>
  <c r="AB43" i="91"/>
  <c r="AA43" i="91"/>
  <c r="Z43" i="91"/>
  <c r="Y43" i="91"/>
  <c r="X43" i="91"/>
  <c r="W43" i="91"/>
  <c r="V43" i="91"/>
  <c r="U43" i="91"/>
  <c r="T43" i="91"/>
  <c r="AG33" i="91"/>
  <c r="AF33" i="91"/>
  <c r="AE33" i="91"/>
  <c r="AD33" i="91"/>
  <c r="AC33" i="91"/>
  <c r="AB33" i="91"/>
  <c r="AA33" i="91"/>
  <c r="Z33" i="91"/>
  <c r="Y33" i="91"/>
  <c r="X33" i="91"/>
  <c r="W33" i="91"/>
  <c r="V33" i="91"/>
  <c r="U33" i="91"/>
  <c r="T33" i="91"/>
  <c r="AG23" i="91"/>
  <c r="AF23" i="91"/>
  <c r="AE23" i="91"/>
  <c r="AD23" i="91"/>
  <c r="AC23" i="91"/>
  <c r="AB23" i="91"/>
  <c r="AA23" i="91"/>
  <c r="Z23" i="91"/>
  <c r="Y23" i="91"/>
  <c r="X23" i="91"/>
  <c r="W23" i="91"/>
  <c r="V23" i="91"/>
  <c r="U23" i="91"/>
  <c r="T23" i="91"/>
  <c r="AG13" i="91"/>
  <c r="AF13" i="91"/>
  <c r="AE13" i="91"/>
  <c r="AD13" i="91"/>
  <c r="AC13" i="91"/>
  <c r="AB13" i="91"/>
  <c r="AA13" i="91"/>
  <c r="Z13" i="91"/>
  <c r="Y13" i="91"/>
  <c r="X13" i="91"/>
  <c r="W13" i="91"/>
  <c r="V13" i="91"/>
  <c r="U13" i="91"/>
  <c r="T13" i="91"/>
  <c r="N26" i="91"/>
  <c r="AC1" i="91"/>
  <c r="Y1" i="91"/>
  <c r="N605" i="91"/>
  <c r="F9" i="91"/>
  <c r="N66" i="91"/>
  <c r="N606" i="91"/>
  <c r="B606" i="91"/>
  <c r="N55" i="91"/>
  <c r="N45" i="91"/>
  <c r="N95" i="91"/>
  <c r="B96" i="91"/>
  <c r="N871" i="91"/>
  <c r="N859" i="91"/>
  <c r="N815" i="91"/>
  <c r="B816" i="91"/>
  <c r="N756" i="91"/>
  <c r="N735" i="91"/>
  <c r="N655" i="91"/>
  <c r="B656" i="91"/>
  <c r="N596" i="91"/>
  <c r="N495" i="91"/>
  <c r="N415" i="91"/>
  <c r="B416" i="91"/>
  <c r="N356" i="91"/>
  <c r="N335" i="91"/>
  <c r="N255" i="91"/>
  <c r="B256" i="91"/>
  <c r="N196" i="91"/>
  <c r="N175" i="91"/>
  <c r="N870" i="91"/>
  <c r="N858" i="91"/>
  <c r="N825" i="91"/>
  <c r="B826" i="91"/>
  <c r="N766" i="91"/>
  <c r="N745" i="91"/>
  <c r="N665" i="91"/>
  <c r="B666" i="91"/>
  <c r="N585" i="91"/>
  <c r="N446" i="91"/>
  <c r="N425" i="91"/>
  <c r="B426" i="91"/>
  <c r="N345" i="91"/>
  <c r="N265" i="91"/>
  <c r="B266" i="91"/>
  <c r="N206" i="91"/>
  <c r="N869" i="91"/>
  <c r="N857" i="91"/>
  <c r="N835" i="91"/>
  <c r="B836" i="91"/>
  <c r="N776" i="91"/>
  <c r="N755" i="91"/>
  <c r="B756" i="91"/>
  <c r="N675" i="91"/>
  <c r="B676" i="91"/>
  <c r="N616" i="91"/>
  <c r="N595" i="91"/>
  <c r="N515" i="91"/>
  <c r="B516" i="91"/>
  <c r="N456" i="91"/>
  <c r="N355" i="91"/>
  <c r="B356" i="91"/>
  <c r="N275" i="91"/>
  <c r="B276" i="91"/>
  <c r="N216" i="91"/>
  <c r="N195" i="91"/>
  <c r="N867" i="91"/>
  <c r="N775" i="91"/>
  <c r="B776" i="91"/>
  <c r="N695" i="91"/>
  <c r="B696" i="91"/>
  <c r="N636" i="91"/>
  <c r="N615" i="91"/>
  <c r="N535" i="91"/>
  <c r="B536" i="91"/>
  <c r="N476" i="91"/>
  <c r="N455" i="91"/>
  <c r="N375" i="91"/>
  <c r="B376" i="91"/>
  <c r="N316" i="91"/>
  <c r="N215" i="91"/>
  <c r="N866" i="91"/>
  <c r="N855" i="91"/>
  <c r="N726" i="91"/>
  <c r="N705" i="91"/>
  <c r="B706" i="91"/>
  <c r="N625" i="91"/>
  <c r="N545" i="91"/>
  <c r="B546" i="91"/>
  <c r="N486" i="91"/>
  <c r="N465" i="91"/>
  <c r="N385" i="91"/>
  <c r="B386" i="91"/>
  <c r="N326" i="91"/>
  <c r="N305" i="91"/>
  <c r="N166" i="91"/>
  <c r="N145" i="91"/>
  <c r="B146" i="91"/>
  <c r="N105" i="91"/>
  <c r="B106" i="91"/>
  <c r="N76" i="91"/>
  <c r="N65" i="91"/>
  <c r="B66" i="91"/>
  <c r="N36" i="91"/>
  <c r="N25" i="91"/>
  <c r="B26" i="91"/>
  <c r="N861" i="91"/>
  <c r="N795" i="91"/>
  <c r="B796" i="91"/>
  <c r="N736" i="91"/>
  <c r="N635" i="91"/>
  <c r="N555" i="91"/>
  <c r="B556" i="91"/>
  <c r="N496" i="91"/>
  <c r="N475" i="91"/>
  <c r="B476" i="91"/>
  <c r="N395" i="91"/>
  <c r="B396" i="91"/>
  <c r="N336" i="91"/>
  <c r="N315" i="91"/>
  <c r="B316" i="91"/>
  <c r="N235" i="91"/>
  <c r="B236" i="91"/>
  <c r="N176" i="91"/>
  <c r="N865" i="91"/>
  <c r="N860" i="91"/>
  <c r="N805" i="91"/>
  <c r="B806" i="91"/>
  <c r="N746" i="91"/>
  <c r="N725" i="91"/>
  <c r="N586" i="91"/>
  <c r="N565" i="91"/>
  <c r="B566" i="91"/>
  <c r="N485" i="91"/>
  <c r="B486" i="91"/>
  <c r="N405" i="91"/>
  <c r="B406" i="91"/>
  <c r="N346" i="91"/>
  <c r="N325" i="91"/>
  <c r="N245" i="91"/>
  <c r="B246" i="91"/>
  <c r="N186" i="91"/>
  <c r="N165" i="91"/>
  <c r="B166" i="91"/>
  <c r="N115" i="91"/>
  <c r="B116" i="91"/>
  <c r="N75" i="91"/>
  <c r="B76" i="91"/>
  <c r="N46" i="91"/>
  <c r="N35" i="91"/>
  <c r="B36" i="91"/>
  <c r="N56" i="91"/>
  <c r="N685" i="91"/>
  <c r="B686" i="91"/>
  <c r="N125" i="91"/>
  <c r="B126" i="91"/>
  <c r="N525" i="91"/>
  <c r="B526" i="91"/>
  <c r="N185" i="91"/>
  <c r="B186" i="91"/>
  <c r="N445" i="91"/>
  <c r="B446" i="91"/>
  <c r="N626" i="91"/>
  <c r="N285" i="91"/>
  <c r="B286" i="91"/>
  <c r="N466" i="91"/>
  <c r="N135" i="91"/>
  <c r="B136" i="91"/>
  <c r="N205" i="91"/>
  <c r="B206" i="91"/>
  <c r="N845" i="91"/>
  <c r="B846" i="91"/>
  <c r="N306" i="91"/>
  <c r="N765" i="91"/>
  <c r="B766" i="91"/>
  <c r="N856" i="91"/>
  <c r="N868" i="91"/>
  <c r="N10" i="91"/>
  <c r="W10" i="91"/>
  <c r="B216" i="91"/>
  <c r="B726" i="91"/>
  <c r="F10" i="91"/>
  <c r="B326" i="91"/>
  <c r="AE10" i="91"/>
  <c r="R10" i="91"/>
  <c r="B586" i="91"/>
  <c r="B176" i="91"/>
  <c r="B196" i="91"/>
  <c r="N7" i="91"/>
  <c r="B596" i="91"/>
  <c r="AA10" i="91"/>
  <c r="F6" i="91"/>
  <c r="AA6" i="91"/>
  <c r="B306" i="91"/>
  <c r="B456" i="91"/>
  <c r="B866" i="91"/>
  <c r="F2" i="91"/>
  <c r="AE9" i="91"/>
  <c r="B856" i="91"/>
  <c r="F3" i="91"/>
  <c r="B746" i="91"/>
  <c r="B336" i="91"/>
  <c r="B736" i="91"/>
  <c r="B636" i="91"/>
  <c r="B466" i="91"/>
  <c r="B616" i="91"/>
  <c r="B346" i="91"/>
  <c r="N9" i="91"/>
  <c r="AA9" i="91"/>
  <c r="AE6" i="91"/>
  <c r="R9" i="91"/>
  <c r="B46" i="91"/>
  <c r="N6" i="91"/>
  <c r="B626" i="91"/>
  <c r="W6" i="91"/>
  <c r="W9" i="91"/>
  <c r="B496" i="91"/>
  <c r="B56" i="91"/>
  <c r="AA7" i="91"/>
  <c r="AB7" i="91"/>
  <c r="Y7" i="91"/>
  <c r="O7" i="91"/>
  <c r="M7" i="91"/>
  <c r="F7" i="91"/>
  <c r="H7" i="91"/>
  <c r="E7" i="91"/>
  <c r="AE7" i="91"/>
  <c r="AF7" i="91"/>
  <c r="AC7" i="91"/>
  <c r="W7" i="91"/>
  <c r="X7" i="91"/>
  <c r="V7" i="91"/>
  <c r="U7" i="91"/>
  <c r="F4" i="91"/>
  <c r="R6" i="91"/>
  <c r="R7" i="91"/>
  <c r="S7" i="91"/>
  <c r="P7" i="91"/>
  <c r="AA8" i="91"/>
  <c r="AB9" i="91"/>
  <c r="Y9" i="91"/>
  <c r="R5" i="91"/>
  <c r="S6" i="91"/>
  <c r="P6" i="91"/>
  <c r="AA5" i="91"/>
  <c r="AE8" i="91"/>
  <c r="AF9" i="91"/>
  <c r="AC9" i="91"/>
  <c r="W5" i="91"/>
  <c r="N8" i="91"/>
  <c r="AE5" i="91"/>
  <c r="N5" i="91"/>
  <c r="O6" i="91"/>
  <c r="M6" i="91"/>
  <c r="R8" i="91"/>
  <c r="W8" i="91"/>
  <c r="X9" i="91"/>
  <c r="X6" i="91"/>
  <c r="X10" i="91"/>
  <c r="AB6" i="91"/>
  <c r="Y6" i="91"/>
  <c r="AB10" i="91"/>
  <c r="Y10" i="91"/>
  <c r="V9" i="91"/>
  <c r="U9" i="91"/>
  <c r="S9" i="91"/>
  <c r="P9" i="91"/>
  <c r="S10" i="91"/>
  <c r="P10" i="91"/>
  <c r="AF6" i="91"/>
  <c r="AC6" i="91"/>
  <c r="AF10" i="91"/>
  <c r="AC10" i="91"/>
  <c r="O9" i="91"/>
  <c r="M9" i="91"/>
  <c r="O10" i="91"/>
  <c r="M10" i="91"/>
  <c r="V10" i="91"/>
  <c r="U10" i="91"/>
  <c r="U6" i="91"/>
  <c r="V6" i="91"/>
  <c r="F8" i="91"/>
  <c r="H9" i="91"/>
  <c r="E9" i="91"/>
  <c r="H10" i="91"/>
  <c r="E10" i="91"/>
  <c r="F5" i="91"/>
  <c r="H6" i="91"/>
  <c r="E6" i="91"/>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E1" i="22"/>
  <c r="D91" i="28"/>
  <c r="D83" i="28"/>
  <c r="D75" i="28"/>
  <c r="D67" i="28"/>
  <c r="D59" i="28"/>
  <c r="D51" i="28"/>
  <c r="D43" i="28"/>
  <c r="D35" i="28"/>
  <c r="D27" i="28"/>
  <c r="D19" i="28"/>
  <c r="D11" i="28"/>
  <c r="D10" i="28"/>
  <c r="D93" i="28"/>
  <c r="D92" i="28"/>
  <c r="D90" i="28"/>
  <c r="D89" i="28"/>
  <c r="D88" i="28"/>
  <c r="D87" i="28"/>
  <c r="D86" i="28"/>
  <c r="D85" i="28"/>
  <c r="D84" i="28"/>
  <c r="D82" i="28"/>
  <c r="D81" i="28"/>
  <c r="D80" i="28"/>
  <c r="D79" i="28"/>
  <c r="D78" i="28"/>
  <c r="D77" i="28"/>
  <c r="D76" i="28"/>
  <c r="D74" i="28"/>
  <c r="D73" i="28"/>
  <c r="D72" i="28"/>
  <c r="D71" i="28"/>
  <c r="D70" i="28"/>
  <c r="D69" i="28"/>
  <c r="D68" i="28"/>
  <c r="D66" i="28"/>
  <c r="D65" i="28"/>
  <c r="D64" i="28"/>
  <c r="D63" i="28"/>
  <c r="D62" i="28"/>
  <c r="D61" i="28"/>
  <c r="D60" i="28"/>
  <c r="D58" i="28"/>
  <c r="D57" i="28"/>
  <c r="D56" i="28"/>
  <c r="D55" i="28"/>
  <c r="D54" i="28"/>
  <c r="D53" i="28"/>
  <c r="D52" i="28"/>
  <c r="D50" i="28"/>
  <c r="D49" i="28"/>
  <c r="D48" i="28"/>
  <c r="D47" i="28"/>
  <c r="D46" i="28"/>
  <c r="D45" i="28"/>
  <c r="D44" i="28"/>
  <c r="D42" i="28"/>
  <c r="D41" i="28"/>
  <c r="D40" i="28"/>
  <c r="D39" i="28"/>
  <c r="D38" i="28"/>
  <c r="D37" i="28"/>
  <c r="D36" i="28"/>
  <c r="D34" i="28"/>
  <c r="D33" i="28"/>
  <c r="D32" i="28"/>
  <c r="D31" i="28"/>
  <c r="D30" i="28"/>
  <c r="D29" i="28"/>
  <c r="D28" i="28"/>
  <c r="D26" i="28"/>
  <c r="D25" i="28"/>
  <c r="D24" i="28"/>
  <c r="D23" i="28"/>
  <c r="D22" i="28"/>
  <c r="D21" i="28"/>
  <c r="D20" i="28"/>
  <c r="D18" i="28"/>
  <c r="D17" i="28"/>
  <c r="D16" i="28"/>
  <c r="D15" i="28"/>
  <c r="D14" i="28"/>
  <c r="D13" i="28"/>
  <c r="D12" i="28"/>
  <c r="E59" i="28"/>
  <c r="E66" i="28"/>
  <c r="E29" i="28"/>
  <c r="E37" i="28"/>
  <c r="E44" i="28"/>
  <c r="E51" i="28"/>
  <c r="E57" i="28"/>
  <c r="E63" i="28"/>
  <c r="E69" i="28"/>
  <c r="E75" i="28"/>
  <c r="E81" i="28"/>
  <c r="E30" i="28"/>
  <c r="E45" i="28"/>
  <c r="E58" i="28"/>
  <c r="E64" i="28"/>
  <c r="E70" i="28"/>
  <c r="E76" i="28"/>
  <c r="E82" i="28"/>
  <c r="E88" i="28"/>
  <c r="E52" i="28"/>
  <c r="E65" i="28"/>
  <c r="E71" i="28"/>
  <c r="E77" i="28"/>
  <c r="E83" i="28"/>
  <c r="E89" i="28"/>
  <c r="E23" i="28"/>
  <c r="E32" i="28"/>
  <c r="E39" i="28"/>
  <c r="E46" i="28"/>
  <c r="E72" i="28"/>
  <c r="E78" i="28"/>
  <c r="E84" i="28"/>
  <c r="E90" i="28"/>
  <c r="E11" i="28"/>
  <c r="E25" i="28"/>
  <c r="E19" i="28"/>
  <c r="E33" i="28"/>
  <c r="E40" i="28"/>
  <c r="E47" i="28"/>
  <c r="E53" i="28"/>
  <c r="E79" i="28"/>
  <c r="E85" i="28"/>
  <c r="E91" i="28"/>
  <c r="E12" i="28"/>
  <c r="E26" i="28"/>
  <c r="E20" i="28"/>
  <c r="E34" i="28"/>
  <c r="E41" i="28"/>
  <c r="E48" i="28"/>
  <c r="E54" i="28"/>
  <c r="E60" i="28"/>
  <c r="E73" i="28"/>
  <c r="E86" i="28"/>
  <c r="E92" i="28"/>
  <c r="E13" i="28"/>
  <c r="E27" i="28"/>
  <c r="E21" i="28"/>
  <c r="E35" i="28"/>
  <c r="E42" i="28"/>
  <c r="E49" i="28"/>
  <c r="E55" i="28"/>
  <c r="E61" i="28"/>
  <c r="E67" i="28"/>
  <c r="E80" i="28"/>
  <c r="E93" i="28"/>
  <c r="E28" i="28"/>
  <c r="E22" i="28"/>
  <c r="E36" i="28"/>
  <c r="E43" i="28"/>
  <c r="E50" i="28"/>
  <c r="E56" i="28"/>
  <c r="E62" i="28"/>
  <c r="E68" i="28"/>
  <c r="E74" i="28"/>
  <c r="E87" i="28"/>
  <c r="E31" i="28"/>
  <c r="E24" i="28"/>
  <c r="E38" i="28"/>
  <c r="E14" i="28"/>
  <c r="E17" i="28"/>
  <c r="E18" i="28"/>
  <c r="E15" i="28"/>
  <c r="E16" i="28"/>
  <c r="E10" i="28"/>
  <c r="F36" i="28"/>
  <c r="F22" i="28"/>
  <c r="F85" i="28"/>
  <c r="F92" i="28"/>
  <c r="F64" i="28"/>
  <c r="F71" i="28"/>
  <c r="F50" i="28"/>
  <c r="F78" i="28"/>
  <c r="F57" i="28"/>
  <c r="F29" i="28"/>
  <c r="F43" i="28"/>
  <c r="F15" i="28"/>
  <c r="B82" i="28"/>
  <c r="B89" i="28"/>
  <c r="B81" i="28"/>
  <c r="B88" i="28"/>
  <c r="B80" i="28"/>
  <c r="B87" i="28"/>
  <c r="B68" i="28"/>
  <c r="B75" i="28"/>
  <c r="B67" i="28"/>
  <c r="B74" i="28"/>
  <c r="B66" i="28"/>
  <c r="B73" i="28"/>
  <c r="B54" i="28"/>
  <c r="B61" i="28"/>
  <c r="B53" i="28"/>
  <c r="B60" i="28"/>
  <c r="B52" i="28"/>
  <c r="B59" i="28"/>
  <c r="B40" i="28"/>
  <c r="B47" i="28"/>
  <c r="B39" i="28"/>
  <c r="B46" i="28"/>
  <c r="B38" i="28"/>
  <c r="B45" i="28"/>
  <c r="B17" i="28"/>
  <c r="B10" i="28"/>
  <c r="B26" i="28"/>
  <c r="B33" i="28"/>
  <c r="B25" i="28"/>
  <c r="B32" i="28"/>
  <c r="B24" i="28"/>
  <c r="B31" i="28"/>
  <c r="B7" i="28"/>
  <c r="B6" i="28"/>
  <c r="C16" i="28"/>
  <c r="C14" i="28"/>
  <c r="C13" i="28"/>
  <c r="C12" i="28"/>
  <c r="C11" i="28"/>
  <c r="C10" i="28"/>
  <c r="F81" i="28"/>
  <c r="F25" i="28"/>
  <c r="F53" i="28"/>
  <c r="F41" i="28"/>
  <c r="F44" i="28"/>
  <c r="F46" i="28"/>
  <c r="F48" i="28"/>
  <c r="F51" i="28"/>
  <c r="F69" i="28"/>
  <c r="F72" i="28"/>
  <c r="F74" i="28"/>
  <c r="F76" i="28"/>
  <c r="F79" i="28"/>
  <c r="F33" i="28"/>
  <c r="F35" i="28"/>
  <c r="F40" i="28"/>
  <c r="F42" i="28"/>
  <c r="F61" i="28"/>
  <c r="F63" i="28"/>
  <c r="F68" i="28"/>
  <c r="F70" i="28"/>
  <c r="F89" i="28"/>
  <c r="F91" i="28"/>
  <c r="F82" i="28"/>
  <c r="F54" i="28"/>
  <c r="F26" i="28"/>
  <c r="F84" i="28"/>
  <c r="F56" i="28"/>
  <c r="F28" i="28"/>
  <c r="F67" i="28"/>
  <c r="F93" i="28"/>
  <c r="F88" i="28"/>
  <c r="F83" i="28"/>
  <c r="F65" i="28"/>
  <c r="F60" i="28"/>
  <c r="F55" i="28"/>
  <c r="F37" i="28"/>
  <c r="F32" i="28"/>
  <c r="F27" i="28"/>
  <c r="F13" i="28"/>
  <c r="F23" i="28"/>
  <c r="F16" i="28"/>
  <c r="F12" i="28"/>
  <c r="F90" i="28"/>
  <c r="F86" i="28"/>
  <c r="F62" i="28"/>
  <c r="F58" i="28"/>
  <c r="F39" i="28"/>
  <c r="F34" i="28"/>
  <c r="F30" i="28"/>
  <c r="F75" i="28"/>
  <c r="F47" i="28"/>
  <c r="F52" i="28"/>
  <c r="F80" i="28"/>
  <c r="F59" i="28"/>
  <c r="F87" i="28"/>
  <c r="F21" i="28"/>
  <c r="F38" i="28"/>
  <c r="F66" i="28"/>
  <c r="F45" i="28"/>
  <c r="F73" i="28"/>
  <c r="F24" i="28"/>
  <c r="F18" i="28"/>
  <c r="F11" i="28"/>
  <c r="F77" i="28"/>
  <c r="F49" i="28"/>
  <c r="F31" i="28"/>
  <c r="F14" i="28"/>
  <c r="F20" i="28"/>
  <c r="F17" i="28"/>
  <c r="F19" i="28"/>
  <c r="F10" i="28"/>
  <c r="E24" i="18"/>
  <c r="J27" i="18"/>
  <c r="AV27" i="18"/>
  <c r="AS27" i="18"/>
  <c r="AI27" i="18"/>
  <c r="L27" i="18"/>
  <c r="AT27" i="18"/>
  <c r="AU27" i="18"/>
  <c r="J26" i="18"/>
  <c r="AV26" i="18"/>
  <c r="AS26" i="18"/>
  <c r="AI26" i="18"/>
  <c r="L26" i="18"/>
  <c r="AT26" i="18"/>
  <c r="AU26" i="18"/>
  <c r="AI5" i="18"/>
  <c r="AX5" i="18"/>
  <c r="AI6" i="18"/>
  <c r="AX6" i="18"/>
  <c r="AI7" i="18"/>
  <c r="AX7" i="18"/>
  <c r="AI8" i="18"/>
  <c r="AX8" i="18"/>
  <c r="AI9" i="18"/>
  <c r="AX9" i="18"/>
  <c r="AI10" i="18"/>
  <c r="AX10" i="18"/>
  <c r="AI11" i="18"/>
  <c r="AX11" i="18"/>
  <c r="AI12" i="18"/>
  <c r="AX12" i="18"/>
  <c r="AI13" i="18"/>
  <c r="AX13" i="18"/>
  <c r="AI14" i="18"/>
  <c r="AX14" i="18"/>
  <c r="AI15" i="18"/>
  <c r="AX15" i="18"/>
  <c r="AI16" i="18"/>
  <c r="AX16" i="18"/>
  <c r="AI17" i="18"/>
  <c r="AX17" i="18"/>
  <c r="AI18" i="18"/>
  <c r="AX18" i="18"/>
  <c r="AI19" i="18"/>
  <c r="AX19" i="18"/>
  <c r="AI20" i="18"/>
  <c r="AX20" i="18"/>
  <c r="AI21" i="18"/>
  <c r="AX21" i="18"/>
  <c r="AX25" i="18"/>
  <c r="AS5" i="18"/>
  <c r="AS6" i="18"/>
  <c r="AS7" i="18"/>
  <c r="AS8" i="18"/>
  <c r="AS9" i="18"/>
  <c r="AS10" i="18"/>
  <c r="AS11" i="18"/>
  <c r="AS12" i="18"/>
  <c r="AS13" i="18"/>
  <c r="AS14" i="18"/>
  <c r="AS15" i="18"/>
  <c r="AS16" i="18"/>
  <c r="AS17" i="18"/>
  <c r="AS18" i="18"/>
  <c r="AS19" i="18"/>
  <c r="AS20" i="18"/>
  <c r="AS21" i="18"/>
  <c r="AS23" i="18"/>
  <c r="AZ23" i="18"/>
  <c r="AJ23" i="18"/>
  <c r="AY23" i="18"/>
  <c r="AI23" i="18"/>
  <c r="AX23" i="18"/>
  <c r="L5" i="18"/>
  <c r="L6" i="18"/>
  <c r="L7" i="18"/>
  <c r="L8" i="18"/>
  <c r="L9" i="18"/>
  <c r="L10" i="18"/>
  <c r="L11" i="18"/>
  <c r="L12" i="18"/>
  <c r="L13" i="18"/>
  <c r="L14" i="18"/>
  <c r="L15" i="18"/>
  <c r="L16" i="18"/>
  <c r="L17" i="18"/>
  <c r="L18" i="18"/>
  <c r="L19" i="18"/>
  <c r="L20" i="18"/>
  <c r="L21" i="18"/>
  <c r="L23" i="18"/>
  <c r="AW23" i="18"/>
  <c r="J5" i="18"/>
  <c r="J6" i="18"/>
  <c r="J7" i="18"/>
  <c r="J8" i="18"/>
  <c r="J9" i="18"/>
  <c r="J10" i="18"/>
  <c r="J11" i="18"/>
  <c r="J12" i="18"/>
  <c r="J13" i="18"/>
  <c r="J14" i="18"/>
  <c r="J15" i="18"/>
  <c r="J16" i="18"/>
  <c r="J17" i="18"/>
  <c r="J18" i="18"/>
  <c r="J19" i="18"/>
  <c r="J20" i="18"/>
  <c r="J21" i="18"/>
  <c r="J23" i="18"/>
  <c r="AV23" i="18"/>
  <c r="AT5" i="18"/>
  <c r="AT6" i="18"/>
  <c r="AT7" i="18"/>
  <c r="AT8" i="18"/>
  <c r="AT9" i="18"/>
  <c r="AT10" i="18"/>
  <c r="AT11" i="18"/>
  <c r="AT12" i="18"/>
  <c r="AT13" i="18"/>
  <c r="AT14" i="18"/>
  <c r="AT15" i="18"/>
  <c r="AT16" i="18"/>
  <c r="AT17" i="18"/>
  <c r="AT18" i="18"/>
  <c r="AT19" i="18"/>
  <c r="AT20" i="18"/>
  <c r="AT21" i="18"/>
  <c r="AT23" i="18"/>
  <c r="AU23" i="18"/>
  <c r="AR23" i="18"/>
  <c r="AQ23" i="18"/>
  <c r="AP23" i="18"/>
  <c r="AO23" i="18"/>
  <c r="AN23" i="18"/>
  <c r="AM23" i="18"/>
  <c r="AL23" i="18"/>
  <c r="AK23" i="18"/>
  <c r="AH23" i="18"/>
  <c r="AG23" i="18"/>
  <c r="AF23" i="18"/>
  <c r="AE23" i="18"/>
  <c r="AD23" i="18"/>
  <c r="AB23" i="18"/>
  <c r="X23" i="18"/>
  <c r="W23" i="18"/>
  <c r="V23" i="18"/>
  <c r="U23" i="18"/>
  <c r="T23" i="18"/>
  <c r="S23" i="18"/>
  <c r="R23" i="18"/>
  <c r="Q23" i="18"/>
  <c r="P23" i="18"/>
  <c r="O23" i="18"/>
  <c r="N23" i="18"/>
  <c r="M23" i="18"/>
  <c r="K23" i="18"/>
  <c r="I23" i="18"/>
  <c r="AZ21" i="18"/>
  <c r="AY21" i="18"/>
  <c r="AW21" i="18"/>
  <c r="AV21" i="18"/>
  <c r="AU21" i="18"/>
  <c r="AZ20" i="18"/>
  <c r="AY20" i="18"/>
  <c r="AW20" i="18"/>
  <c r="AV20" i="18"/>
  <c r="AU20" i="18"/>
  <c r="AZ19" i="18"/>
  <c r="AY19" i="18"/>
  <c r="AW19" i="18"/>
  <c r="AV19" i="18"/>
  <c r="AU19" i="18"/>
  <c r="AZ18" i="18"/>
  <c r="AY18" i="18"/>
  <c r="AW18" i="18"/>
  <c r="AV18" i="18"/>
  <c r="AU18" i="18"/>
  <c r="AZ17" i="18"/>
  <c r="AY17" i="18"/>
  <c r="AW17" i="18"/>
  <c r="AV17" i="18"/>
  <c r="AU17" i="18"/>
  <c r="AZ16" i="18"/>
  <c r="AY16" i="18"/>
  <c r="AW16" i="18"/>
  <c r="AV16" i="18"/>
  <c r="AU16" i="18"/>
  <c r="AZ15" i="18"/>
  <c r="AY15" i="18"/>
  <c r="AW15" i="18"/>
  <c r="AV15" i="18"/>
  <c r="AU15" i="18"/>
  <c r="AZ14" i="18"/>
  <c r="AY14" i="18"/>
  <c r="AW14" i="18"/>
  <c r="AV14" i="18"/>
  <c r="AU14" i="18"/>
  <c r="AZ13" i="18"/>
  <c r="AY13" i="18"/>
  <c r="AW13" i="18"/>
  <c r="AV13" i="18"/>
  <c r="AU13" i="18"/>
  <c r="AZ12" i="18"/>
  <c r="AY12" i="18"/>
  <c r="AW12" i="18"/>
  <c r="AV12" i="18"/>
  <c r="AU12" i="18"/>
  <c r="AZ11" i="18"/>
  <c r="AY11" i="18"/>
  <c r="AW11" i="18"/>
  <c r="AV11" i="18"/>
  <c r="AU11" i="18"/>
  <c r="AZ10" i="18"/>
  <c r="AY10" i="18"/>
  <c r="AW10" i="18"/>
  <c r="AV10" i="18"/>
  <c r="AU10" i="18"/>
  <c r="AZ9" i="18"/>
  <c r="AY9" i="18"/>
  <c r="AW9" i="18"/>
  <c r="AV9" i="18"/>
  <c r="AU9" i="18"/>
  <c r="AZ8" i="18"/>
  <c r="AY8" i="18"/>
  <c r="AW8" i="18"/>
  <c r="AV8" i="18"/>
  <c r="AU8" i="18"/>
  <c r="AZ7" i="18"/>
  <c r="AY7" i="18"/>
  <c r="AW7" i="18"/>
  <c r="AV7" i="18"/>
  <c r="AU7" i="18"/>
  <c r="AZ6" i="18"/>
  <c r="AY6" i="18"/>
  <c r="AW6" i="18"/>
  <c r="AV6" i="18"/>
  <c r="AU6" i="18"/>
  <c r="AZ5" i="18"/>
  <c r="AY5" i="18"/>
  <c r="AW5" i="18"/>
  <c r="AV5" i="18"/>
  <c r="AU5" i="18"/>
  <c r="CU244" i="41"/>
  <c r="BA5" i="19"/>
  <c r="AQ5" i="19"/>
  <c r="T5" i="19"/>
  <c r="R5" i="19"/>
  <c r="BB5" i="19"/>
  <c r="BA6" i="19"/>
  <c r="AQ6" i="19"/>
  <c r="T6" i="19"/>
  <c r="R6" i="19"/>
  <c r="BB6" i="19"/>
  <c r="BA7" i="19"/>
  <c r="AQ7" i="19"/>
  <c r="T7" i="19"/>
  <c r="R7" i="19"/>
  <c r="BB7" i="19"/>
  <c r="BA8" i="19"/>
  <c r="AQ8" i="19"/>
  <c r="T8" i="19"/>
  <c r="R8" i="19"/>
  <c r="BB8" i="19"/>
  <c r="BA9" i="19"/>
  <c r="AQ9" i="19"/>
  <c r="T9" i="19"/>
  <c r="R9" i="19"/>
  <c r="BB9" i="19"/>
  <c r="BA10" i="19"/>
  <c r="AQ10" i="19"/>
  <c r="T10" i="19"/>
  <c r="R10" i="19"/>
  <c r="BB10" i="19"/>
  <c r="BA11" i="19"/>
  <c r="AQ11" i="19"/>
  <c r="T11" i="19"/>
  <c r="R11" i="19"/>
  <c r="BB11" i="19"/>
  <c r="BA12" i="19"/>
  <c r="AQ12" i="19"/>
  <c r="T12" i="19"/>
  <c r="R12" i="19"/>
  <c r="BB12" i="19"/>
  <c r="BA13" i="19"/>
  <c r="AQ13" i="19"/>
  <c r="T13" i="19"/>
  <c r="R13" i="19"/>
  <c r="BB13" i="19"/>
  <c r="BA14" i="19"/>
  <c r="AQ14" i="19"/>
  <c r="T14" i="19"/>
  <c r="R14" i="19"/>
  <c r="BB14" i="19"/>
  <c r="BA15" i="19"/>
  <c r="AQ15" i="19"/>
  <c r="T15" i="19"/>
  <c r="R15" i="19"/>
  <c r="BB15" i="19"/>
  <c r="BA16" i="19"/>
  <c r="AQ16" i="19"/>
  <c r="T16" i="19"/>
  <c r="R16" i="19"/>
  <c r="BB16" i="19"/>
  <c r="BA17" i="19"/>
  <c r="AQ17" i="19"/>
  <c r="T17" i="19"/>
  <c r="R17" i="19"/>
  <c r="BB17" i="19"/>
  <c r="BA18" i="19"/>
  <c r="AQ18" i="19"/>
  <c r="T18" i="19"/>
  <c r="R18" i="19"/>
  <c r="BB18" i="19"/>
  <c r="BA19" i="19"/>
  <c r="AQ19" i="19"/>
  <c r="T19" i="19"/>
  <c r="R19" i="19"/>
  <c r="BB19" i="19"/>
  <c r="BA20" i="19"/>
  <c r="AQ20" i="19"/>
  <c r="T20" i="19"/>
  <c r="R20" i="19"/>
  <c r="BB20" i="19"/>
  <c r="BA21" i="19"/>
  <c r="AQ21" i="19"/>
  <c r="T21" i="19"/>
  <c r="R21" i="19"/>
  <c r="BB21" i="19"/>
  <c r="BA22" i="19"/>
  <c r="AQ22" i="19"/>
  <c r="T22" i="19"/>
  <c r="R22" i="19"/>
  <c r="BB22" i="19"/>
  <c r="BA23" i="19"/>
  <c r="AQ23" i="19"/>
  <c r="T23" i="19"/>
  <c r="R23" i="19"/>
  <c r="BB23" i="19"/>
  <c r="BA24" i="19"/>
  <c r="AQ24" i="19"/>
  <c r="T24" i="19"/>
  <c r="R24" i="19"/>
  <c r="BB24" i="19"/>
  <c r="BA25" i="19"/>
  <c r="AQ25" i="19"/>
  <c r="T25" i="19"/>
  <c r="R25" i="19"/>
  <c r="BB25" i="19"/>
  <c r="BA26" i="19"/>
  <c r="AQ26" i="19"/>
  <c r="T26" i="19"/>
  <c r="R26" i="19"/>
  <c r="BB26" i="19"/>
  <c r="BA27" i="19"/>
  <c r="AQ27" i="19"/>
  <c r="T27" i="19"/>
  <c r="R27" i="19"/>
  <c r="BB27" i="19"/>
  <c r="BA28" i="19"/>
  <c r="AQ28" i="19"/>
  <c r="T28" i="19"/>
  <c r="R28" i="19"/>
  <c r="BB28" i="19"/>
  <c r="BA29" i="19"/>
  <c r="AQ29" i="19"/>
  <c r="T29" i="19"/>
  <c r="R29" i="19"/>
  <c r="BB29" i="19"/>
  <c r="BA30" i="19"/>
  <c r="AQ30" i="19"/>
  <c r="T30" i="19"/>
  <c r="R30" i="19"/>
  <c r="BB30" i="19"/>
  <c r="BA31" i="19"/>
  <c r="AQ31" i="19"/>
  <c r="T31" i="19"/>
  <c r="R31" i="19"/>
  <c r="BB31" i="19"/>
  <c r="BA32" i="19"/>
  <c r="AQ32" i="19"/>
  <c r="T32" i="19"/>
  <c r="R32" i="19"/>
  <c r="BB32" i="19"/>
  <c r="BA33" i="19"/>
  <c r="AQ33" i="19"/>
  <c r="T33" i="19"/>
  <c r="R33" i="19"/>
  <c r="BB33" i="19"/>
  <c r="BA34" i="19"/>
  <c r="AQ34" i="19"/>
  <c r="T34" i="19"/>
  <c r="R34" i="19"/>
  <c r="BB34" i="19"/>
  <c r="BA35" i="19"/>
  <c r="AQ35" i="19"/>
  <c r="T35" i="19"/>
  <c r="R35" i="19"/>
  <c r="BB35" i="19"/>
  <c r="BA36" i="19"/>
  <c r="AQ36" i="19"/>
  <c r="T36" i="19"/>
  <c r="R36" i="19"/>
  <c r="BB36" i="19"/>
  <c r="BA37" i="19"/>
  <c r="AQ37" i="19"/>
  <c r="T37" i="19"/>
  <c r="R37" i="19"/>
  <c r="BB37" i="19"/>
  <c r="BA38" i="19"/>
  <c r="AQ38" i="19"/>
  <c r="T38" i="19"/>
  <c r="R38" i="19"/>
  <c r="BB38" i="19"/>
  <c r="BA39" i="19"/>
  <c r="AQ39" i="19"/>
  <c r="T39" i="19"/>
  <c r="R39" i="19"/>
  <c r="BB39" i="19"/>
  <c r="BA40" i="19"/>
  <c r="AQ40" i="19"/>
  <c r="T40" i="19"/>
  <c r="R40" i="19"/>
  <c r="BB40" i="19"/>
  <c r="BA41" i="19"/>
  <c r="AQ41" i="19"/>
  <c r="T41" i="19"/>
  <c r="R41" i="19"/>
  <c r="BB41" i="19"/>
  <c r="BA42" i="19"/>
  <c r="AQ42" i="19"/>
  <c r="T42" i="19"/>
  <c r="R42" i="19"/>
  <c r="BB42" i="19"/>
  <c r="BA43" i="19"/>
  <c r="AQ43" i="19"/>
  <c r="T43" i="19"/>
  <c r="R43" i="19"/>
  <c r="BB43" i="19"/>
  <c r="BA44" i="19"/>
  <c r="AQ44" i="19"/>
  <c r="T44" i="19"/>
  <c r="R44" i="19"/>
  <c r="BB44" i="19"/>
  <c r="BA45" i="19"/>
  <c r="AQ45" i="19"/>
  <c r="T45" i="19"/>
  <c r="R45" i="19"/>
  <c r="BB45" i="19"/>
  <c r="BA46" i="19"/>
  <c r="AQ46" i="19"/>
  <c r="T46" i="19"/>
  <c r="R46" i="19"/>
  <c r="BB46" i="19"/>
  <c r="BA47" i="19"/>
  <c r="AQ47" i="19"/>
  <c r="T47" i="19"/>
  <c r="R47" i="19"/>
  <c r="BB47" i="19"/>
  <c r="BA48" i="19"/>
  <c r="AQ48" i="19"/>
  <c r="T48" i="19"/>
  <c r="R48" i="19"/>
  <c r="BB48" i="19"/>
  <c r="BA49" i="19"/>
  <c r="AQ49" i="19"/>
  <c r="T49" i="19"/>
  <c r="R49" i="19"/>
  <c r="BB49" i="19"/>
  <c r="BA50" i="19"/>
  <c r="AQ50" i="19"/>
  <c r="T50" i="19"/>
  <c r="R50" i="19"/>
  <c r="BB50" i="19"/>
  <c r="BA51" i="19"/>
  <c r="AQ51" i="19"/>
  <c r="T51" i="19"/>
  <c r="R51" i="19"/>
  <c r="BB51" i="19"/>
  <c r="BA52" i="19"/>
  <c r="AQ52" i="19"/>
  <c r="T52" i="19"/>
  <c r="R52" i="19"/>
  <c r="BB52" i="19"/>
  <c r="BA53" i="19"/>
  <c r="AQ53" i="19"/>
  <c r="T53" i="19"/>
  <c r="R53" i="19"/>
  <c r="BB53" i="19"/>
  <c r="BA54" i="19"/>
  <c r="AQ54" i="19"/>
  <c r="T54" i="19"/>
  <c r="R54" i="19"/>
  <c r="BB54" i="19"/>
  <c r="BA55" i="19"/>
  <c r="AQ55" i="19"/>
  <c r="T55" i="19"/>
  <c r="R55" i="19"/>
  <c r="BB55" i="19"/>
  <c r="BA56" i="19"/>
  <c r="AQ56" i="19"/>
  <c r="T56" i="19"/>
  <c r="R56" i="19"/>
  <c r="BB56" i="19"/>
  <c r="BA57" i="19"/>
  <c r="AQ57" i="19"/>
  <c r="T57" i="19"/>
  <c r="R57" i="19"/>
  <c r="BB57" i="19"/>
  <c r="BA58" i="19"/>
  <c r="AQ58" i="19"/>
  <c r="T58" i="19"/>
  <c r="R58" i="19"/>
  <c r="BB58" i="19"/>
  <c r="BA59" i="19"/>
  <c r="AQ59" i="19"/>
  <c r="T59" i="19"/>
  <c r="R59" i="19"/>
  <c r="BB59" i="19"/>
  <c r="BA60" i="19"/>
  <c r="AQ60" i="19"/>
  <c r="T60" i="19"/>
  <c r="R60" i="19"/>
  <c r="BB60" i="19"/>
  <c r="BA61" i="19"/>
  <c r="AQ61" i="19"/>
  <c r="T61" i="19"/>
  <c r="R61" i="19"/>
  <c r="BB61" i="19"/>
  <c r="BA62" i="19"/>
  <c r="AQ62" i="19"/>
  <c r="T62" i="19"/>
  <c r="R62" i="19"/>
  <c r="BB62" i="19"/>
  <c r="BA63" i="19"/>
  <c r="AQ63" i="19"/>
  <c r="T63" i="19"/>
  <c r="R63" i="19"/>
  <c r="BB63" i="19"/>
  <c r="BA64" i="19"/>
  <c r="AQ64" i="19"/>
  <c r="T64" i="19"/>
  <c r="R64" i="19"/>
  <c r="BB64" i="19"/>
  <c r="BA65" i="19"/>
  <c r="AQ65" i="19"/>
  <c r="T65" i="19"/>
  <c r="R65" i="19"/>
  <c r="BB65" i="19"/>
  <c r="BA66" i="19"/>
  <c r="AQ66" i="19"/>
  <c r="T66" i="19"/>
  <c r="R66" i="19"/>
  <c r="BB66" i="19"/>
  <c r="BA67" i="19"/>
  <c r="AQ67" i="19"/>
  <c r="T67" i="19"/>
  <c r="R67" i="19"/>
  <c r="BB67" i="19"/>
  <c r="BA68" i="19"/>
  <c r="AQ68" i="19"/>
  <c r="T68" i="19"/>
  <c r="R68" i="19"/>
  <c r="BB68" i="19"/>
  <c r="BA69" i="19"/>
  <c r="AQ69" i="19"/>
  <c r="T69" i="19"/>
  <c r="R69" i="19"/>
  <c r="BB69" i="19"/>
  <c r="BA70" i="19"/>
  <c r="AQ70" i="19"/>
  <c r="T70" i="19"/>
  <c r="R70" i="19"/>
  <c r="BB70" i="19"/>
  <c r="BA71" i="19"/>
  <c r="AQ71" i="19"/>
  <c r="T71" i="19"/>
  <c r="R71" i="19"/>
  <c r="BB71" i="19"/>
  <c r="BA72" i="19"/>
  <c r="AQ72" i="19"/>
  <c r="T72" i="19"/>
  <c r="R72" i="19"/>
  <c r="BB72" i="19"/>
  <c r="BA73" i="19"/>
  <c r="AQ73" i="19"/>
  <c r="T73" i="19"/>
  <c r="R73" i="19"/>
  <c r="BB73" i="19"/>
  <c r="BA74" i="19"/>
  <c r="AQ74" i="19"/>
  <c r="T74" i="19"/>
  <c r="R74" i="19"/>
  <c r="BB74" i="19"/>
  <c r="BA75" i="19"/>
  <c r="AQ75" i="19"/>
  <c r="T75" i="19"/>
  <c r="R75" i="19"/>
  <c r="BB75" i="19"/>
  <c r="BA76" i="19"/>
  <c r="AQ76" i="19"/>
  <c r="T76" i="19"/>
  <c r="R76" i="19"/>
  <c r="BB76" i="19"/>
  <c r="BA77" i="19"/>
  <c r="AQ77" i="19"/>
  <c r="T77" i="19"/>
  <c r="R77" i="19"/>
  <c r="BB77" i="19"/>
  <c r="BA78" i="19"/>
  <c r="AQ78" i="19"/>
  <c r="T78" i="19"/>
  <c r="R78" i="19"/>
  <c r="BB78" i="19"/>
  <c r="BA79" i="19"/>
  <c r="AQ79" i="19"/>
  <c r="T79" i="19"/>
  <c r="R79" i="19"/>
  <c r="BB79" i="19"/>
  <c r="BA80" i="19"/>
  <c r="AQ80" i="19"/>
  <c r="T80" i="19"/>
  <c r="R80" i="19"/>
  <c r="BB80" i="19"/>
  <c r="BA81" i="19"/>
  <c r="AQ81" i="19"/>
  <c r="T81" i="19"/>
  <c r="R81" i="19"/>
  <c r="BB81" i="19"/>
  <c r="BA82" i="19"/>
  <c r="AQ82" i="19"/>
  <c r="T82" i="19"/>
  <c r="R82" i="19"/>
  <c r="BB82" i="19"/>
  <c r="BA83" i="19"/>
  <c r="AQ83" i="19"/>
  <c r="T83" i="19"/>
  <c r="R83" i="19"/>
  <c r="BB83" i="19"/>
  <c r="BA84" i="19"/>
  <c r="AQ84" i="19"/>
  <c r="T84" i="19"/>
  <c r="R84" i="19"/>
  <c r="BB84" i="19"/>
  <c r="BA85" i="19"/>
  <c r="AQ85" i="19"/>
  <c r="T85" i="19"/>
  <c r="R85" i="19"/>
  <c r="BB85" i="19"/>
  <c r="BA86" i="19"/>
  <c r="AQ86" i="19"/>
  <c r="T86" i="19"/>
  <c r="R86" i="19"/>
  <c r="BB86" i="19"/>
  <c r="BA87" i="19"/>
  <c r="AQ87" i="19"/>
  <c r="T87" i="19"/>
  <c r="R87" i="19"/>
  <c r="BB87" i="19"/>
  <c r="BA88" i="19"/>
  <c r="AQ88" i="19"/>
  <c r="T88" i="19"/>
  <c r="R88" i="19"/>
  <c r="BB88" i="19"/>
  <c r="BA89" i="19"/>
  <c r="AQ89" i="19"/>
  <c r="T89" i="19"/>
  <c r="R89" i="19"/>
  <c r="BB89" i="19"/>
  <c r="BA90" i="19"/>
  <c r="AQ90" i="19"/>
  <c r="T90" i="19"/>
  <c r="R90" i="19"/>
  <c r="BB90" i="19"/>
  <c r="BA91" i="19"/>
  <c r="AQ91" i="19"/>
  <c r="T91" i="19"/>
  <c r="R91" i="19"/>
  <c r="BB91" i="19"/>
  <c r="BA92" i="19"/>
  <c r="AQ92" i="19"/>
  <c r="T92" i="19"/>
  <c r="R92" i="19"/>
  <c r="BB92" i="19"/>
  <c r="BA93" i="19"/>
  <c r="AQ93" i="19"/>
  <c r="T93" i="19"/>
  <c r="R93" i="19"/>
  <c r="BB93" i="19"/>
  <c r="BA94" i="19"/>
  <c r="AQ94" i="19"/>
  <c r="T94" i="19"/>
  <c r="R94" i="19"/>
  <c r="BB94" i="19"/>
  <c r="BA95" i="19"/>
  <c r="AQ95" i="19"/>
  <c r="T95" i="19"/>
  <c r="R95" i="19"/>
  <c r="BB95" i="19"/>
  <c r="BA96" i="19"/>
  <c r="AQ96" i="19"/>
  <c r="T96" i="19"/>
  <c r="R96" i="19"/>
  <c r="BB96" i="19"/>
  <c r="BA97" i="19"/>
  <c r="AQ97" i="19"/>
  <c r="T97" i="19"/>
  <c r="R97" i="19"/>
  <c r="BB97" i="19"/>
  <c r="BA98" i="19"/>
  <c r="AQ98" i="19"/>
  <c r="T98" i="19"/>
  <c r="R98" i="19"/>
  <c r="BB98" i="19"/>
  <c r="BA99" i="19"/>
  <c r="AQ99" i="19"/>
  <c r="T99" i="19"/>
  <c r="R99" i="19"/>
  <c r="BB99" i="19"/>
  <c r="BA100" i="19"/>
  <c r="AQ100" i="19"/>
  <c r="T100" i="19"/>
  <c r="R100" i="19"/>
  <c r="BB100" i="19"/>
  <c r="BA101" i="19"/>
  <c r="AQ101" i="19"/>
  <c r="T101" i="19"/>
  <c r="R101" i="19"/>
  <c r="BB101" i="19"/>
  <c r="BA102" i="19"/>
  <c r="AQ102" i="19"/>
  <c r="T102" i="19"/>
  <c r="R102" i="19"/>
  <c r="BB102" i="19"/>
  <c r="BA103" i="19"/>
  <c r="AQ103" i="19"/>
  <c r="T103" i="19"/>
  <c r="R103" i="19"/>
  <c r="BB103" i="19"/>
  <c r="BA104" i="19"/>
  <c r="AQ104" i="19"/>
  <c r="T104" i="19"/>
  <c r="R104" i="19"/>
  <c r="BB104" i="19"/>
  <c r="BA105" i="19"/>
  <c r="AQ105" i="19"/>
  <c r="T105" i="19"/>
  <c r="R105" i="19"/>
  <c r="BB105" i="19"/>
  <c r="BA106" i="19"/>
  <c r="AQ106" i="19"/>
  <c r="T106" i="19"/>
  <c r="R106" i="19"/>
  <c r="BB106" i="19"/>
  <c r="BA107" i="19"/>
  <c r="AQ107" i="19"/>
  <c r="T107" i="19"/>
  <c r="R107" i="19"/>
  <c r="BB107" i="19"/>
  <c r="BA108" i="19"/>
  <c r="AQ108" i="19"/>
  <c r="T108" i="19"/>
  <c r="R108" i="19"/>
  <c r="BB108" i="19"/>
  <c r="BA109" i="19"/>
  <c r="AQ109" i="19"/>
  <c r="T109" i="19"/>
  <c r="R109" i="19"/>
  <c r="BB109" i="19"/>
  <c r="BA110" i="19"/>
  <c r="AQ110" i="19"/>
  <c r="T110" i="19"/>
  <c r="R110" i="19"/>
  <c r="BB110" i="19"/>
  <c r="BA111" i="19"/>
  <c r="AQ111" i="19"/>
  <c r="T111" i="19"/>
  <c r="R111" i="19"/>
  <c r="BB111" i="19"/>
  <c r="BA112" i="19"/>
  <c r="AQ112" i="19"/>
  <c r="T112" i="19"/>
  <c r="R112" i="19"/>
  <c r="BB112" i="19"/>
  <c r="BA113" i="19"/>
  <c r="AQ113" i="19"/>
  <c r="T113" i="19"/>
  <c r="R113" i="19"/>
  <c r="BB113" i="19"/>
  <c r="BA114" i="19"/>
  <c r="AQ114" i="19"/>
  <c r="T114" i="19"/>
  <c r="R114" i="19"/>
  <c r="BB114" i="19"/>
  <c r="BA115" i="19"/>
  <c r="AQ115" i="19"/>
  <c r="T115" i="19"/>
  <c r="R115" i="19"/>
  <c r="BB115" i="19"/>
  <c r="BA116" i="19"/>
  <c r="AQ116" i="19"/>
  <c r="T116" i="19"/>
  <c r="R116" i="19"/>
  <c r="BB116" i="19"/>
  <c r="BA117" i="19"/>
  <c r="AQ117" i="19"/>
  <c r="T117" i="19"/>
  <c r="R117" i="19"/>
  <c r="BB117" i="19"/>
  <c r="BA118" i="19"/>
  <c r="AQ118" i="19"/>
  <c r="T118" i="19"/>
  <c r="R118" i="19"/>
  <c r="BB118" i="19"/>
  <c r="BA119" i="19"/>
  <c r="AQ119" i="19"/>
  <c r="T119" i="19"/>
  <c r="R119" i="19"/>
  <c r="BB119" i="19"/>
  <c r="BA120" i="19"/>
  <c r="AQ120" i="19"/>
  <c r="T120" i="19"/>
  <c r="R120" i="19"/>
  <c r="BB120" i="19"/>
  <c r="BA121" i="19"/>
  <c r="AQ121" i="19"/>
  <c r="T121" i="19"/>
  <c r="R121" i="19"/>
  <c r="BB121" i="19"/>
  <c r="BA122" i="19"/>
  <c r="AQ122" i="19"/>
  <c r="T122" i="19"/>
  <c r="R122" i="19"/>
  <c r="BB122" i="19"/>
  <c r="BA123" i="19"/>
  <c r="AQ123" i="19"/>
  <c r="T123" i="19"/>
  <c r="R123" i="19"/>
  <c r="BB123" i="19"/>
  <c r="BA124" i="19"/>
  <c r="AQ124" i="19"/>
  <c r="T124" i="19"/>
  <c r="R124" i="19"/>
  <c r="BB124" i="19"/>
  <c r="BA125" i="19"/>
  <c r="AQ125" i="19"/>
  <c r="T125" i="19"/>
  <c r="R125" i="19"/>
  <c r="BB125" i="19"/>
  <c r="BA126" i="19"/>
  <c r="AQ126" i="19"/>
  <c r="T126" i="19"/>
  <c r="R126" i="19"/>
  <c r="BB126" i="19"/>
  <c r="BA127" i="19"/>
  <c r="AQ127" i="19"/>
  <c r="T127" i="19"/>
  <c r="R127" i="19"/>
  <c r="BB127" i="19"/>
  <c r="BA128" i="19"/>
  <c r="AQ128" i="19"/>
  <c r="T128" i="19"/>
  <c r="R128" i="19"/>
  <c r="BB128" i="19"/>
  <c r="BA129" i="19"/>
  <c r="AQ129" i="19"/>
  <c r="T129" i="19"/>
  <c r="R129" i="19"/>
  <c r="BB129" i="19"/>
  <c r="BA130" i="19"/>
  <c r="AQ130" i="19"/>
  <c r="T130" i="19"/>
  <c r="R130" i="19"/>
  <c r="BB130" i="19"/>
  <c r="BA131" i="19"/>
  <c r="AQ131" i="19"/>
  <c r="T131" i="19"/>
  <c r="R131" i="19"/>
  <c r="BB131" i="19"/>
  <c r="BA132" i="19"/>
  <c r="AQ132" i="19"/>
  <c r="T132" i="19"/>
  <c r="R132" i="19"/>
  <c r="BB132" i="19"/>
  <c r="BA133" i="19"/>
  <c r="AQ133" i="19"/>
  <c r="T133" i="19"/>
  <c r="R133" i="19"/>
  <c r="BB133" i="19"/>
  <c r="BA134" i="19"/>
  <c r="AQ134" i="19"/>
  <c r="T134" i="19"/>
  <c r="R134" i="19"/>
  <c r="BB134" i="19"/>
  <c r="BA135" i="19"/>
  <c r="AQ135" i="19"/>
  <c r="T135" i="19"/>
  <c r="R135" i="19"/>
  <c r="BB135" i="19"/>
  <c r="BA136" i="19"/>
  <c r="AQ136" i="19"/>
  <c r="T136" i="19"/>
  <c r="R136" i="19"/>
  <c r="BB136" i="19"/>
  <c r="BA137" i="19"/>
  <c r="AQ137" i="19"/>
  <c r="T137" i="19"/>
  <c r="R137" i="19"/>
  <c r="BB137" i="19"/>
  <c r="BA138" i="19"/>
  <c r="AQ138" i="19"/>
  <c r="T138" i="19"/>
  <c r="R138" i="19"/>
  <c r="BB138" i="19"/>
  <c r="BA139" i="19"/>
  <c r="AQ139" i="19"/>
  <c r="T139" i="19"/>
  <c r="R139" i="19"/>
  <c r="BB139" i="19"/>
  <c r="BA140" i="19"/>
  <c r="AQ140" i="19"/>
  <c r="T140" i="19"/>
  <c r="R140" i="19"/>
  <c r="BB140" i="19"/>
  <c r="BA141" i="19"/>
  <c r="AQ141" i="19"/>
  <c r="T141" i="19"/>
  <c r="R141" i="19"/>
  <c r="BB141" i="19"/>
  <c r="BA142" i="19"/>
  <c r="AQ142" i="19"/>
  <c r="T142" i="19"/>
  <c r="R142" i="19"/>
  <c r="BB142" i="19"/>
  <c r="BA143" i="19"/>
  <c r="AQ143" i="19"/>
  <c r="T143" i="19"/>
  <c r="R143" i="19"/>
  <c r="BB143" i="19"/>
  <c r="BA144" i="19"/>
  <c r="AQ144" i="19"/>
  <c r="T144" i="19"/>
  <c r="R144" i="19"/>
  <c r="BB144" i="19"/>
  <c r="BA145" i="19"/>
  <c r="AQ145" i="19"/>
  <c r="T145" i="19"/>
  <c r="R145" i="19"/>
  <c r="BB145" i="19"/>
  <c r="BA146" i="19"/>
  <c r="AQ146" i="19"/>
  <c r="T146" i="19"/>
  <c r="R146" i="19"/>
  <c r="BB146" i="19"/>
  <c r="BA147" i="19"/>
  <c r="AQ147" i="19"/>
  <c r="T147" i="19"/>
  <c r="R147" i="19"/>
  <c r="BB147" i="19"/>
  <c r="BA148" i="19"/>
  <c r="AQ148" i="19"/>
  <c r="T148" i="19"/>
  <c r="R148" i="19"/>
  <c r="BB148" i="19"/>
  <c r="BA149" i="19"/>
  <c r="AQ149" i="19"/>
  <c r="T149" i="19"/>
  <c r="R149" i="19"/>
  <c r="BB149" i="19"/>
  <c r="BA150" i="19"/>
  <c r="AQ150" i="19"/>
  <c r="T150" i="19"/>
  <c r="R150" i="19"/>
  <c r="BB150" i="19"/>
  <c r="BA151" i="19"/>
  <c r="AQ151" i="19"/>
  <c r="T151" i="19"/>
  <c r="R151" i="19"/>
  <c r="BB151" i="19"/>
  <c r="BA152" i="19"/>
  <c r="AQ152" i="19"/>
  <c r="T152" i="19"/>
  <c r="R152" i="19"/>
  <c r="BB152" i="19"/>
  <c r="BA153" i="19"/>
  <c r="AQ153" i="19"/>
  <c r="T153" i="19"/>
  <c r="R153" i="19"/>
  <c r="BB153" i="19"/>
  <c r="BA154" i="19"/>
  <c r="AQ154" i="19"/>
  <c r="T154" i="19"/>
  <c r="R154" i="19"/>
  <c r="BB154" i="19"/>
  <c r="BA155" i="19"/>
  <c r="AQ155" i="19"/>
  <c r="T155" i="19"/>
  <c r="R155" i="19"/>
  <c r="BB155" i="19"/>
  <c r="BA156" i="19"/>
  <c r="AQ156" i="19"/>
  <c r="T156" i="19"/>
  <c r="R156" i="19"/>
  <c r="BB156" i="19"/>
  <c r="BA157" i="19"/>
  <c r="AQ157" i="19"/>
  <c r="T157" i="19"/>
  <c r="R157" i="19"/>
  <c r="BB157" i="19"/>
  <c r="BA158" i="19"/>
  <c r="AQ158" i="19"/>
  <c r="T158" i="19"/>
  <c r="R158" i="19"/>
  <c r="BB158" i="19"/>
  <c r="BA159" i="19"/>
  <c r="AQ159" i="19"/>
  <c r="T159" i="19"/>
  <c r="R159" i="19"/>
  <c r="BB159" i="19"/>
  <c r="BA160" i="19"/>
  <c r="AQ160" i="19"/>
  <c r="T160" i="19"/>
  <c r="R160" i="19"/>
  <c r="BB160" i="19"/>
  <c r="BA161" i="19"/>
  <c r="AQ161" i="19"/>
  <c r="T161" i="19"/>
  <c r="R161" i="19"/>
  <c r="BB161" i="19"/>
  <c r="BA162" i="19"/>
  <c r="AQ162" i="19"/>
  <c r="T162" i="19"/>
  <c r="R162" i="19"/>
  <c r="BB162" i="19"/>
  <c r="BA163" i="19"/>
  <c r="AQ163" i="19"/>
  <c r="T163" i="19"/>
  <c r="R163" i="19"/>
  <c r="BB163" i="19"/>
  <c r="BA164" i="19"/>
  <c r="AQ164" i="19"/>
  <c r="T164" i="19"/>
  <c r="R164" i="19"/>
  <c r="BB164" i="19"/>
  <c r="BA165" i="19"/>
  <c r="AQ165" i="19"/>
  <c r="T165" i="19"/>
  <c r="R165" i="19"/>
  <c r="BB165" i="19"/>
  <c r="BA166" i="19"/>
  <c r="AQ166" i="19"/>
  <c r="T166" i="19"/>
  <c r="R166" i="19"/>
  <c r="BB166" i="19"/>
  <c r="BA167" i="19"/>
  <c r="AQ167" i="19"/>
  <c r="T167" i="19"/>
  <c r="R167" i="19"/>
  <c r="BB167" i="19"/>
  <c r="BA168" i="19"/>
  <c r="AQ168" i="19"/>
  <c r="T168" i="19"/>
  <c r="R168" i="19"/>
  <c r="BB168" i="19"/>
  <c r="BA169" i="19"/>
  <c r="AQ169" i="19"/>
  <c r="T169" i="19"/>
  <c r="R169" i="19"/>
  <c r="BB169" i="19"/>
  <c r="BA170" i="19"/>
  <c r="AQ170" i="19"/>
  <c r="T170" i="19"/>
  <c r="R170" i="19"/>
  <c r="BB170" i="19"/>
  <c r="BA171" i="19"/>
  <c r="AQ171" i="19"/>
  <c r="T171" i="19"/>
  <c r="R171" i="19"/>
  <c r="BB171" i="19"/>
  <c r="BA172" i="19"/>
  <c r="AQ172" i="19"/>
  <c r="T172" i="19"/>
  <c r="R172" i="19"/>
  <c r="BB172" i="19"/>
  <c r="BA173" i="19"/>
  <c r="AQ173" i="19"/>
  <c r="T173" i="19"/>
  <c r="R173" i="19"/>
  <c r="BB173" i="19"/>
  <c r="BA174" i="19"/>
  <c r="AQ174" i="19"/>
  <c r="T174" i="19"/>
  <c r="R174" i="19"/>
  <c r="BB174" i="19"/>
  <c r="BA175" i="19"/>
  <c r="AQ175" i="19"/>
  <c r="T175" i="19"/>
  <c r="R175" i="19"/>
  <c r="BB175" i="19"/>
  <c r="BA176" i="19"/>
  <c r="AQ176" i="19"/>
  <c r="T176" i="19"/>
  <c r="R176" i="19"/>
  <c r="BB176" i="19"/>
  <c r="BA177" i="19"/>
  <c r="AQ177" i="19"/>
  <c r="T177" i="19"/>
  <c r="R177" i="19"/>
  <c r="BB177" i="19"/>
  <c r="BA178" i="19"/>
  <c r="AQ178" i="19"/>
  <c r="T178" i="19"/>
  <c r="R178" i="19"/>
  <c r="BB178" i="19"/>
  <c r="BA179" i="19"/>
  <c r="AQ179" i="19"/>
  <c r="T179" i="19"/>
  <c r="R179" i="19"/>
  <c r="BB179" i="19"/>
  <c r="BA180" i="19"/>
  <c r="AQ180" i="19"/>
  <c r="T180" i="19"/>
  <c r="R180" i="19"/>
  <c r="BB180" i="19"/>
  <c r="BA181" i="19"/>
  <c r="AQ181" i="19"/>
  <c r="T181" i="19"/>
  <c r="R181" i="19"/>
  <c r="BB181" i="19"/>
  <c r="BA182" i="19"/>
  <c r="AQ182" i="19"/>
  <c r="T182" i="19"/>
  <c r="R182" i="19"/>
  <c r="BB182" i="19"/>
  <c r="BA183" i="19"/>
  <c r="AQ183" i="19"/>
  <c r="T183" i="19"/>
  <c r="R183" i="19"/>
  <c r="BB183" i="19"/>
  <c r="BA184" i="19"/>
  <c r="AQ184" i="19"/>
  <c r="T184" i="19"/>
  <c r="R184" i="19"/>
  <c r="BB184" i="19"/>
  <c r="BA185" i="19"/>
  <c r="AQ185" i="19"/>
  <c r="T185" i="19"/>
  <c r="R185" i="19"/>
  <c r="BB185" i="19"/>
  <c r="BA186" i="19"/>
  <c r="AQ186" i="19"/>
  <c r="T186" i="19"/>
  <c r="R186" i="19"/>
  <c r="BB186" i="19"/>
  <c r="BA187" i="19"/>
  <c r="AQ187" i="19"/>
  <c r="T187" i="19"/>
  <c r="R187" i="19"/>
  <c r="BB187" i="19"/>
  <c r="BA188" i="19"/>
  <c r="AQ188" i="19"/>
  <c r="T188" i="19"/>
  <c r="R188" i="19"/>
  <c r="BB188" i="19"/>
  <c r="BA189" i="19"/>
  <c r="AQ189" i="19"/>
  <c r="T189" i="19"/>
  <c r="R189" i="19"/>
  <c r="BB189" i="19"/>
  <c r="BA190" i="19"/>
  <c r="AQ190" i="19"/>
  <c r="T190" i="19"/>
  <c r="R190" i="19"/>
  <c r="BB190" i="19"/>
  <c r="BA191" i="19"/>
  <c r="AQ191" i="19"/>
  <c r="T191" i="19"/>
  <c r="R191" i="19"/>
  <c r="BB191" i="19"/>
  <c r="BA192" i="19"/>
  <c r="AQ192" i="19"/>
  <c r="T192" i="19"/>
  <c r="R192" i="19"/>
  <c r="BB192" i="19"/>
  <c r="BA193" i="19"/>
  <c r="AQ193" i="19"/>
  <c r="T193" i="19"/>
  <c r="R193" i="19"/>
  <c r="BB193" i="19"/>
  <c r="BA194" i="19"/>
  <c r="AQ194" i="19"/>
  <c r="T194" i="19"/>
  <c r="R194" i="19"/>
  <c r="BB194" i="19"/>
  <c r="BA195" i="19"/>
  <c r="AQ195" i="19"/>
  <c r="T195" i="19"/>
  <c r="R195" i="19"/>
  <c r="BB195" i="19"/>
  <c r="BA196" i="19"/>
  <c r="AQ196" i="19"/>
  <c r="T196" i="19"/>
  <c r="R196" i="19"/>
  <c r="BB196" i="19"/>
  <c r="BA197" i="19"/>
  <c r="AQ197" i="19"/>
  <c r="T197" i="19"/>
  <c r="R197" i="19"/>
  <c r="BB197" i="19"/>
  <c r="BA198" i="19"/>
  <c r="AQ198" i="19"/>
  <c r="T198" i="19"/>
  <c r="R198" i="19"/>
  <c r="BB198" i="19"/>
  <c r="BA199" i="19"/>
  <c r="AQ199" i="19"/>
  <c r="T199" i="19"/>
  <c r="R199" i="19"/>
  <c r="BB199" i="19"/>
  <c r="BA200" i="19"/>
  <c r="AQ200" i="19"/>
  <c r="T200" i="19"/>
  <c r="R200" i="19"/>
  <c r="BB200" i="19"/>
  <c r="BA201" i="19"/>
  <c r="AQ201" i="19"/>
  <c r="T201" i="19"/>
  <c r="R201" i="19"/>
  <c r="BB201" i="19"/>
  <c r="BA202" i="19"/>
  <c r="AQ202" i="19"/>
  <c r="T202" i="19"/>
  <c r="R202" i="19"/>
  <c r="BB202" i="19"/>
  <c r="BA203" i="19"/>
  <c r="AQ203" i="19"/>
  <c r="T203" i="19"/>
  <c r="R203" i="19"/>
  <c r="BB203" i="19"/>
  <c r="BA204" i="19"/>
  <c r="AQ204" i="19"/>
  <c r="T204" i="19"/>
  <c r="R204" i="19"/>
  <c r="BB204" i="19"/>
  <c r="BA205" i="19"/>
  <c r="AQ205" i="19"/>
  <c r="T205" i="19"/>
  <c r="R205" i="19"/>
  <c r="BB205" i="19"/>
  <c r="BA206" i="19"/>
  <c r="AQ206" i="19"/>
  <c r="T206" i="19"/>
  <c r="R206" i="19"/>
  <c r="BB206" i="19"/>
  <c r="BA207" i="19"/>
  <c r="AQ207" i="19"/>
  <c r="T207" i="19"/>
  <c r="R207" i="19"/>
  <c r="BB207" i="19"/>
  <c r="BA208" i="19"/>
  <c r="AQ208" i="19"/>
  <c r="T208" i="19"/>
  <c r="R208" i="19"/>
  <c r="BB208" i="19"/>
  <c r="BA209" i="19"/>
  <c r="AQ209" i="19"/>
  <c r="T209" i="19"/>
  <c r="R209" i="19"/>
  <c r="BB209" i="19"/>
  <c r="BA210" i="19"/>
  <c r="AQ210" i="19"/>
  <c r="T210" i="19"/>
  <c r="R210" i="19"/>
  <c r="BB210" i="19"/>
  <c r="BA211" i="19"/>
  <c r="AQ211" i="19"/>
  <c r="T211" i="19"/>
  <c r="R211" i="19"/>
  <c r="BB211" i="19"/>
  <c r="BA212" i="19"/>
  <c r="AQ212" i="19"/>
  <c r="T212" i="19"/>
  <c r="R212" i="19"/>
  <c r="BB212" i="19"/>
  <c r="BA213" i="19"/>
  <c r="AQ213" i="19"/>
  <c r="T213" i="19"/>
  <c r="R213" i="19"/>
  <c r="BB213" i="19"/>
  <c r="BA214" i="19"/>
  <c r="AQ214" i="19"/>
  <c r="T214" i="19"/>
  <c r="R214" i="19"/>
  <c r="BB214" i="19"/>
  <c r="BA215" i="19"/>
  <c r="AQ215" i="19"/>
  <c r="T215" i="19"/>
  <c r="R215" i="19"/>
  <c r="BB215" i="19"/>
  <c r="BA216" i="19"/>
  <c r="AQ216" i="19"/>
  <c r="T216" i="19"/>
  <c r="R216" i="19"/>
  <c r="BB216" i="19"/>
  <c r="BA217" i="19"/>
  <c r="AQ217" i="19"/>
  <c r="T217" i="19"/>
  <c r="R217" i="19"/>
  <c r="BB217" i="19"/>
  <c r="BA218" i="19"/>
  <c r="AQ218" i="19"/>
  <c r="T218" i="19"/>
  <c r="R218" i="19"/>
  <c r="BB218" i="19"/>
  <c r="BA219" i="19"/>
  <c r="AQ219" i="19"/>
  <c r="T219" i="19"/>
  <c r="R219" i="19"/>
  <c r="BB219" i="19"/>
  <c r="BA220" i="19"/>
  <c r="AQ220" i="19"/>
  <c r="T220" i="19"/>
  <c r="R220" i="19"/>
  <c r="BB220" i="19"/>
  <c r="BA221" i="19"/>
  <c r="AQ221" i="19"/>
  <c r="T221" i="19"/>
  <c r="R221" i="19"/>
  <c r="BB221" i="19"/>
  <c r="BA222" i="19"/>
  <c r="AQ222" i="19"/>
  <c r="T222" i="19"/>
  <c r="R222" i="19"/>
  <c r="BB222" i="19"/>
  <c r="BA223" i="19"/>
  <c r="AQ223" i="19"/>
  <c r="T223" i="19"/>
  <c r="R223" i="19"/>
  <c r="BB223" i="19"/>
  <c r="BA224" i="19"/>
  <c r="AQ224" i="19"/>
  <c r="T224" i="19"/>
  <c r="R224" i="19"/>
  <c r="BB224" i="19"/>
  <c r="BA225" i="19"/>
  <c r="AQ225" i="19"/>
  <c r="T225" i="19"/>
  <c r="R225" i="19"/>
  <c r="BB225" i="19"/>
  <c r="BA226" i="19"/>
  <c r="AQ226" i="19"/>
  <c r="T226" i="19"/>
  <c r="R226" i="19"/>
  <c r="BB226" i="19"/>
  <c r="BA227" i="19"/>
  <c r="AQ227" i="19"/>
  <c r="T227" i="19"/>
  <c r="R227" i="19"/>
  <c r="BB227" i="19"/>
  <c r="BA228" i="19"/>
  <c r="AQ228" i="19"/>
  <c r="T228" i="19"/>
  <c r="R228" i="19"/>
  <c r="BB228" i="19"/>
  <c r="BA229" i="19"/>
  <c r="AQ229" i="19"/>
  <c r="T229" i="19"/>
  <c r="R229" i="19"/>
  <c r="BB229" i="19"/>
  <c r="BA230" i="19"/>
  <c r="AQ230" i="19"/>
  <c r="T230" i="19"/>
  <c r="R230" i="19"/>
  <c r="BB230" i="19"/>
  <c r="BA231" i="19"/>
  <c r="AQ231" i="19"/>
  <c r="T231" i="19"/>
  <c r="R231" i="19"/>
  <c r="BB231" i="19"/>
  <c r="BA232" i="19"/>
  <c r="AQ232" i="19"/>
  <c r="T232" i="19"/>
  <c r="R232" i="19"/>
  <c r="BB232" i="19"/>
  <c r="BA233" i="19"/>
  <c r="AQ233" i="19"/>
  <c r="T233" i="19"/>
  <c r="R233" i="19"/>
  <c r="BB233" i="19"/>
  <c r="BA234" i="19"/>
  <c r="AQ234" i="19"/>
  <c r="T234" i="19"/>
  <c r="R234" i="19"/>
  <c r="BB234" i="19"/>
  <c r="BA235" i="19"/>
  <c r="AQ235" i="19"/>
  <c r="T235" i="19"/>
  <c r="R235" i="19"/>
  <c r="BB235" i="19"/>
  <c r="BA236" i="19"/>
  <c r="AQ236" i="19"/>
  <c r="T236" i="19"/>
  <c r="R236" i="19"/>
  <c r="BB236" i="19"/>
  <c r="BA237" i="19"/>
  <c r="AQ237" i="19"/>
  <c r="T237" i="19"/>
  <c r="R237" i="19"/>
  <c r="BB237" i="19"/>
  <c r="BA238" i="19"/>
  <c r="AQ238" i="19"/>
  <c r="T238" i="19"/>
  <c r="R238" i="19"/>
  <c r="BB238" i="19"/>
  <c r="BA239" i="19"/>
  <c r="AQ239" i="19"/>
  <c r="T239" i="19"/>
  <c r="R239" i="19"/>
  <c r="BB239" i="19"/>
  <c r="BA240" i="19"/>
  <c r="AQ240" i="19"/>
  <c r="T240" i="19"/>
  <c r="R240" i="19"/>
  <c r="BB240" i="19"/>
  <c r="BA241" i="19"/>
  <c r="AQ241" i="19"/>
  <c r="T241" i="19"/>
  <c r="R241" i="19"/>
  <c r="BB241" i="19"/>
  <c r="BA242" i="19"/>
  <c r="AQ242" i="19"/>
  <c r="T242" i="19"/>
  <c r="R242" i="19"/>
  <c r="BB242" i="19"/>
  <c r="BA243" i="19"/>
  <c r="AQ243" i="19"/>
  <c r="T243" i="19"/>
  <c r="R243" i="19"/>
  <c r="BB243" i="19"/>
  <c r="BB245" i="19"/>
  <c r="BA247" i="19"/>
  <c r="AQ247" i="19"/>
  <c r="T247" i="19"/>
  <c r="R247" i="19"/>
  <c r="BB247" i="19"/>
  <c r="BB249" i="19"/>
  <c r="BA245" i="19"/>
  <c r="BA249" i="19"/>
  <c r="AZ245" i="19"/>
  <c r="AZ249" i="19"/>
  <c r="AY245" i="19"/>
  <c r="AY249" i="19"/>
  <c r="AX245" i="19"/>
  <c r="AX249" i="19"/>
  <c r="AW245" i="19"/>
  <c r="AW249" i="19"/>
  <c r="AV245" i="19"/>
  <c r="AV249" i="19"/>
  <c r="AU245" i="19"/>
  <c r="AU249" i="19"/>
  <c r="AT245" i="19"/>
  <c r="AT249" i="19"/>
  <c r="AS245" i="19"/>
  <c r="AS249" i="19"/>
  <c r="AR245" i="19"/>
  <c r="AR249" i="19"/>
  <c r="AQ245" i="19"/>
  <c r="AQ249" i="19"/>
  <c r="AP245" i="19"/>
  <c r="AP249" i="19"/>
  <c r="AO245" i="19"/>
  <c r="AO249" i="19"/>
  <c r="AN245" i="19"/>
  <c r="AN249" i="19"/>
  <c r="AM245" i="19"/>
  <c r="AM249" i="19"/>
  <c r="AL245" i="19"/>
  <c r="AL249" i="19"/>
  <c r="AJ245" i="19"/>
  <c r="AJ249" i="19"/>
  <c r="AF245" i="19"/>
  <c r="AF249" i="19"/>
  <c r="AE245" i="19"/>
  <c r="AE249" i="19"/>
  <c r="AD245" i="19"/>
  <c r="AD249" i="19"/>
  <c r="AC245" i="19"/>
  <c r="AC249" i="19"/>
  <c r="AB245" i="19"/>
  <c r="AB249" i="19"/>
  <c r="AA245" i="19"/>
  <c r="AA249" i="19"/>
  <c r="Z245" i="19"/>
  <c r="Z249" i="19"/>
  <c r="Y245" i="19"/>
  <c r="Y249" i="19"/>
  <c r="X245" i="19"/>
  <c r="X249" i="19"/>
  <c r="W245" i="19"/>
  <c r="W249" i="19"/>
  <c r="V245" i="19"/>
  <c r="V249" i="19"/>
  <c r="U245" i="19"/>
  <c r="U249" i="19"/>
  <c r="T245" i="19"/>
  <c r="T249" i="19"/>
  <c r="S245" i="19"/>
  <c r="S249" i="19"/>
  <c r="R245" i="19"/>
  <c r="R249" i="19"/>
  <c r="Q245" i="19"/>
  <c r="Q249" i="19"/>
  <c r="P249" i="19"/>
  <c r="O249" i="19"/>
  <c r="N249" i="19"/>
  <c r="M249" i="19"/>
  <c r="L249" i="19"/>
  <c r="K249" i="19"/>
  <c r="J249" i="19"/>
  <c r="I245" i="19"/>
  <c r="I249" i="19"/>
  <c r="H245" i="19"/>
  <c r="H249" i="19"/>
  <c r="G245" i="19"/>
  <c r="G249" i="19"/>
  <c r="F245" i="19"/>
  <c r="F249" i="19"/>
  <c r="E245" i="19"/>
  <c r="E249" i="19"/>
  <c r="D245" i="19"/>
  <c r="D249" i="19"/>
  <c r="C249" i="19"/>
  <c r="BH247" i="19"/>
  <c r="BG247" i="19"/>
  <c r="BF247" i="19"/>
  <c r="BE247" i="19"/>
  <c r="BD247" i="19"/>
  <c r="BC247" i="19"/>
  <c r="C252" i="19"/>
  <c r="BH245" i="19"/>
  <c r="BG245" i="19"/>
  <c r="BF245" i="19"/>
  <c r="BE245" i="19"/>
  <c r="BD245" i="19"/>
  <c r="BC245" i="19"/>
  <c r="BH243" i="19"/>
  <c r="BG243" i="19"/>
  <c r="BF243" i="19"/>
  <c r="BE243" i="19"/>
  <c r="BD243" i="19"/>
  <c r="BC243" i="19"/>
  <c r="BH242" i="19"/>
  <c r="BG242" i="19"/>
  <c r="BF242" i="19"/>
  <c r="BE242" i="19"/>
  <c r="BD242" i="19"/>
  <c r="BC242" i="19"/>
  <c r="BH241" i="19"/>
  <c r="BG241" i="19"/>
  <c r="BF241" i="19"/>
  <c r="BE241" i="19"/>
  <c r="BD241" i="19"/>
  <c r="BC241" i="19"/>
  <c r="BH240" i="19"/>
  <c r="BG240" i="19"/>
  <c r="BF240" i="19"/>
  <c r="BE240" i="19"/>
  <c r="BD240" i="19"/>
  <c r="BC240" i="19"/>
  <c r="BH239" i="19"/>
  <c r="BG239" i="19"/>
  <c r="BF239" i="19"/>
  <c r="BE239" i="19"/>
  <c r="BD239" i="19"/>
  <c r="BC239" i="19"/>
  <c r="BH238" i="19"/>
  <c r="BG238" i="19"/>
  <c r="BF238" i="19"/>
  <c r="BE238" i="19"/>
  <c r="BD238" i="19"/>
  <c r="BC238" i="19"/>
  <c r="BH237" i="19"/>
  <c r="BG237" i="19"/>
  <c r="BF237" i="19"/>
  <c r="BE237" i="19"/>
  <c r="BD237" i="19"/>
  <c r="BC237" i="19"/>
  <c r="BH236" i="19"/>
  <c r="BG236" i="19"/>
  <c r="BF236" i="19"/>
  <c r="BE236" i="19"/>
  <c r="BD236" i="19"/>
  <c r="BC236" i="19"/>
  <c r="BH235" i="19"/>
  <c r="BG235" i="19"/>
  <c r="BF235" i="19"/>
  <c r="BE235" i="19"/>
  <c r="BD235" i="19"/>
  <c r="BC235" i="19"/>
  <c r="BH234" i="19"/>
  <c r="BG234" i="19"/>
  <c r="BF234" i="19"/>
  <c r="BE234" i="19"/>
  <c r="BD234" i="19"/>
  <c r="BC234" i="19"/>
  <c r="BH233" i="19"/>
  <c r="BG233" i="19"/>
  <c r="BF233" i="19"/>
  <c r="BE233" i="19"/>
  <c r="BD233" i="19"/>
  <c r="BC233" i="19"/>
  <c r="BH232" i="19"/>
  <c r="BG232" i="19"/>
  <c r="BF232" i="19"/>
  <c r="BE232" i="19"/>
  <c r="BD232" i="19"/>
  <c r="BC232" i="19"/>
  <c r="BH231" i="19"/>
  <c r="BG231" i="19"/>
  <c r="BF231" i="19"/>
  <c r="BE231" i="19"/>
  <c r="BD231" i="19"/>
  <c r="BC231" i="19"/>
  <c r="BH230" i="19"/>
  <c r="BG230" i="19"/>
  <c r="BF230" i="19"/>
  <c r="BE230" i="19"/>
  <c r="BD230" i="19"/>
  <c r="BC230" i="19"/>
  <c r="BH229" i="19"/>
  <c r="BG229" i="19"/>
  <c r="BF229" i="19"/>
  <c r="BE229" i="19"/>
  <c r="BD229" i="19"/>
  <c r="BC229" i="19"/>
  <c r="BH228" i="19"/>
  <c r="BG228" i="19"/>
  <c r="BF228" i="19"/>
  <c r="BE228" i="19"/>
  <c r="BD228" i="19"/>
  <c r="BC228" i="19"/>
  <c r="BH227" i="19"/>
  <c r="BG227" i="19"/>
  <c r="BF227" i="19"/>
  <c r="BE227" i="19"/>
  <c r="BD227" i="19"/>
  <c r="BC227" i="19"/>
  <c r="BH226" i="19"/>
  <c r="BG226" i="19"/>
  <c r="BF226" i="19"/>
  <c r="BE226" i="19"/>
  <c r="BD226" i="19"/>
  <c r="BC226" i="19"/>
  <c r="BH225" i="19"/>
  <c r="BG225" i="19"/>
  <c r="BF225" i="19"/>
  <c r="BE225" i="19"/>
  <c r="BD225" i="19"/>
  <c r="BC225" i="19"/>
  <c r="BH224" i="19"/>
  <c r="BG224" i="19"/>
  <c r="BF224" i="19"/>
  <c r="BE224" i="19"/>
  <c r="BD224" i="19"/>
  <c r="BC224" i="19"/>
  <c r="BH223" i="19"/>
  <c r="BG223" i="19"/>
  <c r="BF223" i="19"/>
  <c r="BE223" i="19"/>
  <c r="BD223" i="19"/>
  <c r="BC223" i="19"/>
  <c r="BH222" i="19"/>
  <c r="BG222" i="19"/>
  <c r="BF222" i="19"/>
  <c r="BE222" i="19"/>
  <c r="BD222" i="19"/>
  <c r="BC222" i="19"/>
  <c r="BH221" i="19"/>
  <c r="BG221" i="19"/>
  <c r="BF221" i="19"/>
  <c r="BE221" i="19"/>
  <c r="BD221" i="19"/>
  <c r="BC221" i="19"/>
  <c r="BH220" i="19"/>
  <c r="BG220" i="19"/>
  <c r="BF220" i="19"/>
  <c r="BE220" i="19"/>
  <c r="BD220" i="19"/>
  <c r="BC220" i="19"/>
  <c r="BH219" i="19"/>
  <c r="BG219" i="19"/>
  <c r="BF219" i="19"/>
  <c r="BE219" i="19"/>
  <c r="BD219" i="19"/>
  <c r="BC219" i="19"/>
  <c r="BH218" i="19"/>
  <c r="BG218" i="19"/>
  <c r="BF218" i="19"/>
  <c r="BE218" i="19"/>
  <c r="BD218" i="19"/>
  <c r="BC218" i="19"/>
  <c r="BH217" i="19"/>
  <c r="BG217" i="19"/>
  <c r="BF217" i="19"/>
  <c r="BE217" i="19"/>
  <c r="BD217" i="19"/>
  <c r="BC217" i="19"/>
  <c r="BH216" i="19"/>
  <c r="BG216" i="19"/>
  <c r="BF216" i="19"/>
  <c r="BE216" i="19"/>
  <c r="BD216" i="19"/>
  <c r="BC216" i="19"/>
  <c r="BH215" i="19"/>
  <c r="BG215" i="19"/>
  <c r="BF215" i="19"/>
  <c r="BE215" i="19"/>
  <c r="BD215" i="19"/>
  <c r="BC215" i="19"/>
  <c r="BH214" i="19"/>
  <c r="BG214" i="19"/>
  <c r="BF214" i="19"/>
  <c r="BE214" i="19"/>
  <c r="BD214" i="19"/>
  <c r="BC214" i="19"/>
  <c r="BH213" i="19"/>
  <c r="BG213" i="19"/>
  <c r="BF213" i="19"/>
  <c r="BE213" i="19"/>
  <c r="BD213" i="19"/>
  <c r="BC213" i="19"/>
  <c r="BH212" i="19"/>
  <c r="BG212" i="19"/>
  <c r="BF212" i="19"/>
  <c r="BE212" i="19"/>
  <c r="BD212" i="19"/>
  <c r="BC212" i="19"/>
  <c r="BH211" i="19"/>
  <c r="BG211" i="19"/>
  <c r="BF211" i="19"/>
  <c r="BE211" i="19"/>
  <c r="BD211" i="19"/>
  <c r="BC211" i="19"/>
  <c r="BH210" i="19"/>
  <c r="BG210" i="19"/>
  <c r="BF210" i="19"/>
  <c r="BE210" i="19"/>
  <c r="BD210" i="19"/>
  <c r="BC210" i="19"/>
  <c r="BH209" i="19"/>
  <c r="BG209" i="19"/>
  <c r="BF209" i="19"/>
  <c r="BE209" i="19"/>
  <c r="BD209" i="19"/>
  <c r="BC209" i="19"/>
  <c r="BH208" i="19"/>
  <c r="BG208" i="19"/>
  <c r="BF208" i="19"/>
  <c r="BE208" i="19"/>
  <c r="BD208" i="19"/>
  <c r="BC208" i="19"/>
  <c r="BH207" i="19"/>
  <c r="BG207" i="19"/>
  <c r="BF207" i="19"/>
  <c r="BE207" i="19"/>
  <c r="BD207" i="19"/>
  <c r="BC207" i="19"/>
  <c r="BH206" i="19"/>
  <c r="BG206" i="19"/>
  <c r="BF206" i="19"/>
  <c r="BE206" i="19"/>
  <c r="BD206" i="19"/>
  <c r="BC206" i="19"/>
  <c r="BH205" i="19"/>
  <c r="BG205" i="19"/>
  <c r="BF205" i="19"/>
  <c r="BE205" i="19"/>
  <c r="BD205" i="19"/>
  <c r="BC205" i="19"/>
  <c r="BH204" i="19"/>
  <c r="BG204" i="19"/>
  <c r="BF204" i="19"/>
  <c r="BE204" i="19"/>
  <c r="BD204" i="19"/>
  <c r="BC204" i="19"/>
  <c r="BH203" i="19"/>
  <c r="BG203" i="19"/>
  <c r="BF203" i="19"/>
  <c r="BE203" i="19"/>
  <c r="BD203" i="19"/>
  <c r="BC203" i="19"/>
  <c r="BH202" i="19"/>
  <c r="BG202" i="19"/>
  <c r="BF202" i="19"/>
  <c r="BE202" i="19"/>
  <c r="BD202" i="19"/>
  <c r="BC202" i="19"/>
  <c r="BH201" i="19"/>
  <c r="BG201" i="19"/>
  <c r="BF201" i="19"/>
  <c r="BE201" i="19"/>
  <c r="BD201" i="19"/>
  <c r="BC201" i="19"/>
  <c r="BH200" i="19"/>
  <c r="BG200" i="19"/>
  <c r="BF200" i="19"/>
  <c r="BE200" i="19"/>
  <c r="BD200" i="19"/>
  <c r="BC200" i="19"/>
  <c r="BH199" i="19"/>
  <c r="BG199" i="19"/>
  <c r="BF199" i="19"/>
  <c r="BE199" i="19"/>
  <c r="BD199" i="19"/>
  <c r="BC199" i="19"/>
  <c r="BH198" i="19"/>
  <c r="BG198" i="19"/>
  <c r="BF198" i="19"/>
  <c r="BE198" i="19"/>
  <c r="BD198" i="19"/>
  <c r="BC198" i="19"/>
  <c r="BH197" i="19"/>
  <c r="BG197" i="19"/>
  <c r="BF197" i="19"/>
  <c r="BE197" i="19"/>
  <c r="BD197" i="19"/>
  <c r="BC197" i="19"/>
  <c r="BH196" i="19"/>
  <c r="BG196" i="19"/>
  <c r="BF196" i="19"/>
  <c r="BE196" i="19"/>
  <c r="BD196" i="19"/>
  <c r="BC196" i="19"/>
  <c r="BH195" i="19"/>
  <c r="BG195" i="19"/>
  <c r="BF195" i="19"/>
  <c r="BE195" i="19"/>
  <c r="BD195" i="19"/>
  <c r="BC195" i="19"/>
  <c r="BH194" i="19"/>
  <c r="BG194" i="19"/>
  <c r="BF194" i="19"/>
  <c r="BE194" i="19"/>
  <c r="BD194" i="19"/>
  <c r="BC194" i="19"/>
  <c r="BH193" i="19"/>
  <c r="BG193" i="19"/>
  <c r="BF193" i="19"/>
  <c r="BE193" i="19"/>
  <c r="BD193" i="19"/>
  <c r="BC193" i="19"/>
  <c r="BH192" i="19"/>
  <c r="BG192" i="19"/>
  <c r="BF192" i="19"/>
  <c r="BE192" i="19"/>
  <c r="BD192" i="19"/>
  <c r="BC192" i="19"/>
  <c r="BH191" i="19"/>
  <c r="BG191" i="19"/>
  <c r="BF191" i="19"/>
  <c r="BE191" i="19"/>
  <c r="BD191" i="19"/>
  <c r="BC191" i="19"/>
  <c r="BH190" i="19"/>
  <c r="BG190" i="19"/>
  <c r="BF190" i="19"/>
  <c r="BE190" i="19"/>
  <c r="BD190" i="19"/>
  <c r="BC190" i="19"/>
  <c r="BH189" i="19"/>
  <c r="BG189" i="19"/>
  <c r="BF189" i="19"/>
  <c r="BE189" i="19"/>
  <c r="BD189" i="19"/>
  <c r="BC189" i="19"/>
  <c r="BH188" i="19"/>
  <c r="BG188" i="19"/>
  <c r="BF188" i="19"/>
  <c r="BE188" i="19"/>
  <c r="BD188" i="19"/>
  <c r="BC188" i="19"/>
  <c r="BH187" i="19"/>
  <c r="BG187" i="19"/>
  <c r="BF187" i="19"/>
  <c r="BE187" i="19"/>
  <c r="BD187" i="19"/>
  <c r="BC187" i="19"/>
  <c r="BH186" i="19"/>
  <c r="BG186" i="19"/>
  <c r="BF186" i="19"/>
  <c r="BE186" i="19"/>
  <c r="BD186" i="19"/>
  <c r="BC186" i="19"/>
  <c r="BH185" i="19"/>
  <c r="BG185" i="19"/>
  <c r="BF185" i="19"/>
  <c r="BE185" i="19"/>
  <c r="BD185" i="19"/>
  <c r="BC185" i="19"/>
  <c r="BH184" i="19"/>
  <c r="BG184" i="19"/>
  <c r="BF184" i="19"/>
  <c r="BE184" i="19"/>
  <c r="BD184" i="19"/>
  <c r="BC184" i="19"/>
  <c r="BH183" i="19"/>
  <c r="BG183" i="19"/>
  <c r="BF183" i="19"/>
  <c r="BE183" i="19"/>
  <c r="BD183" i="19"/>
  <c r="BC183" i="19"/>
  <c r="BH182" i="19"/>
  <c r="BG182" i="19"/>
  <c r="BF182" i="19"/>
  <c r="BE182" i="19"/>
  <c r="BD182" i="19"/>
  <c r="BC182" i="19"/>
  <c r="BH181" i="19"/>
  <c r="BG181" i="19"/>
  <c r="BF181" i="19"/>
  <c r="BE181" i="19"/>
  <c r="BD181" i="19"/>
  <c r="BC181" i="19"/>
  <c r="BH180" i="19"/>
  <c r="BG180" i="19"/>
  <c r="BF180" i="19"/>
  <c r="BE180" i="19"/>
  <c r="BD180" i="19"/>
  <c r="BC180" i="19"/>
  <c r="BH179" i="19"/>
  <c r="BG179" i="19"/>
  <c r="BF179" i="19"/>
  <c r="BE179" i="19"/>
  <c r="BD179" i="19"/>
  <c r="BC179" i="19"/>
  <c r="BH178" i="19"/>
  <c r="BG178" i="19"/>
  <c r="BF178" i="19"/>
  <c r="BE178" i="19"/>
  <c r="BD178" i="19"/>
  <c r="BC178" i="19"/>
  <c r="BH177" i="19"/>
  <c r="BG177" i="19"/>
  <c r="BF177" i="19"/>
  <c r="BE177" i="19"/>
  <c r="BD177" i="19"/>
  <c r="BC177" i="19"/>
  <c r="BH176" i="19"/>
  <c r="BG176" i="19"/>
  <c r="BF176" i="19"/>
  <c r="BE176" i="19"/>
  <c r="BD176" i="19"/>
  <c r="BC176" i="19"/>
  <c r="BH175" i="19"/>
  <c r="BG175" i="19"/>
  <c r="BF175" i="19"/>
  <c r="BE175" i="19"/>
  <c r="BD175" i="19"/>
  <c r="BC175" i="19"/>
  <c r="BH174" i="19"/>
  <c r="BG174" i="19"/>
  <c r="BF174" i="19"/>
  <c r="BE174" i="19"/>
  <c r="BD174" i="19"/>
  <c r="BC174" i="19"/>
  <c r="BH173" i="19"/>
  <c r="BG173" i="19"/>
  <c r="BF173" i="19"/>
  <c r="BE173" i="19"/>
  <c r="BD173" i="19"/>
  <c r="BC173" i="19"/>
  <c r="BH172" i="19"/>
  <c r="BG172" i="19"/>
  <c r="BF172" i="19"/>
  <c r="BE172" i="19"/>
  <c r="BD172" i="19"/>
  <c r="BC172" i="19"/>
  <c r="BH171" i="19"/>
  <c r="BG171" i="19"/>
  <c r="BF171" i="19"/>
  <c r="BE171" i="19"/>
  <c r="BD171" i="19"/>
  <c r="BC171" i="19"/>
  <c r="BH170" i="19"/>
  <c r="BG170" i="19"/>
  <c r="BF170" i="19"/>
  <c r="BE170" i="19"/>
  <c r="BD170" i="19"/>
  <c r="BC170" i="19"/>
  <c r="BH169" i="19"/>
  <c r="BG169" i="19"/>
  <c r="BF169" i="19"/>
  <c r="BE169" i="19"/>
  <c r="BD169" i="19"/>
  <c r="BC169" i="19"/>
  <c r="BH168" i="19"/>
  <c r="BG168" i="19"/>
  <c r="BF168" i="19"/>
  <c r="BE168" i="19"/>
  <c r="BD168" i="19"/>
  <c r="BC168" i="19"/>
  <c r="BH167" i="19"/>
  <c r="BG167" i="19"/>
  <c r="BF167" i="19"/>
  <c r="BE167" i="19"/>
  <c r="BD167" i="19"/>
  <c r="BC167" i="19"/>
  <c r="BH166" i="19"/>
  <c r="BG166" i="19"/>
  <c r="BF166" i="19"/>
  <c r="BE166" i="19"/>
  <c r="BD166" i="19"/>
  <c r="BC166" i="19"/>
  <c r="BH165" i="19"/>
  <c r="BG165" i="19"/>
  <c r="BF165" i="19"/>
  <c r="BE165" i="19"/>
  <c r="BD165" i="19"/>
  <c r="BC165" i="19"/>
  <c r="BH164" i="19"/>
  <c r="BG164" i="19"/>
  <c r="BF164" i="19"/>
  <c r="BE164" i="19"/>
  <c r="BD164" i="19"/>
  <c r="BC164" i="19"/>
  <c r="BH163" i="19"/>
  <c r="BG163" i="19"/>
  <c r="BF163" i="19"/>
  <c r="BE163" i="19"/>
  <c r="BD163" i="19"/>
  <c r="BC163" i="19"/>
  <c r="BH162" i="19"/>
  <c r="BG162" i="19"/>
  <c r="BF162" i="19"/>
  <c r="BE162" i="19"/>
  <c r="BD162" i="19"/>
  <c r="BC162" i="19"/>
  <c r="BH161" i="19"/>
  <c r="BG161" i="19"/>
  <c r="BF161" i="19"/>
  <c r="BE161" i="19"/>
  <c r="BD161" i="19"/>
  <c r="BC161" i="19"/>
  <c r="BH160" i="19"/>
  <c r="BG160" i="19"/>
  <c r="BF160" i="19"/>
  <c r="BE160" i="19"/>
  <c r="BD160" i="19"/>
  <c r="BC160" i="19"/>
  <c r="BH159" i="19"/>
  <c r="BG159" i="19"/>
  <c r="BF159" i="19"/>
  <c r="BE159" i="19"/>
  <c r="BD159" i="19"/>
  <c r="BC159" i="19"/>
  <c r="BH158" i="19"/>
  <c r="BG158" i="19"/>
  <c r="BF158" i="19"/>
  <c r="BE158" i="19"/>
  <c r="BD158" i="19"/>
  <c r="BC158" i="19"/>
  <c r="BH157" i="19"/>
  <c r="BG157" i="19"/>
  <c r="BF157" i="19"/>
  <c r="BE157" i="19"/>
  <c r="BD157" i="19"/>
  <c r="BC157" i="19"/>
  <c r="BH156" i="19"/>
  <c r="BG156" i="19"/>
  <c r="BF156" i="19"/>
  <c r="BE156" i="19"/>
  <c r="BD156" i="19"/>
  <c r="BC156" i="19"/>
  <c r="BH155" i="19"/>
  <c r="BG155" i="19"/>
  <c r="BF155" i="19"/>
  <c r="BE155" i="19"/>
  <c r="BD155" i="19"/>
  <c r="BC155" i="19"/>
  <c r="BH154" i="19"/>
  <c r="BG154" i="19"/>
  <c r="BF154" i="19"/>
  <c r="BE154" i="19"/>
  <c r="BD154" i="19"/>
  <c r="BC154" i="19"/>
  <c r="BH153" i="19"/>
  <c r="BG153" i="19"/>
  <c r="BF153" i="19"/>
  <c r="BE153" i="19"/>
  <c r="BD153" i="19"/>
  <c r="BC153" i="19"/>
  <c r="BH152" i="19"/>
  <c r="BG152" i="19"/>
  <c r="BF152" i="19"/>
  <c r="BE152" i="19"/>
  <c r="BD152" i="19"/>
  <c r="BC152" i="19"/>
  <c r="BH151" i="19"/>
  <c r="BG151" i="19"/>
  <c r="BF151" i="19"/>
  <c r="BE151" i="19"/>
  <c r="BD151" i="19"/>
  <c r="BC151" i="19"/>
  <c r="BH150" i="19"/>
  <c r="BG150" i="19"/>
  <c r="BF150" i="19"/>
  <c r="BE150" i="19"/>
  <c r="BD150" i="19"/>
  <c r="BC150" i="19"/>
  <c r="BH149" i="19"/>
  <c r="BG149" i="19"/>
  <c r="BF149" i="19"/>
  <c r="BE149" i="19"/>
  <c r="BD149" i="19"/>
  <c r="BC149" i="19"/>
  <c r="BH148" i="19"/>
  <c r="BG148" i="19"/>
  <c r="BF148" i="19"/>
  <c r="BE148" i="19"/>
  <c r="BD148" i="19"/>
  <c r="BC148" i="19"/>
  <c r="BH147" i="19"/>
  <c r="BG147" i="19"/>
  <c r="BF147" i="19"/>
  <c r="BE147" i="19"/>
  <c r="BD147" i="19"/>
  <c r="BC147" i="19"/>
  <c r="BH146" i="19"/>
  <c r="BG146" i="19"/>
  <c r="BF146" i="19"/>
  <c r="BE146" i="19"/>
  <c r="BD146" i="19"/>
  <c r="BC146" i="19"/>
  <c r="BH145" i="19"/>
  <c r="BG145" i="19"/>
  <c r="BF145" i="19"/>
  <c r="BE145" i="19"/>
  <c r="BD145" i="19"/>
  <c r="BC145" i="19"/>
  <c r="BH144" i="19"/>
  <c r="BG144" i="19"/>
  <c r="BF144" i="19"/>
  <c r="BE144" i="19"/>
  <c r="BD144" i="19"/>
  <c r="BC144" i="19"/>
  <c r="BH143" i="19"/>
  <c r="BG143" i="19"/>
  <c r="BF143" i="19"/>
  <c r="BE143" i="19"/>
  <c r="BD143" i="19"/>
  <c r="BC143" i="19"/>
  <c r="BH142" i="19"/>
  <c r="BG142" i="19"/>
  <c r="BF142" i="19"/>
  <c r="BE142" i="19"/>
  <c r="BD142" i="19"/>
  <c r="BC142" i="19"/>
  <c r="BH141" i="19"/>
  <c r="BG141" i="19"/>
  <c r="BF141" i="19"/>
  <c r="BE141" i="19"/>
  <c r="BD141" i="19"/>
  <c r="BC141" i="19"/>
  <c r="BH140" i="19"/>
  <c r="BG140" i="19"/>
  <c r="BF140" i="19"/>
  <c r="BE140" i="19"/>
  <c r="BD140" i="19"/>
  <c r="BC140" i="19"/>
  <c r="BH139" i="19"/>
  <c r="BG139" i="19"/>
  <c r="BF139" i="19"/>
  <c r="BE139" i="19"/>
  <c r="BD139" i="19"/>
  <c r="BC139" i="19"/>
  <c r="BH138" i="19"/>
  <c r="BG138" i="19"/>
  <c r="BF138" i="19"/>
  <c r="BE138" i="19"/>
  <c r="BD138" i="19"/>
  <c r="BC138" i="19"/>
  <c r="BH137" i="19"/>
  <c r="BG137" i="19"/>
  <c r="BF137" i="19"/>
  <c r="BE137" i="19"/>
  <c r="BD137" i="19"/>
  <c r="BC137" i="19"/>
  <c r="BH136" i="19"/>
  <c r="BG136" i="19"/>
  <c r="BF136" i="19"/>
  <c r="BE136" i="19"/>
  <c r="BD136" i="19"/>
  <c r="BC136" i="19"/>
  <c r="BH135" i="19"/>
  <c r="BG135" i="19"/>
  <c r="BF135" i="19"/>
  <c r="BE135" i="19"/>
  <c r="BD135" i="19"/>
  <c r="BC135" i="19"/>
  <c r="BH134" i="19"/>
  <c r="BG134" i="19"/>
  <c r="BF134" i="19"/>
  <c r="BE134" i="19"/>
  <c r="BD134" i="19"/>
  <c r="BC134" i="19"/>
  <c r="BH133" i="19"/>
  <c r="BG133" i="19"/>
  <c r="BF133" i="19"/>
  <c r="BE133" i="19"/>
  <c r="BD133" i="19"/>
  <c r="BC133" i="19"/>
  <c r="BH132" i="19"/>
  <c r="BG132" i="19"/>
  <c r="BF132" i="19"/>
  <c r="BE132" i="19"/>
  <c r="BD132" i="19"/>
  <c r="BC132" i="19"/>
  <c r="BH131" i="19"/>
  <c r="BG131" i="19"/>
  <c r="BF131" i="19"/>
  <c r="BE131" i="19"/>
  <c r="BD131" i="19"/>
  <c r="BC131" i="19"/>
  <c r="BH130" i="19"/>
  <c r="BG130" i="19"/>
  <c r="BF130" i="19"/>
  <c r="BE130" i="19"/>
  <c r="BD130" i="19"/>
  <c r="BC130" i="19"/>
  <c r="BH129" i="19"/>
  <c r="BG129" i="19"/>
  <c r="BF129" i="19"/>
  <c r="BE129" i="19"/>
  <c r="BD129" i="19"/>
  <c r="BC129" i="19"/>
  <c r="BH128" i="19"/>
  <c r="BG128" i="19"/>
  <c r="BF128" i="19"/>
  <c r="BE128" i="19"/>
  <c r="BD128" i="19"/>
  <c r="BC128" i="19"/>
  <c r="BH127" i="19"/>
  <c r="BG127" i="19"/>
  <c r="BF127" i="19"/>
  <c r="BE127" i="19"/>
  <c r="BD127" i="19"/>
  <c r="BC127" i="19"/>
  <c r="BH126" i="19"/>
  <c r="BG126" i="19"/>
  <c r="BF126" i="19"/>
  <c r="BE126" i="19"/>
  <c r="BD126" i="19"/>
  <c r="BC126" i="19"/>
  <c r="BH125" i="19"/>
  <c r="BG125" i="19"/>
  <c r="BF125" i="19"/>
  <c r="BE125" i="19"/>
  <c r="BD125" i="19"/>
  <c r="BC125" i="19"/>
  <c r="BH124" i="19"/>
  <c r="BG124" i="19"/>
  <c r="BF124" i="19"/>
  <c r="BE124" i="19"/>
  <c r="BD124" i="19"/>
  <c r="BC124" i="19"/>
  <c r="BH123" i="19"/>
  <c r="BG123" i="19"/>
  <c r="BF123" i="19"/>
  <c r="BE123" i="19"/>
  <c r="BD123" i="19"/>
  <c r="BC123" i="19"/>
  <c r="BH122" i="19"/>
  <c r="BG122" i="19"/>
  <c r="BF122" i="19"/>
  <c r="BE122" i="19"/>
  <c r="BD122" i="19"/>
  <c r="BC122" i="19"/>
  <c r="BH121" i="19"/>
  <c r="BG121" i="19"/>
  <c r="BF121" i="19"/>
  <c r="BE121" i="19"/>
  <c r="BD121" i="19"/>
  <c r="BC121" i="19"/>
  <c r="BH120" i="19"/>
  <c r="BG120" i="19"/>
  <c r="BF120" i="19"/>
  <c r="BE120" i="19"/>
  <c r="BD120" i="19"/>
  <c r="BC120" i="19"/>
  <c r="BH119" i="19"/>
  <c r="BG119" i="19"/>
  <c r="BF119" i="19"/>
  <c r="BE119" i="19"/>
  <c r="BD119" i="19"/>
  <c r="BC119" i="19"/>
  <c r="BH118" i="19"/>
  <c r="BG118" i="19"/>
  <c r="BF118" i="19"/>
  <c r="BE118" i="19"/>
  <c r="BD118" i="19"/>
  <c r="BC118" i="19"/>
  <c r="BH117" i="19"/>
  <c r="BG117" i="19"/>
  <c r="BF117" i="19"/>
  <c r="BE117" i="19"/>
  <c r="BD117" i="19"/>
  <c r="BC117" i="19"/>
  <c r="BH116" i="19"/>
  <c r="BG116" i="19"/>
  <c r="BF116" i="19"/>
  <c r="BE116" i="19"/>
  <c r="BD116" i="19"/>
  <c r="BC116" i="19"/>
  <c r="BH115" i="19"/>
  <c r="BG115" i="19"/>
  <c r="BF115" i="19"/>
  <c r="BE115" i="19"/>
  <c r="BD115" i="19"/>
  <c r="BC115" i="19"/>
  <c r="BH114" i="19"/>
  <c r="BG114" i="19"/>
  <c r="BF114" i="19"/>
  <c r="BE114" i="19"/>
  <c r="BD114" i="19"/>
  <c r="BC114" i="19"/>
  <c r="BH113" i="19"/>
  <c r="BG113" i="19"/>
  <c r="BF113" i="19"/>
  <c r="BE113" i="19"/>
  <c r="BD113" i="19"/>
  <c r="BC113" i="19"/>
  <c r="BH112" i="19"/>
  <c r="BG112" i="19"/>
  <c r="BF112" i="19"/>
  <c r="BE112" i="19"/>
  <c r="BD112" i="19"/>
  <c r="BC112" i="19"/>
  <c r="BH111" i="19"/>
  <c r="BG111" i="19"/>
  <c r="BF111" i="19"/>
  <c r="BE111" i="19"/>
  <c r="BD111" i="19"/>
  <c r="BC111" i="19"/>
  <c r="BH110" i="19"/>
  <c r="BG110" i="19"/>
  <c r="BF110" i="19"/>
  <c r="BE110" i="19"/>
  <c r="BD110" i="19"/>
  <c r="BC110" i="19"/>
  <c r="BH109" i="19"/>
  <c r="BG109" i="19"/>
  <c r="BF109" i="19"/>
  <c r="BE109" i="19"/>
  <c r="BD109" i="19"/>
  <c r="BC109" i="19"/>
  <c r="BH108" i="19"/>
  <c r="BG108" i="19"/>
  <c r="BF108" i="19"/>
  <c r="BE108" i="19"/>
  <c r="BD108" i="19"/>
  <c r="BC108" i="19"/>
  <c r="BH107" i="19"/>
  <c r="BG107" i="19"/>
  <c r="BF107" i="19"/>
  <c r="BE107" i="19"/>
  <c r="BD107" i="19"/>
  <c r="BC107" i="19"/>
  <c r="BH106" i="19"/>
  <c r="BG106" i="19"/>
  <c r="BF106" i="19"/>
  <c r="BE106" i="19"/>
  <c r="BD106" i="19"/>
  <c r="BC106" i="19"/>
  <c r="BH105" i="19"/>
  <c r="BG105" i="19"/>
  <c r="BF105" i="19"/>
  <c r="BE105" i="19"/>
  <c r="BD105" i="19"/>
  <c r="BC105" i="19"/>
  <c r="BH104" i="19"/>
  <c r="BG104" i="19"/>
  <c r="BF104" i="19"/>
  <c r="BE104" i="19"/>
  <c r="BD104" i="19"/>
  <c r="BC104" i="19"/>
  <c r="BH103" i="19"/>
  <c r="BG103" i="19"/>
  <c r="BF103" i="19"/>
  <c r="BE103" i="19"/>
  <c r="BD103" i="19"/>
  <c r="BC103" i="19"/>
  <c r="BH102" i="19"/>
  <c r="BG102" i="19"/>
  <c r="BF102" i="19"/>
  <c r="BE102" i="19"/>
  <c r="BD102" i="19"/>
  <c r="BC102" i="19"/>
  <c r="BH101" i="19"/>
  <c r="BG101" i="19"/>
  <c r="BF101" i="19"/>
  <c r="BE101" i="19"/>
  <c r="BD101" i="19"/>
  <c r="BC101" i="19"/>
  <c r="BH100" i="19"/>
  <c r="BG100" i="19"/>
  <c r="BF100" i="19"/>
  <c r="BE100" i="19"/>
  <c r="BD100" i="19"/>
  <c r="BC100" i="19"/>
  <c r="BH99" i="19"/>
  <c r="BG99" i="19"/>
  <c r="BF99" i="19"/>
  <c r="BE99" i="19"/>
  <c r="BD99" i="19"/>
  <c r="BC99" i="19"/>
  <c r="BH98" i="19"/>
  <c r="BG98" i="19"/>
  <c r="BF98" i="19"/>
  <c r="BE98" i="19"/>
  <c r="BD98" i="19"/>
  <c r="BC98" i="19"/>
  <c r="BH97" i="19"/>
  <c r="BG97" i="19"/>
  <c r="BF97" i="19"/>
  <c r="BE97" i="19"/>
  <c r="BD97" i="19"/>
  <c r="BC97" i="19"/>
  <c r="BH96" i="19"/>
  <c r="BG96" i="19"/>
  <c r="BF96" i="19"/>
  <c r="BE96" i="19"/>
  <c r="BD96" i="19"/>
  <c r="BC96" i="19"/>
  <c r="BH95" i="19"/>
  <c r="BG95" i="19"/>
  <c r="BF95" i="19"/>
  <c r="BE95" i="19"/>
  <c r="BD95" i="19"/>
  <c r="BC95" i="19"/>
  <c r="BH94" i="19"/>
  <c r="BG94" i="19"/>
  <c r="BF94" i="19"/>
  <c r="BE94" i="19"/>
  <c r="BD94" i="19"/>
  <c r="BC94" i="19"/>
  <c r="BH93" i="19"/>
  <c r="BG93" i="19"/>
  <c r="BF93" i="19"/>
  <c r="BE93" i="19"/>
  <c r="BD93" i="19"/>
  <c r="BC93" i="19"/>
  <c r="BH92" i="19"/>
  <c r="BG92" i="19"/>
  <c r="BF92" i="19"/>
  <c r="BE92" i="19"/>
  <c r="BD92" i="19"/>
  <c r="BC92" i="19"/>
  <c r="BH91" i="19"/>
  <c r="BG91" i="19"/>
  <c r="BF91" i="19"/>
  <c r="BE91" i="19"/>
  <c r="BD91" i="19"/>
  <c r="BC91" i="19"/>
  <c r="BH90" i="19"/>
  <c r="BG90" i="19"/>
  <c r="BF90" i="19"/>
  <c r="BE90" i="19"/>
  <c r="BD90" i="19"/>
  <c r="BC90" i="19"/>
  <c r="BH89" i="19"/>
  <c r="BG89" i="19"/>
  <c r="BF89" i="19"/>
  <c r="BE89" i="19"/>
  <c r="BD89" i="19"/>
  <c r="BC89" i="19"/>
  <c r="BH88" i="19"/>
  <c r="BG88" i="19"/>
  <c r="BF88" i="19"/>
  <c r="BE88" i="19"/>
  <c r="BD88" i="19"/>
  <c r="BC88" i="19"/>
  <c r="BH87" i="19"/>
  <c r="BG87" i="19"/>
  <c r="BF87" i="19"/>
  <c r="BE87" i="19"/>
  <c r="BD87" i="19"/>
  <c r="BC87" i="19"/>
  <c r="BH86" i="19"/>
  <c r="BG86" i="19"/>
  <c r="BF86" i="19"/>
  <c r="BE86" i="19"/>
  <c r="BD86" i="19"/>
  <c r="BC86" i="19"/>
  <c r="BH85" i="19"/>
  <c r="BG85" i="19"/>
  <c r="BF85" i="19"/>
  <c r="BE85" i="19"/>
  <c r="BD85" i="19"/>
  <c r="BC85" i="19"/>
  <c r="BH84" i="19"/>
  <c r="BG84" i="19"/>
  <c r="BF84" i="19"/>
  <c r="BE84" i="19"/>
  <c r="BD84" i="19"/>
  <c r="BC84" i="19"/>
  <c r="BH83" i="19"/>
  <c r="BG83" i="19"/>
  <c r="BF83" i="19"/>
  <c r="BE83" i="19"/>
  <c r="BD83" i="19"/>
  <c r="BC83" i="19"/>
  <c r="BH82" i="19"/>
  <c r="BG82" i="19"/>
  <c r="BF82" i="19"/>
  <c r="BE82" i="19"/>
  <c r="BD82" i="19"/>
  <c r="BC82" i="19"/>
  <c r="BH81" i="19"/>
  <c r="BG81" i="19"/>
  <c r="BF81" i="19"/>
  <c r="BE81" i="19"/>
  <c r="BD81" i="19"/>
  <c r="BC81" i="19"/>
  <c r="BH80" i="19"/>
  <c r="BG80" i="19"/>
  <c r="BF80" i="19"/>
  <c r="BE80" i="19"/>
  <c r="BD80" i="19"/>
  <c r="BC80" i="19"/>
  <c r="BH79" i="19"/>
  <c r="BG79" i="19"/>
  <c r="BF79" i="19"/>
  <c r="BE79" i="19"/>
  <c r="BD79" i="19"/>
  <c r="BC79" i="19"/>
  <c r="BH78" i="19"/>
  <c r="BG78" i="19"/>
  <c r="BF78" i="19"/>
  <c r="BE78" i="19"/>
  <c r="BD78" i="19"/>
  <c r="BC78" i="19"/>
  <c r="BH77" i="19"/>
  <c r="BG77" i="19"/>
  <c r="BF77" i="19"/>
  <c r="BE77" i="19"/>
  <c r="BD77" i="19"/>
  <c r="BC77" i="19"/>
  <c r="BH76" i="19"/>
  <c r="BG76" i="19"/>
  <c r="BF76" i="19"/>
  <c r="BE76" i="19"/>
  <c r="BD76" i="19"/>
  <c r="BC76" i="19"/>
  <c r="BH75" i="19"/>
  <c r="BG75" i="19"/>
  <c r="BF75" i="19"/>
  <c r="BE75" i="19"/>
  <c r="BD75" i="19"/>
  <c r="BC75" i="19"/>
  <c r="BH74" i="19"/>
  <c r="BG74" i="19"/>
  <c r="BF74" i="19"/>
  <c r="BE74" i="19"/>
  <c r="BD74" i="19"/>
  <c r="BC74" i="19"/>
  <c r="BH73" i="19"/>
  <c r="BG73" i="19"/>
  <c r="BF73" i="19"/>
  <c r="BE73" i="19"/>
  <c r="BD73" i="19"/>
  <c r="BC73" i="19"/>
  <c r="BH72" i="19"/>
  <c r="BG72" i="19"/>
  <c r="BF72" i="19"/>
  <c r="BE72" i="19"/>
  <c r="BD72" i="19"/>
  <c r="BC72" i="19"/>
  <c r="BH71" i="19"/>
  <c r="BG71" i="19"/>
  <c r="BF71" i="19"/>
  <c r="BE71" i="19"/>
  <c r="BD71" i="19"/>
  <c r="BC71" i="19"/>
  <c r="BH70" i="19"/>
  <c r="BG70" i="19"/>
  <c r="BF70" i="19"/>
  <c r="BE70" i="19"/>
  <c r="BD70" i="19"/>
  <c r="BC70" i="19"/>
  <c r="BH69" i="19"/>
  <c r="BG69" i="19"/>
  <c r="BF69" i="19"/>
  <c r="BE69" i="19"/>
  <c r="BD69" i="19"/>
  <c r="BC69" i="19"/>
  <c r="BH68" i="19"/>
  <c r="BG68" i="19"/>
  <c r="BF68" i="19"/>
  <c r="BE68" i="19"/>
  <c r="BD68" i="19"/>
  <c r="BC68" i="19"/>
  <c r="BH67" i="19"/>
  <c r="BG67" i="19"/>
  <c r="BF67" i="19"/>
  <c r="BE67" i="19"/>
  <c r="BD67" i="19"/>
  <c r="BC67" i="19"/>
  <c r="BH66" i="19"/>
  <c r="BG66" i="19"/>
  <c r="BF66" i="19"/>
  <c r="BE66" i="19"/>
  <c r="BD66" i="19"/>
  <c r="BC66" i="19"/>
  <c r="BH65" i="19"/>
  <c r="BG65" i="19"/>
  <c r="BF65" i="19"/>
  <c r="BE65" i="19"/>
  <c r="BD65" i="19"/>
  <c r="BC65" i="19"/>
  <c r="BH64" i="19"/>
  <c r="BG64" i="19"/>
  <c r="BF64" i="19"/>
  <c r="BE64" i="19"/>
  <c r="BD64" i="19"/>
  <c r="BC64" i="19"/>
  <c r="BH63" i="19"/>
  <c r="BG63" i="19"/>
  <c r="BF63" i="19"/>
  <c r="BE63" i="19"/>
  <c r="BD63" i="19"/>
  <c r="BC63" i="19"/>
  <c r="BH62" i="19"/>
  <c r="BG62" i="19"/>
  <c r="BF62" i="19"/>
  <c r="BE62" i="19"/>
  <c r="BD62" i="19"/>
  <c r="BC62" i="19"/>
  <c r="BH61" i="19"/>
  <c r="BG61" i="19"/>
  <c r="BF61" i="19"/>
  <c r="BE61" i="19"/>
  <c r="BD61" i="19"/>
  <c r="BC61" i="19"/>
  <c r="BH60" i="19"/>
  <c r="BG60" i="19"/>
  <c r="BF60" i="19"/>
  <c r="BE60" i="19"/>
  <c r="BD60" i="19"/>
  <c r="BC60" i="19"/>
  <c r="BH59" i="19"/>
  <c r="BG59" i="19"/>
  <c r="BF59" i="19"/>
  <c r="BE59" i="19"/>
  <c r="BD59" i="19"/>
  <c r="BC59" i="19"/>
  <c r="BH58" i="19"/>
  <c r="BG58" i="19"/>
  <c r="BF58" i="19"/>
  <c r="BE58" i="19"/>
  <c r="BD58" i="19"/>
  <c r="BC58" i="19"/>
  <c r="BH57" i="19"/>
  <c r="BG57" i="19"/>
  <c r="BF57" i="19"/>
  <c r="BE57" i="19"/>
  <c r="BD57" i="19"/>
  <c r="BC57" i="19"/>
  <c r="BH56" i="19"/>
  <c r="BG56" i="19"/>
  <c r="BF56" i="19"/>
  <c r="BE56" i="19"/>
  <c r="BD56" i="19"/>
  <c r="BC56" i="19"/>
  <c r="BH55" i="19"/>
  <c r="BG55" i="19"/>
  <c r="BF55" i="19"/>
  <c r="BE55" i="19"/>
  <c r="BD55" i="19"/>
  <c r="BC55" i="19"/>
  <c r="BH54" i="19"/>
  <c r="BG54" i="19"/>
  <c r="BF54" i="19"/>
  <c r="BE54" i="19"/>
  <c r="BD54" i="19"/>
  <c r="BC54" i="19"/>
  <c r="BH53" i="19"/>
  <c r="BG53" i="19"/>
  <c r="BF53" i="19"/>
  <c r="BE53" i="19"/>
  <c r="BD53" i="19"/>
  <c r="BC53" i="19"/>
  <c r="BH52" i="19"/>
  <c r="BG52" i="19"/>
  <c r="BF52" i="19"/>
  <c r="BE52" i="19"/>
  <c r="BD52" i="19"/>
  <c r="BC52" i="19"/>
  <c r="BH51" i="19"/>
  <c r="BG51" i="19"/>
  <c r="BF51" i="19"/>
  <c r="BE51" i="19"/>
  <c r="BD51" i="19"/>
  <c r="BC51" i="19"/>
  <c r="BH50" i="19"/>
  <c r="BG50" i="19"/>
  <c r="BF50" i="19"/>
  <c r="BE50" i="19"/>
  <c r="BD50" i="19"/>
  <c r="BC50" i="19"/>
  <c r="BH49" i="19"/>
  <c r="BG49" i="19"/>
  <c r="BF49" i="19"/>
  <c r="BE49" i="19"/>
  <c r="BD49" i="19"/>
  <c r="BC49" i="19"/>
  <c r="BH48" i="19"/>
  <c r="BG48" i="19"/>
  <c r="BF48" i="19"/>
  <c r="BE48" i="19"/>
  <c r="BD48" i="19"/>
  <c r="BC48" i="19"/>
  <c r="BH47" i="19"/>
  <c r="BG47" i="19"/>
  <c r="BF47" i="19"/>
  <c r="BE47" i="19"/>
  <c r="BD47" i="19"/>
  <c r="BC47" i="19"/>
  <c r="BH46" i="19"/>
  <c r="BG46" i="19"/>
  <c r="BF46" i="19"/>
  <c r="BE46" i="19"/>
  <c r="BD46" i="19"/>
  <c r="BC46" i="19"/>
  <c r="BH45" i="19"/>
  <c r="BG45" i="19"/>
  <c r="BF45" i="19"/>
  <c r="BE45" i="19"/>
  <c r="BD45" i="19"/>
  <c r="BC45" i="19"/>
  <c r="BH44" i="19"/>
  <c r="BG44" i="19"/>
  <c r="BF44" i="19"/>
  <c r="BE44" i="19"/>
  <c r="BD44" i="19"/>
  <c r="BC44" i="19"/>
  <c r="BH43" i="19"/>
  <c r="BG43" i="19"/>
  <c r="BF43" i="19"/>
  <c r="BE43" i="19"/>
  <c r="BD43" i="19"/>
  <c r="BC43" i="19"/>
  <c r="BH42" i="19"/>
  <c r="BG42" i="19"/>
  <c r="BF42" i="19"/>
  <c r="BE42" i="19"/>
  <c r="BD42" i="19"/>
  <c r="BC42" i="19"/>
  <c r="BH41" i="19"/>
  <c r="BG41" i="19"/>
  <c r="BF41" i="19"/>
  <c r="BE41" i="19"/>
  <c r="BD41" i="19"/>
  <c r="BC41" i="19"/>
  <c r="BH40" i="19"/>
  <c r="BG40" i="19"/>
  <c r="BF40" i="19"/>
  <c r="BE40" i="19"/>
  <c r="BD40" i="19"/>
  <c r="BC40" i="19"/>
  <c r="BH39" i="19"/>
  <c r="BG39" i="19"/>
  <c r="BF39" i="19"/>
  <c r="BE39" i="19"/>
  <c r="BD39" i="19"/>
  <c r="BC39" i="19"/>
  <c r="BH38" i="19"/>
  <c r="BG38" i="19"/>
  <c r="BF38" i="19"/>
  <c r="BE38" i="19"/>
  <c r="BD38" i="19"/>
  <c r="BC38" i="19"/>
  <c r="BH37" i="19"/>
  <c r="BG37" i="19"/>
  <c r="BF37" i="19"/>
  <c r="BE37" i="19"/>
  <c r="BD37" i="19"/>
  <c r="BC37" i="19"/>
  <c r="BH36" i="19"/>
  <c r="BG36" i="19"/>
  <c r="BF36" i="19"/>
  <c r="BE36" i="19"/>
  <c r="BD36" i="19"/>
  <c r="BC36" i="19"/>
  <c r="BH35" i="19"/>
  <c r="BG35" i="19"/>
  <c r="BF35" i="19"/>
  <c r="BE35" i="19"/>
  <c r="BD35" i="19"/>
  <c r="BC35" i="19"/>
  <c r="BH34" i="19"/>
  <c r="BG34" i="19"/>
  <c r="BF34" i="19"/>
  <c r="BE34" i="19"/>
  <c r="BD34" i="19"/>
  <c r="BC34" i="19"/>
  <c r="BH33" i="19"/>
  <c r="BG33" i="19"/>
  <c r="BF33" i="19"/>
  <c r="BE33" i="19"/>
  <c r="BD33" i="19"/>
  <c r="BC33" i="19"/>
  <c r="BH32" i="19"/>
  <c r="BG32" i="19"/>
  <c r="BF32" i="19"/>
  <c r="BE32" i="19"/>
  <c r="BD32" i="19"/>
  <c r="BC32" i="19"/>
  <c r="BH31" i="19"/>
  <c r="BG31" i="19"/>
  <c r="BF31" i="19"/>
  <c r="BE31" i="19"/>
  <c r="BD31" i="19"/>
  <c r="BC31" i="19"/>
  <c r="BH30" i="19"/>
  <c r="BG30" i="19"/>
  <c r="BF30" i="19"/>
  <c r="BE30" i="19"/>
  <c r="BD30" i="19"/>
  <c r="BC30" i="19"/>
  <c r="BH29" i="19"/>
  <c r="BG29" i="19"/>
  <c r="BF29" i="19"/>
  <c r="BE29" i="19"/>
  <c r="BD29" i="19"/>
  <c r="BC29" i="19"/>
  <c r="BH28" i="19"/>
  <c r="BG28" i="19"/>
  <c r="BF28" i="19"/>
  <c r="BE28" i="19"/>
  <c r="BD28" i="19"/>
  <c r="BC28" i="19"/>
  <c r="BH27" i="19"/>
  <c r="BG27" i="19"/>
  <c r="BF27" i="19"/>
  <c r="BE27" i="19"/>
  <c r="BD27" i="19"/>
  <c r="BC27" i="19"/>
  <c r="BH26" i="19"/>
  <c r="BG26" i="19"/>
  <c r="BF26" i="19"/>
  <c r="BE26" i="19"/>
  <c r="BD26" i="19"/>
  <c r="BC26" i="19"/>
  <c r="BH25" i="19"/>
  <c r="BG25" i="19"/>
  <c r="BF25" i="19"/>
  <c r="BE25" i="19"/>
  <c r="BD25" i="19"/>
  <c r="BC25" i="19"/>
  <c r="BH24" i="19"/>
  <c r="BG24" i="19"/>
  <c r="BF24" i="19"/>
  <c r="BE24" i="19"/>
  <c r="BD24" i="19"/>
  <c r="BC24" i="19"/>
  <c r="BH23" i="19"/>
  <c r="BG23" i="19"/>
  <c r="BF23" i="19"/>
  <c r="BE23" i="19"/>
  <c r="BD23" i="19"/>
  <c r="BC23" i="19"/>
  <c r="BH22" i="19"/>
  <c r="BG22" i="19"/>
  <c r="BF22" i="19"/>
  <c r="BE22" i="19"/>
  <c r="BD22" i="19"/>
  <c r="BC22" i="19"/>
  <c r="BH21" i="19"/>
  <c r="BG21" i="19"/>
  <c r="BF21" i="19"/>
  <c r="BE21" i="19"/>
  <c r="BD21" i="19"/>
  <c r="BC21" i="19"/>
  <c r="BH20" i="19"/>
  <c r="BG20" i="19"/>
  <c r="BF20" i="19"/>
  <c r="BE20" i="19"/>
  <c r="BD20" i="19"/>
  <c r="BC20" i="19"/>
  <c r="BH19" i="19"/>
  <c r="BG19" i="19"/>
  <c r="BF19" i="19"/>
  <c r="BE19" i="19"/>
  <c r="BD19" i="19"/>
  <c r="BC19" i="19"/>
  <c r="BH18" i="19"/>
  <c r="BG18" i="19"/>
  <c r="BF18" i="19"/>
  <c r="BE18" i="19"/>
  <c r="BD18" i="19"/>
  <c r="BC18" i="19"/>
  <c r="BH17" i="19"/>
  <c r="BG17" i="19"/>
  <c r="BF17" i="19"/>
  <c r="BE17" i="19"/>
  <c r="BD17" i="19"/>
  <c r="BC17" i="19"/>
  <c r="BH16" i="19"/>
  <c r="BG16" i="19"/>
  <c r="BF16" i="19"/>
  <c r="BE16" i="19"/>
  <c r="BD16" i="19"/>
  <c r="BC16" i="19"/>
  <c r="BH15" i="19"/>
  <c r="BG15" i="19"/>
  <c r="BF15" i="19"/>
  <c r="BE15" i="19"/>
  <c r="BD15" i="19"/>
  <c r="BC15" i="19"/>
  <c r="BH14" i="19"/>
  <c r="BG14" i="19"/>
  <c r="BF14" i="19"/>
  <c r="BE14" i="19"/>
  <c r="BD14" i="19"/>
  <c r="BC14" i="19"/>
  <c r="BH13" i="19"/>
  <c r="BG13" i="19"/>
  <c r="BF13" i="19"/>
  <c r="BE13" i="19"/>
  <c r="BD13" i="19"/>
  <c r="BC13" i="19"/>
  <c r="BH12" i="19"/>
  <c r="BG12" i="19"/>
  <c r="BF12" i="19"/>
  <c r="BE12" i="19"/>
  <c r="BD12" i="19"/>
  <c r="BC12" i="19"/>
  <c r="BH11" i="19"/>
  <c r="BG11" i="19"/>
  <c r="BF11" i="19"/>
  <c r="BE11" i="19"/>
  <c r="BD11" i="19"/>
  <c r="BC11" i="19"/>
  <c r="BH10" i="19"/>
  <c r="BG10" i="19"/>
  <c r="BF10" i="19"/>
  <c r="BE10" i="19"/>
  <c r="BD10" i="19"/>
  <c r="BC10" i="19"/>
  <c r="BH9" i="19"/>
  <c r="BG9" i="19"/>
  <c r="BF9" i="19"/>
  <c r="BE9" i="19"/>
  <c r="BD9" i="19"/>
  <c r="BC9" i="19"/>
  <c r="BH8" i="19"/>
  <c r="BG8" i="19"/>
  <c r="BF8" i="19"/>
  <c r="BE8" i="19"/>
  <c r="BD8" i="19"/>
  <c r="BC8" i="19"/>
  <c r="BH7" i="19"/>
  <c r="BG7" i="19"/>
  <c r="BF7" i="19"/>
  <c r="BE7" i="19"/>
  <c r="BD7" i="19"/>
  <c r="BC7" i="19"/>
  <c r="BH6" i="19"/>
  <c r="BG6" i="19"/>
  <c r="BF6" i="19"/>
  <c r="BE6" i="19"/>
  <c r="BD6" i="19"/>
  <c r="BC6" i="19"/>
  <c r="BH5" i="19"/>
  <c r="BG5" i="19"/>
  <c r="BF5" i="19"/>
  <c r="BE5" i="19"/>
  <c r="BD5" i="19"/>
  <c r="BC5" i="19"/>
  <c r="B35" i="54"/>
  <c r="F247" i="51"/>
  <c r="M19" i="51"/>
  <c r="W55" i="89"/>
  <c r="W54" i="89"/>
  <c r="W53" i="89"/>
  <c r="W52" i="89"/>
  <c r="W51" i="89"/>
  <c r="G18" i="89"/>
  <c r="G17" i="89"/>
  <c r="G16" i="89"/>
  <c r="G15" i="89"/>
  <c r="G14" i="89"/>
  <c r="G13" i="89"/>
  <c r="Y56" i="89"/>
  <c r="Y55" i="89"/>
  <c r="Y54" i="89"/>
  <c r="Y53" i="89"/>
  <c r="Y52" i="89"/>
  <c r="Y51" i="89"/>
  <c r="X55" i="89"/>
  <c r="X54" i="89"/>
  <c r="X53" i="89"/>
  <c r="X52" i="89"/>
  <c r="X51" i="89"/>
  <c r="W49" i="89"/>
  <c r="W48" i="89"/>
  <c r="F8" i="90"/>
  <c r="N22" i="90"/>
  <c r="B23" i="90"/>
  <c r="E23" i="89"/>
  <c r="N102" i="90"/>
  <c r="B103" i="90"/>
  <c r="O23" i="89"/>
  <c r="N62" i="90"/>
  <c r="B63" i="90"/>
  <c r="K23" i="89"/>
  <c r="E30" i="89"/>
  <c r="M30" i="89"/>
  <c r="O30" i="89"/>
  <c r="I28" i="89"/>
  <c r="K30" i="89"/>
  <c r="N122" i="90"/>
  <c r="B123" i="90"/>
  <c r="Q23" i="89"/>
  <c r="N92" i="90"/>
  <c r="N93" i="90"/>
  <c r="B93" i="90"/>
  <c r="O21" i="89"/>
  <c r="U43" i="89"/>
  <c r="Q26" i="89"/>
  <c r="O26" i="89"/>
  <c r="M26" i="89"/>
  <c r="K26" i="89"/>
  <c r="I26" i="89"/>
  <c r="E26" i="89"/>
  <c r="Q6" i="89"/>
  <c r="O6" i="89"/>
  <c r="M6" i="89"/>
  <c r="K6" i="89"/>
  <c r="I6" i="89"/>
  <c r="Q5" i="89"/>
  <c r="O5" i="89"/>
  <c r="M5" i="89"/>
  <c r="K5" i="89"/>
  <c r="I5" i="89"/>
  <c r="C5" i="89"/>
  <c r="C4" i="89"/>
  <c r="U2" i="89"/>
  <c r="O15" i="89"/>
  <c r="N52" i="90"/>
  <c r="N53" i="90"/>
  <c r="B53" i="90"/>
  <c r="K21" i="89"/>
  <c r="K15" i="89"/>
  <c r="M28" i="89"/>
  <c r="O28" i="89"/>
  <c r="O32" i="89"/>
  <c r="O31" i="89"/>
  <c r="O14" i="89"/>
  <c r="E28" i="89"/>
  <c r="R14" i="89"/>
  <c r="L14" i="89"/>
  <c r="P14" i="89"/>
  <c r="F14" i="89"/>
  <c r="K17" i="89"/>
  <c r="Q28" i="89"/>
  <c r="Q30" i="89"/>
  <c r="Q32" i="89"/>
  <c r="Q31" i="89"/>
  <c r="O17" i="89"/>
  <c r="I30" i="89"/>
  <c r="N12" i="90"/>
  <c r="N13" i="90"/>
  <c r="B13" i="90"/>
  <c r="E21" i="89"/>
  <c r="E16" i="89"/>
  <c r="N72" i="90"/>
  <c r="N73" i="90"/>
  <c r="B73" i="90"/>
  <c r="M21" i="89"/>
  <c r="N42" i="90"/>
  <c r="B43" i="90"/>
  <c r="I23" i="89"/>
  <c r="J14" i="89"/>
  <c r="N82" i="90"/>
  <c r="B83" i="90"/>
  <c r="M23" i="89"/>
  <c r="N32" i="90"/>
  <c r="N33" i="90"/>
  <c r="B33" i="90"/>
  <c r="I21" i="89"/>
  <c r="I13" i="89"/>
  <c r="P18" i="89"/>
  <c r="P16" i="89"/>
  <c r="P17" i="89"/>
  <c r="P15" i="89"/>
  <c r="P13" i="89"/>
  <c r="E32" i="89"/>
  <c r="E31" i="89"/>
  <c r="F16" i="89"/>
  <c r="H16" i="89"/>
  <c r="F17" i="89"/>
  <c r="H17" i="89"/>
  <c r="E24" i="89"/>
  <c r="F18" i="89"/>
  <c r="H18" i="89"/>
  <c r="E17" i="89"/>
  <c r="F15" i="89"/>
  <c r="H15" i="89"/>
  <c r="E18" i="89"/>
  <c r="R17" i="89"/>
  <c r="R18" i="89"/>
  <c r="R13" i="89"/>
  <c r="J17" i="89"/>
  <c r="J13" i="89"/>
  <c r="L13" i="89"/>
  <c r="K18" i="89"/>
  <c r="E13" i="89"/>
  <c r="E14" i="89"/>
  <c r="E15" i="89"/>
  <c r="E19" i="89"/>
  <c r="L17" i="89"/>
  <c r="O18" i="89"/>
  <c r="O13" i="89"/>
  <c r="J15" i="89"/>
  <c r="L18" i="89"/>
  <c r="L16" i="89"/>
  <c r="J18" i="89"/>
  <c r="R15" i="89"/>
  <c r="F13" i="89"/>
  <c r="F19" i="89"/>
  <c r="L15" i="89"/>
  <c r="J16" i="89"/>
  <c r="K14" i="89"/>
  <c r="R16" i="89"/>
  <c r="M32" i="89"/>
  <c r="M31" i="89"/>
  <c r="H14" i="89"/>
  <c r="E22" i="89"/>
  <c r="I32" i="89"/>
  <c r="I29" i="89"/>
  <c r="O16" i="89"/>
  <c r="K13" i="89"/>
  <c r="E36" i="89"/>
  <c r="F39" i="89"/>
  <c r="K28" i="89"/>
  <c r="K32" i="89"/>
  <c r="K31" i="89"/>
  <c r="N18" i="89"/>
  <c r="N17" i="89"/>
  <c r="N15" i="89"/>
  <c r="N16" i="89"/>
  <c r="N14" i="89"/>
  <c r="I15" i="89"/>
  <c r="I14" i="89"/>
  <c r="I18" i="89"/>
  <c r="N112" i="90"/>
  <c r="N113" i="90"/>
  <c r="B113" i="90"/>
  <c r="Q21" i="89"/>
  <c r="M14" i="89"/>
  <c r="M17" i="89"/>
  <c r="M15" i="89"/>
  <c r="M13" i="89"/>
  <c r="M18" i="89"/>
  <c r="M16" i="89"/>
  <c r="N13" i="89"/>
  <c r="I17" i="89"/>
  <c r="I16" i="89"/>
  <c r="K16" i="89"/>
  <c r="O29" i="89"/>
  <c r="E29" i="89"/>
  <c r="Q29" i="89"/>
  <c r="E35" i="89"/>
  <c r="M29" i="89"/>
  <c r="E38" i="89"/>
  <c r="F8" i="89"/>
  <c r="F35" i="89"/>
  <c r="F9" i="89"/>
  <c r="H13" i="89"/>
  <c r="H19" i="89"/>
  <c r="H9" i="89"/>
  <c r="E37" i="89"/>
  <c r="E34" i="89"/>
  <c r="F38" i="89"/>
  <c r="E39" i="89"/>
  <c r="F36" i="89"/>
  <c r="F37" i="89"/>
  <c r="F34" i="89"/>
  <c r="K29" i="89"/>
  <c r="I31" i="89"/>
  <c r="Q17" i="89"/>
  <c r="Q18" i="89"/>
  <c r="Q16" i="89"/>
  <c r="Q14" i="89"/>
  <c r="Q15" i="89"/>
  <c r="Q13" i="89"/>
  <c r="F10" i="89"/>
  <c r="F11" i="89"/>
  <c r="H38" i="89"/>
  <c r="H37" i="89"/>
  <c r="H35" i="89"/>
  <c r="H36" i="89"/>
  <c r="H34" i="89"/>
  <c r="H39" i="89"/>
  <c r="E41" i="89"/>
  <c r="K19" i="89"/>
  <c r="K36" i="89"/>
  <c r="K22" i="89"/>
  <c r="K24" i="89"/>
  <c r="L19" i="89"/>
  <c r="L35" i="89"/>
  <c r="M22" i="89"/>
  <c r="M24" i="89"/>
  <c r="O22" i="89"/>
  <c r="O24" i="89"/>
  <c r="I22" i="89"/>
  <c r="Q22" i="89"/>
  <c r="I24" i="89"/>
  <c r="Q24" i="89"/>
  <c r="L36" i="89"/>
  <c r="L39" i="89"/>
  <c r="L38" i="89"/>
  <c r="K38" i="89"/>
  <c r="K39" i="89"/>
  <c r="N19" i="89"/>
  <c r="N9" i="89"/>
  <c r="Q19" i="89"/>
  <c r="R8" i="89"/>
  <c r="I19" i="89"/>
  <c r="J8" i="89"/>
  <c r="O19" i="89"/>
  <c r="O38" i="89"/>
  <c r="J19" i="89"/>
  <c r="J9" i="89"/>
  <c r="M19" i="89"/>
  <c r="M36" i="89"/>
  <c r="K34" i="89"/>
  <c r="L8" i="89"/>
  <c r="R19" i="89"/>
  <c r="R34" i="89"/>
  <c r="P19" i="89"/>
  <c r="P9" i="89"/>
  <c r="L34" i="89"/>
  <c r="L9" i="89"/>
  <c r="K35" i="89"/>
  <c r="L37" i="89"/>
  <c r="K37" i="89"/>
  <c r="O34" i="89"/>
  <c r="M35" i="89"/>
  <c r="O37" i="89"/>
  <c r="N39" i="89"/>
  <c r="Q38" i="89"/>
  <c r="O35" i="89"/>
  <c r="Q34" i="89"/>
  <c r="M39" i="89"/>
  <c r="Q35" i="89"/>
  <c r="J10" i="89"/>
  <c r="J11" i="89"/>
  <c r="L10" i="89"/>
  <c r="L11" i="89"/>
  <c r="I39" i="89"/>
  <c r="M38" i="89"/>
  <c r="M34" i="89"/>
  <c r="I35" i="89"/>
  <c r="Q37" i="89"/>
  <c r="P37" i="89"/>
  <c r="Q39" i="89"/>
  <c r="I37" i="89"/>
  <c r="R39" i="89"/>
  <c r="R9" i="89"/>
  <c r="R10" i="89"/>
  <c r="O39" i="89"/>
  <c r="P8" i="89"/>
  <c r="P10" i="89"/>
  <c r="R38" i="89"/>
  <c r="P38" i="89"/>
  <c r="P36" i="89"/>
  <c r="P39" i="89"/>
  <c r="R35" i="89"/>
  <c r="P34" i="89"/>
  <c r="J34" i="89"/>
  <c r="I34" i="89"/>
  <c r="N34" i="89"/>
  <c r="R37" i="89"/>
  <c r="P35" i="89"/>
  <c r="O36" i="89"/>
  <c r="J39" i="89"/>
  <c r="I36" i="89"/>
  <c r="J35" i="89"/>
  <c r="M37" i="89"/>
  <c r="N8" i="89"/>
  <c r="N10" i="89"/>
  <c r="N35" i="89"/>
  <c r="R36" i="89"/>
  <c r="Q36" i="89"/>
  <c r="N36" i="89"/>
  <c r="J37" i="89"/>
  <c r="N38" i="89"/>
  <c r="I38" i="89"/>
  <c r="J38" i="89"/>
  <c r="J36" i="89"/>
  <c r="N37" i="89"/>
  <c r="K41" i="89"/>
  <c r="I41" i="89"/>
  <c r="P11" i="89"/>
  <c r="O41" i="89"/>
  <c r="Q41" i="89"/>
  <c r="R11" i="89"/>
  <c r="M41" i="89"/>
  <c r="N11" i="89"/>
  <c r="G19" i="89"/>
  <c r="G34" i="89"/>
  <c r="G37" i="89"/>
  <c r="H8" i="89"/>
  <c r="H10" i="89"/>
  <c r="H11" i="89"/>
  <c r="G35" i="89"/>
  <c r="G39" i="89"/>
  <c r="G36" i="89"/>
  <c r="G38" i="89"/>
  <c r="CU244" i="49"/>
  <c r="N232" i="90"/>
  <c r="B233" i="90"/>
  <c r="AD22" i="88"/>
  <c r="N222" i="90"/>
  <c r="B223" i="90"/>
  <c r="AD18" i="88"/>
  <c r="N212" i="90"/>
  <c r="B213" i="90"/>
  <c r="AD16" i="88"/>
  <c r="N202" i="90"/>
  <c r="B203" i="90"/>
  <c r="AD14" i="88"/>
  <c r="N192" i="90"/>
  <c r="B193" i="90"/>
  <c r="AD12" i="88"/>
  <c r="N182" i="90"/>
  <c r="B183" i="90"/>
  <c r="AD10" i="88"/>
  <c r="AD25" i="88"/>
  <c r="Z20" i="88"/>
  <c r="Z24" i="88"/>
  <c r="Q20" i="88"/>
  <c r="Q24" i="88"/>
  <c r="AA27" i="88"/>
  <c r="Y27" i="88"/>
  <c r="Z19" i="88"/>
  <c r="Z23" i="88"/>
  <c r="Q19" i="88"/>
  <c r="Q23" i="88"/>
  <c r="AA26" i="88"/>
  <c r="Y26" i="88"/>
  <c r="J33" i="88"/>
  <c r="I33" i="88"/>
  <c r="Q3" i="88"/>
  <c r="Z3" i="88"/>
  <c r="Q6" i="88"/>
  <c r="Z6" i="88"/>
  <c r="Q7" i="88"/>
  <c r="Z7" i="88"/>
  <c r="Z8" i="88"/>
  <c r="Q4" i="88"/>
  <c r="Z4" i="88"/>
  <c r="AA3" i="88"/>
  <c r="Y3" i="88"/>
  <c r="Q5" i="88"/>
  <c r="Z5" i="88"/>
  <c r="Z25" i="88"/>
  <c r="AA25" i="88"/>
  <c r="Y25" i="88"/>
  <c r="AA24" i="88"/>
  <c r="Y24" i="88"/>
  <c r="AA23" i="88"/>
  <c r="Y23" i="88"/>
  <c r="F22" i="88" a="1"/>
  <c r="F22" i="88"/>
  <c r="H22" i="88" a="1"/>
  <c r="H22" i="88"/>
  <c r="G28" i="88" a="1"/>
  <c r="G28" i="88"/>
  <c r="I28" i="88" a="1"/>
  <c r="I28" i="88"/>
  <c r="F28" i="88" a="1"/>
  <c r="F28" i="88"/>
  <c r="H28" i="88" a="1"/>
  <c r="H28" i="88"/>
  <c r="G27" i="88" a="1"/>
  <c r="G27" i="88"/>
  <c r="I27" i="88" a="1"/>
  <c r="I27" i="88"/>
  <c r="F27" i="88" a="1"/>
  <c r="F27" i="88"/>
  <c r="H27" i="88" a="1"/>
  <c r="H27" i="88"/>
  <c r="G26" i="88" a="1"/>
  <c r="G26" i="88"/>
  <c r="I26" i="88" a="1"/>
  <c r="I26" i="88"/>
  <c r="F26" i="88" a="1"/>
  <c r="F26" i="88"/>
  <c r="H26" i="88" a="1"/>
  <c r="H26" i="88"/>
  <c r="G25" i="88" a="1"/>
  <c r="G25" i="88"/>
  <c r="I25" i="88" a="1"/>
  <c r="I25" i="88"/>
  <c r="F25" i="88" a="1"/>
  <c r="F25" i="88"/>
  <c r="H25" i="88" a="1"/>
  <c r="H25" i="88"/>
  <c r="G24" i="88" a="1"/>
  <c r="G24" i="88"/>
  <c r="I24" i="88" a="1"/>
  <c r="I24" i="88"/>
  <c r="F24" i="88" a="1"/>
  <c r="F24" i="88"/>
  <c r="H24" i="88" a="1"/>
  <c r="H24" i="88"/>
  <c r="G23" i="88" a="1"/>
  <c r="G23" i="88"/>
  <c r="I23" i="88" a="1"/>
  <c r="I23" i="88"/>
  <c r="F23" i="88" a="1"/>
  <c r="F23" i="88"/>
  <c r="H23" i="88" a="1"/>
  <c r="H23" i="88"/>
  <c r="G22" i="88" a="1"/>
  <c r="G22" i="88"/>
  <c r="I22" i="88" a="1"/>
  <c r="I22" i="88"/>
  <c r="I29" i="88"/>
  <c r="H29" i="88"/>
  <c r="F29" i="88"/>
  <c r="G29" i="88"/>
  <c r="N162" i="90"/>
  <c r="B163" i="90"/>
  <c r="AA22" i="88"/>
  <c r="Y22" i="88"/>
  <c r="N142" i="90"/>
  <c r="B143" i="90"/>
  <c r="AA20" i="88"/>
  <c r="Y20" i="88"/>
  <c r="N132" i="90"/>
  <c r="N133" i="90"/>
  <c r="B133" i="90"/>
  <c r="AA19" i="88"/>
  <c r="Y19" i="88"/>
  <c r="AA11" i="88"/>
  <c r="Y11" i="88"/>
  <c r="AA12" i="88"/>
  <c r="Y12" i="88"/>
  <c r="AA7" i="88"/>
  <c r="Y7" i="88"/>
  <c r="AA16" i="88"/>
  <c r="Y16" i="88"/>
  <c r="AA6" i="88"/>
  <c r="Y6" i="88"/>
  <c r="R33" i="88"/>
  <c r="AA13" i="88"/>
  <c r="Y13" i="88"/>
  <c r="AA18" i="88"/>
  <c r="Y18" i="88"/>
  <c r="N152" i="90"/>
  <c r="N153" i="90"/>
  <c r="B153" i="90"/>
  <c r="AA21" i="88"/>
  <c r="Y21" i="88"/>
  <c r="AA10" i="88"/>
  <c r="Y10" i="88"/>
  <c r="AA15" i="88"/>
  <c r="Y15" i="88"/>
  <c r="AA9" i="88"/>
  <c r="Y9" i="88"/>
  <c r="AA14" i="88"/>
  <c r="Y14" i="88"/>
  <c r="AA17" i="88"/>
  <c r="Y17" i="88"/>
  <c r="T33" i="88"/>
  <c r="S33" i="88"/>
  <c r="Q33" i="88"/>
  <c r="P33" i="88"/>
  <c r="O33" i="88"/>
  <c r="N33" i="88"/>
  <c r="M33" i="88"/>
  <c r="L33" i="88"/>
  <c r="K33" i="88"/>
  <c r="H33" i="88"/>
  <c r="G33" i="88"/>
  <c r="F33" i="88"/>
  <c r="E33" i="88"/>
  <c r="D33" i="88"/>
  <c r="Q27" i="88"/>
  <c r="Q26" i="88"/>
  <c r="J25" i="88"/>
  <c r="J24" i="88"/>
  <c r="J23" i="88"/>
  <c r="J22" i="88"/>
  <c r="J21" i="88"/>
  <c r="J20" i="88"/>
  <c r="J19" i="88"/>
  <c r="J18" i="88"/>
  <c r="J17" i="88"/>
  <c r="J16" i="88"/>
  <c r="J15" i="88"/>
  <c r="J14" i="88"/>
  <c r="J13" i="88"/>
  <c r="J12" i="88"/>
  <c r="Q8" i="88"/>
  <c r="R8" i="88"/>
  <c r="Q25" i="88"/>
  <c r="R25" i="88"/>
  <c r="P25" i="88"/>
  <c r="P8" i="88"/>
  <c r="P3" i="88"/>
  <c r="AA8" i="88"/>
  <c r="Y8" i="88"/>
  <c r="R24" i="88"/>
  <c r="P24" i="88"/>
  <c r="R23" i="88"/>
  <c r="P23" i="88"/>
  <c r="T120" i="15"/>
  <c r="S120" i="15"/>
  <c r="T110" i="15"/>
  <c r="S110" i="15"/>
  <c r="T100" i="15"/>
  <c r="S100" i="15"/>
  <c r="T90" i="15"/>
  <c r="S90" i="15"/>
  <c r="T80" i="15"/>
  <c r="S80" i="15"/>
  <c r="T70" i="15"/>
  <c r="S70" i="15"/>
  <c r="T60" i="15"/>
  <c r="S60" i="15"/>
  <c r="T50" i="15"/>
  <c r="S50" i="15"/>
  <c r="T40" i="15"/>
  <c r="S40" i="15"/>
  <c r="T30" i="15"/>
  <c r="S30" i="15"/>
  <c r="T20" i="15"/>
  <c r="S20" i="15"/>
  <c r="T10" i="15"/>
  <c r="S10" i="15"/>
  <c r="Q5" i="15"/>
  <c r="E5" i="15"/>
  <c r="K5" i="15"/>
  <c r="T2" i="15"/>
  <c r="N2" i="15"/>
  <c r="H2" i="15"/>
  <c r="H5" i="15"/>
  <c r="T5" i="15"/>
  <c r="E2" i="15"/>
  <c r="N5" i="15"/>
  <c r="K2" i="15"/>
  <c r="Q2" i="15"/>
  <c r="T3" i="15"/>
  <c r="Q6" i="15"/>
  <c r="Q3" i="15"/>
  <c r="K6" i="15"/>
  <c r="K3" i="15"/>
  <c r="H6" i="15"/>
  <c r="H3" i="15"/>
  <c r="E3" i="15"/>
  <c r="B120" i="15"/>
  <c r="B110" i="15"/>
  <c r="B100" i="15"/>
  <c r="B90" i="15"/>
  <c r="B80" i="15"/>
  <c r="B70" i="15"/>
  <c r="B60" i="15"/>
  <c r="B50" i="15"/>
  <c r="B40" i="15"/>
  <c r="B30" i="15"/>
  <c r="L3" i="15"/>
  <c r="J3" i="15"/>
  <c r="R3" i="15"/>
  <c r="P3" i="15"/>
  <c r="U3" i="15"/>
  <c r="S3" i="15"/>
  <c r="L6" i="15"/>
  <c r="J6" i="15"/>
  <c r="R6" i="15"/>
  <c r="P6" i="15"/>
  <c r="E6" i="15"/>
  <c r="T6" i="15"/>
  <c r="N6" i="15"/>
  <c r="N3" i="15"/>
  <c r="I3" i="15"/>
  <c r="G3" i="15"/>
  <c r="I6" i="15"/>
  <c r="G6" i="15"/>
  <c r="O3" i="15"/>
  <c r="M3" i="15"/>
  <c r="F6" i="15"/>
  <c r="D6" i="15"/>
  <c r="F3" i="15"/>
  <c r="D3" i="15"/>
  <c r="O6" i="15"/>
  <c r="M6" i="15"/>
  <c r="U6" i="15"/>
  <c r="S6" i="15"/>
  <c r="N172" i="90"/>
  <c r="B173" i="90"/>
  <c r="T230" i="90"/>
  <c r="S230" i="90"/>
  <c r="T220" i="90"/>
  <c r="S220" i="90"/>
  <c r="T210" i="90"/>
  <c r="S210" i="90"/>
  <c r="T200" i="90"/>
  <c r="S200" i="90"/>
  <c r="T190" i="90"/>
  <c r="S190" i="90"/>
  <c r="T180" i="90"/>
  <c r="S180" i="90"/>
  <c r="T170" i="90"/>
  <c r="S170" i="90"/>
  <c r="T160" i="90"/>
  <c r="S160" i="90"/>
  <c r="T150" i="90"/>
  <c r="S150" i="90"/>
  <c r="T140" i="90"/>
  <c r="S140" i="90"/>
  <c r="T130" i="90"/>
  <c r="S130" i="90"/>
  <c r="R6" i="90"/>
  <c r="R3" i="90"/>
  <c r="P3" i="90"/>
  <c r="T120" i="90"/>
  <c r="S120" i="90"/>
  <c r="B120" i="90"/>
  <c r="T110" i="90"/>
  <c r="S110" i="90"/>
  <c r="B110" i="90"/>
  <c r="T100" i="90"/>
  <c r="S100" i="90"/>
  <c r="B100" i="90"/>
  <c r="T90" i="90"/>
  <c r="S90" i="90"/>
  <c r="B90" i="90"/>
  <c r="T80" i="90"/>
  <c r="S80" i="90"/>
  <c r="B80" i="90"/>
  <c r="T70" i="90"/>
  <c r="S70" i="90"/>
  <c r="B70" i="90"/>
  <c r="T60" i="90"/>
  <c r="S60" i="90"/>
  <c r="B60" i="90"/>
  <c r="T50" i="90"/>
  <c r="S50" i="90"/>
  <c r="B50" i="90"/>
  <c r="T40" i="90"/>
  <c r="S40" i="90"/>
  <c r="B40" i="90"/>
  <c r="T30" i="90"/>
  <c r="S30" i="90"/>
  <c r="B30" i="90"/>
  <c r="T20" i="90"/>
  <c r="S20" i="90"/>
  <c r="T10" i="90"/>
  <c r="S10" i="90"/>
  <c r="E6" i="90"/>
  <c r="Q6" i="90"/>
  <c r="K3" i="90"/>
  <c r="P6" i="90"/>
  <c r="H6" i="90"/>
  <c r="N6" i="90"/>
  <c r="H3" i="90"/>
  <c r="K6" i="90"/>
  <c r="N3" i="90"/>
  <c r="E3" i="90"/>
  <c r="T6" i="90"/>
  <c r="Q3" i="90"/>
  <c r="T3" i="90"/>
  <c r="T2" i="90"/>
  <c r="U3" i="90"/>
  <c r="S3" i="90"/>
  <c r="N2" i="90"/>
  <c r="O3" i="90"/>
  <c r="M3" i="90"/>
  <c r="K2" i="90"/>
  <c r="L3" i="90"/>
  <c r="J3" i="90"/>
  <c r="Q2" i="90"/>
  <c r="H5" i="90"/>
  <c r="I6" i="90"/>
  <c r="G6" i="90"/>
  <c r="K5" i="90"/>
  <c r="L6" i="90"/>
  <c r="J6" i="90"/>
  <c r="E2" i="90"/>
  <c r="F3" i="90"/>
  <c r="D3" i="90"/>
  <c r="E5" i="90"/>
  <c r="F6" i="90"/>
  <c r="D6" i="90"/>
  <c r="T5" i="90"/>
  <c r="U6" i="90"/>
  <c r="S6" i="90"/>
  <c r="H2" i="90"/>
  <c r="I3" i="90"/>
  <c r="G3" i="90"/>
  <c r="N5" i="90"/>
  <c r="O6" i="90"/>
  <c r="M6" i="90"/>
  <c r="Q5" i="90"/>
  <c r="P7" i="23"/>
  <c r="O7" i="23"/>
  <c r="N7" i="23"/>
  <c r="M7" i="23"/>
  <c r="L7" i="23"/>
  <c r="T7" i="23"/>
  <c r="S7" i="23"/>
  <c r="R7" i="23"/>
  <c r="Q7" i="23"/>
  <c r="M3" i="23"/>
  <c r="E19" i="29"/>
  <c r="E15" i="29"/>
  <c r="E20" i="29"/>
  <c r="E16" i="29"/>
  <c r="E10" i="29"/>
  <c r="E12" i="29"/>
  <c r="E11" i="29"/>
  <c r="E13" i="29"/>
  <c r="E21" i="29"/>
  <c r="E17" i="29"/>
  <c r="E14" i="29"/>
  <c r="E18" i="29"/>
  <c r="B7" i="29"/>
  <c r="B6" i="29"/>
  <c r="D20" i="29"/>
  <c r="D14" i="29"/>
  <c r="D16" i="29"/>
  <c r="D18" i="29"/>
  <c r="D15" i="29"/>
  <c r="D13" i="29"/>
  <c r="D19" i="29"/>
  <c r="D17" i="29"/>
  <c r="D21" i="29"/>
  <c r="D12" i="29"/>
  <c r="D10" i="29"/>
  <c r="B20" i="29"/>
  <c r="B18" i="29"/>
  <c r="B16" i="29"/>
  <c r="B14" i="29"/>
  <c r="B12" i="29"/>
  <c r="F13" i="29"/>
  <c r="F21" i="29"/>
  <c r="F19" i="29"/>
  <c r="F15" i="29"/>
  <c r="F17" i="29"/>
  <c r="F12" i="29"/>
  <c r="F14" i="29"/>
  <c r="F16" i="29"/>
  <c r="F18" i="29"/>
  <c r="F20" i="29"/>
  <c r="D11" i="29"/>
  <c r="F11" i="29"/>
  <c r="F10" i="29"/>
  <c r="N40" i="65"/>
  <c r="M36" i="65"/>
  <c r="M2" i="65"/>
  <c r="O42" i="65"/>
  <c r="O51" i="65"/>
  <c r="O52" i="65"/>
  <c r="O43" i="65"/>
  <c r="P51" i="65"/>
  <c r="P43" i="65"/>
  <c r="Q43" i="65"/>
  <c r="N40" i="74"/>
  <c r="C5" i="74"/>
  <c r="G13" i="74"/>
  <c r="F13" i="74"/>
  <c r="G12" i="74"/>
  <c r="F12" i="74"/>
  <c r="G11" i="74"/>
  <c r="F11" i="74"/>
  <c r="G10" i="74"/>
  <c r="F10" i="74"/>
  <c r="M36" i="74"/>
  <c r="M2" i="74"/>
  <c r="C8" i="74"/>
  <c r="N47" i="74"/>
  <c r="C13" i="74"/>
  <c r="N46" i="74"/>
  <c r="C12" i="74"/>
  <c r="N45" i="74"/>
  <c r="C11" i="74"/>
  <c r="N44" i="74"/>
  <c r="C10" i="74"/>
  <c r="N43" i="74"/>
  <c r="C9" i="74"/>
  <c r="N19" i="11"/>
  <c r="N9" i="11"/>
  <c r="M19" i="11"/>
  <c r="N8" i="11"/>
  <c r="N10" i="11"/>
  <c r="N11" i="11"/>
  <c r="Q45" i="74"/>
  <c r="H11" i="74"/>
  <c r="R19" i="11"/>
  <c r="R9" i="11"/>
  <c r="Q19" i="11"/>
  <c r="R8" i="11"/>
  <c r="R10" i="11"/>
  <c r="R11" i="11"/>
  <c r="Q47" i="74"/>
  <c r="H13" i="74"/>
  <c r="P19" i="11"/>
  <c r="P9" i="11"/>
  <c r="O19" i="11"/>
  <c r="P8" i="11"/>
  <c r="P10" i="11"/>
  <c r="P11" i="11"/>
  <c r="Q46" i="74"/>
  <c r="H12" i="74"/>
  <c r="F11" i="11"/>
  <c r="Q42" i="74"/>
  <c r="H8" i="74"/>
  <c r="L19" i="11"/>
  <c r="L9" i="11"/>
  <c r="K19" i="11"/>
  <c r="L8" i="11"/>
  <c r="L10" i="11"/>
  <c r="L11" i="11"/>
  <c r="Q44" i="74"/>
  <c r="H10" i="74"/>
  <c r="J11" i="11"/>
  <c r="Q43" i="74"/>
  <c r="H9" i="74"/>
  <c r="Q39" i="75"/>
  <c r="P36" i="75"/>
  <c r="C6" i="75"/>
  <c r="P2" i="75"/>
  <c r="M11" i="75"/>
  <c r="L11" i="75"/>
  <c r="K11" i="75"/>
  <c r="J11" i="75"/>
  <c r="I11" i="75"/>
  <c r="H11" i="75"/>
  <c r="G11" i="75"/>
  <c r="F11" i="75"/>
  <c r="M10" i="75"/>
  <c r="L10" i="75"/>
  <c r="K10" i="75"/>
  <c r="J10" i="75"/>
  <c r="I10" i="75"/>
  <c r="H10" i="75"/>
  <c r="G10" i="75"/>
  <c r="F10" i="75"/>
  <c r="E11" i="75"/>
  <c r="E10" i="75"/>
  <c r="P27" i="82"/>
  <c r="O2" i="82"/>
  <c r="C4" i="82"/>
  <c r="O23" i="82"/>
  <c r="G29" i="82"/>
  <c r="F29" i="82"/>
  <c r="E29" i="82"/>
  <c r="L18" i="82"/>
  <c r="L17" i="82"/>
  <c r="L15" i="82"/>
  <c r="L14" i="82"/>
  <c r="L12" i="82"/>
  <c r="L11" i="82"/>
  <c r="L10" i="82"/>
  <c r="L6" i="82"/>
  <c r="K18" i="82"/>
  <c r="K17" i="82"/>
  <c r="K15" i="82"/>
  <c r="K14" i="82"/>
  <c r="K12" i="82"/>
  <c r="J12" i="82"/>
  <c r="I12" i="82"/>
  <c r="H12" i="82"/>
  <c r="K11" i="82"/>
  <c r="J11" i="82"/>
  <c r="I11" i="82"/>
  <c r="H11" i="82"/>
  <c r="K10" i="82"/>
  <c r="J10" i="82"/>
  <c r="I10" i="82"/>
  <c r="H10" i="82"/>
  <c r="G7" i="82"/>
  <c r="F7" i="82"/>
  <c r="E7" i="82"/>
  <c r="N40" i="66"/>
  <c r="M36" i="66"/>
  <c r="M2" i="66"/>
  <c r="O42" i="66"/>
  <c r="O43" i="66"/>
  <c r="O45" i="66"/>
  <c r="P42" i="66"/>
  <c r="P43" i="66"/>
  <c r="G18" i="11"/>
  <c r="G15" i="11"/>
  <c r="G17" i="11"/>
  <c r="C4" i="11"/>
  <c r="G16" i="11"/>
  <c r="G14" i="11"/>
  <c r="G13" i="11"/>
  <c r="Q6" i="11"/>
  <c r="Q5" i="11"/>
  <c r="O6" i="11"/>
  <c r="O5" i="11"/>
  <c r="M6" i="11"/>
  <c r="M5" i="11"/>
  <c r="K6" i="11"/>
  <c r="K5" i="11"/>
  <c r="I6" i="11"/>
  <c r="I5" i="11"/>
  <c r="U44" i="11"/>
  <c r="U2" i="11"/>
  <c r="Q27" i="11"/>
  <c r="O27" i="11"/>
  <c r="M27" i="11"/>
  <c r="K27" i="11"/>
  <c r="I27" i="11"/>
  <c r="E27" i="11"/>
  <c r="Q31" i="11"/>
  <c r="Q29" i="11"/>
  <c r="O29" i="11"/>
  <c r="M31" i="11"/>
  <c r="M29" i="11"/>
  <c r="K29" i="11"/>
  <c r="I31" i="11"/>
  <c r="I29" i="11"/>
  <c r="M24" i="11"/>
  <c r="M22" i="11"/>
  <c r="Q33" i="11"/>
  <c r="Q32" i="11"/>
  <c r="M33" i="11"/>
  <c r="M32" i="11"/>
  <c r="E31" i="11"/>
  <c r="K31" i="11"/>
  <c r="K33" i="11"/>
  <c r="K30" i="11"/>
  <c r="O31" i="11"/>
  <c r="O33" i="11"/>
  <c r="O32" i="11"/>
  <c r="E29" i="11"/>
  <c r="I33" i="11"/>
  <c r="I32" i="11"/>
  <c r="Q22" i="11"/>
  <c r="K22" i="11"/>
  <c r="I22" i="11"/>
  <c r="H18" i="11"/>
  <c r="O22" i="11"/>
  <c r="E22" i="11"/>
  <c r="M30" i="11"/>
  <c r="O30" i="11"/>
  <c r="Q30" i="11"/>
  <c r="K24" i="11"/>
  <c r="Q24" i="11"/>
  <c r="O24" i="11"/>
  <c r="I24" i="11"/>
  <c r="E24" i="11"/>
  <c r="K32" i="11"/>
  <c r="E33" i="11"/>
  <c r="E30" i="11"/>
  <c r="I30" i="11"/>
  <c r="C5" i="11"/>
  <c r="H13" i="11"/>
  <c r="H17" i="11"/>
  <c r="H16" i="11"/>
  <c r="H15" i="11"/>
  <c r="H14" i="11"/>
  <c r="M39" i="11"/>
  <c r="R39" i="11"/>
  <c r="N39" i="11"/>
  <c r="N40" i="11"/>
  <c r="R35" i="11"/>
  <c r="R38" i="11"/>
  <c r="R36" i="11"/>
  <c r="R37" i="11"/>
  <c r="M37" i="11"/>
  <c r="M38" i="11"/>
  <c r="M35" i="11"/>
  <c r="M36" i="11"/>
  <c r="M40" i="11"/>
  <c r="R40" i="11"/>
  <c r="N38" i="11"/>
  <c r="N36" i="11"/>
  <c r="N35" i="11"/>
  <c r="N37" i="11"/>
  <c r="E32" i="11"/>
  <c r="H19" i="11"/>
  <c r="H39" i="11"/>
  <c r="P39" i="11"/>
  <c r="E38" i="11"/>
  <c r="L39" i="11"/>
  <c r="E39" i="11"/>
  <c r="Q39" i="11"/>
  <c r="J38" i="11"/>
  <c r="J39" i="11"/>
  <c r="F39" i="11"/>
  <c r="O39" i="11"/>
  <c r="K39" i="11"/>
  <c r="I39" i="11"/>
  <c r="F36" i="11"/>
  <c r="F38" i="11"/>
  <c r="F40" i="11"/>
  <c r="F37" i="11"/>
  <c r="F35" i="11"/>
  <c r="E40" i="11"/>
  <c r="O40" i="11"/>
  <c r="O38" i="11"/>
  <c r="O37" i="11"/>
  <c r="I40" i="11"/>
  <c r="I36" i="11"/>
  <c r="E37" i="11"/>
  <c r="E36" i="11"/>
  <c r="K37" i="11"/>
  <c r="O36" i="11"/>
  <c r="Q37" i="11"/>
  <c r="I37" i="11"/>
  <c r="L37" i="11"/>
  <c r="L36" i="11"/>
  <c r="L40" i="11"/>
  <c r="L38" i="11"/>
  <c r="I38" i="11"/>
  <c r="L35" i="11"/>
  <c r="P36" i="11"/>
  <c r="J36" i="11"/>
  <c r="P37" i="11"/>
  <c r="J37" i="11"/>
  <c r="K36" i="11"/>
  <c r="K38" i="11"/>
  <c r="E35" i="11"/>
  <c r="Q38" i="11"/>
  <c r="Q35" i="11"/>
  <c r="K35" i="11"/>
  <c r="P35" i="11"/>
  <c r="J35" i="11"/>
  <c r="Q40" i="11"/>
  <c r="K40" i="11"/>
  <c r="Q36" i="11"/>
  <c r="P40" i="11"/>
  <c r="J40" i="11"/>
  <c r="P38" i="11"/>
  <c r="O35" i="11"/>
  <c r="I35" i="11"/>
  <c r="M42" i="11"/>
  <c r="H40" i="11"/>
  <c r="H9" i="11"/>
  <c r="H37" i="11"/>
  <c r="H38" i="11"/>
  <c r="H36" i="11"/>
  <c r="K42" i="11"/>
  <c r="H35" i="11"/>
  <c r="Q42" i="11"/>
  <c r="G19" i="11"/>
  <c r="O42" i="11"/>
  <c r="G35" i="11"/>
  <c r="G39" i="11"/>
  <c r="G36" i="11"/>
  <c r="G40" i="11"/>
  <c r="G38" i="11"/>
  <c r="G37" i="11"/>
  <c r="H8" i="11"/>
  <c r="H10" i="11"/>
  <c r="H11" i="11"/>
  <c r="N40" i="84"/>
  <c r="M2" i="84"/>
  <c r="M36" i="84"/>
  <c r="O42" i="84"/>
  <c r="O45" i="84"/>
  <c r="O41" i="84"/>
  <c r="O44" i="84"/>
  <c r="O43" i="84"/>
  <c r="O46" i="84"/>
  <c r="N40" i="69"/>
  <c r="M2" i="69"/>
  <c r="M36" i="69"/>
  <c r="O41" i="69"/>
  <c r="O45" i="69"/>
  <c r="O44" i="69"/>
  <c r="O42" i="69"/>
  <c r="O43" i="69"/>
  <c r="O46" i="69"/>
  <c r="Q72" i="70"/>
  <c r="P72" i="70"/>
  <c r="Q71" i="70"/>
  <c r="P71" i="70"/>
  <c r="Q70" i="70"/>
  <c r="P70" i="70"/>
  <c r="Q69" i="70"/>
  <c r="P69" i="70"/>
  <c r="Q68" i="70"/>
  <c r="P68" i="70"/>
  <c r="Q67" i="70"/>
  <c r="P67" i="70"/>
  <c r="Q66" i="70"/>
  <c r="P66" i="70"/>
  <c r="Q65" i="70"/>
  <c r="P65" i="70"/>
  <c r="Q64" i="70"/>
  <c r="P64" i="70"/>
  <c r="Q63" i="70"/>
  <c r="P63" i="70"/>
  <c r="Q62" i="70"/>
  <c r="P62" i="70"/>
  <c r="Q61" i="70"/>
  <c r="P61" i="70"/>
  <c r="W53" i="70"/>
  <c r="W52" i="70"/>
  <c r="W51" i="70"/>
  <c r="W50" i="70"/>
  <c r="W49" i="70"/>
  <c r="W48" i="70"/>
  <c r="W47" i="70"/>
  <c r="W46" i="70"/>
  <c r="W45" i="70"/>
  <c r="W44" i="70"/>
  <c r="O39" i="70"/>
  <c r="O53" i="70"/>
  <c r="O52" i="70"/>
  <c r="O51" i="70"/>
  <c r="O50" i="70"/>
  <c r="O49" i="70"/>
  <c r="O48" i="70"/>
  <c r="O47" i="70"/>
  <c r="O46" i="70"/>
  <c r="O45" i="70"/>
  <c r="O44" i="70"/>
  <c r="N36" i="70"/>
  <c r="N2" i="70"/>
  <c r="O62" i="70"/>
  <c r="O61" i="70"/>
  <c r="O72" i="70"/>
  <c r="O71" i="70"/>
  <c r="O70" i="70"/>
  <c r="O69" i="70"/>
  <c r="O68" i="70"/>
  <c r="O67" i="70"/>
  <c r="O66" i="70"/>
  <c r="O65" i="70"/>
  <c r="O64" i="70"/>
  <c r="O63" i="70"/>
  <c r="R48" i="70"/>
  <c r="R67" i="70"/>
  <c r="R49" i="70"/>
  <c r="R68" i="70"/>
  <c r="R53" i="70"/>
  <c r="R72" i="70"/>
  <c r="R52" i="70"/>
  <c r="R71" i="70"/>
  <c r="R43" i="70"/>
  <c r="R62" i="70"/>
  <c r="R47" i="70"/>
  <c r="R66" i="70"/>
  <c r="R46" i="70"/>
  <c r="R65" i="70"/>
  <c r="R51" i="70"/>
  <c r="R70" i="70"/>
  <c r="R45" i="70"/>
  <c r="R64" i="70"/>
  <c r="R50" i="70"/>
  <c r="R69" i="70"/>
  <c r="R44" i="70"/>
  <c r="R63" i="70"/>
  <c r="R42" i="70"/>
  <c r="R61" i="70"/>
  <c r="W44" i="71"/>
  <c r="W45" i="71"/>
  <c r="W46" i="71"/>
  <c r="W47" i="71"/>
  <c r="W48" i="71"/>
  <c r="W49" i="71"/>
  <c r="W50" i="71"/>
  <c r="W51" i="71"/>
  <c r="W52" i="71"/>
  <c r="W53" i="71"/>
  <c r="P65" i="71"/>
  <c r="Q65" i="71"/>
  <c r="P66" i="71"/>
  <c r="Q66" i="71"/>
  <c r="P67" i="71"/>
  <c r="Q67" i="71"/>
  <c r="P68" i="71"/>
  <c r="Q68" i="71"/>
  <c r="P69" i="71"/>
  <c r="Q69" i="71"/>
  <c r="P70" i="71"/>
  <c r="Q70" i="71"/>
  <c r="O53" i="71"/>
  <c r="O70" i="71"/>
  <c r="O52" i="71"/>
  <c r="O69" i="71"/>
  <c r="O51" i="71"/>
  <c r="O68" i="71"/>
  <c r="O50" i="71"/>
  <c r="O67" i="71"/>
  <c r="O49" i="71"/>
  <c r="O66" i="71"/>
  <c r="O48" i="71"/>
  <c r="O65" i="71"/>
  <c r="O47" i="71"/>
  <c r="O46" i="71"/>
  <c r="O45" i="71"/>
  <c r="O64" i="71"/>
  <c r="O44" i="71"/>
  <c r="O63" i="71"/>
  <c r="O39" i="71"/>
  <c r="N2" i="71"/>
  <c r="O62" i="71"/>
  <c r="O61" i="71"/>
  <c r="N36" i="71"/>
  <c r="R65" i="71"/>
  <c r="R70" i="71"/>
  <c r="R66" i="71"/>
  <c r="R68" i="71"/>
  <c r="R69" i="71"/>
  <c r="R67" i="71"/>
  <c r="W53" i="72"/>
  <c r="O53" i="72"/>
  <c r="O72" i="72"/>
  <c r="W52" i="72"/>
  <c r="O52" i="72"/>
  <c r="O71" i="72"/>
  <c r="W51" i="72"/>
  <c r="O51" i="72"/>
  <c r="O70" i="72"/>
  <c r="W50" i="72"/>
  <c r="O50" i="72"/>
  <c r="O69" i="72"/>
  <c r="W49" i="72"/>
  <c r="O49" i="72"/>
  <c r="O68" i="72"/>
  <c r="W48" i="72"/>
  <c r="O48" i="72"/>
  <c r="O67" i="72"/>
  <c r="W47" i="72"/>
  <c r="O66" i="72"/>
  <c r="W46" i="72"/>
  <c r="O65" i="72"/>
  <c r="W45" i="72"/>
  <c r="O45" i="72"/>
  <c r="O64" i="72"/>
  <c r="W44" i="72"/>
  <c r="O44" i="72"/>
  <c r="O63" i="72"/>
  <c r="O39" i="72"/>
  <c r="N36" i="72"/>
  <c r="Q72" i="72"/>
  <c r="P72" i="72"/>
  <c r="Q71" i="72"/>
  <c r="P71" i="72"/>
  <c r="Q70" i="72"/>
  <c r="P70" i="72"/>
  <c r="Q69" i="72"/>
  <c r="P69" i="72"/>
  <c r="Q68" i="72"/>
  <c r="P68" i="72"/>
  <c r="Q67" i="72"/>
  <c r="P67" i="72"/>
  <c r="Q66" i="72"/>
  <c r="P66" i="72"/>
  <c r="Q65" i="72"/>
  <c r="P65" i="72"/>
  <c r="Q64" i="72"/>
  <c r="P64" i="72"/>
  <c r="Q63" i="72"/>
  <c r="P63" i="72"/>
  <c r="Q62" i="72"/>
  <c r="P62" i="72"/>
  <c r="O62" i="72"/>
  <c r="Q61" i="72"/>
  <c r="P61" i="72"/>
  <c r="O61" i="72"/>
  <c r="N2" i="72"/>
  <c r="R67" i="72"/>
  <c r="R72" i="72"/>
  <c r="R68" i="72"/>
  <c r="R71" i="72"/>
  <c r="R65" i="72"/>
  <c r="R66" i="72"/>
  <c r="R70" i="72"/>
  <c r="R69" i="72"/>
  <c r="AD46" i="83"/>
  <c r="AD55" i="83"/>
  <c r="AD54" i="83"/>
  <c r="AD53" i="83"/>
  <c r="AD52" i="83"/>
  <c r="AD51" i="83"/>
  <c r="AD50" i="83"/>
  <c r="AD49" i="83"/>
  <c r="AD48" i="83"/>
  <c r="AD47" i="83"/>
  <c r="U63" i="83"/>
  <c r="S62" i="83"/>
  <c r="C5" i="83"/>
  <c r="S48" i="83"/>
  <c r="S50" i="83"/>
  <c r="S52" i="83"/>
  <c r="S54" i="83"/>
  <c r="S46" i="83"/>
  <c r="S47" i="83"/>
  <c r="C18" i="83"/>
  <c r="S74" i="83"/>
  <c r="C16" i="83"/>
  <c r="C14" i="83"/>
  <c r="C12" i="83"/>
  <c r="R36" i="83"/>
  <c r="R2" i="83"/>
  <c r="C9" i="83"/>
  <c r="C8" i="83"/>
  <c r="S55" i="83"/>
  <c r="S77" i="83"/>
  <c r="S76" i="83"/>
  <c r="S53" i="83"/>
  <c r="S75" i="83"/>
  <c r="S51" i="83"/>
  <c r="S73" i="83"/>
  <c r="S72" i="83"/>
  <c r="S49" i="83"/>
  <c r="S71" i="83"/>
  <c r="S70" i="83"/>
  <c r="S69" i="83"/>
  <c r="S68" i="83"/>
  <c r="S67" i="83"/>
  <c r="S66" i="83"/>
  <c r="C13" i="83"/>
  <c r="C15" i="83"/>
  <c r="C17" i="83"/>
  <c r="C19" i="83"/>
  <c r="E7" i="83"/>
  <c r="C11" i="83"/>
  <c r="C10" i="83"/>
  <c r="U72" i="83"/>
  <c r="V73" i="83"/>
  <c r="V77" i="83"/>
  <c r="I19" i="83"/>
  <c r="U73" i="83"/>
  <c r="U77" i="83"/>
  <c r="H19" i="83"/>
  <c r="V72" i="83"/>
  <c r="H14" i="83"/>
  <c r="H15" i="83"/>
  <c r="I15" i="83"/>
  <c r="I14" i="83"/>
  <c r="T72" i="83"/>
  <c r="W72" i="83"/>
  <c r="T77" i="83"/>
  <c r="G19" i="83"/>
  <c r="W77" i="83"/>
  <c r="J19" i="83"/>
  <c r="T73" i="83"/>
  <c r="W73" i="83"/>
  <c r="U75" i="83"/>
  <c r="U69" i="83"/>
  <c r="V75" i="83"/>
  <c r="V71" i="83"/>
  <c r="V69" i="83"/>
  <c r="U76" i="83"/>
  <c r="H18" i="83"/>
  <c r="U74" i="83"/>
  <c r="U71" i="83"/>
  <c r="U70" i="83"/>
  <c r="U68" i="83"/>
  <c r="V76" i="83"/>
  <c r="I18" i="83"/>
  <c r="V74" i="83"/>
  <c r="V70" i="83"/>
  <c r="V68" i="83"/>
  <c r="W66" i="83"/>
  <c r="I10" i="83"/>
  <c r="H17" i="83"/>
  <c r="I17" i="83"/>
  <c r="H11" i="83"/>
  <c r="H13" i="83"/>
  <c r="J14" i="83"/>
  <c r="G15" i="83"/>
  <c r="I13" i="83"/>
  <c r="I16" i="83"/>
  <c r="H10" i="83"/>
  <c r="I11" i="83"/>
  <c r="G14" i="83"/>
  <c r="H16" i="83"/>
  <c r="I12" i="83"/>
  <c r="H12" i="83"/>
  <c r="J15" i="83"/>
  <c r="U67" i="83"/>
  <c r="V67" i="83"/>
  <c r="U66" i="83"/>
  <c r="V66" i="83"/>
  <c r="T76" i="83"/>
  <c r="G18" i="83"/>
  <c r="W67" i="83"/>
  <c r="W76" i="83"/>
  <c r="J18" i="83"/>
  <c r="T66" i="83"/>
  <c r="T75" i="83"/>
  <c r="T70" i="83"/>
  <c r="W68" i="83"/>
  <c r="T67" i="83"/>
  <c r="W70" i="83"/>
  <c r="T74" i="83"/>
  <c r="W71" i="83"/>
  <c r="W75" i="83"/>
  <c r="W69" i="83"/>
  <c r="T69" i="83"/>
  <c r="W74" i="83"/>
  <c r="T71" i="83"/>
  <c r="T68" i="83"/>
  <c r="X72" i="83"/>
  <c r="X73" i="83"/>
  <c r="X77" i="83"/>
  <c r="K19" i="83"/>
  <c r="J17" i="83"/>
  <c r="I9" i="83"/>
  <c r="G13" i="83"/>
  <c r="J13" i="83"/>
  <c r="G17" i="83"/>
  <c r="J9" i="83"/>
  <c r="J16" i="83"/>
  <c r="K15" i="83"/>
  <c r="G11" i="83"/>
  <c r="I8" i="83"/>
  <c r="H9" i="83"/>
  <c r="G10" i="83"/>
  <c r="G12" i="83"/>
  <c r="G16" i="83"/>
  <c r="J12" i="83"/>
  <c r="J8" i="83"/>
  <c r="K14" i="83"/>
  <c r="J11" i="83"/>
  <c r="G9" i="83"/>
  <c r="H8" i="83"/>
  <c r="J10" i="83"/>
  <c r="G8" i="83"/>
  <c r="X76" i="83"/>
  <c r="K18" i="83"/>
  <c r="X67" i="83"/>
  <c r="X71" i="83"/>
  <c r="X70" i="83"/>
  <c r="X75" i="83"/>
  <c r="X69" i="83"/>
  <c r="X74" i="83"/>
  <c r="X68" i="83"/>
  <c r="X66" i="83"/>
  <c r="K8" i="83"/>
  <c r="K17" i="83"/>
  <c r="K9" i="83"/>
  <c r="K10" i="83"/>
  <c r="K12" i="83"/>
  <c r="K16" i="83"/>
  <c r="K13" i="83"/>
  <c r="K11" i="83"/>
  <c r="R42" i="72"/>
</calcChain>
</file>

<file path=xl/comments1.xml><?xml version="1.0" encoding="utf-8"?>
<comments xmlns="http://schemas.openxmlformats.org/spreadsheetml/2006/main">
  <authors>
    <author>Meagan Batdorff</author>
  </authors>
  <commentList>
    <comment ref="J45" authorId="0">
      <text>
        <r>
          <rPr>
            <b/>
            <sz val="9"/>
            <color indexed="81"/>
            <rFont val="Segoe WP Semibold"/>
            <family val="2"/>
          </rPr>
          <t>Meagan Batdorff:</t>
        </r>
        <r>
          <rPr>
            <sz val="9"/>
            <color indexed="81"/>
            <rFont val="Segoe WP Semibold"/>
            <family val="2"/>
          </rPr>
          <t xml:space="preserve">
Closed at end of 2011
</t>
        </r>
      </text>
    </comment>
    <comment ref="J46" authorId="0">
      <text>
        <r>
          <rPr>
            <b/>
            <sz val="9"/>
            <color indexed="81"/>
            <rFont val="Segoe WP Semibold"/>
            <family val="2"/>
          </rPr>
          <t>Meagan Batdorff:</t>
        </r>
        <r>
          <rPr>
            <sz val="9"/>
            <color indexed="81"/>
            <rFont val="Segoe WP Semibold"/>
            <family val="2"/>
          </rPr>
          <t xml:space="preserve">
Closed at end of 2011
</t>
        </r>
      </text>
    </comment>
    <comment ref="J47" authorId="0">
      <text>
        <r>
          <rPr>
            <b/>
            <sz val="9"/>
            <color indexed="81"/>
            <rFont val="Segoe WP Semibold"/>
            <family val="2"/>
          </rPr>
          <t>Meagan Batdorff:</t>
        </r>
        <r>
          <rPr>
            <sz val="9"/>
            <color indexed="81"/>
            <rFont val="Segoe WP Semibold"/>
            <family val="2"/>
          </rPr>
          <t xml:space="preserve">
Closed at end of 2011
</t>
        </r>
      </text>
    </comment>
    <comment ref="J48" authorId="0">
      <text>
        <r>
          <rPr>
            <b/>
            <sz val="9"/>
            <color indexed="81"/>
            <rFont val="Segoe WP Semibold"/>
            <family val="2"/>
          </rPr>
          <t>Meagan Batdorff:</t>
        </r>
        <r>
          <rPr>
            <sz val="9"/>
            <color indexed="81"/>
            <rFont val="Segoe WP Semibold"/>
            <family val="2"/>
          </rPr>
          <t xml:space="preserve">
Closed at end of 2011
</t>
        </r>
      </text>
    </comment>
    <comment ref="J53" authorId="0">
      <text>
        <r>
          <rPr>
            <b/>
            <sz val="9"/>
            <color indexed="81"/>
            <rFont val="Segoe WP Semibold"/>
            <family val="2"/>
          </rPr>
          <t>Meagan Batdorff:</t>
        </r>
        <r>
          <rPr>
            <sz val="9"/>
            <color indexed="81"/>
            <rFont val="Segoe WP Semibold"/>
            <family val="2"/>
          </rPr>
          <t xml:space="preserve">
Clased for fiscal mismanagement end of 2011
</t>
        </r>
      </text>
    </comment>
    <comment ref="J54" authorId="0">
      <text>
        <r>
          <rPr>
            <b/>
            <sz val="9"/>
            <color indexed="81"/>
            <rFont val="Segoe WP Semibold"/>
            <family val="2"/>
          </rPr>
          <t>Meagan Batdorff:</t>
        </r>
        <r>
          <rPr>
            <sz val="9"/>
            <color indexed="81"/>
            <rFont val="Segoe WP Semibold"/>
            <family val="2"/>
          </rPr>
          <t xml:space="preserve">
Clased for fiscal mismanagement end of 2011
</t>
        </r>
      </text>
    </comment>
    <comment ref="J55" authorId="0">
      <text>
        <r>
          <rPr>
            <b/>
            <sz val="9"/>
            <color indexed="81"/>
            <rFont val="Segoe WP Semibold"/>
            <family val="2"/>
          </rPr>
          <t>Meagan Batdorff:</t>
        </r>
        <r>
          <rPr>
            <sz val="9"/>
            <color indexed="81"/>
            <rFont val="Segoe WP Semibold"/>
            <family val="2"/>
          </rPr>
          <t xml:space="preserve">
Clased for fiscal mismanagement end of 2011
</t>
        </r>
      </text>
    </comment>
    <comment ref="J56" authorId="0">
      <text>
        <r>
          <rPr>
            <b/>
            <sz val="9"/>
            <color indexed="81"/>
            <rFont val="Segoe WP Semibold"/>
            <family val="2"/>
          </rPr>
          <t>Meagan Batdorff:</t>
        </r>
        <r>
          <rPr>
            <sz val="9"/>
            <color indexed="81"/>
            <rFont val="Segoe WP Semibold"/>
            <family val="2"/>
          </rPr>
          <t xml:space="preserve">
Clased for fiscal mismanagement end of 2011
</t>
        </r>
      </text>
    </comment>
    <comment ref="J73" authorId="0">
      <text>
        <r>
          <rPr>
            <b/>
            <sz val="9"/>
            <color indexed="81"/>
            <rFont val="Segoe WP Semibold"/>
            <family val="2"/>
          </rPr>
          <t>Meagan Batdorff:</t>
        </r>
        <r>
          <rPr>
            <sz val="9"/>
            <color indexed="81"/>
            <rFont val="Segoe WP Semibold"/>
            <family val="2"/>
          </rPr>
          <t xml:space="preserve">
District closed school June 2012
</t>
        </r>
      </text>
    </comment>
    <comment ref="J74" authorId="0">
      <text>
        <r>
          <rPr>
            <b/>
            <sz val="9"/>
            <color indexed="81"/>
            <rFont val="Segoe WP Semibold"/>
            <family val="2"/>
          </rPr>
          <t>Meagan Batdorff:</t>
        </r>
        <r>
          <rPr>
            <sz val="9"/>
            <color indexed="81"/>
            <rFont val="Segoe WP Semibold"/>
            <family val="2"/>
          </rPr>
          <t xml:space="preserve">
District closed school June 2012
</t>
        </r>
      </text>
    </comment>
    <comment ref="J75" authorId="0">
      <text>
        <r>
          <rPr>
            <b/>
            <sz val="9"/>
            <color indexed="81"/>
            <rFont val="Segoe WP Semibold"/>
            <family val="2"/>
          </rPr>
          <t>Meagan Batdorff:</t>
        </r>
        <r>
          <rPr>
            <sz val="9"/>
            <color indexed="81"/>
            <rFont val="Segoe WP Semibold"/>
            <family val="2"/>
          </rPr>
          <t xml:space="preserve">
District closed school June 2012
</t>
        </r>
      </text>
    </comment>
    <comment ref="J76" authorId="0">
      <text>
        <r>
          <rPr>
            <b/>
            <sz val="9"/>
            <color indexed="81"/>
            <rFont val="Segoe WP Semibold"/>
            <family val="2"/>
          </rPr>
          <t>Meagan Batdorff:</t>
        </r>
        <r>
          <rPr>
            <sz val="9"/>
            <color indexed="81"/>
            <rFont val="Segoe WP Semibold"/>
            <family val="2"/>
          </rPr>
          <t xml:space="preserve">
District closed school June 2012
</t>
        </r>
      </text>
    </comment>
  </commentList>
</comments>
</file>

<file path=xl/comments2.xml><?xml version="1.0" encoding="utf-8"?>
<comments xmlns="http://schemas.openxmlformats.org/spreadsheetml/2006/main">
  <authors>
    <author>Meagan Batdorff</author>
  </authors>
  <commentList>
    <comment ref="B7" authorId="0">
      <text>
        <r>
          <rPr>
            <b/>
            <sz val="9"/>
            <color indexed="81"/>
            <rFont val="Segoe WP Semibold"/>
            <family val="2"/>
          </rPr>
          <t>Meagan Batdorff:</t>
        </r>
        <r>
          <rPr>
            <sz val="9"/>
            <color indexed="81"/>
            <rFont val="Segoe WP Semibold"/>
            <family val="2"/>
          </rPr>
          <t xml:space="preserve">
Closed at end of 2011
</t>
        </r>
      </text>
    </comment>
    <comment ref="B11" authorId="0">
      <text>
        <r>
          <rPr>
            <b/>
            <sz val="9"/>
            <color indexed="81"/>
            <rFont val="Segoe WP Semibold"/>
            <family val="2"/>
          </rPr>
          <t>Meagan Batdorff:</t>
        </r>
        <r>
          <rPr>
            <sz val="9"/>
            <color indexed="81"/>
            <rFont val="Segoe WP Semibold"/>
            <family val="2"/>
          </rPr>
          <t xml:space="preserve">
District closed school June 2012
</t>
        </r>
      </text>
    </comment>
    <comment ref="B20" authorId="0">
      <text>
        <r>
          <rPr>
            <b/>
            <sz val="9"/>
            <color indexed="81"/>
            <rFont val="Segoe WP Semibold"/>
            <family val="2"/>
          </rPr>
          <t>Meagan Batdorff:</t>
        </r>
        <r>
          <rPr>
            <sz val="9"/>
            <color indexed="81"/>
            <rFont val="Segoe WP Semibold"/>
            <family val="2"/>
          </rPr>
          <t xml:space="preserve">
Clased for fiscal mismanagement end of 2011
</t>
        </r>
      </text>
    </comment>
    <comment ref="B26" authorId="0">
      <text>
        <r>
          <rPr>
            <b/>
            <sz val="9"/>
            <color indexed="81"/>
            <rFont val="Segoe WP Semibold"/>
            <family val="2"/>
          </rPr>
          <t>Meagan Batdorff:</t>
        </r>
        <r>
          <rPr>
            <sz val="9"/>
            <color indexed="81"/>
            <rFont val="Segoe WP Semibold"/>
            <family val="2"/>
          </rPr>
          <t xml:space="preserve">
opened in 2011
</t>
        </r>
      </text>
    </comment>
    <comment ref="B27" authorId="0">
      <text>
        <r>
          <rPr>
            <b/>
            <sz val="9"/>
            <color indexed="81"/>
            <rFont val="Segoe WP Semibold"/>
            <family val="2"/>
          </rPr>
          <t>Meagan Batdorff:</t>
        </r>
        <r>
          <rPr>
            <sz val="9"/>
            <color indexed="81"/>
            <rFont val="Segoe WP Semibold"/>
            <family val="2"/>
          </rPr>
          <t xml:space="preserve">
opened in 2011
</t>
        </r>
      </text>
    </comment>
  </commentList>
</comments>
</file>

<file path=xl/comments3.xml><?xml version="1.0" encoding="utf-8"?>
<comments xmlns="http://schemas.openxmlformats.org/spreadsheetml/2006/main">
  <authors>
    <author>Meagan Batdorff</author>
  </authors>
  <commentList>
    <comment ref="B6" authorId="0">
      <text>
        <r>
          <rPr>
            <b/>
            <sz val="9"/>
            <color indexed="81"/>
            <rFont val="Segoe WP Semibold"/>
            <family val="2"/>
          </rPr>
          <t>Meagan Batdorff:</t>
        </r>
        <r>
          <rPr>
            <sz val="9"/>
            <color indexed="81"/>
            <rFont val="Segoe WP Semibold"/>
            <family val="2"/>
          </rPr>
          <t xml:space="preserve">
opened in 2011
</t>
        </r>
      </text>
    </comment>
    <comment ref="B8" authorId="0">
      <text>
        <r>
          <rPr>
            <b/>
            <sz val="9"/>
            <color indexed="81"/>
            <rFont val="Segoe WP Semibold"/>
            <family val="2"/>
          </rPr>
          <t>Meagan Batdorff:</t>
        </r>
        <r>
          <rPr>
            <sz val="9"/>
            <color indexed="81"/>
            <rFont val="Segoe WP Semibold"/>
            <family val="2"/>
          </rPr>
          <t xml:space="preserve">
Closed at end of 2011
</t>
        </r>
      </text>
    </comment>
    <comment ref="B12" authorId="0">
      <text>
        <r>
          <rPr>
            <b/>
            <sz val="9"/>
            <color indexed="81"/>
            <rFont val="Segoe WP Semibold"/>
            <family val="2"/>
          </rPr>
          <t>Meagan Batdorff:</t>
        </r>
        <r>
          <rPr>
            <sz val="9"/>
            <color indexed="81"/>
            <rFont val="Segoe WP Semibold"/>
            <family val="2"/>
          </rPr>
          <t xml:space="preserve">
District closed school June 2012
</t>
        </r>
      </text>
    </comment>
    <comment ref="B21" authorId="0">
      <text>
        <r>
          <rPr>
            <b/>
            <sz val="9"/>
            <color indexed="81"/>
            <rFont val="Segoe WP Semibold"/>
            <family val="2"/>
          </rPr>
          <t>Meagan Batdorff:</t>
        </r>
        <r>
          <rPr>
            <sz val="9"/>
            <color indexed="81"/>
            <rFont val="Segoe WP Semibold"/>
            <family val="2"/>
          </rPr>
          <t xml:space="preserve">
Clased for fiscal mismanagement end of 2011
</t>
        </r>
      </text>
    </comment>
    <comment ref="B22" authorId="0">
      <text>
        <r>
          <rPr>
            <b/>
            <sz val="9"/>
            <color indexed="81"/>
            <rFont val="Segoe WP Semibold"/>
            <family val="2"/>
          </rPr>
          <t>Meagan Batdorff:</t>
        </r>
        <r>
          <rPr>
            <sz val="9"/>
            <color indexed="81"/>
            <rFont val="Segoe WP Semibold"/>
            <family val="2"/>
          </rPr>
          <t xml:space="preserve">
opened in 2011
</t>
        </r>
      </text>
    </comment>
  </commentList>
</comments>
</file>

<file path=xl/sharedStrings.xml><?xml version="1.0" encoding="utf-8"?>
<sst xmlns="http://schemas.openxmlformats.org/spreadsheetml/2006/main" count="17215" uniqueCount="1481">
  <si>
    <t>Statwide District</t>
  </si>
  <si>
    <t>Little Rock District</t>
  </si>
  <si>
    <t>Little Rock Charter</t>
  </si>
  <si>
    <t>Little Rock Charters</t>
  </si>
  <si>
    <t xml:space="preserve">Statewide Charter </t>
  </si>
  <si>
    <t xml:space="preserve">Statewide District </t>
  </si>
  <si>
    <t>AR</t>
    <phoneticPr fontId="153" type="noConversion"/>
  </si>
  <si>
    <t>Categorical Sum</t>
    <phoneticPr fontId="153" type="noConversion"/>
  </si>
  <si>
    <t>Arthur "Bo" Felder Learning Academy (Little Rock School District)</t>
  </si>
  <si>
    <t>Badger Academy (Beebe School District)</t>
  </si>
  <si>
    <t>Blytheville Charter School &amp; ALC (Blytheville School District)</t>
  </si>
  <si>
    <t>Cabot Academic Center for Excellence (Cabot School District)</t>
  </si>
  <si>
    <t>Cloverdale Aerospace Technology Conversion Charter Middle School (Little Rock School District)</t>
  </si>
  <si>
    <t>Lincoln Academic Center of Excellence (Lincoln Consolidated School District)</t>
  </si>
  <si>
    <t>Lincoln Middle Academy of Excellence (Forrest City School District)</t>
  </si>
  <si>
    <t>Mountain Home High School Career Academy (Mountain Home School District)</t>
  </si>
  <si>
    <t>Oak Grove Health, Wellness, and Environmental Science School (Paragould School District)</t>
  </si>
  <si>
    <t>Ridgeroad Middle (North Little Rock School District)</t>
  </si>
  <si>
    <t>Vilonia Academy of Service and Technology (Vilonia School District)</t>
  </si>
  <si>
    <t>Vilonia Academy of Technology (Vilonia School District)</t>
  </si>
  <si>
    <r>
      <rPr>
        <b/>
        <u/>
        <sz val="14"/>
        <color indexed="8"/>
        <rFont val="Tahoma"/>
        <family val="2"/>
      </rPr>
      <t>Enrollment by Grade</t>
    </r>
    <r>
      <rPr>
        <b/>
        <u/>
        <sz val="14"/>
        <color indexed="8"/>
        <rFont val="Tahoma"/>
        <family val="2"/>
      </rPr>
      <t xml:space="preserve"> (2010-2011)</t>
    </r>
  </si>
  <si>
    <t>District LEA</t>
  </si>
  <si>
    <t>District Description</t>
  </si>
  <si>
    <t>Kindergarten</t>
  </si>
  <si>
    <t>Grade 01</t>
  </si>
  <si>
    <t>Grade 02</t>
  </si>
  <si>
    <t>Grade 03</t>
  </si>
  <si>
    <t>Grade 04</t>
  </si>
  <si>
    <t>Grade 05</t>
  </si>
  <si>
    <t>Grade 06</t>
  </si>
  <si>
    <t>Grade 07</t>
  </si>
  <si>
    <t>Grade 08</t>
  </si>
  <si>
    <t>Grade 09</t>
  </si>
  <si>
    <t>Grade 10</t>
  </si>
  <si>
    <t>Grade 11</t>
  </si>
  <si>
    <t>Grade 12</t>
  </si>
  <si>
    <t>GED</t>
  </si>
  <si>
    <t>Ungraded</t>
  </si>
  <si>
    <t>Total Students</t>
  </si>
  <si>
    <t>6091000</t>
  </si>
  <si>
    <t>ARK. SCHOOL FOR THE BLIND</t>
  </si>
  <si>
    <t>6092000</t>
  </si>
  <si>
    <t>ARK. SCHOOL FOR THE DEAF</t>
  </si>
  <si>
    <t>AR</t>
  </si>
  <si>
    <t>Statewide Minus Little Rock</t>
  </si>
  <si>
    <t>Statewide Districts</t>
  </si>
  <si>
    <t>Little Rock School District</t>
  </si>
  <si>
    <t>Statewide Totals Minus Little Rock</t>
  </si>
  <si>
    <t>Statewide School Districts</t>
  </si>
  <si>
    <t xml:space="preserve">  Fig 8, for example</t>
  </si>
  <si>
    <r>
      <rPr>
        <b/>
        <u/>
        <sz val="14"/>
        <color indexed="8"/>
        <rFont val="Tahoma"/>
        <family val="2"/>
      </rPr>
      <t>Districts - Meal Status Free/Reduced</t>
    </r>
    <r>
      <rPr>
        <b/>
        <u/>
        <sz val="14"/>
        <color indexed="8"/>
        <rFont val="Tahoma"/>
        <family val="2"/>
      </rPr>
      <t xml:space="preserve"> (2010-2011)</t>
    </r>
  </si>
  <si>
    <t>Free Lunch</t>
  </si>
  <si>
    <t>Reduced Lunch</t>
  </si>
  <si>
    <t>Percent Free-Reduced</t>
  </si>
  <si>
    <t>Yes</t>
  </si>
  <si>
    <t>No</t>
  </si>
  <si>
    <t>(1) AR charter schools are treated as LEAs for the purposes of determining foundation funding using enrollment counts but do not receive transportation, facilities or local funding as other school districts do.</t>
  </si>
  <si>
    <t>Total Revenue and Other Sources of Funds from All Sources</t>
  </si>
  <si>
    <t>Regular Instruction</t>
  </si>
  <si>
    <t>Compensatory Education</t>
  </si>
  <si>
    <t>Total Instruction</t>
  </si>
  <si>
    <t>General Administration</t>
  </si>
  <si>
    <t>Central Services</t>
  </si>
  <si>
    <t>Maintenance &amp; Operations of Plant</t>
  </si>
  <si>
    <t>Student Transportation</t>
  </si>
  <si>
    <t>Other District Level Support Services</t>
  </si>
  <si>
    <t>Total District Support Services</t>
  </si>
  <si>
    <t>Student Support Services</t>
  </si>
  <si>
    <t>Instructional Staff Support Services</t>
  </si>
  <si>
    <t>School Administration</t>
  </si>
  <si>
    <t>Food Service Operations</t>
  </si>
  <si>
    <t>Other Enterprise Operations</t>
  </si>
  <si>
    <t>Community Operations</t>
  </si>
  <si>
    <t>Other Non-Instructional Services</t>
  </si>
  <si>
    <t>Total Non-Instructional Services</t>
  </si>
  <si>
    <t>Facilities Acquisition and Construction</t>
  </si>
  <si>
    <t>Debt Service</t>
  </si>
  <si>
    <t>Other Non-Programmed Costs</t>
  </si>
  <si>
    <t>Total Expenditures</t>
  </si>
  <si>
    <t>Less: Capital Expenditures</t>
  </si>
  <si>
    <t>Less: Debt Service</t>
  </si>
  <si>
    <t>Total Current Expenditures</t>
  </si>
  <si>
    <t>Exclusions from Current Expenditures</t>
  </si>
  <si>
    <t>Net Current Expenditures</t>
  </si>
  <si>
    <t>Personnel - Non-Federal Certified Clsrm FTEs</t>
  </si>
  <si>
    <t>Avg Salary - Non-Fed Certified Clsrm FTEs</t>
  </si>
  <si>
    <t>Personnel - Non-Federal Certified FTEs</t>
  </si>
  <si>
    <t>Avg Salary - Non-Fed Certified FTEs</t>
  </si>
  <si>
    <t>Legal Balance (funds 1-2-4)</t>
  </si>
  <si>
    <t>Categorical Fund Balance</t>
  </si>
  <si>
    <t>Deposits with Paying Agents (QZAB)</t>
  </si>
  <si>
    <t>Net Legal Bal (Excl Cat &amp; QZAB)</t>
  </si>
  <si>
    <t>Building Fund Balance (fund 3)</t>
  </si>
  <si>
    <t>Capital Outlay Fund Balance (fund 5)</t>
  </si>
  <si>
    <t>Budgeted Amount</t>
  </si>
  <si>
    <t>Streetlmboden, AR</t>
  </si>
  <si>
    <t>Open-Enrollment Charters</t>
  </si>
  <si>
    <t>Academics Plus</t>
  </si>
  <si>
    <t>Arkansas Virtual Academy</t>
  </si>
  <si>
    <t>Benton County School of the Arts</t>
  </si>
  <si>
    <t xml:space="preserve">Covenant Keepers College Preparatory Charter School </t>
  </si>
  <si>
    <t>Dreamland</t>
  </si>
  <si>
    <t>e-STEM Public Charter Elementary School</t>
  </si>
  <si>
    <t>e-STEM Public Charter Middle School</t>
  </si>
  <si>
    <t>e-STEM Public Charter High School</t>
  </si>
  <si>
    <t>Haas Hall Academy</t>
  </si>
  <si>
    <t>Imboden Area Charter School</t>
  </si>
  <si>
    <t>Jacksonville Lighthouse</t>
  </si>
  <si>
    <t>KIPP Delta Public Schools</t>
  </si>
  <si>
    <t>LISA Academy</t>
  </si>
  <si>
    <t>LISA Academy - North Little Rock</t>
  </si>
  <si>
    <t>Little Rock Preparatory Academy</t>
  </si>
  <si>
    <t>Little Rock Urban Collegiate</t>
  </si>
  <si>
    <t>Osceola Communication,,,</t>
  </si>
  <si>
    <t>District Conversion Charters</t>
  </si>
  <si>
    <t>7007000</t>
  </si>
  <si>
    <t>PARKERS CHAPEL SCHOOL DIST.</t>
  </si>
  <si>
    <t>7008000</t>
  </si>
  <si>
    <t>SMACKOVER SCHOOL DISTRICT</t>
  </si>
  <si>
    <t>7009000</t>
  </si>
  <si>
    <t>STRONG-HUTTIG SCHOOL DISTRICT</t>
  </si>
  <si>
    <t>7102000</t>
  </si>
  <si>
    <t>CLINTON SCHOOL DISTRICT</t>
  </si>
  <si>
    <t>7104000</t>
  </si>
  <si>
    <t>SHIRLEY SCHOOL DISTRICT</t>
  </si>
  <si>
    <t>7105000</t>
  </si>
  <si>
    <t>SOUTH SIDE SCH DIST(VANBUREN)</t>
  </si>
  <si>
    <t>7201000</t>
  </si>
  <si>
    <t>ELKINS SCHOOL DISTRICT</t>
  </si>
  <si>
    <t>7202000</t>
  </si>
  <si>
    <t>FARMINGTON SCHOOL DISTRICT</t>
  </si>
  <si>
    <t>7203000</t>
  </si>
  <si>
    <t>FAYETTEVILLE SCHOOL DISTRICT</t>
  </si>
  <si>
    <t>7204000</t>
  </si>
  <si>
    <t>GREENLAND SCHOOL DISTRICT</t>
  </si>
  <si>
    <t>7205000</t>
  </si>
  <si>
    <t>LINCOLN SCHOOL DISTRICT</t>
  </si>
  <si>
    <t>7206000</t>
  </si>
  <si>
    <t>PRAIRIE GROVE SCHOOL DISTRICT</t>
  </si>
  <si>
    <t>7207000</t>
  </si>
  <si>
    <t>SPRINGDALE SCHOOL DISTRICT</t>
  </si>
  <si>
    <t>7208000</t>
  </si>
  <si>
    <t>WEST FORK SCHOOL DISTRICT</t>
  </si>
  <si>
    <t>7301000</t>
  </si>
  <si>
    <t>BALD KNOB SCHOOL DISTRICT</t>
  </si>
  <si>
    <t>7302000</t>
  </si>
  <si>
    <t>BEEBE SCHOOL DISTRICT</t>
  </si>
  <si>
    <t>7303000</t>
  </si>
  <si>
    <t>BRADFORD SCHOOL DISTRICT</t>
  </si>
  <si>
    <t>7304000</t>
  </si>
  <si>
    <t>WHITE CO. CENTRAL SCHOOL DIST.</t>
  </si>
  <si>
    <t>7307000</t>
  </si>
  <si>
    <t>RIVERVIEW SCHOOL DISTRICT</t>
  </si>
  <si>
    <t>7309000</t>
  </si>
  <si>
    <t>PANGBURN SCHOOL DISTRICT</t>
  </si>
  <si>
    <t>7310000</t>
  </si>
  <si>
    <t>ROSE BUD SCHOOL DISTRICT</t>
  </si>
  <si>
    <t>7311000</t>
  </si>
  <si>
    <t>SEARCY SCHOOL DISTRICT</t>
  </si>
  <si>
    <t>7401000</t>
  </si>
  <si>
    <t>AUGUSTA SCHOOL DISTRICT</t>
  </si>
  <si>
    <t>7403000</t>
  </si>
  <si>
    <t>MCCRORY SCHOOL DISTRICT</t>
  </si>
  <si>
    <t>7503000</t>
  </si>
  <si>
    <t>DANVILLE SCHOOL DISTRICT</t>
  </si>
  <si>
    <t>7504000</t>
  </si>
  <si>
    <t>DARDANELLE SCHOOL DISTRICT</t>
  </si>
  <si>
    <t>7509000</t>
  </si>
  <si>
    <t>WESTERN YELL CO. SCHOOL DIST.</t>
  </si>
  <si>
    <t>7510000</t>
  </si>
  <si>
    <t>TWO RIVERS SCHOOL DISTRICT</t>
  </si>
  <si>
    <t>Total Enrollment / Revenues</t>
  </si>
  <si>
    <r>
      <rPr>
        <sz val="8"/>
        <color indexed="8"/>
        <rFont val="Segoe WP Semibold"/>
        <family val="2"/>
      </rPr>
      <t xml:space="preserve">- </t>
    </r>
    <r>
      <rPr>
        <sz val="8"/>
        <color indexed="8"/>
        <rFont val="Segoe WP Semibold"/>
        <family val="2"/>
      </rPr>
      <t>1</t>
    </r>
    <r>
      <rPr>
        <sz val="8"/>
        <color indexed="8"/>
        <rFont val="Segoe WP Semibold"/>
        <family val="2"/>
      </rPr>
      <t xml:space="preserve"> -</t>
    </r>
  </si>
  <si>
    <t>Unrestricted State Revenues</t>
  </si>
  <si>
    <t>24.00</t>
  </si>
  <si>
    <t>39.00</t>
  </si>
  <si>
    <t>48.00</t>
  </si>
  <si>
    <t>49.00</t>
  </si>
  <si>
    <t>50.00</t>
  </si>
  <si>
    <t>51.00</t>
  </si>
  <si>
    <t>52.00</t>
  </si>
  <si>
    <t>53.00</t>
  </si>
  <si>
    <t>54.00</t>
  </si>
  <si>
    <t>55.00</t>
  </si>
  <si>
    <t>56.00</t>
  </si>
  <si>
    <t>57.00</t>
  </si>
  <si>
    <t>58.00</t>
  </si>
  <si>
    <t>59.00</t>
  </si>
  <si>
    <t>60.00</t>
  </si>
  <si>
    <t>61.00</t>
  </si>
  <si>
    <t>62.00</t>
  </si>
  <si>
    <t>63.00</t>
  </si>
  <si>
    <t>64.00</t>
  </si>
  <si>
    <t>65.00</t>
  </si>
  <si>
    <t>66.00</t>
  </si>
  <si>
    <t>67.00</t>
  </si>
  <si>
    <t>68.00</t>
  </si>
  <si>
    <t>69.00</t>
  </si>
  <si>
    <t>70.00</t>
  </si>
  <si>
    <t>71.00</t>
  </si>
  <si>
    <t>72.00</t>
  </si>
  <si>
    <t>75.00</t>
  </si>
  <si>
    <t>76.00</t>
  </si>
  <si>
    <t>77.00</t>
  </si>
  <si>
    <t>78.00</t>
  </si>
  <si>
    <t>79.00</t>
  </si>
  <si>
    <t>80.00</t>
  </si>
  <si>
    <t>81.00</t>
  </si>
  <si>
    <t>83.00</t>
  </si>
  <si>
    <t>84.00</t>
  </si>
  <si>
    <t>85.00</t>
  </si>
  <si>
    <t>86.00</t>
  </si>
  <si>
    <t>87.10</t>
  </si>
  <si>
    <t>87.20</t>
  </si>
  <si>
    <t>87.30</t>
  </si>
  <si>
    <t>87.40</t>
  </si>
  <si>
    <t>88.00</t>
  </si>
  <si>
    <t>89.00</t>
  </si>
  <si>
    <t>Total Unrestricted Revenue from State and Local Sources</t>
  </si>
  <si>
    <t>Total Restricted Revenue from State Sources</t>
  </si>
  <si>
    <t>SOUTH PIKE COUNTY SCHOOL DIST</t>
  </si>
  <si>
    <t>5602000</t>
  </si>
  <si>
    <t>HARRISBURG SCHOOL DISTRICT</t>
  </si>
  <si>
    <t>5604000</t>
  </si>
  <si>
    <t>MARKED TREE SCHOOL DISTRICT</t>
  </si>
  <si>
    <t>5605000</t>
  </si>
  <si>
    <t>TRUMANN SCHOOL DISTRICT</t>
  </si>
  <si>
    <t>5608000</t>
  </si>
  <si>
    <t>EAST POINSETT CO. SCHOOL DIST.</t>
  </si>
  <si>
    <t>5703000</t>
  </si>
  <si>
    <t>MENA SCHOOL DISTRICT</t>
  </si>
  <si>
    <t>5706000</t>
  </si>
  <si>
    <t>OUACHITA RIVER SCHOOL DISTRICT</t>
  </si>
  <si>
    <t>5707000</t>
  </si>
  <si>
    <t>COSSATOT RIVER SCHOOL DIST</t>
  </si>
  <si>
    <t>5801000</t>
  </si>
  <si>
    <t>ATKINS SCHOOL DISTRICT</t>
  </si>
  <si>
    <t>5802000</t>
  </si>
  <si>
    <t>DOVER SCHOOL DISTRICT</t>
  </si>
  <si>
    <t>5803000</t>
  </si>
  <si>
    <t>HECTOR SCHOOL DISTRICT</t>
  </si>
  <si>
    <t>5804000</t>
  </si>
  <si>
    <t>POTTSVILLE SCHOOL DISTRICT</t>
  </si>
  <si>
    <t>5805000</t>
  </si>
  <si>
    <t>RUSSELLVILLE SCHOOL DISTRICT</t>
  </si>
  <si>
    <t>5901000</t>
  </si>
  <si>
    <t>DES ARC SCHOOL DISTRICT</t>
  </si>
  <si>
    <t>5903000</t>
  </si>
  <si>
    <t>HAZEN SCHOOL DISTRICT</t>
  </si>
  <si>
    <t>6001000</t>
  </si>
  <si>
    <t>LITTLE ROCK SCHOOL DISTRICT</t>
  </si>
  <si>
    <t>6002000</t>
  </si>
  <si>
    <t>N. LITTLE ROCK SCHOOL DISTRICT</t>
  </si>
  <si>
    <t>6003000</t>
  </si>
  <si>
    <t>PULASKI CO. SPEC. SCHOOL DIST.</t>
  </si>
  <si>
    <t>6102000</t>
  </si>
  <si>
    <t>MAYNARD SCHOOL DISTRICT</t>
  </si>
  <si>
    <t>6103000</t>
  </si>
  <si>
    <t>POCAHONTAS SCHOOL DISTRICT</t>
  </si>
  <si>
    <t>6201000</t>
  </si>
  <si>
    <t>FORREST CITY SCHOOL DISTRICT</t>
  </si>
  <si>
    <t>6202000</t>
  </si>
  <si>
    <t>HUGHES SCHOOL DISTRICT</t>
  </si>
  <si>
    <t>6205000</t>
  </si>
  <si>
    <t>PALESTINE-WHEATLEY SCH. DIST.</t>
  </si>
  <si>
    <t>6301000</t>
  </si>
  <si>
    <t>BAUXITE SCHOOL DISTRICT</t>
  </si>
  <si>
    <t>6302000</t>
  </si>
  <si>
    <t>BENTON SCHOOL DISTRICT</t>
  </si>
  <si>
    <t>6303000</t>
  </si>
  <si>
    <t>BRYANT SCHOOL DISTRICT</t>
  </si>
  <si>
    <t>6304000</t>
  </si>
  <si>
    <t>HARMONY GROVE SCH DIST(SALINE)</t>
  </si>
  <si>
    <t>6401000</t>
  </si>
  <si>
    <t>WALDRON SCHOOL DISTRICT</t>
  </si>
  <si>
    <t>6502000</t>
  </si>
  <si>
    <t>SEARCY COUNTY SCHOOL DISTRICT</t>
  </si>
  <si>
    <t>6505000</t>
  </si>
  <si>
    <t>OZARK MOUNTAIN SCHOOL DISTRICT</t>
  </si>
  <si>
    <t>6601000</t>
  </si>
  <si>
    <t>FORT SMITH SCHOOL DISTRICT</t>
  </si>
  <si>
    <t>6602000</t>
  </si>
  <si>
    <t>GREENWOOD SCHOOL DISTRICT</t>
  </si>
  <si>
    <t>6603000</t>
  </si>
  <si>
    <t>HACKETT SCHOOL DISTRICT</t>
  </si>
  <si>
    <t>6604000</t>
  </si>
  <si>
    <t>HARTFORD SCHOOL DISTRICT</t>
  </si>
  <si>
    <t>6605000</t>
  </si>
  <si>
    <t>LAVACA SCHOOL DISTRICT</t>
  </si>
  <si>
    <t>6606000</t>
  </si>
  <si>
    <t>MANSFIELD SCHOOL DISTRICT</t>
  </si>
  <si>
    <t>6701000</t>
  </si>
  <si>
    <t>DEQUEEN SCHOOL DISTRICT</t>
  </si>
  <si>
    <t>6703000</t>
  </si>
  <si>
    <t>HORATIO SCHOOL DISTRICT</t>
  </si>
  <si>
    <t>6802000</t>
  </si>
  <si>
    <t>CAVE CITY SCHOOL DISTRICT</t>
  </si>
  <si>
    <t>6804000</t>
  </si>
  <si>
    <t>HIGHLAND SCHOOL DISTRICT</t>
  </si>
  <si>
    <t>6901000</t>
  </si>
  <si>
    <t>MOUNTAIN VIEW SCHOOL DISTRICT</t>
  </si>
  <si>
    <t>7001000</t>
  </si>
  <si>
    <t>EL DORADO SCHOOL DISTRICT</t>
  </si>
  <si>
    <t>7003000</t>
  </si>
  <si>
    <t>JUNCTION CITY SCHOOL DISTRICT</t>
  </si>
  <si>
    <t>7006000</t>
  </si>
  <si>
    <t>NORPHLET SCHOOL DISTRICT</t>
  </si>
  <si>
    <t>LAWRENCE COUNTY SCHOOL DISTRIC</t>
  </si>
  <si>
    <t>3904000</t>
  </si>
  <si>
    <t>LEE COUNTY SCHOOL DISTRICT</t>
  </si>
  <si>
    <t>4003000</t>
  </si>
  <si>
    <t>STAR CITY SCHOOL DISTRICT</t>
  </si>
  <si>
    <t>4101000</t>
  </si>
  <si>
    <t>ASHDOWN SCHOOL DISTRICT</t>
  </si>
  <si>
    <t>4102000</t>
  </si>
  <si>
    <t>FOREMAN SCHOOL DISTRICT</t>
  </si>
  <si>
    <t>4201000</t>
  </si>
  <si>
    <t>BOONEVILLE SCHOOL DISTRICT</t>
  </si>
  <si>
    <t>4202000</t>
  </si>
  <si>
    <t>MAGAZINE SCHOOL DISTRICT</t>
  </si>
  <si>
    <t>4203000</t>
  </si>
  <si>
    <t>PARIS SCHOOL DISTRICT</t>
  </si>
  <si>
    <t>4204000</t>
  </si>
  <si>
    <t>SCRANTON SCHOOL DISTRICT</t>
  </si>
  <si>
    <t>4301000</t>
  </si>
  <si>
    <t>LONOKE SCHOOL DISTRICT</t>
  </si>
  <si>
    <t>4302000</t>
  </si>
  <si>
    <t>ENGLAND SCHOOL DISTRICT</t>
  </si>
  <si>
    <t>4303000</t>
  </si>
  <si>
    <t>CARLISLE SCHOOL DISTRICT</t>
  </si>
  <si>
    <t>4304000</t>
  </si>
  <si>
    <t>CABOT SCHOOL DISTRICT</t>
  </si>
  <si>
    <t>4401000</t>
  </si>
  <si>
    <t>HUNTSVILLE SCHOOL DISTRICT</t>
  </si>
  <si>
    <t>4501000</t>
  </si>
  <si>
    <t>FLIPPIN SCHOOL DISTRICT</t>
  </si>
  <si>
    <t>4502000</t>
  </si>
  <si>
    <t>YELLVILLE-SUMMIT SCHOOL DIST.</t>
  </si>
  <si>
    <t>4602000</t>
  </si>
  <si>
    <t>GENOA CENTRAL SCHOOL DISTRICT</t>
  </si>
  <si>
    <t>4603000</t>
  </si>
  <si>
    <t>FOUKE SCHOOL DISTRICT</t>
  </si>
  <si>
    <t>4605000</t>
  </si>
  <si>
    <t>TEXARKANA SCHOOL DISTRICT</t>
  </si>
  <si>
    <t>4701000</t>
  </si>
  <si>
    <t>ARMOREL SCHOOL DISTRICT</t>
  </si>
  <si>
    <t>4702000</t>
  </si>
  <si>
    <t>BLYTHEVILLE SCHOOL DISTRICT</t>
  </si>
  <si>
    <t>4706000</t>
  </si>
  <si>
    <t>SO. MISS. COUNTY SCHOOL DIST.</t>
  </si>
  <si>
    <t>4708000</t>
  </si>
  <si>
    <t>GOSNELL SCHOOL DISTRICT</t>
  </si>
  <si>
    <t>4712000</t>
  </si>
  <si>
    <t>MANILA SCHOOL DISTRICT</t>
  </si>
  <si>
    <t>4713000</t>
  </si>
  <si>
    <t>OSCEOLA SCHOOL DISTRICT</t>
  </si>
  <si>
    <t>4801000</t>
  </si>
  <si>
    <t>BRINKLEY SCHOOL DISTRICT</t>
  </si>
  <si>
    <t>4802000</t>
  </si>
  <si>
    <t>CLARENDON SCHOOL DISTRICT</t>
  </si>
  <si>
    <t>4901000</t>
  </si>
  <si>
    <t>CADDO HILLS SCHOOL DISTRICT</t>
  </si>
  <si>
    <t>4902000</t>
  </si>
  <si>
    <t>MOUNT IDA SCHOOL DISTRICT</t>
  </si>
  <si>
    <t>5006000</t>
  </si>
  <si>
    <t>PRESCOTT SCHOOL DISTRICT</t>
  </si>
  <si>
    <t>5008000</t>
  </si>
  <si>
    <t>NEVADA SCHOOL DISTRICT</t>
  </si>
  <si>
    <t>5102000</t>
  </si>
  <si>
    <t>JASPER SCHOOL DISTRICT</t>
  </si>
  <si>
    <t>5106000</t>
  </si>
  <si>
    <t>DEER/MT. JUDEA SCHOOL DISTRICT</t>
  </si>
  <si>
    <t>5201000</t>
  </si>
  <si>
    <t>BEARDEN SCHOOL DISTRICT</t>
  </si>
  <si>
    <t>5204000</t>
  </si>
  <si>
    <t>CAMDEN FAIRVIEW SCHOOL DIST.</t>
  </si>
  <si>
    <t>5205000</t>
  </si>
  <si>
    <t>HARMONY GROVE SCH DIST(OUACHIT</t>
  </si>
  <si>
    <t>5206000</t>
  </si>
  <si>
    <t>STEPHENS SCHOOL DISTRICT</t>
  </si>
  <si>
    <t>5301000</t>
  </si>
  <si>
    <t>EAST END SCHOOL DISTRICT</t>
  </si>
  <si>
    <t>5303000</t>
  </si>
  <si>
    <t>PERRYVILLE SCHOOL DISTRICT</t>
  </si>
  <si>
    <t>5401000</t>
  </si>
  <si>
    <t>BARTON-LEXA SCHOOL DISTRICT</t>
  </si>
  <si>
    <t>5403000</t>
  </si>
  <si>
    <t>HELENA/ W.HELENA SCHOOL DIST.</t>
  </si>
  <si>
    <t>5404000</t>
  </si>
  <si>
    <t>MARVELL SCHOOL DISTRICT</t>
  </si>
  <si>
    <t>5502000</t>
  </si>
  <si>
    <t>CENTERPOINT SCHOOL DISTRICT</t>
  </si>
  <si>
    <t>5503000</t>
  </si>
  <si>
    <t>KIRBY SCHOOL DISTRICT</t>
  </si>
  <si>
    <t>5504000</t>
  </si>
  <si>
    <t>FOUNTAIN LAKE SCHOOL DISTRICT</t>
  </si>
  <si>
    <t>2603000</t>
  </si>
  <si>
    <t>HOT SPRINGS SCHOOL DISTRICT</t>
  </si>
  <si>
    <t>2604000</t>
  </si>
  <si>
    <t>JESSIEVILLE SCHOOL DISTRICT</t>
  </si>
  <si>
    <t>2605000</t>
  </si>
  <si>
    <t>LAKE HAMILTON SCHOOL DISTRICT</t>
  </si>
  <si>
    <t>2606000</t>
  </si>
  <si>
    <t>LAKESIDE SCHOOL DIST(GARLAND)</t>
  </si>
  <si>
    <t>2607000</t>
  </si>
  <si>
    <t>MOUNTAIN PINE SCHOOL DISTRICT</t>
  </si>
  <si>
    <t>2703000</t>
  </si>
  <si>
    <t>POYEN SCHOOL DISTRICT</t>
  </si>
  <si>
    <t>2705000</t>
  </si>
  <si>
    <t>SHERIDAN SCHOOL DISTRICT</t>
  </si>
  <si>
    <t>2803000</t>
  </si>
  <si>
    <t>MARMADUKE SCHOOL DISTRICT</t>
  </si>
  <si>
    <t>2807000</t>
  </si>
  <si>
    <t>GREENE CO. TECH SCHOOL DIST.</t>
  </si>
  <si>
    <t>2808000</t>
  </si>
  <si>
    <t>PARAGOULD SCHOOL DISTRICT</t>
  </si>
  <si>
    <t>2901000</t>
  </si>
  <si>
    <t>BLEVINS SCHOOL DISTRICT</t>
  </si>
  <si>
    <t>2903000</t>
  </si>
  <si>
    <t>HOPE SCHOOL DISTRICT</t>
  </si>
  <si>
    <t>2906000</t>
  </si>
  <si>
    <t>SPRING HILL SCHOOL DISTRICT</t>
  </si>
  <si>
    <t>3001000</t>
  </si>
  <si>
    <t>BISMARCK SCHOOL DISTRICT</t>
  </si>
  <si>
    <t>3002000</t>
  </si>
  <si>
    <t>GLEN ROSE SCHOOL DISTRICT</t>
  </si>
  <si>
    <t>3003000</t>
  </si>
  <si>
    <t>MAGNET COVE SCHOOL DIST.</t>
  </si>
  <si>
    <t>3004000</t>
  </si>
  <si>
    <t>MALVERN SCHOOL DISTRICT</t>
  </si>
  <si>
    <t>3005000</t>
  </si>
  <si>
    <t>OUACHITA SCHOOL DISTRICT</t>
  </si>
  <si>
    <t>3102000</t>
  </si>
  <si>
    <t>DIERKS SCHOOL DISTRICT</t>
  </si>
  <si>
    <t>3104000</t>
  </si>
  <si>
    <t>MINERAL SPRINGS SCHOOL DIST.</t>
  </si>
  <si>
    <t>3105000</t>
  </si>
  <si>
    <t>NASHVILLE SCHOOL DISTRICT</t>
  </si>
  <si>
    <t>3201000</t>
  </si>
  <si>
    <t>BATESVILLE SCHOOL DISTRICT</t>
  </si>
  <si>
    <t>3209000</t>
  </si>
  <si>
    <t>SOUTHSIDE SCH DIST(INDEPENDENC</t>
  </si>
  <si>
    <t>3211000</t>
  </si>
  <si>
    <t>MIDLAND SCHOOL DISTRICT</t>
  </si>
  <si>
    <t>3212000</t>
  </si>
  <si>
    <t>CEDAR RIDGE SCHOOL DISTRICT</t>
  </si>
  <si>
    <t>3301000</t>
  </si>
  <si>
    <t>CALICO ROCK SCHOOL DISTRICT</t>
  </si>
  <si>
    <t>3302000</t>
  </si>
  <si>
    <t>MELBOURNE SCHOOL DISTRICT</t>
  </si>
  <si>
    <t>3306000</t>
  </si>
  <si>
    <t>IZARD CO. CONS. SCHOOL DIST.</t>
  </si>
  <si>
    <t>3403000</t>
  </si>
  <si>
    <t>NEWPORT SCHOOL DISTRICT</t>
  </si>
  <si>
    <t>3405000</t>
  </si>
  <si>
    <t>JACKSON CO. SCHOOL DISTRICT</t>
  </si>
  <si>
    <t>3502000</t>
  </si>
  <si>
    <t>DOLLARWAY SCHOOL DISTRICT</t>
  </si>
  <si>
    <t>3505000</t>
  </si>
  <si>
    <t>PINE BLUFF SCHOOL DISTRICT</t>
  </si>
  <si>
    <t>3509000</t>
  </si>
  <si>
    <t>WATSON CHAPEL SCHOOL DISTRICT</t>
  </si>
  <si>
    <t>3510000</t>
  </si>
  <si>
    <t>WHITE HALL SCHOOL DISTRICT</t>
  </si>
  <si>
    <t>3601000</t>
  </si>
  <si>
    <t>CLARKSVILLE SCHOOL DISTRICT</t>
  </si>
  <si>
    <t>3604000</t>
  </si>
  <si>
    <t>LAMAR SCHOOL DISTRICT</t>
  </si>
  <si>
    <t>3606000</t>
  </si>
  <si>
    <t>WESTSIDE SCHOOL DIST(JOHNSON)</t>
  </si>
  <si>
    <t>3701000</t>
  </si>
  <si>
    <t>BRADLEY SCHOOL DISTRICT</t>
  </si>
  <si>
    <t>3704000</t>
  </si>
  <si>
    <t>LAFAYETTE COUNTY SCHOOL DISTRI</t>
  </si>
  <si>
    <t>3804000</t>
  </si>
  <si>
    <t>HOXIE SCHOOL DISTRICT</t>
  </si>
  <si>
    <t>3806000</t>
  </si>
  <si>
    <t>SLOAN-HENDRIX SCHOOL DIST.</t>
  </si>
  <si>
    <t>3809000</t>
  </si>
  <si>
    <t>HILLCREST SCHOOL DISTRICT</t>
  </si>
  <si>
    <t>3810000</t>
  </si>
  <si>
    <t>1304000</t>
  </si>
  <si>
    <t>WOODLAWN SCHOOL DISTRICT</t>
  </si>
  <si>
    <t>1305000</t>
  </si>
  <si>
    <t>CLEVELAND COUNTY SCHOOL DIST.</t>
  </si>
  <si>
    <t>1402000</t>
  </si>
  <si>
    <t>MAGNOLIA SCHOOL DISTRICT</t>
  </si>
  <si>
    <t>1408000</t>
  </si>
  <si>
    <t>EMERSON-TAYLOR SCHOOL DISTRICT</t>
  </si>
  <si>
    <t>1503000</t>
  </si>
  <si>
    <t>NEMO VISTA SCHOOL DISTRICT</t>
  </si>
  <si>
    <t>1505000</t>
  </si>
  <si>
    <t>WONDERVIEW SCHOOL DISTRICT</t>
  </si>
  <si>
    <t>1507000</t>
  </si>
  <si>
    <t>SO. CONWAY CO. SCHOOL DISTRICT</t>
  </si>
  <si>
    <t>1601000</t>
  </si>
  <si>
    <t>BAY SCHOOL DISTRICT</t>
  </si>
  <si>
    <t>1602000</t>
  </si>
  <si>
    <t>WESTSIDE CONS. SCH DIST(CRAIGH</t>
  </si>
  <si>
    <t>1603000</t>
  </si>
  <si>
    <t>BROOKLAND SCHOOL DISTRICT</t>
  </si>
  <si>
    <t>1605000</t>
  </si>
  <si>
    <t>BUFFALO IS. CENTRAL SCH. DIST.</t>
  </si>
  <si>
    <t>1608000</t>
  </si>
  <si>
    <t>JONESBORO SCHOOL DISTRICT</t>
  </si>
  <si>
    <t>1611000</t>
  </si>
  <si>
    <t>NETTLETON SCHOOL DISTRICT</t>
  </si>
  <si>
    <t>1612000</t>
  </si>
  <si>
    <t>VALLEY VIEW SCHOOL DISTRICT</t>
  </si>
  <si>
    <t>1613000</t>
  </si>
  <si>
    <t>RIVERSIDE SCHOOL DISTRICT</t>
  </si>
  <si>
    <t>1701000</t>
  </si>
  <si>
    <t>ALMA SCHOOL DISTRICT</t>
  </si>
  <si>
    <t>1702000</t>
  </si>
  <si>
    <t>CEDARVILLE SCHOOL DISTRICT</t>
  </si>
  <si>
    <t>1703000</t>
  </si>
  <si>
    <t>MOUNTAINBURG SCHOOL DISTRICT</t>
  </si>
  <si>
    <t>1704000</t>
  </si>
  <si>
    <t>MULBERRY SCHOOL DISTRICT</t>
  </si>
  <si>
    <t>1705000</t>
  </si>
  <si>
    <t>VAN BUREN SCHOOL DISTRICT</t>
  </si>
  <si>
    <t>1802000</t>
  </si>
  <si>
    <t>EARLE SCHOOL DISTRICT</t>
  </si>
  <si>
    <t>1803000</t>
  </si>
  <si>
    <t>WEST MEMPHIS SCHOOL DISTRICT</t>
  </si>
  <si>
    <t>1804000</t>
  </si>
  <si>
    <t>MARION SCHOOL DISTRICT</t>
  </si>
  <si>
    <t>1901000</t>
  </si>
  <si>
    <t>CROSS COUNTY SCHOOL DISTRICT</t>
  </si>
  <si>
    <t>1905000</t>
  </si>
  <si>
    <t>WYNNE SCHOOL DISTRICT</t>
  </si>
  <si>
    <t>2002000</t>
  </si>
  <si>
    <t>FORDYCE SCHOOL DISTRICT</t>
  </si>
  <si>
    <t>2104000</t>
  </si>
  <si>
    <t>DUMAS SCHOOL DISTRICT</t>
  </si>
  <si>
    <t>2105000</t>
  </si>
  <si>
    <t>MCGEHEE SCHOOL DISTRICT</t>
  </si>
  <si>
    <t>2202000</t>
  </si>
  <si>
    <t>DREW CENTRAL SCHOOL DISTRICT</t>
  </si>
  <si>
    <t>2203000</t>
  </si>
  <si>
    <t>MONTICELLO SCHOOL DISTRICT</t>
  </si>
  <si>
    <t>2301000</t>
  </si>
  <si>
    <t>CONWAY SCHOOL DISTRICT</t>
  </si>
  <si>
    <t>2303000</t>
  </si>
  <si>
    <t>GREENBRIER SCHOOL DISTRICT</t>
  </si>
  <si>
    <t>2304000</t>
  </si>
  <si>
    <t>GUY-PERKINS SCHOOL DISTRICT</t>
  </si>
  <si>
    <t>2305000</t>
  </si>
  <si>
    <t>MAYFLOWER SCHOOL DISTRICT</t>
  </si>
  <si>
    <t>2306000</t>
  </si>
  <si>
    <t>MT. VERNON/ENOLA SCHOOL DIST.</t>
  </si>
  <si>
    <t>2307000</t>
  </si>
  <si>
    <t>VILONIA SCHOOL DISTRICT</t>
  </si>
  <si>
    <t>2402000</t>
  </si>
  <si>
    <t>CHARLESTON SCHOOL DISTRICT</t>
  </si>
  <si>
    <t>2403000</t>
  </si>
  <si>
    <t>COUNTY LINE SCHOOL DISTRICT</t>
  </si>
  <si>
    <t>2404000</t>
  </si>
  <si>
    <t>OZARK SCHOOL DISTRICT</t>
  </si>
  <si>
    <t>2501000</t>
  </si>
  <si>
    <t>MAMMOTH SPRING SCHOOL DISTRICT</t>
  </si>
  <si>
    <t>2502000</t>
  </si>
  <si>
    <t>SALEM SCHOOL DISTRICT</t>
  </si>
  <si>
    <t>2503000</t>
  </si>
  <si>
    <t>VIOLA SCHOOL DISTRICT</t>
  </si>
  <si>
    <t>2601000</t>
  </si>
  <si>
    <t>CUTTER-MORNING STAR SCH. DIST.</t>
  </si>
  <si>
    <t>2602000</t>
  </si>
  <si>
    <t>9.00</t>
  </si>
  <si>
    <t>10.00</t>
  </si>
  <si>
    <t>11.00</t>
  </si>
  <si>
    <t>12.00</t>
  </si>
  <si>
    <t>13.00</t>
  </si>
  <si>
    <t>82.00</t>
  </si>
  <si>
    <t>Area in Square Miles</t>
  </si>
  <si>
    <t>Prior Year 3QTR ADM</t>
  </si>
  <si>
    <t>Assessment</t>
  </si>
  <si>
    <t>M&amp;O Mills</t>
  </si>
  <si>
    <t>URT Mills</t>
  </si>
  <si>
    <t>M&amp;O Mills in Excess of URT</t>
  </si>
  <si>
    <t>Dedicated M&amp;O Mills</t>
  </si>
  <si>
    <t>Debt Service Mills</t>
  </si>
  <si>
    <t>Total Mills</t>
  </si>
  <si>
    <t>Total Debt Bond/Non-Bond</t>
  </si>
  <si>
    <t>Per Pupil Expenditures</t>
  </si>
  <si>
    <t>0101000</t>
  </si>
  <si>
    <t>DEWITT SCHOOL DISTRICT</t>
  </si>
  <si>
    <t>0104000</t>
  </si>
  <si>
    <t>STUTTGART SCHOOL DISTRICT</t>
  </si>
  <si>
    <t>0201000</t>
  </si>
  <si>
    <t>CROSSETT SCHOOL DISTRICT</t>
  </si>
  <si>
    <t>0203000</t>
  </si>
  <si>
    <t>HAMBURG SCHOOL DISTRICT</t>
  </si>
  <si>
    <t>0302000</t>
  </si>
  <si>
    <t>COTTER SCHOOL DISTRICT</t>
  </si>
  <si>
    <t>0303000</t>
  </si>
  <si>
    <t>MOUNTAIN HOME SCHOOL DISTRICT</t>
  </si>
  <si>
    <t>0304000</t>
  </si>
  <si>
    <t>NORFORK SCHOOL DISTRICT</t>
  </si>
  <si>
    <t>0401000</t>
  </si>
  <si>
    <t>BENTONVILLE SCHOOL DISTRICT</t>
  </si>
  <si>
    <t>0402000</t>
  </si>
  <si>
    <t>DECATUR SCHOOL DISTRICT</t>
  </si>
  <si>
    <t>0403000</t>
  </si>
  <si>
    <t>GENTRY SCHOOL DISTRICT</t>
  </si>
  <si>
    <t>0404000</t>
  </si>
  <si>
    <t>GRAVETTE SCHOOL DISTRICT</t>
  </si>
  <si>
    <t>0405000</t>
  </si>
  <si>
    <t>ROGERS SCHOOL DISTRICT</t>
  </si>
  <si>
    <t>0406000</t>
  </si>
  <si>
    <t>SILOAM SPRINGS SCHOOL DISTRICT</t>
  </si>
  <si>
    <t>0407000</t>
  </si>
  <si>
    <t>PEA RIDGE SCHOOL DISTRICT</t>
  </si>
  <si>
    <t>0501000</t>
  </si>
  <si>
    <t>ALPENA SCHOOL DISTRICT</t>
  </si>
  <si>
    <t>0502000</t>
  </si>
  <si>
    <t>BERGMAN SCHOOL DISTRICT</t>
  </si>
  <si>
    <t>0503000</t>
  </si>
  <si>
    <t>HARRISON SCHOOL DISTRICT</t>
  </si>
  <si>
    <t>0504000</t>
  </si>
  <si>
    <t>OMAHA SCHOOL DISTRICT</t>
  </si>
  <si>
    <t>0505000</t>
  </si>
  <si>
    <t>VALLEY SPRINGS SCHOOL DISTRICT</t>
  </si>
  <si>
    <t>0506000</t>
  </si>
  <si>
    <t>LEAD HILL SCHOOL DISTRICT</t>
  </si>
  <si>
    <t>0601000</t>
  </si>
  <si>
    <t>HERMITAGE SCHOOL DISTRICT</t>
  </si>
  <si>
    <t>0602000</t>
  </si>
  <si>
    <t>WARREN SCHOOL DISTRICT</t>
  </si>
  <si>
    <t>0701000</t>
  </si>
  <si>
    <t>HAMPTON SCHOOL DISTRICT</t>
  </si>
  <si>
    <t>0801000</t>
  </si>
  <si>
    <t>BERRYVILLE SCHOOL DISTRICT</t>
  </si>
  <si>
    <t>0802000</t>
  </si>
  <si>
    <t>EUREKA SPRINGS SCHOOL DISTRICT</t>
  </si>
  <si>
    <t>0803000</t>
  </si>
  <si>
    <t>GREEN FOREST SCHOOL DISTRICT</t>
  </si>
  <si>
    <t>0901000</t>
  </si>
  <si>
    <t>DERMOTT SCHOOL DISTRICT</t>
  </si>
  <si>
    <t>0903000</t>
  </si>
  <si>
    <t>LAKESIDE SCHOOL DIST(CHICOT)</t>
  </si>
  <si>
    <t>1002000</t>
  </si>
  <si>
    <t>ARKADELPHIA SCHOOL DISTRICT</t>
  </si>
  <si>
    <t>1003000</t>
  </si>
  <si>
    <t>GURDON SCHOOL DISTRICT</t>
  </si>
  <si>
    <t>1101000</t>
  </si>
  <si>
    <t>CORNING SCHOOL DISTRICT</t>
  </si>
  <si>
    <t>1104000</t>
  </si>
  <si>
    <t>PIGGOTT SCHOOL DISTRICT</t>
  </si>
  <si>
    <t>1106000</t>
  </si>
  <si>
    <t>RECTOR SCHOOL DISTRICT</t>
  </si>
  <si>
    <t>1201000</t>
  </si>
  <si>
    <t>CONCORD SCHOOL DISTRICT</t>
  </si>
  <si>
    <t>1202000</t>
  </si>
  <si>
    <t>HEBER SPRINGS SCHOOL DISTRICT</t>
  </si>
  <si>
    <t>1203000</t>
  </si>
  <si>
    <t>QUITMAN SCHOOL DISTRICT</t>
  </si>
  <si>
    <t>1204000</t>
  </si>
  <si>
    <t>WEST SIDE SCHOOL DIST(CLEBURNE</t>
  </si>
  <si>
    <t>Total Other revenues</t>
  </si>
  <si>
    <t>District Location</t>
  </si>
  <si>
    <t>Grades Served</t>
  </si>
  <si>
    <t>added</t>
  </si>
  <si>
    <t>ADA</t>
  </si>
  <si>
    <t>ADA pct Change over 5 Yrs.</t>
  </si>
  <si>
    <t>4 QTR ADM</t>
  </si>
  <si>
    <t>Property Tax Receipts (Including URT)</t>
  </si>
  <si>
    <t>Revenue from Intermediate Sources</t>
  </si>
  <si>
    <t>Foundation Funding (Excl URT)</t>
  </si>
  <si>
    <t>Tax Collection Rate Guarantee</t>
  </si>
  <si>
    <t>Student Growth Funding</t>
  </si>
  <si>
    <t>Declining Enrollment Funding</t>
  </si>
  <si>
    <t>Consolidation Incentive/Assistance</t>
  </si>
  <si>
    <t>Isolated Funding</t>
  </si>
  <si>
    <t>Supplemental Millage Incentive Funding</t>
  </si>
  <si>
    <t>Other Unrestricted State Funding</t>
  </si>
  <si>
    <t>Adult Education</t>
  </si>
  <si>
    <t>Professional Development</t>
  </si>
  <si>
    <t>Other Regular Education</t>
  </si>
  <si>
    <t>Gifted &amp; Talented</t>
  </si>
  <si>
    <t>Alternative Learning Environment (ALE)</t>
  </si>
  <si>
    <t>English Language Learner (ELL)</t>
  </si>
  <si>
    <t>National School Lunch Act (NSLA)</t>
  </si>
  <si>
    <t>Other Special Education</t>
  </si>
  <si>
    <t>Workforce Education</t>
  </si>
  <si>
    <t>School Food Service</t>
  </si>
  <si>
    <t>Educational Service Cooperatives</t>
  </si>
  <si>
    <t>Early Childhood Programs</t>
  </si>
  <si>
    <t>Magnet School Programs</t>
  </si>
  <si>
    <t>Other Non-Instructional Programs</t>
  </si>
  <si>
    <t>Total Restricted Revenue from Federal Sources</t>
  </si>
  <si>
    <t>Financing Sources</t>
  </si>
  <si>
    <t>Balances from Consolidated/Annexed District</t>
  </si>
  <si>
    <t>Indirect Cost Reimbursement</t>
  </si>
  <si>
    <t>Gains and Losses from Sale of Fixed Assets</t>
  </si>
  <si>
    <t>Compensation for Loss of Fixed Assets</t>
  </si>
  <si>
    <t>Total Other Sources of Funds</t>
  </si>
  <si>
    <t>Other Local Receipts</t>
  </si>
  <si>
    <t>Total PPR</t>
  </si>
  <si>
    <t>Local PPR</t>
  </si>
  <si>
    <t>Indeterminate Public PPR</t>
  </si>
  <si>
    <t>State PPR</t>
  </si>
  <si>
    <t>Federal PPR</t>
  </si>
  <si>
    <t>Other PPR</t>
  </si>
  <si>
    <t>Actual Amount</t>
  </si>
  <si>
    <t>Rogers, AR</t>
  </si>
  <si>
    <t>K - 12</t>
  </si>
  <si>
    <t>lmboden, AR</t>
  </si>
  <si>
    <t>K - 8</t>
  </si>
  <si>
    <t>Osceola, AR</t>
  </si>
  <si>
    <t>7 to 12</t>
  </si>
  <si>
    <t>Helena, AR</t>
  </si>
  <si>
    <t>4 to 7</t>
  </si>
  <si>
    <t>Maumelle, AR</t>
  </si>
  <si>
    <t>Little Rock, AR</t>
  </si>
  <si>
    <t>6 to 12</t>
  </si>
  <si>
    <t>North Little Rock, AR</t>
  </si>
  <si>
    <t xml:space="preserve"> 9 to 12</t>
  </si>
  <si>
    <t>K - 4</t>
  </si>
  <si>
    <t>5 to 8</t>
  </si>
  <si>
    <t>9 to 10</t>
  </si>
  <si>
    <t>k - 10</t>
  </si>
  <si>
    <t>Jacksonville, AR</t>
  </si>
  <si>
    <t>k - 8</t>
  </si>
  <si>
    <t>Fayetteville, AR</t>
  </si>
  <si>
    <t>8 to 12</t>
  </si>
  <si>
    <t>Totals / Ave</t>
  </si>
  <si>
    <t>3541700</t>
  </si>
  <si>
    <t>PINE BLUFF LIGHTHOUSE ACADEMY</t>
  </si>
  <si>
    <t>Pine Bluff, AR</t>
  </si>
  <si>
    <t>K - 5</t>
  </si>
  <si>
    <t>6052700</t>
  </si>
  <si>
    <t>SIATECH LITTLE ROCK CHARTER</t>
  </si>
  <si>
    <t>School District Name</t>
  </si>
  <si>
    <t>Local revenues</t>
  </si>
  <si>
    <t>Total Other Revenues</t>
  </si>
  <si>
    <t>1.00</t>
  </si>
  <si>
    <t>5.00</t>
  </si>
  <si>
    <t>6.00</t>
  </si>
  <si>
    <t>7.00</t>
  </si>
  <si>
    <t>8.00</t>
  </si>
  <si>
    <t>Charter Conversions-Amount</t>
  </si>
  <si>
    <t>ADJUSTED DISTRICT-PROOF</t>
  </si>
  <si>
    <t>ADJUSTED CHARTER-PROOF</t>
  </si>
  <si>
    <t>Charter Conversion-Amount</t>
  </si>
  <si>
    <t>Indeterminate-Public</t>
  </si>
  <si>
    <t>&gt;&gt;&gt;  For CONVERSION CHARTERS the analyst MUST code a "Y" flag for each conversion charter row in BOTH</t>
  </si>
  <si>
    <t>the $REV-DB worksheet and the ENR#-DB worksheet.</t>
  </si>
  <si>
    <t>&gt;This workbook is not Protected.</t>
  </si>
  <si>
    <t>0440700</t>
  </si>
  <si>
    <t>3840700</t>
  </si>
  <si>
    <t>4740700</t>
  </si>
  <si>
    <t>5440700</t>
  </si>
  <si>
    <t>6040700</t>
  </si>
  <si>
    <t>6041700</t>
  </si>
  <si>
    <t>6042700</t>
  </si>
  <si>
    <t>6043700</t>
  </si>
  <si>
    <t>6044700</t>
  </si>
  <si>
    <t>6045700</t>
  </si>
  <si>
    <t>6046700</t>
  </si>
  <si>
    <t>6047700</t>
  </si>
  <si>
    <t>6048700</t>
  </si>
  <si>
    <t>6049700</t>
  </si>
  <si>
    <t>6050700</t>
  </si>
  <si>
    <t>6051700</t>
  </si>
  <si>
    <t>7240700</t>
  </si>
  <si>
    <t>BENTON COUNTY SCHOOL OF ARTS</t>
  </si>
  <si>
    <t>IMBODEN CHARTER SCHOOL DIST</t>
  </si>
  <si>
    <t>OSCEOLA COMM,ARTS &amp; BUS CH SCH</t>
  </si>
  <si>
    <t>KIPP DELTA PUBLIC SCHOOLS</t>
  </si>
  <si>
    <t>ACADEMICS PLUS SCHOOL DISTRICT</t>
  </si>
  <si>
    <t>LISA ACADEMY</t>
  </si>
  <si>
    <t>DREAMLAND ACADEMY</t>
  </si>
  <si>
    <t>ARKANSAS VIRTUAL ACADEMY</t>
  </si>
  <si>
    <t>COVENANTKEEPERS CHARTER SCHOOL</t>
  </si>
  <si>
    <t>ESTEM ELEMENTARY PUBLIC CHARTE</t>
  </si>
  <si>
    <t>ESTEM MIDDLE PUBLIC CHARTER</t>
  </si>
  <si>
    <t>ESTEM HIGH SCHOOL</t>
  </si>
  <si>
    <t>LISA ACADEMY NORTH</t>
  </si>
  <si>
    <t>LITTLE ROCK PREPARATORY ACADEM</t>
  </si>
  <si>
    <t>JACKSONVILLE LIGHTHOUSE CHARTE</t>
  </si>
  <si>
    <t>LR URBAN COLLEGIATE PUBLIC CHA</t>
  </si>
  <si>
    <t>HAAS HALL ACADEMY</t>
  </si>
  <si>
    <t>AK</t>
  </si>
  <si>
    <t>Rogers</t>
  </si>
  <si>
    <t>Imboden</t>
  </si>
  <si>
    <t>Osceola</t>
  </si>
  <si>
    <t>Helena</t>
  </si>
  <si>
    <t>Maumelle</t>
  </si>
  <si>
    <t>Little Rock</t>
  </si>
  <si>
    <t>North Little Rock</t>
  </si>
  <si>
    <t>Jacksonville</t>
  </si>
  <si>
    <t>Fayetteville</t>
  </si>
  <si>
    <t>Federal Revenues</t>
  </si>
  <si>
    <t>local Revenues</t>
  </si>
  <si>
    <t>Other Revenues</t>
  </si>
  <si>
    <t>State revenues</t>
  </si>
  <si>
    <t>Local Revenues</t>
  </si>
  <si>
    <t>Total Local Revenues</t>
  </si>
  <si>
    <t>Indeterminate Public</t>
  </si>
  <si>
    <t>Total Indeterminate Public</t>
  </si>
  <si>
    <t>State Revenues</t>
  </si>
  <si>
    <t>Total Revenues</t>
  </si>
  <si>
    <t>Summary Charter Data</t>
  </si>
  <si>
    <t>2.00</t>
  </si>
  <si>
    <t>3.00</t>
  </si>
  <si>
    <t>4.00</t>
  </si>
  <si>
    <t>14.00</t>
  </si>
  <si>
    <t>16.00</t>
  </si>
  <si>
    <t>17.10</t>
  </si>
  <si>
    <t>17.30</t>
  </si>
  <si>
    <t>18.00</t>
  </si>
  <si>
    <t>19.00</t>
  </si>
  <si>
    <t>20.00</t>
  </si>
  <si>
    <t>21.00</t>
  </si>
  <si>
    <t>22.00</t>
  </si>
  <si>
    <t>23.00</t>
  </si>
  <si>
    <t>25.00</t>
  </si>
  <si>
    <t>26.00</t>
  </si>
  <si>
    <t>27.00</t>
  </si>
  <si>
    <t>28.00</t>
  </si>
  <si>
    <t>29.00</t>
  </si>
  <si>
    <t>30.00</t>
  </si>
  <si>
    <t>31.00</t>
  </si>
  <si>
    <t>32.00</t>
  </si>
  <si>
    <t>33.00</t>
  </si>
  <si>
    <t>34.00</t>
  </si>
  <si>
    <t>35.00</t>
  </si>
  <si>
    <t>36.00</t>
  </si>
  <si>
    <t>37.00</t>
  </si>
  <si>
    <t>38.00</t>
  </si>
  <si>
    <t>Total State Revenues</t>
  </si>
  <si>
    <t>40.00</t>
  </si>
  <si>
    <t>41.00</t>
  </si>
  <si>
    <t>42.00</t>
  </si>
  <si>
    <t>43.00</t>
  </si>
  <si>
    <t>44.00</t>
  </si>
  <si>
    <t>45.00</t>
  </si>
  <si>
    <t>46.00</t>
  </si>
  <si>
    <t>47.00</t>
  </si>
  <si>
    <t>15.00</t>
  </si>
  <si>
    <t>These counts are for diagnostic purposes.  These counts may differ from actual reported counts.  These counts will not be correct until all coding for Includes &amp; Excludes, Focus Areas, C/D, and entity numbers and names is completed (and no BLANKS in data range for columns I &amp; J -- BLANK cells can be filled with any text or number).</t>
  </si>
  <si>
    <t>ALL FA</t>
  </si>
  <si>
    <t>FA*</t>
  </si>
  <si>
    <t>(Rng-Exc-d)</t>
  </si>
  <si>
    <t>ADJUSTED FOR CONVERSION CHARTERS                    ADJUSTED FOR CONVERSION CHARTERS                   ADJUSTED FOR CONVERSION CHARTERS                    ADJUSTED FOR CONVERSION CHARTERS</t>
  </si>
  <si>
    <t>CONVERSION (Y / N)</t>
  </si>
  <si>
    <t>DETAILED DATA INPUT INSTRUCTIONS</t>
  </si>
  <si>
    <t>&gt;&gt;&gt;  For $REV-DB and ENR#-DB worksheets (where data are entered):</t>
  </si>
  <si>
    <t xml:space="preserve">&gt;&gt;  NO BLANKS in required columns L-S and L-R, respectively. </t>
  </si>
  <si>
    <t>&gt;&gt;  NO BLANKS in columns I (Entity#) and J (Entity Name).</t>
  </si>
  <si>
    <t>&gt;&gt;  USE "Z" to fill for BLANKS &amp; ERROR CODES.  "Z" is safe because it is not used for any other purpose.</t>
  </si>
  <si>
    <t>&gt;&gt;&gt;  Large Data Files -- Over 15,000 rows:</t>
  </si>
  <si>
    <t>&gt;&gt;  The formulas that count the number of charter schools are complex to accommodate an accurate count</t>
  </si>
  <si>
    <t xml:space="preserve">whether there is only a single line per entity or multiple lines.  When using with a large data population </t>
  </si>
  <si>
    <t>&gt;&gt;&gt;  NO PROTECTION has been set.</t>
  </si>
  <si>
    <t>columns, or in columns I (Entity#) &amp; J (Entity Name).</t>
  </si>
  <si>
    <t>&gt;&gt;  NO EXCEL ERROR CODES -- such as, #N/A, #DIV/0, #VALUE!, #NAME?, etc. -- are allowed in required</t>
  </si>
  <si>
    <t>zeros appear.  Most states use the General format.  DO NOT enter the Entity# as a Number.</t>
  </si>
  <si>
    <t>&gt;&gt;  The ENTITY#s in col. I should be in the "General Format" and should be entered as text so that leading</t>
  </si>
  <si>
    <t>go to Formulas and change the setting from Automatic Calculation to Manual Calculation while you</t>
  </si>
  <si>
    <t>are still making data entries and codings.</t>
  </si>
  <si>
    <t>in excess of 15,000 rows) each change of data may cause processing delays.  You may want to</t>
  </si>
  <si>
    <t>DO NOT EDIT (ONLY VIEW &amp; PRINT)</t>
  </si>
  <si>
    <t>Conversion Charters</t>
  </si>
  <si>
    <t>DISTRICT-PROOF</t>
  </si>
  <si>
    <t>CHARTER-PROOF</t>
  </si>
  <si>
    <t>ALL</t>
  </si>
  <si>
    <t>USER-DEFINED</t>
  </si>
  <si>
    <t>ADJUSTED FOR CONVERSION CHARTERS</t>
  </si>
  <si>
    <t>&lt;&lt;&lt;ADJUSTED FOR CONVERSION CHARTERS                    ADJUSTED FOR CONVERSION CHARTERS                    ADJUSTED FOR CONVERSION CHARTERS&gt;&gt;&gt;</t>
  </si>
  <si>
    <t>&lt;&gt;Y</t>
  </si>
  <si>
    <t xml:space="preserve"> Summary Adjusted for Conversions </t>
  </si>
  <si>
    <t>CONVERSION CHARTER ADJUSTED STATEWIDE WEIGHTED METRICS</t>
  </si>
  <si>
    <t xml:space="preserve">NOTES TO ANALYST: </t>
  </si>
  <si>
    <t>DIAGNOSTIC COUNT OF CHARTER SCHOOLS</t>
  </si>
  <si>
    <t>By Entity#</t>
  </si>
  <si>
    <t>By Name</t>
  </si>
  <si>
    <t>Conversion-Adjusted</t>
  </si>
  <si>
    <t>Click on row heading at left to insert copied data rows using "Insert Copied Cells"</t>
  </si>
  <si>
    <t xml:space="preserve">Required data fields are in columns L-S -- see blue shading. </t>
  </si>
  <si>
    <t xml:space="preserve">&lt;&lt;&lt;ENTER NAMES OF USER-DEFINED FIELDS BELOW&gt;                 &lt;ENTER NAMES OF USER-DEFINED FIELDS BELOW&gt;                  &lt;ENTER NAMES OF USER-DEFINED FIELDS BELOW&gt;                 &lt;ENTER NAMES OF USER-DEFINED FIELDS BELOW&gt; </t>
  </si>
  <si>
    <t xml:space="preserve">"Messages" will display a red "CHECK!" warning if the independent formulas in "PROOF A" </t>
  </si>
  <si>
    <t xml:space="preserve">obtain a different result than those in "PROOF B" or on the $REV-DSUM worksheet.  This may </t>
  </si>
  <si>
    <t>indicate incomplete work or a coding or data structuring error.</t>
  </si>
  <si>
    <t>TOTAL FA &amp; NFA</t>
  </si>
  <si>
    <t>NOTE:  State data inconsistencies in Entity #s and Entity Names may cause different counts above.</t>
  </si>
  <si>
    <t>Add only data rows (between the yellow rows below); rows may be added below the END rows.</t>
  </si>
  <si>
    <t xml:space="preserve">NOTE TO ANALYST: </t>
  </si>
  <si>
    <t xml:space="preserve">Required data fields are in columns L-R -- see blue shading. </t>
  </si>
  <si>
    <t>Use User-Defined fields to match a State's coding terms in T to AG.  CHANGE BLUE TEXT ONLY.</t>
  </si>
  <si>
    <t>DO NOT DELETE OR EDIT THE TWO ORIGINAL YELLOW ROWS</t>
  </si>
  <si>
    <t>DO NOT add or delete any columns, except beyond column CJ.</t>
  </si>
  <si>
    <t>DO NOT change the Filter range.</t>
  </si>
  <si>
    <t>DO NOT change any template cell values or text, except for bold blue text in tan shaded cells.</t>
  </si>
  <si>
    <t>change position as you Filter.</t>
  </si>
  <si>
    <t>Do NOT edit or delete the original two data rows shaded in yellow.  It is OK if these rows</t>
  </si>
  <si>
    <t>DO NOT add or delete any columns, except beyond column AR.</t>
  </si>
  <si>
    <t>ZZZZZZZZZZZ</t>
  </si>
  <si>
    <t>&gt;All other required data is in light tan shaded cells with bold blue text.</t>
  </si>
  <si>
    <t>&gt;The template works for states with one, two, or three Focus Areas.</t>
  </si>
  <si>
    <t>&gt;Some FIG pages expand to the correct number of Focus Areas.</t>
  </si>
  <si>
    <t>FIG1</t>
  </si>
  <si>
    <t>CHECK ALL FIGs FOR APPEARANCE</t>
  </si>
  <si>
    <t>No data entry required.</t>
  </si>
  <si>
    <t>FIG2</t>
  </si>
  <si>
    <t>FIG3</t>
  </si>
  <si>
    <t xml:space="preserve">No data entry required.  Change chart Print Range, if needed. </t>
  </si>
  <si>
    <t>FIG4</t>
  </si>
  <si>
    <t>FIG5</t>
  </si>
  <si>
    <t>FIG6</t>
  </si>
  <si>
    <t>Enter FY2003 &amp; FY2007 data.  For chart, "Select Data," if needed.</t>
  </si>
  <si>
    <t>NOTE TO ANALYST:  The light purple cells above are the data range for the chart.  Conditional formatting is used to adjust this color coding for the data range based on the number of Focus Areas you name on FIG3.  In the chart, "Select Data" for the cells in light purple above.  Initially, the chart is set for two Focus Areas.</t>
  </si>
  <si>
    <t>Check FIGs 1-12 for appearance, add data where needed (see table below).</t>
  </si>
  <si>
    <t>FIG7</t>
  </si>
  <si>
    <t>FIG8</t>
  </si>
  <si>
    <t>FIG9</t>
  </si>
  <si>
    <t xml:space="preserve">For a new state, enter "N/A" directly into the table chart above in each pertinent cell. </t>
  </si>
  <si>
    <t>Enter FY2003 &amp; FY2007 data.  For chart, select Print Range, if needed.</t>
  </si>
  <si>
    <t>FIG10</t>
  </si>
  <si>
    <t>Enter FY2003 or FY2007 data.  For chart, select Print Range, if needed.</t>
  </si>
  <si>
    <t>FIG11</t>
  </si>
  <si>
    <t>Enter FY03, FY07 &amp; FY11 data.</t>
  </si>
  <si>
    <t>FIG12</t>
  </si>
  <si>
    <t>Enter answers to questions.  Enter Grade for FY03, FY07 &amp; FY11.</t>
  </si>
  <si>
    <t>FOR USERS:</t>
  </si>
  <si>
    <t>&gt;Cells used to create the charts are not Locked.</t>
  </si>
  <si>
    <t>&gt;The charts used in State Chapters are contained in FIG1-12 worksheets.</t>
  </si>
  <si>
    <t>&gt;See each FIG worksheet for copying and printing instructions.</t>
  </si>
  <si>
    <t>END</t>
  </si>
  <si>
    <t>Enter letter grades.</t>
  </si>
  <si>
    <t>Enter "Yes" or "No"</t>
  </si>
  <si>
    <t>Use a single digit for a Ref number.</t>
  </si>
  <si>
    <t>NOTE TO ANALYST:  For any year(s) for which you have no data enter "N/A."  Also enter "N/A" for Special Education FY03 and FY07 data.</t>
  </si>
  <si>
    <t>CONVERSION (Y / blank)</t>
  </si>
  <si>
    <t>UD1</t>
  </si>
  <si>
    <t>UD2</t>
  </si>
  <si>
    <t>UD3</t>
  </si>
  <si>
    <t>UD4</t>
  </si>
  <si>
    <t>UD5</t>
  </si>
  <si>
    <t>UD6</t>
  </si>
  <si>
    <t>UD7</t>
  </si>
  <si>
    <t>UD8</t>
  </si>
  <si>
    <t>UD9</t>
  </si>
  <si>
    <t>UD10</t>
  </si>
  <si>
    <t>UD11</t>
  </si>
  <si>
    <t>UD12</t>
  </si>
  <si>
    <t>UD13</t>
  </si>
  <si>
    <t>UD14</t>
  </si>
  <si>
    <t>TOTALS ADJUSTED FOR CONVERSION CHARTERS</t>
  </si>
  <si>
    <t xml:space="preserve">NOTE TO USER:  The table above consists of spreadsheet cells, not an Excel chart.  To copy the table for use in another document select the cells contained in the table and copy [drag pointer over the cells | Copy].  
The initial Print Range is set to cover two Focus Areas.  For a state with one or three Focus Areas you must change the Print Range.  If needed, set the print area by selecting the cells by dragging the pointer over the cells, then select Page Layout | Print Area | Set Print Area. </t>
  </si>
  <si>
    <t>For developers use only</t>
  </si>
  <si>
    <t xml:space="preserve">NOTE TO USER:  The table above consists of spreadsheet cells, not an Excel chart.  To copy the table for use in another document select the cells contained in the table and copy [drag pointer over the cells | Copy].  
The chart Print Range should already be set for printing the above chart.  If it is not, set the print area by selecting the cells by dragging the pointer over the cells, then select Page Layout | Print Area | Set Print Area. </t>
  </si>
  <si>
    <t xml:space="preserve">The initial default Print Range for the chart is set for two Focus Areas.  If this state has one or three Focus Areas you MUST reset the chart Print Range above.  </t>
  </si>
  <si>
    <t>INSTRUCTIONS</t>
  </si>
  <si>
    <t>FOR ANALYSTS:</t>
  </si>
  <si>
    <t>General Rules:</t>
  </si>
  <si>
    <t>Sequential Steps for Completing the Template (do in this order!):</t>
  </si>
  <si>
    <t xml:space="preserve">Initialize the template for a state by entering required data on FIG3. </t>
  </si>
  <si>
    <t>Format your revenue data to match format on $REV-DB.  Insert data rows.</t>
  </si>
  <si>
    <t>Use proof totals on $REV-DB &amp; $REV-PROOF to check input of revenue.</t>
  </si>
  <si>
    <t>Format your enrollment data to match format on ENR#-DB.  Insert data rows.</t>
  </si>
  <si>
    <t>Use proof totals on ENR#-DB &amp; ENR#-PROOF to check input of enrollment.</t>
  </si>
  <si>
    <t>Check accuracy of all data by reviewing FIG3.  Correct before proceeding.</t>
  </si>
  <si>
    <t>&gt;The template is "Protected" with no password.</t>
  </si>
  <si>
    <t>&gt;Required input fields are not locked.</t>
  </si>
  <si>
    <t>&gt;You can complete the entire input process without having to "Unprotect."</t>
  </si>
  <si>
    <t xml:space="preserve">&gt;Add data rows to the "$REV-DB" and "ENR#-DB" worksheets. </t>
  </si>
  <si>
    <t>FY11</t>
  </si>
  <si>
    <t>TIP:  If you experiment by changing the Focus Areas to see the result do so only on FIG3 -- not in these data cells on this worksheet.</t>
  </si>
  <si>
    <t>Reset Cell References:</t>
  </si>
  <si>
    <t>Reset Amounts:</t>
  </si>
  <si>
    <t>NOTE TO ANALYST:  ENTER FY2003 &amp; FY2007 PER PUPIL DATA BELOW.  DO "SELECT DATA" ON CHART.</t>
  </si>
  <si>
    <t xml:space="preserve"> DO NOT EDIT THE CELLS AT LEFT.
USE "SELECT DATA" IN THE CHART ABOVE AND SELECT THE DATA IN THE LIGHT PURPLE CELLS AT LEFT. IGNORE THE DARK PURPLE CELLS.</t>
  </si>
  <si>
    <t>AT LEFT, MANUALLY ENTER PER PUPIL AMOUNTS FROM PRIOR ANALYSES. LEAVE THE DEFAULT AMOUNT OF "0" IF NOT AVAILABLE.</t>
  </si>
  <si>
    <t>Light purple</t>
  </si>
  <si>
    <t>Datk purple</t>
  </si>
  <si>
    <t>ENTER DATA FOR LIGHT TAN CELLS WITH BLUE TEXT</t>
  </si>
  <si>
    <t>EDIT FOCUS AREA NAMES IN DARK  TAN CELLS, ONLY IF NEEDED</t>
  </si>
  <si>
    <r>
      <t xml:space="preserve">NOTE TO ANALYST:  The default Focus Area names in dark tan may need editing for the chart.  If the above headings don't work well for the chart (too long) you can overwrite the formulas by just typing in alternative text in the dark tan cells above.  </t>
    </r>
    <r>
      <rPr>
        <b/>
        <u/>
        <sz val="11"/>
        <color rgb="FFC00000"/>
        <rFont val="Calibri"/>
        <family val="2"/>
        <scheme val="minor"/>
      </rPr>
      <t>Leave in place all default values for cells you do not need to use (don't delete the default values -- e.g. "FA5L1 FA5L2-C").</t>
    </r>
  </si>
  <si>
    <t>FOR DEVELOPER USE ONLY</t>
  </si>
  <si>
    <t>DO NOT EDIT FY2011 DATA IN TABLE BELOW</t>
  </si>
  <si>
    <t>Disparity as Percent of District -- Over Time</t>
  </si>
  <si>
    <t>Negative Disparities Mean Districts Receive More (red text)</t>
  </si>
  <si>
    <t xml:space="preserve">NOTE TO USER:  The table above consists of spreadsheet cells, not an Excel chart.  To copy the table for use in another document select the cells contained in the table and copy [drag pointer over the cells | Copy].  
The print range is set to print the above table chart as Page 1; and the Notes and Data sections at right as Pages 2 &amp; 3.   </t>
  </si>
  <si>
    <t>If you need to re-establish the default formulas for the Focus Areas in the table at left copy &amp; paste the cells below into the table.  Otherwise, ignore.</t>
  </si>
  <si>
    <t>NOTE TO ANALYST:  Enter "Yes" or "No" in response to questions.  Enter a single digit numeral for any references you want to make in your chapter text (these references will be specific to the table, not a part of Footnotes).  Enter a capital letter for the grades.</t>
  </si>
  <si>
    <t xml:space="preserve">NOTE TO USER:  The table above consists of spreadsheet cells, not an Excel chart.  To copy the table for use in another document select the cells contained in the table and copy [drag pointer over the cells | Copy].  
The print range is set to print the table, the Analyst's Notes, and the Data section as three separate pages.   </t>
  </si>
  <si>
    <t>See FIG3 for origin of these FY2011 data.  FY2003 &amp; FY2007 data are from prior analyses.</t>
  </si>
  <si>
    <t>See FIG3 for origin of these FY2011 data.  The FY2003 or FY2007 data are from prior analyses.</t>
  </si>
  <si>
    <t>The Chart at left has a fixed size.  The bar width changes based on how many Focus Areas are specified.  The appearance of the Chart is fine from 1 to 3 Focus Areas.  If 4 or 5 Focus Areas are ever needed the Analyst will need to enlarge the chart size by dragging the right side over further.</t>
  </si>
  <si>
    <t>NOTE TO ANALYST:  Adjust chart elements as needed for appearance.</t>
  </si>
  <si>
    <t xml:space="preserve">  Includes "Other" and "Indeterminate"</t>
  </si>
  <si>
    <t xml:space="preserve">  Includes Federal, State, Local &amp; Public-Indeterminate</t>
  </si>
  <si>
    <t/>
  </si>
  <si>
    <t>JM</t>
  </si>
  <si>
    <t>Use the chart immediately below in most instances when Charter per pupil</t>
  </si>
  <si>
    <t>is less than District per pupil with a negative (red) Disparity showing.</t>
  </si>
  <si>
    <t>Ignore the chart below in nearly all instances; except, use this chart if Charter</t>
  </si>
  <si>
    <t>per pupil revenue is greater than District per pupil with a positive Disparity (in black)</t>
  </si>
  <si>
    <t>showing on the chart.</t>
  </si>
  <si>
    <t xml:space="preserve">NOTE TO ANALYST:  No manual data entry or chart changes are required.  </t>
  </si>
  <si>
    <t>DO NOT EDIT THE CHART OR CHANGE THE CHART DATA.</t>
  </si>
  <si>
    <t>NOTE TO ANALYST:  The "Public Funding" label on the large pie slice is hard coded into the label (not automatic) -- all other labels are automatic.  Adjust label spacing as needed for appearance.</t>
  </si>
  <si>
    <t>FY03</t>
  </si>
  <si>
    <t>FY07</t>
  </si>
  <si>
    <t>&lt;&gt;&lt;&gt;&lt;&gt;  CAUTION  &lt;&gt;&lt;&gt;&lt;&gt;
THE CHART ABOVE IS UNPROTECTED (NOT LOCKED) TO ENABLE USERS TO COPY THE CHART.  THE CHART IS SET TO NOT MOVE OR SIZE WITH CELLS.</t>
  </si>
  <si>
    <t>&lt;&gt;&lt;&gt;&lt;&gt;  CAUTION  &lt;&gt;&lt;&gt;&lt;&gt;
THE CHART ABOVE IS UNPROTECTED (NOT LOCKED) TO ENABLE USERS TO COPY THE CHART.  THE CHART IS SET TO NOT MOVE OR SIZE WITH CELLS.</t>
  </si>
  <si>
    <t>&lt;&gt;&lt;&gt;&lt;&gt;  CAUTION FOR ANALYST &lt;&gt;&lt;&gt;&lt;&gt;
DO NOT CHANGE OR DELETE THE FOCUS NAME DEFAULT VALUES IN THE DARK TAN SHADED CELLS AT RIGHT, EXCEPT TO TYPE OVER THEM IF THE DEFAULT NAME DOES NOT FIT IN THE CHART PROPERLY.  DO NOT CHANGE THE AMOUNT DEFAULT VALUES ("$0") FOR UNNEEDED FOCUS AREAS.</t>
  </si>
  <si>
    <t xml:space="preserve">NOTE TO ANALYST:  Enter the "From" Fiscal Year, if needed, and per pupil amounts in blue text below. </t>
  </si>
  <si>
    <t>Percentage Increase / Decrease (black shading)</t>
  </si>
  <si>
    <t>Focus Area</t>
  </si>
  <si>
    <t xml:space="preserve">NOTE TO ANALYST:  Do not edit the values for unused Focus Areas, or the default Focus Area names.  Enter "N/A" if there is no prior analysis for a fiscal year (either FY2003 and/or FY2007).  New states will contain only the FY2011 Disparity percentage with "N/A" showing for FY2003 and FY2007.    </t>
  </si>
  <si>
    <t xml:space="preserve">NOTE TO ANALYST:  Enter prior year(s) amounts below. </t>
  </si>
  <si>
    <t>If you need to re-establish the default formulas for the Focus Areas in the table copy &amp; paste the cells below into the table at left.  Otherwise, ignore.</t>
  </si>
  <si>
    <t>Other Funding includes:  Other and Indeterminate.</t>
  </si>
  <si>
    <t>Public Funding includes:  Federal, State, Local &amp; Public-Indeterminate.</t>
  </si>
  <si>
    <t>Per Pupil Revenue -- Inflation Adjusted -- Over Time</t>
  </si>
  <si>
    <t>To FY2011</t>
  </si>
  <si>
    <t>Inflation Adjustment Factors -- For "From" &amp; "To" Data</t>
  </si>
  <si>
    <t>From:</t>
  </si>
  <si>
    <t>To:</t>
  </si>
  <si>
    <t>Date in format FY20##</t>
  </si>
  <si>
    <t>Inflation adjusted to 2007 dollars</t>
  </si>
  <si>
    <t>The above image is intended for the top of the first page of each chapter.</t>
  </si>
  <si>
    <t>PURPOSE</t>
  </si>
  <si>
    <t>NOTE TO ANALYST:  Enter data in tan shaded cells with blue text.  Enter any Reference #s.</t>
  </si>
  <si>
    <t xml:space="preserve"> Summary Data Table</t>
  </si>
  <si>
    <t>FA3L1 FA3L2-C</t>
  </si>
  <si>
    <t>FA4L1 FA4L2-D</t>
  </si>
  <si>
    <t>FA4L1 FA4L2-C</t>
  </si>
  <si>
    <t>FA5L1 FA5L2-D</t>
  </si>
  <si>
    <t>FA5L1 FA5L2-C</t>
  </si>
  <si>
    <t>FA1L1 FA1L2-D</t>
  </si>
  <si>
    <t>FA1L1 FA1L2-C</t>
  </si>
  <si>
    <t>Copy &amp; paste the cells below to reset the default values at left, if needed.</t>
  </si>
  <si>
    <r>
      <t xml:space="preserve">NOTE TO ANALYST:  The above default Focus Area names in dark tan may need editing for the chart.  If the above headings don't work well for the chart (too long) you can overwrite the formulas by just typing in alternative text in the dark tan cells above.  </t>
    </r>
    <r>
      <rPr>
        <b/>
        <u/>
        <sz val="11"/>
        <color rgb="FFC00000"/>
        <rFont val="Calibri"/>
        <family val="2"/>
        <scheme val="minor"/>
      </rPr>
      <t>Leave in place all default values for cells you do not need to use (don't delete the default values -- e.g. "FA5L1 FA5L2-C").</t>
    </r>
  </si>
  <si>
    <t>&lt;&gt;&lt;&gt;&lt;&gt;  CAUTION  &lt;&gt;&lt;&gt;&lt;&gt;
DO NOT CHANGE OR DELETE THE FOCUS NAME DEFAULT VALUES IN THE TAN SHADED CELLS AT RIGHT FOR UNNEEDED FOCUS AREAS</t>
  </si>
  <si>
    <t>The Figure 6 Chart at left has a fixed size.  The bar width changes based on how many Focus Areas are specified.  The appearance of the Chart is fine from 1 to 3 Focus Areas.  If 4 or 5 Focus Areas are ever needed the Analyst will need to enlarge the chart size by dragging the right side over further.</t>
  </si>
  <si>
    <t>&lt;&gt;&lt;&gt;&lt;&gt;  CAUTION FOR ANALYST &lt;&gt;&lt;&gt;&lt;&gt;
DO NOT CHANGE OR DELETE THE FOCUS NAME DEFAULT VALUES IN THE DARK TAN SHADED CELLS AT RIGHT, EXCEPT TO TYPE OVER THEM IF THE DEFAULT NAME DOES NOT FIT IN THE CHART PROPERLY.  DO NOT CHANGE THE AMOUNT DEFAULT VALUES ("$0") FOR UNNEEDED FOCUS AREAS OR YEARS.</t>
  </si>
  <si>
    <r>
      <t xml:space="preserve">NOTE FOR ANALYST:  For Focus Areas that do not apply, </t>
    </r>
    <r>
      <rPr>
        <b/>
        <u/>
        <sz val="11"/>
        <color rgb="FFC00000"/>
        <rFont val="Century Gothic"/>
        <family val="2"/>
      </rPr>
      <t>leave the default values in the cells (e.g. "FA5L1")</t>
    </r>
    <r>
      <rPr>
        <b/>
        <sz val="11"/>
        <color rgb="FFC00000"/>
        <rFont val="Century Gothic"/>
        <family val="2"/>
      </rPr>
      <t>.  Those codes drive conditional formatting in Figure 3 above.  When you add a Focus Area name above, the chart will automatically add the additional columns.</t>
    </r>
  </si>
  <si>
    <t xml:space="preserve">The data table with blue text below is the point of origin for these data elements for all worksheets. </t>
  </si>
  <si>
    <t>See FIG3 for the origin of these data.</t>
  </si>
  <si>
    <t>See FIG3 for the origin of these data.  The FY2003 and FY2007 data are from past analyses.</t>
  </si>
  <si>
    <t>This table summarizes answers to key funding mechanism questions in context with a grade based on actual funding results.</t>
  </si>
  <si>
    <t>Federal Source</t>
  </si>
  <si>
    <t>State Source</t>
  </si>
  <si>
    <t>Local Source</t>
  </si>
  <si>
    <t>Do charter schools have access to this funding source according to state statutes?</t>
  </si>
  <si>
    <t>In practice, do charter schools have at least as much access to this funding source as districts have?</t>
  </si>
  <si>
    <t>Do charter school students receive at least 95% as much per pupil in revenue for this source as district students?</t>
  </si>
  <si>
    <t>ACCESS TO FUNDING SOURCES</t>
  </si>
  <si>
    <t>DATA AVAILABILITY</t>
  </si>
  <si>
    <t>Does the state provide reasonable access to detailed, public data on federal, state, local, and other revenues for charter schools?</t>
  </si>
  <si>
    <t>FUNDING FORMULA</t>
  </si>
  <si>
    <t>Facilities Source</t>
  </si>
  <si>
    <t>Analyst Data Entry</t>
  </si>
  <si>
    <t>Does the state provide reasonable access to detailed public data on federal, state, local, and other revenues for district schools?</t>
  </si>
  <si>
    <t>Does the state provide reasonable access to detailed public data on federal, state, local, and other revenues for charter schools?</t>
  </si>
  <si>
    <t>FOCUS AREA NAMES</t>
  </si>
  <si>
    <t>See Focus Area Names in Column J</t>
  </si>
  <si>
    <t>EDIT FA NAMES ON FIGURE 3</t>
  </si>
  <si>
    <t>GO TO FIGURE 3 AND CHANGE THE FISCAL</t>
  </si>
  <si>
    <t>Analyzed-C/D = D</t>
  </si>
  <si>
    <t>Analyzed-C/D = C</t>
  </si>
  <si>
    <t>District funding change, if subjected to charter per pupil funding</t>
  </si>
  <si>
    <t>DO NOT EDIT CELLS OR CHANGE ROWS OR COLUMNS INSIDE THE ORANGE BOX</t>
  </si>
  <si>
    <t>FY2002-03</t>
  </si>
  <si>
    <t>FY2006-07</t>
  </si>
  <si>
    <t>Inflation Adjustment</t>
  </si>
  <si>
    <t>[ENTER COMMENTS]</t>
  </si>
  <si>
    <t>NOTE TO USER:  For printing the chart above select the chart (click on it) and print [FILE | PRINT].  The worksheet print range is set to print the Analyst's Notes and Data Sections on the right -- just print [FILE | PRINT].
To copy the chart for use in another document select the chart (click on it) and copy it [Copy].</t>
  </si>
  <si>
    <t>Statewide District (D)</t>
  </si>
  <si>
    <t>Statewide Charter (C)</t>
  </si>
  <si>
    <t>NOTE TO ANALYST:  ENTER FY2003 &amp; FY2007 PER PUPIL DATA.  CHECK CHART DATA SELECTION.</t>
  </si>
  <si>
    <t>FA2L1 FA2L2-D</t>
  </si>
  <si>
    <t>FA2L1 FA2L2-C</t>
  </si>
  <si>
    <t>FA3L1 FA3L2-D</t>
  </si>
  <si>
    <t>Does the state provide funding for charter schools and districts based primarily on student enrollment?</t>
  </si>
  <si>
    <t>Non-Public Funding</t>
  </si>
  <si>
    <t>Statewide District</t>
  </si>
  <si>
    <t>Statewide Charter</t>
  </si>
  <si>
    <t>Figure 9</t>
  </si>
  <si>
    <t>Figure 9 Analyst's Notes</t>
  </si>
  <si>
    <t>Figure 9 Data</t>
  </si>
  <si>
    <t>From</t>
  </si>
  <si>
    <t>From/To:</t>
  </si>
  <si>
    <t>FY2003</t>
  </si>
  <si>
    <t>FY2011</t>
  </si>
  <si>
    <t>/ FY2011</t>
  </si>
  <si>
    <t>FY2007</t>
  </si>
  <si>
    <t>Enter "From"</t>
  </si>
  <si>
    <t>Disparity %</t>
  </si>
  <si>
    <t>EXCLUDED LINE ITEMS</t>
  </si>
  <si>
    <t>All Unmapped/Uncoded Items</t>
  </si>
  <si>
    <t>Downloaded state line items that do not</t>
  </si>
  <si>
    <t>represent revenues or cash inflows, which</t>
  </si>
  <si>
    <t>are "Excluded" with mapping code "X."</t>
  </si>
  <si>
    <t>One Total of Mixed Items by FY</t>
  </si>
  <si>
    <t>Total of Database Range</t>
  </si>
  <si>
    <t>Total of Items Excluded (X)</t>
  </si>
  <si>
    <t>Total of Analyzed Revenues</t>
  </si>
  <si>
    <t>All Line Items Downloaded</t>
  </si>
  <si>
    <t>TOTAL DATABASE RANGE</t>
  </si>
  <si>
    <t>One Grand Total by FY</t>
  </si>
  <si>
    <t>See the bottom of this worksheet for the "Total of Database Range" section and the "Excluded" section.</t>
  </si>
  <si>
    <t>[Adjustment Type 16]</t>
  </si>
  <si>
    <t>[Adjustment Type 17]</t>
  </si>
  <si>
    <t>[Adjustment Type 18]</t>
  </si>
  <si>
    <t>[Adjustment Type ...]</t>
  </si>
  <si>
    <t>ADJ16</t>
  </si>
  <si>
    <t>ADJ17</t>
  </si>
  <si>
    <t>ADJ18</t>
  </si>
  <si>
    <t>Includes Analyzed Revenues Only, no Excluded Revenues</t>
  </si>
  <si>
    <t>DSUM</t>
  </si>
  <si>
    <t>All FA-C&amp;D (PROOF A to B)</t>
  </si>
  <si>
    <t>&gt;&gt;&gt;</t>
  </si>
  <si>
    <t>Added data rows may be edited &amp; deleted.</t>
  </si>
  <si>
    <t>You may change any column width or row height.</t>
  </si>
  <si>
    <t>&lt;&lt;&lt;</t>
  </si>
  <si>
    <t>FA1L1</t>
  </si>
  <si>
    <t>FA1L2</t>
  </si>
  <si>
    <t>Figure 10</t>
  </si>
  <si>
    <t>Figure 10 Analyst's Notes</t>
  </si>
  <si>
    <t>Figure 10 Data</t>
  </si>
  <si>
    <t>Figure 11</t>
  </si>
  <si>
    <t>Figure 11 Analyst's Notes</t>
  </si>
  <si>
    <t>Figure 11 Data</t>
  </si>
  <si>
    <t>Figure 12</t>
  </si>
  <si>
    <t>Figure 12 Analyst's Notes</t>
  </si>
  <si>
    <t>Figure 12 Data</t>
  </si>
  <si>
    <t>Free &amp; Reduced Lunch</t>
  </si>
  <si>
    <t>Title 1</t>
  </si>
  <si>
    <t>Special Education</t>
  </si>
  <si>
    <t>Percentage of Total Enrollment</t>
  </si>
  <si>
    <t>Year &gt;&gt;&gt;</t>
  </si>
  <si>
    <t>Student Group &gt;&gt;&gt;</t>
  </si>
  <si>
    <t>NOTE TO ANALYST:  Key in the demographic data below.</t>
  </si>
  <si>
    <t>Total of Enrollment Analyzed</t>
  </si>
  <si>
    <t>Statewide-D from ENR#-DB</t>
  </si>
  <si>
    <t>Statewide-C from ENR#-DB</t>
  </si>
  <si>
    <t xml:space="preserve">NOTE FOR ANALYST:  Enter the information below.  Use a 2-character abbreviation for State. </t>
  </si>
  <si>
    <t>FUNDING</t>
  </si>
  <si>
    <t>GRADE</t>
  </si>
  <si>
    <t>Grade based on % of Actual Funding Disparity</t>
  </si>
  <si>
    <t>ALL "DIFFERENCES" SHOULD EQUAL $0.00</t>
  </si>
  <si>
    <t>CMPS =</t>
  </si>
  <si>
    <t xml:space="preserve">SCHL = </t>
  </si>
  <si>
    <t xml:space="preserve">DIST = </t>
  </si>
  <si>
    <t xml:space="preserve">CNTY = </t>
  </si>
  <si>
    <t xml:space="preserve">SRVC = </t>
  </si>
  <si>
    <t>Servive Center</t>
  </si>
  <si>
    <t xml:space="preserve">STAT = </t>
  </si>
  <si>
    <t xml:space="preserve">OTH = </t>
  </si>
  <si>
    <t xml:space="preserve">ADJ# = </t>
  </si>
  <si>
    <t>Adjustment (#)</t>
  </si>
  <si>
    <t xml:space="preserve">FA1 | FA2 | FA3 | FA4 | FA5 | NFA (Non-Focus Area) </t>
  </si>
  <si>
    <t>UNITS:</t>
  </si>
  <si>
    <t>REVENUE SOURCES:</t>
  </si>
  <si>
    <t xml:space="preserve">L = </t>
  </si>
  <si>
    <t xml:space="preserve">F = </t>
  </si>
  <si>
    <t xml:space="preserve">S = </t>
  </si>
  <si>
    <t xml:space="preserve">O = </t>
  </si>
  <si>
    <t>FISCAL YEAR:</t>
  </si>
  <si>
    <t>IF YOU WANT A DIFFERENT FISCAL YEAR</t>
  </si>
  <si>
    <t>YEAR IN BLUE TEXT.</t>
  </si>
  <si>
    <t>Fiscal Year:</t>
  </si>
  <si>
    <t>FY from Figure 1</t>
  </si>
  <si>
    <t>(change on Figure 1 only)</t>
  </si>
  <si>
    <t>ALL "DIFFERENCES" SHOULD EQUAL 0.000</t>
  </si>
  <si>
    <t>by Charter Enrollment</t>
  </si>
  <si>
    <t>FA3L1</t>
  </si>
  <si>
    <t>FA4L1</t>
  </si>
  <si>
    <t>FA5L1</t>
  </si>
  <si>
    <t>FY FORMAT:</t>
  </si>
  <si>
    <t>FA2L1</t>
  </si>
  <si>
    <t>FA2L2</t>
  </si>
  <si>
    <t>Public-Indeter.</t>
  </si>
  <si>
    <t>Public-Indeterminate</t>
  </si>
  <si>
    <t>Statewide-D from Total of Sources below (F, S, L, O, P, N)</t>
  </si>
  <si>
    <t>Statewide-C from Total of Sources below (F, S, L, O, P, N)</t>
  </si>
  <si>
    <t>COMPUTATIONS FOR THE STATEWIDE WEIGHTED METRICS</t>
  </si>
  <si>
    <t>PUBLIC-INDETER. (P)</t>
  </si>
  <si>
    <t>Statewide-C from $REV-DB!Q22</t>
  </si>
  <si>
    <t>Statewide-D from $REV-DB!Q21</t>
  </si>
  <si>
    <t>PUBLIC-INDETER.</t>
  </si>
  <si>
    <t>P = Public-Indeterminate</t>
  </si>
  <si>
    <t>MAPPING -- REQUIRED FIELDS</t>
  </si>
  <si>
    <t>INC(I) / EXC(X)</t>
  </si>
  <si>
    <t>FUTURE</t>
  </si>
  <si>
    <t>AG</t>
  </si>
  <si>
    <t xml:space="preserve">   FY Format = </t>
  </si>
  <si>
    <t xml:space="preserve">   STATE FORMAT "AZ"</t>
  </si>
  <si>
    <t>Figure 1</t>
  </si>
  <si>
    <t>Figure 1 Data</t>
  </si>
  <si>
    <t>[ENTER FREE-STYLE NOTE HERE &amp; BELOW]</t>
  </si>
  <si>
    <t>Disparity</t>
  </si>
  <si>
    <t>Per Pupil</t>
  </si>
  <si>
    <t>% to</t>
  </si>
  <si>
    <t>Figure 2</t>
  </si>
  <si>
    <t>Figure 2 Data</t>
  </si>
  <si>
    <t>Figure 2 Analyst's Notes</t>
  </si>
  <si>
    <t>Figure 1 Analyst's Notes</t>
  </si>
  <si>
    <t>Figure 3</t>
  </si>
  <si>
    <t>Figure 3 Analyst's Notes</t>
  </si>
  <si>
    <t>Figure 3 Data</t>
  </si>
  <si>
    <t>Figure 4</t>
  </si>
  <si>
    <t>Figure 4 Analyst's Notes</t>
  </si>
  <si>
    <t>Figure 4 Data</t>
  </si>
  <si>
    <t>Figure 5</t>
  </si>
  <si>
    <t>Figure 5 Analyst's Notes</t>
  </si>
  <si>
    <t>Figure 5 Data</t>
  </si>
  <si>
    <t>Figure 6</t>
  </si>
  <si>
    <t>Figure 6 Analyst's Notes</t>
  </si>
  <si>
    <t>Figure 6 Data</t>
  </si>
  <si>
    <t>Figure 7</t>
  </si>
  <si>
    <t>Figure 7 Analyst's Notes</t>
  </si>
  <si>
    <t>Figure 7 Data</t>
  </si>
  <si>
    <t>Figure 8</t>
  </si>
  <si>
    <t>Figure 8 Analyst's Notes</t>
  </si>
  <si>
    <t>Figure 8 Data</t>
  </si>
  <si>
    <t>Does the state provide reasonable access to detailed, public data on federal, state, local, and other revenues for district schools?</t>
  </si>
  <si>
    <t>Are charter schools treated as LEAs for funding purposes?</t>
  </si>
  <si>
    <t>ENROLLMENT</t>
  </si>
  <si>
    <t>TOTAL ENROLLMENT</t>
  </si>
  <si>
    <t>FA3L2</t>
  </si>
  <si>
    <t>FA5L2</t>
  </si>
  <si>
    <t>FA4L2</t>
  </si>
  <si>
    <t># of Charter Schools</t>
  </si>
  <si>
    <t xml:space="preserve">THE PURPOSE OF THIS WORKSHEET IS TO VIEW THE DATA FORMAT IN ONE WINDOW WHILE TRANSFORMING THE DATA INTO THIS FORMAT IN ANOTHER WINDOW </t>
  </si>
  <si>
    <t>R E V E N U E</t>
  </si>
  <si>
    <t>E N R O L L M E N T</t>
  </si>
  <si>
    <t>MESSAGE</t>
  </si>
  <si>
    <t>SOURCES</t>
  </si>
  <si>
    <t>a</t>
  </si>
  <si>
    <t>b</t>
  </si>
  <si>
    <t>c</t>
  </si>
  <si>
    <t>d</t>
  </si>
  <si>
    <t>e</t>
  </si>
  <si>
    <t>f</t>
  </si>
  <si>
    <t>g</t>
  </si>
  <si>
    <t>h</t>
  </si>
  <si>
    <t>i</t>
  </si>
  <si>
    <t>j</t>
  </si>
  <si>
    <t>k</t>
  </si>
  <si>
    <t>l</t>
  </si>
  <si>
    <t>m</t>
  </si>
  <si>
    <t>n</t>
  </si>
  <si>
    <t>o</t>
  </si>
  <si>
    <t>p</t>
  </si>
  <si>
    <t>q</t>
  </si>
  <si>
    <t>r</t>
  </si>
  <si>
    <t>s</t>
  </si>
  <si>
    <t>t</t>
  </si>
  <si>
    <t>u</t>
  </si>
  <si>
    <t>v</t>
  </si>
  <si>
    <t>w</t>
  </si>
  <si>
    <t>x</t>
  </si>
  <si>
    <t>y</t>
  </si>
  <si>
    <t>Sum-D&amp;C (b+c)</t>
  </si>
  <si>
    <t>FA1-C/D = D</t>
  </si>
  <si>
    <t>FA1-C/D = C</t>
  </si>
  <si>
    <t>FA2-C/D = D</t>
  </si>
  <si>
    <t>FA2-C/D = C</t>
  </si>
  <si>
    <t>FA3-C/D = D</t>
  </si>
  <si>
    <t>FA3-C/D = C</t>
  </si>
  <si>
    <t>FA4-C/D = D</t>
  </si>
  <si>
    <t>FA4-C/D = C</t>
  </si>
  <si>
    <t>FA5-C/D = D</t>
  </si>
  <si>
    <t>FA5-C/D = C</t>
  </si>
  <si>
    <t>NFA-C/D = D (Non-Focus Area)</t>
  </si>
  <si>
    <t>NFA-C/D = C (Non-Focus Area)</t>
  </si>
  <si>
    <t>REF</t>
  </si>
  <si>
    <t>REVENUE AMOUNT</t>
  </si>
  <si>
    <t>Statewide-Districts (o+q)</t>
  </si>
  <si>
    <t>All FA-D (SUM e+g+i+k+m)</t>
  </si>
  <si>
    <t>All FA-C (SUM f+h+j+l+n)</t>
  </si>
  <si>
    <t>Statewide-Charters (p+r)</t>
  </si>
  <si>
    <t>ADJ-UNIT="ADJ*" &amp; C/D = D</t>
  </si>
  <si>
    <t>ADJ-UNIT="ADJ*" &amp; C/D = C</t>
  </si>
  <si>
    <t>Statewide-D&amp;C (s+t)</t>
  </si>
  <si>
    <t>FEDERAL</t>
  </si>
  <si>
    <t>LOCAL</t>
  </si>
  <si>
    <t>OTHER</t>
  </si>
  <si>
    <t>INDETERMINATE (N)</t>
  </si>
  <si>
    <t>FEDERAL (F)</t>
  </si>
  <si>
    <t>STATE (S)</t>
  </si>
  <si>
    <t>LOCAL (L)</t>
  </si>
  <si>
    <t>OTHER (O)</t>
  </si>
  <si>
    <t>TOTAL</t>
  </si>
  <si>
    <t>z</t>
  </si>
  <si>
    <t>PROOF B -- BY SOURCE</t>
  </si>
  <si>
    <t>PROOF A -- BY ENTITY</t>
  </si>
  <si>
    <t>NFA-C&amp;D (PROOF A to B)</t>
  </si>
  <si>
    <t>Statewide-C&amp;D (PROOF A to B)</t>
  </si>
  <si>
    <t>#</t>
  </si>
  <si>
    <t># BLANK ROWS</t>
  </si>
  <si>
    <t>R</t>
  </si>
  <si>
    <t>T</t>
  </si>
  <si>
    <t>U</t>
  </si>
  <si>
    <t>V</t>
  </si>
  <si>
    <t>W</t>
  </si>
  <si>
    <t>X</t>
  </si>
  <si>
    <t>Y</t>
  </si>
  <si>
    <t>Z</t>
  </si>
  <si>
    <t>AA</t>
  </si>
  <si>
    <t>AB</t>
  </si>
  <si>
    <t>AC</t>
  </si>
  <si>
    <t>AD</t>
  </si>
  <si>
    <t>AE</t>
  </si>
  <si>
    <t>AF</t>
  </si>
  <si>
    <t>(b-s)</t>
  </si>
  <si>
    <t>MATH</t>
  </si>
  <si>
    <t>(c-t)</t>
  </si>
  <si>
    <t>(a-d)</t>
  </si>
  <si>
    <t>Proof A-B</t>
  </si>
  <si>
    <t>Proof B-A</t>
  </si>
  <si>
    <t>(d-u)</t>
  </si>
  <si>
    <t>DIff-MATH</t>
  </si>
  <si>
    <t>DIFF-MATH</t>
  </si>
  <si>
    <t>(a-u)</t>
  </si>
  <si>
    <t>DSUM Totals</t>
  </si>
  <si>
    <t>DB Proof Totals</t>
  </si>
  <si>
    <t>Source</t>
  </si>
  <si>
    <t>Entity</t>
  </si>
  <si>
    <t>COUNT</t>
  </si>
  <si>
    <t>WEIGHTED</t>
  </si>
  <si>
    <t>INDETERMINATE</t>
  </si>
  <si>
    <t>FOCUS AREAS:</t>
  </si>
  <si>
    <t>%-TO-TOTAL</t>
  </si>
  <si>
    <t>CHARTER ENROLLMENT:</t>
  </si>
  <si>
    <t>DISTRICT PER PUPIL REVENUES:</t>
  </si>
  <si>
    <t>STATEWIDE WEIGHTED</t>
  </si>
  <si>
    <t>PER PUPIL COMPUTATION:</t>
  </si>
  <si>
    <t>INTERIM WEIGHTING CALCULATIONS</t>
  </si>
  <si>
    <t>Formula Proof &amp; Proof Totals for Printing</t>
  </si>
  <si>
    <t xml:space="preserve">THIS WORKSHEET COMPARES RESULTS FROM TWO INDEPENDENT FORMULA METHODS  </t>
  </si>
  <si>
    <t>A</t>
  </si>
  <si>
    <t>D</t>
  </si>
  <si>
    <t>S</t>
  </si>
  <si>
    <t>N</t>
  </si>
  <si>
    <t>AMOUNT</t>
  </si>
  <si>
    <t>C/D</t>
  </si>
  <si>
    <t>Local</t>
  </si>
  <si>
    <t>State</t>
  </si>
  <si>
    <t>Federal</t>
  </si>
  <si>
    <t>Total</t>
  </si>
  <si>
    <t>C</t>
  </si>
  <si>
    <t>FY</t>
  </si>
  <si>
    <t>Other</t>
  </si>
  <si>
    <t>Indeterminate</t>
  </si>
  <si>
    <t>Statewide</t>
  </si>
  <si>
    <t>FA1</t>
  </si>
  <si>
    <t>FA2</t>
  </si>
  <si>
    <t>FA3</t>
  </si>
  <si>
    <t>FA4</t>
  </si>
  <si>
    <t>FA5</t>
  </si>
  <si>
    <t>N/A</t>
  </si>
  <si>
    <t>OTH1</t>
  </si>
  <si>
    <t>OTH2</t>
  </si>
  <si>
    <t>OTH3</t>
  </si>
  <si>
    <t>State:</t>
  </si>
  <si>
    <t>FY:</t>
  </si>
  <si>
    <t>FY2010-11</t>
  </si>
  <si>
    <t>Charter</t>
  </si>
  <si>
    <t>District</t>
  </si>
  <si>
    <t>Statewide Weighted</t>
  </si>
  <si>
    <t>County</t>
  </si>
  <si>
    <t>Line 1</t>
  </si>
  <si>
    <t>Line 2</t>
  </si>
  <si>
    <t>Per Pupil Revenue</t>
  </si>
  <si>
    <t>Difference</t>
  </si>
  <si>
    <t>% of District</t>
  </si>
  <si>
    <t>Per Pupil Revenue by Source</t>
  </si>
  <si>
    <t>Enrollment</t>
  </si>
  <si>
    <t>Charters</t>
  </si>
  <si>
    <t>Total Revenue</t>
  </si>
  <si>
    <t>Percentage of Revenue by Source</t>
  </si>
  <si>
    <t>SOURCES:</t>
  </si>
  <si>
    <t>L</t>
  </si>
  <si>
    <t>F</t>
  </si>
  <si>
    <t>ENTITY</t>
  </si>
  <si>
    <t>SCHL</t>
  </si>
  <si>
    <t>DIST</t>
  </si>
  <si>
    <t>CNTY</t>
  </si>
  <si>
    <t>ROLL-UP GROUPS (OPTIONAL)</t>
  </si>
  <si>
    <t>REGION</t>
  </si>
  <si>
    <t>REGION NAME</t>
  </si>
  <si>
    <t>SUB-REGION</t>
  </si>
  <si>
    <t>SUB-REGION NAME</t>
  </si>
  <si>
    <t>ENTITY#</t>
  </si>
  <si>
    <t>ENTITY NAME</t>
  </si>
  <si>
    <t>NOTES</t>
  </si>
  <si>
    <t>FOCUS AREA</t>
  </si>
  <si>
    <t>SOURCE</t>
  </si>
  <si>
    <t>STATEWIDE</t>
  </si>
  <si>
    <t>PROOF</t>
  </si>
  <si>
    <t>O</t>
  </si>
  <si>
    <t>DIFF</t>
  </si>
  <si>
    <t>Districts</t>
  </si>
  <si>
    <t>PROOF-STATEWIDE</t>
  </si>
  <si>
    <t>PROOF-FA1</t>
  </si>
  <si>
    <t>PROOF-FA2</t>
  </si>
  <si>
    <t>PROOF-FA3</t>
  </si>
  <si>
    <t>PROOF-FA4</t>
  </si>
  <si>
    <t>PROOF-FA5</t>
  </si>
  <si>
    <t>UNIT</t>
  </si>
  <si>
    <t>UNIT:</t>
  </si>
  <si>
    <t>CMPS</t>
  </si>
  <si>
    <t>SRVC</t>
  </si>
  <si>
    <t>STAT</t>
  </si>
  <si>
    <t>ADJ1</t>
  </si>
  <si>
    <t>ADJ2</t>
  </si>
  <si>
    <t>ADJ3</t>
  </si>
  <si>
    <t>Campus</t>
  </si>
  <si>
    <t>School</t>
  </si>
  <si>
    <t>Service Center</t>
  </si>
  <si>
    <t>F = Federal</t>
  </si>
  <si>
    <t>S = State</t>
  </si>
  <si>
    <t>L = Local</t>
  </si>
  <si>
    <t>O = Other</t>
  </si>
  <si>
    <t>N = Indeterminate</t>
  </si>
  <si>
    <t>[Adjustment Type 1]</t>
  </si>
  <si>
    <t>[Adjustment Type 2]</t>
  </si>
  <si>
    <t>[Adjustment Type 3]</t>
  </si>
  <si>
    <t>B</t>
  </si>
  <si>
    <t>E</t>
  </si>
  <si>
    <t>G</t>
  </si>
  <si>
    <t>H</t>
  </si>
  <si>
    <t>I</t>
  </si>
  <si>
    <t>J</t>
  </si>
  <si>
    <t>K</t>
  </si>
  <si>
    <t>M</t>
  </si>
  <si>
    <t>ADJ10</t>
  </si>
  <si>
    <t>ADJ# …</t>
  </si>
  <si>
    <t>ADJ4</t>
  </si>
  <si>
    <t>NFA</t>
  </si>
  <si>
    <t>STATE</t>
  </si>
  <si>
    <t>[Other Type 1]</t>
  </si>
  <si>
    <t>[Other Type 2]</t>
  </si>
  <si>
    <t>[Other Type 3]</t>
  </si>
  <si>
    <t>ADJ5</t>
  </si>
  <si>
    <t>ADJ6</t>
  </si>
  <si>
    <t>ADJ7</t>
  </si>
  <si>
    <t>ADJ8</t>
  </si>
  <si>
    <t>ADJ9</t>
  </si>
  <si>
    <t>ADJ11</t>
  </si>
  <si>
    <t>ADJ12</t>
  </si>
  <si>
    <t>ADJ13</t>
  </si>
  <si>
    <t>ADJ14</t>
  </si>
  <si>
    <t>ADJ15</t>
  </si>
  <si>
    <t>[Adjustment Type 4]</t>
  </si>
  <si>
    <t>[Adjustment Type 5]</t>
  </si>
  <si>
    <t>[Adjustment Type 6]</t>
  </si>
  <si>
    <t>[Adjustment Type 7]</t>
  </si>
  <si>
    <t>[Adjustment Type 8]</t>
  </si>
  <si>
    <t>[Adjustment Type 9]</t>
  </si>
  <si>
    <t>[Adjustment Type 10]</t>
  </si>
  <si>
    <t>[Adjustment Type 11]</t>
  </si>
  <si>
    <t>[Adjustment Type 12]</t>
  </si>
  <si>
    <t>[Adjustment Type 13]</t>
  </si>
  <si>
    <t>[Adjustment Type 14]</t>
  </si>
  <si>
    <t>[Adjustment Type 15]</t>
  </si>
  <si>
    <t>Statewide-D from DSUM below</t>
  </si>
  <si>
    <t>Statewide-C from DSUM below</t>
  </si>
  <si>
    <t>P</t>
  </si>
  <si>
    <t>Q</t>
  </si>
  <si>
    <t>Charter
Schools</t>
  </si>
  <si>
    <t>Categorical PPR</t>
  </si>
  <si>
    <t>Categorical Sum</t>
  </si>
  <si>
    <t>(1) The Title I School wide calculation for charter schools below is based on the number of campuses that are designated School Wide, not charter holders. (2) Title I data is from NCES.</t>
  </si>
  <si>
    <t>School District</t>
  </si>
  <si>
    <t>Select Enrollment Characteristics</t>
  </si>
  <si>
    <t>DO NOT EDIT</t>
  </si>
  <si>
    <t>Enrollment in FA%</t>
  </si>
  <si>
    <t>Total Enrollment</t>
  </si>
  <si>
    <t>Revenue</t>
  </si>
  <si>
    <t>Focus Area district schools educate 5.2% of students in Focus Areas</t>
  </si>
  <si>
    <t>Focus Area charter schools educate 41.0% of students in Focus Areas</t>
  </si>
  <si>
    <t>Magnitude of Disparity = Total Funding Difference x District Enrollment (see above)</t>
  </si>
  <si>
    <t>Funding Practices Summary</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</si>
</sst>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5" formatCode="&quot;$&quot;#,##0_);\(&quot;$&quot;#,##0\)"/>
    <numFmt numFmtId="44" formatCode="_(&quot;$&quot;* #,##0.00_);_(&quot;$&quot;* \(#,##0.00\);_(&quot;$&quot;* &quot;-&quot;??_);_(@_)"/>
    <numFmt numFmtId="43" formatCode="_(* #,##0.00_);_(* \(#,##0.00\);_(* &quot;-&quot;??_);_(@_)"/>
    <numFmt numFmtId="164" formatCode="&quot;$&quot;#,##0.00"/>
    <numFmt numFmtId="165" formatCode="&quot;$&quot;#,##0"/>
    <numFmt numFmtId="166" formatCode="0.0%"/>
    <numFmt numFmtId="167" formatCode="#,##0.000"/>
    <numFmt numFmtId="168" formatCode="\(0.0%\);\(0.0%\)"/>
    <numFmt numFmtId="169" formatCode="&quot;$&quot;#,###.0,,\ &quot;million&quot;\);\(&quot;$&quot;#,###.0,,\ &quot;million&quot;\)"/>
    <numFmt numFmtId="170" formatCode="#,##0.0000"/>
    <numFmt numFmtId="171" formatCode="#,##0.########"/>
    <numFmt numFmtId="172" formatCode="#,##0.##"/>
    <numFmt numFmtId="173" formatCode="#,##0.###"/>
    <numFmt numFmtId="174" formatCode="mmm\ d\,\ yyyy"/>
    <numFmt numFmtId="175" formatCode="#,##0.00%"/>
    <numFmt numFmtId="176" formatCode="_(&quot;$&quot;* #,##0_);_(&quot;$&quot;* \(#,##0\);_(&quot;$&quot;* &quot;-&quot;??_);_(@_)"/>
  </numFmts>
  <fonts count="160" x14ac:knownFonts="1">
    <font>
      <sz val="8"/>
      <color indexed="8"/>
      <name val="Segoe WP Semibold"/>
      <family val="2"/>
    </font>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sz val="8"/>
      <color indexed="8"/>
      <name val="Arial"/>
      <family val="2"/>
    </font>
    <font>
      <b/>
      <sz val="15"/>
      <color theme="3"/>
      <name val="Arial"/>
      <family val="2"/>
    </font>
    <font>
      <b/>
      <sz val="13"/>
      <color theme="3"/>
      <name val="Arial"/>
      <family val="2"/>
    </font>
    <font>
      <b/>
      <sz val="11"/>
      <color theme="3"/>
      <name val="Arial"/>
      <family val="2"/>
    </font>
    <font>
      <sz val="8"/>
      <color rgb="FF006100"/>
      <name val="Arial"/>
      <family val="2"/>
    </font>
    <font>
      <sz val="8"/>
      <color rgb="FF9C0006"/>
      <name val="Arial"/>
      <family val="2"/>
    </font>
    <font>
      <sz val="8"/>
      <color rgb="FF9C6500"/>
      <name val="Arial"/>
      <family val="2"/>
    </font>
    <font>
      <sz val="8"/>
      <color rgb="FF3F3F76"/>
      <name val="Arial"/>
      <family val="2"/>
    </font>
    <font>
      <b/>
      <sz val="8"/>
      <color rgb="FF3F3F3F"/>
      <name val="Arial"/>
      <family val="2"/>
    </font>
    <font>
      <b/>
      <sz val="8"/>
      <color rgb="FFFA7D00"/>
      <name val="Arial"/>
      <family val="2"/>
    </font>
    <font>
      <sz val="8"/>
      <color rgb="FFFA7D00"/>
      <name val="Arial"/>
      <family val="2"/>
    </font>
    <font>
      <b/>
      <sz val="8"/>
      <color indexed="9"/>
      <name val="Arial"/>
      <family val="2"/>
    </font>
    <font>
      <sz val="8"/>
      <color indexed="10"/>
      <name val="Arial"/>
      <family val="2"/>
    </font>
    <font>
      <i/>
      <sz val="8"/>
      <color rgb="FF7F7F7F"/>
      <name val="Arial"/>
      <family val="2"/>
    </font>
    <font>
      <b/>
      <sz val="8"/>
      <color indexed="8"/>
      <name val="Arial"/>
      <family val="2"/>
    </font>
    <font>
      <sz val="8"/>
      <color indexed="9"/>
      <name val="Arial"/>
      <family val="2"/>
    </font>
    <font>
      <sz val="10"/>
      <name val="Arial"/>
      <family val="2"/>
    </font>
    <font>
      <sz val="9"/>
      <color indexed="8"/>
      <name val="Arial"/>
      <family val="2"/>
    </font>
    <font>
      <sz val="12"/>
      <color indexed="8"/>
      <name val="Segoe WP Semibold"/>
      <family val="2"/>
    </font>
    <font>
      <b/>
      <sz val="9"/>
      <color indexed="12"/>
      <name val="Arial"/>
      <family val="2"/>
    </font>
    <font>
      <b/>
      <sz val="10"/>
      <color indexed="12"/>
      <name val="Arial"/>
      <family val="2"/>
    </font>
    <font>
      <b/>
      <sz val="10"/>
      <color indexed="8"/>
      <name val="Arial"/>
      <family val="2"/>
    </font>
    <font>
      <b/>
      <i/>
      <sz val="10"/>
      <color indexed="8"/>
      <name val="Arial"/>
      <family val="2"/>
    </font>
    <font>
      <b/>
      <sz val="9"/>
      <color indexed="9"/>
      <name val="Arial"/>
      <family val="2"/>
    </font>
    <font>
      <b/>
      <sz val="9"/>
      <color indexed="8"/>
      <name val="Arial"/>
      <family val="2"/>
    </font>
    <font>
      <b/>
      <sz val="9"/>
      <name val="Arial"/>
      <family val="2"/>
    </font>
    <font>
      <b/>
      <i/>
      <sz val="9"/>
      <color indexed="8"/>
      <name val="Arial"/>
      <family val="2"/>
    </font>
    <font>
      <sz val="9"/>
      <name val="Arial"/>
      <family val="2"/>
    </font>
    <font>
      <b/>
      <sz val="9"/>
      <color rgb="FFC00000"/>
      <name val="Arial"/>
      <family val="2"/>
    </font>
    <font>
      <b/>
      <sz val="10"/>
      <color rgb="FFC00000"/>
      <name val="Arial"/>
      <family val="2"/>
    </font>
    <font>
      <sz val="8"/>
      <color rgb="FFC00000"/>
      <name val="Segoe WP Semibold"/>
      <family val="2"/>
    </font>
    <font>
      <sz val="8"/>
      <color indexed="8"/>
      <name val="Segoe WP Semibold"/>
      <family val="2"/>
    </font>
    <font>
      <b/>
      <sz val="8"/>
      <color indexed="9"/>
      <name val="Segoe WP Semibold"/>
      <family val="2"/>
    </font>
    <font>
      <sz val="8"/>
      <color indexed="9"/>
      <name val="Segoe WP Semibold"/>
      <family val="2"/>
    </font>
    <font>
      <sz val="9"/>
      <color indexed="9"/>
      <name val="Arial"/>
      <family val="2"/>
    </font>
    <font>
      <b/>
      <sz val="24"/>
      <color indexed="9"/>
      <name val="Segoe WP Semibold"/>
      <family val="2"/>
    </font>
    <font>
      <b/>
      <sz val="14"/>
      <color indexed="9"/>
      <name val="Segoe WP Semibold"/>
      <family val="2"/>
    </font>
    <font>
      <b/>
      <sz val="16"/>
      <color indexed="9"/>
      <name val="Segoe WP Semibold"/>
      <family val="2"/>
    </font>
    <font>
      <b/>
      <sz val="10"/>
      <color indexed="9"/>
      <name val="Arial"/>
      <family val="2"/>
    </font>
    <font>
      <b/>
      <sz val="9"/>
      <color indexed="10"/>
      <name val="Arial"/>
      <family val="2"/>
    </font>
    <font>
      <b/>
      <sz val="10"/>
      <color indexed="10"/>
      <name val="Arial"/>
      <family val="2"/>
    </font>
    <font>
      <b/>
      <sz val="10"/>
      <name val="Arial"/>
      <family val="2"/>
    </font>
    <font>
      <b/>
      <sz val="36"/>
      <color indexed="9"/>
      <name val="Segoe WP Semibold"/>
      <family val="2"/>
    </font>
    <font>
      <b/>
      <sz val="12"/>
      <color indexed="9"/>
      <name val="Segoe WP Semibold"/>
      <family val="2"/>
    </font>
    <font>
      <sz val="10"/>
      <color indexed="8"/>
      <name val="Arial"/>
      <family val="2"/>
    </font>
    <font>
      <b/>
      <sz val="12"/>
      <color indexed="9"/>
      <name val="Arial"/>
      <family val="2"/>
    </font>
    <font>
      <b/>
      <sz val="9"/>
      <color indexed="13"/>
      <name val="Arial"/>
      <family val="2"/>
    </font>
    <font>
      <sz val="10"/>
      <name val="Tahoma"/>
      <family val="2"/>
    </font>
    <font>
      <b/>
      <sz val="10"/>
      <color indexed="13"/>
      <name val="Arial"/>
      <family val="2"/>
    </font>
    <font>
      <sz val="10"/>
      <color indexed="13"/>
      <name val="Arial"/>
      <family val="2"/>
    </font>
    <font>
      <sz val="9"/>
      <color indexed="10"/>
      <name val="Arial"/>
      <family val="2"/>
    </font>
    <font>
      <b/>
      <sz val="11"/>
      <name val="Arial"/>
      <family val="2"/>
    </font>
    <font>
      <b/>
      <sz val="12"/>
      <color indexed="13"/>
      <name val="Arial"/>
      <family val="2"/>
    </font>
    <font>
      <b/>
      <sz val="9"/>
      <color indexed="11"/>
      <name val="Arial"/>
      <family val="2"/>
    </font>
    <font>
      <b/>
      <sz val="12"/>
      <color indexed="9"/>
      <name val="Century Gothic"/>
      <family val="2"/>
    </font>
    <font>
      <b/>
      <sz val="10"/>
      <color rgb="FF0000FF"/>
      <name val="Calibri"/>
      <family val="2"/>
      <scheme val="minor"/>
    </font>
    <font>
      <b/>
      <sz val="9"/>
      <color rgb="FF0000FF"/>
      <name val="Calibri"/>
      <family val="2"/>
      <scheme val="minor"/>
    </font>
    <font>
      <b/>
      <sz val="11"/>
      <color rgb="FF0000FF"/>
      <name val="Calibri"/>
      <family val="2"/>
      <scheme val="minor"/>
    </font>
    <font>
      <sz val="8"/>
      <color indexed="8"/>
      <name val="Segoe UI Semibold"/>
      <family val="2"/>
    </font>
    <font>
      <sz val="9"/>
      <color indexed="8"/>
      <name val="Segoe UI Semibold"/>
      <family val="2"/>
    </font>
    <font>
      <b/>
      <sz val="9"/>
      <color rgb="FFC00000"/>
      <name val="Century Gothic"/>
      <family val="2"/>
    </font>
    <font>
      <sz val="8"/>
      <color rgb="FFC00000"/>
      <name val="Segoe UI Semibold"/>
      <family val="2"/>
    </font>
    <font>
      <b/>
      <sz val="12"/>
      <color theme="1"/>
      <name val="Calibri"/>
      <family val="2"/>
      <scheme val="minor"/>
    </font>
    <font>
      <sz val="11"/>
      <color rgb="FFC00000"/>
      <name val="Calibri"/>
      <family val="2"/>
      <scheme val="minor"/>
    </font>
    <font>
      <sz val="9"/>
      <color rgb="FFC00000"/>
      <name val="Century Gothic"/>
      <family val="2"/>
    </font>
    <font>
      <b/>
      <sz val="10"/>
      <color theme="1"/>
      <name val="Calibri"/>
      <family val="2"/>
      <scheme val="minor"/>
    </font>
    <font>
      <sz val="9"/>
      <color rgb="FFC00000"/>
      <name val="Segoe UI Semibold"/>
      <family val="2"/>
    </font>
    <font>
      <b/>
      <sz val="11"/>
      <color theme="1"/>
      <name val="Calibri"/>
      <family val="2"/>
      <scheme val="minor"/>
    </font>
    <font>
      <b/>
      <sz val="8"/>
      <color indexed="11"/>
      <name val="Arial"/>
      <family val="2"/>
    </font>
    <font>
      <sz val="11"/>
      <color rgb="FF0000FF"/>
      <name val="Calibri"/>
      <family val="2"/>
      <scheme val="minor"/>
    </font>
    <font>
      <b/>
      <sz val="10"/>
      <color indexed="8"/>
      <name val="Century Gothic"/>
      <family val="2"/>
    </font>
    <font>
      <b/>
      <sz val="10"/>
      <name val="Century Gothic"/>
      <family val="2"/>
    </font>
    <font>
      <sz val="9"/>
      <color theme="3" tint="0.59999389629810485"/>
      <name val="Century Gothic"/>
      <family val="2"/>
    </font>
    <font>
      <b/>
      <sz val="10"/>
      <color rgb="FFC00000"/>
      <name val="Century Gothic"/>
      <family val="2"/>
    </font>
    <font>
      <b/>
      <sz val="11"/>
      <color theme="0"/>
      <name val="Calibri"/>
      <family val="2"/>
      <scheme val="minor"/>
    </font>
    <font>
      <b/>
      <sz val="12"/>
      <color indexed="8"/>
      <name val="Century Gothic"/>
      <family val="2"/>
    </font>
    <font>
      <sz val="36"/>
      <color theme="1"/>
      <name val="Calibri"/>
      <family val="2"/>
      <scheme val="minor"/>
    </font>
    <font>
      <sz val="36"/>
      <color rgb="FF0000FF"/>
      <name val="Calibri"/>
      <family val="2"/>
      <scheme val="minor"/>
    </font>
    <font>
      <b/>
      <sz val="11"/>
      <color rgb="FFC00000"/>
      <name val="Calibri"/>
      <family val="2"/>
      <scheme val="minor"/>
    </font>
    <font>
      <b/>
      <u/>
      <sz val="11"/>
      <color rgb="FFC00000"/>
      <name val="Calibri"/>
      <family val="2"/>
      <scheme val="minor"/>
    </font>
    <font>
      <b/>
      <sz val="36"/>
      <color theme="3" tint="0.39997558519241921"/>
      <name val="Calibri"/>
      <family val="2"/>
      <scheme val="minor"/>
    </font>
    <font>
      <b/>
      <sz val="36"/>
      <color theme="0"/>
      <name val="Calibri"/>
      <family val="2"/>
      <scheme val="minor"/>
    </font>
    <font>
      <b/>
      <sz val="12"/>
      <color rgb="FFC00000"/>
      <name val="Calibri"/>
      <family val="2"/>
      <scheme val="minor"/>
    </font>
    <font>
      <b/>
      <sz val="12"/>
      <color theme="0"/>
      <name val="Calibri"/>
      <family val="2"/>
      <scheme val="minor"/>
    </font>
    <font>
      <sz val="10"/>
      <color indexed="9"/>
      <name val="Arial"/>
      <family val="2"/>
    </font>
    <font>
      <sz val="11"/>
      <color theme="0"/>
      <name val="Calibri"/>
      <family val="2"/>
      <scheme val="minor"/>
    </font>
    <font>
      <b/>
      <sz val="14"/>
      <color indexed="8"/>
      <name val="Century Gothic"/>
      <family val="2"/>
    </font>
    <font>
      <b/>
      <sz val="11"/>
      <color rgb="FFC00000"/>
      <name val="Century Gothic"/>
      <family val="2"/>
    </font>
    <font>
      <b/>
      <u/>
      <sz val="11"/>
      <color rgb="FFC00000"/>
      <name val="Century Gothic"/>
      <family val="2"/>
    </font>
    <font>
      <b/>
      <sz val="10"/>
      <color rgb="FFC00000"/>
      <name val="Calibri"/>
      <family val="2"/>
      <scheme val="minor"/>
    </font>
    <font>
      <sz val="8"/>
      <color indexed="9"/>
      <name val="Segoe UI Semibold"/>
      <family val="2"/>
    </font>
    <font>
      <sz val="11"/>
      <color indexed="9"/>
      <name val="Arial"/>
      <family val="2"/>
    </font>
    <font>
      <b/>
      <sz val="11"/>
      <color indexed="12"/>
      <name val="Arial"/>
      <family val="2"/>
    </font>
    <font>
      <b/>
      <sz val="11"/>
      <color indexed="9"/>
      <name val="Arial"/>
      <family val="2"/>
    </font>
    <font>
      <b/>
      <sz val="13"/>
      <color indexed="8"/>
      <name val="Century Gothic"/>
      <family val="2"/>
    </font>
    <font>
      <sz val="10"/>
      <color indexed="8"/>
      <name val="Segoe UI Semibold"/>
      <family val="2"/>
    </font>
    <font>
      <sz val="10"/>
      <color theme="0"/>
      <name val="Calibri"/>
      <family val="2"/>
      <scheme val="minor"/>
    </font>
    <font>
      <i/>
      <sz val="11"/>
      <name val="Calibri"/>
      <family val="2"/>
      <scheme val="minor"/>
    </font>
    <font>
      <sz val="8"/>
      <color theme="0"/>
      <name val="Calibri"/>
      <family val="2"/>
      <scheme val="minor"/>
    </font>
    <font>
      <sz val="11"/>
      <color indexed="8"/>
      <name val="Segoe WP Semibold"/>
      <family val="2"/>
    </font>
    <font>
      <sz val="10"/>
      <color rgb="FFC00000"/>
      <name val="Century Gothic"/>
      <family val="2"/>
    </font>
    <font>
      <sz val="10"/>
      <color theme="0" tint="-0.499984740745262"/>
      <name val="Arial"/>
      <family val="2"/>
    </font>
    <font>
      <b/>
      <sz val="10"/>
      <color theme="0" tint="-0.249977111117893"/>
      <name val="Arial"/>
      <family val="2"/>
    </font>
    <font>
      <sz val="10"/>
      <color theme="0" tint="-0.249977111117893"/>
      <name val="Arial"/>
      <family val="2"/>
    </font>
    <font>
      <sz val="8"/>
      <color theme="0" tint="-0.249977111117893"/>
      <name val="Segoe WP Semibold"/>
      <family val="2"/>
    </font>
    <font>
      <b/>
      <sz val="10"/>
      <color theme="0" tint="-0.499984740745262"/>
      <name val="Arial"/>
      <family val="2"/>
    </font>
    <font>
      <b/>
      <sz val="8"/>
      <name val="Arial"/>
      <family val="2"/>
    </font>
    <font>
      <sz val="10"/>
      <color theme="1"/>
      <name val="Calibri"/>
      <family val="2"/>
      <scheme val="minor"/>
    </font>
    <font>
      <b/>
      <sz val="14"/>
      <color theme="1"/>
      <name val="Calibri"/>
      <family val="2"/>
      <scheme val="minor"/>
    </font>
    <font>
      <i/>
      <sz val="11"/>
      <color theme="1"/>
      <name val="Calibri"/>
      <family val="2"/>
      <scheme val="minor"/>
    </font>
    <font>
      <sz val="8"/>
      <name val="Segoe WP Semibold"/>
      <family val="2"/>
    </font>
    <font>
      <sz val="8"/>
      <color indexed="13"/>
      <name val="Segoe WP Semibold"/>
      <family val="2"/>
    </font>
    <font>
      <sz val="9"/>
      <color indexed="13"/>
      <name val="Arial"/>
      <family val="2"/>
    </font>
    <font>
      <b/>
      <sz val="12"/>
      <color rgb="FFFFFF00"/>
      <name val="Calibri"/>
      <family val="2"/>
      <scheme val="minor"/>
    </font>
    <font>
      <b/>
      <sz val="28"/>
      <color indexed="9"/>
      <name val="Segoe WP Semibold"/>
      <family val="2"/>
    </font>
    <font>
      <b/>
      <sz val="10"/>
      <color theme="9"/>
      <name val="Arial"/>
      <family val="2"/>
    </font>
    <font>
      <b/>
      <sz val="9"/>
      <color theme="9"/>
      <name val="Arial"/>
      <family val="2"/>
    </font>
    <font>
      <sz val="9"/>
      <color theme="9"/>
      <name val="Arial"/>
      <family val="2"/>
    </font>
    <font>
      <b/>
      <sz val="8"/>
      <color rgb="FFC00000"/>
      <name val="Arial"/>
      <family val="2"/>
    </font>
    <font>
      <b/>
      <sz val="8"/>
      <color theme="3" tint="0.39997558519241921"/>
      <name val="Arial"/>
      <family val="2"/>
    </font>
    <font>
      <sz val="8"/>
      <color indexed="11"/>
      <name val="Arial"/>
      <family val="2"/>
    </font>
    <font>
      <b/>
      <sz val="11"/>
      <color theme="5" tint="-0.249977111117893"/>
      <name val="Arial"/>
      <family val="2"/>
    </font>
    <font>
      <b/>
      <sz val="9"/>
      <color theme="5" tint="-0.249977111117893"/>
      <name val="Arial"/>
      <family val="2"/>
    </font>
    <font>
      <b/>
      <sz val="12"/>
      <color theme="5" tint="-0.249977111117893"/>
      <name val="Arial"/>
      <family val="2"/>
    </font>
    <font>
      <b/>
      <sz val="14"/>
      <color rgb="FFC00000"/>
      <name val="Arial"/>
      <family val="2"/>
    </font>
    <font>
      <b/>
      <sz val="16"/>
      <color rgb="FFC00000"/>
      <name val="Arial"/>
      <family val="2"/>
    </font>
    <font>
      <u/>
      <sz val="8"/>
      <color indexed="12"/>
      <name val="Segoe WP Semibold"/>
      <family val="2"/>
    </font>
    <font>
      <u/>
      <sz val="8"/>
      <color indexed="20"/>
      <name val="Segoe WP Semibold"/>
      <family val="2"/>
    </font>
    <font>
      <b/>
      <sz val="9"/>
      <color indexed="81"/>
      <name val="Segoe WP Semibold"/>
      <family val="2"/>
    </font>
    <font>
      <sz val="9"/>
      <color indexed="81"/>
      <name val="Segoe WP Semibold"/>
      <family val="2"/>
    </font>
    <font>
      <sz val="10"/>
      <color indexed="8"/>
      <name val="Arial"/>
      <family val="2"/>
    </font>
    <font>
      <sz val="11"/>
      <color indexed="8"/>
      <name val="Calibri"/>
      <family val="2"/>
      <scheme val="minor"/>
    </font>
    <font>
      <b/>
      <sz val="12"/>
      <color indexed="8"/>
      <name val="Segoe WP Semibold"/>
    </font>
    <font>
      <sz val="12"/>
      <color indexed="8"/>
      <name val="Segoe WP Semibold"/>
      <family val="2"/>
    </font>
    <font>
      <b/>
      <sz val="8"/>
      <color indexed="8"/>
      <name val="Segoe WP Semibold"/>
    </font>
    <font>
      <b/>
      <sz val="8"/>
      <color indexed="8"/>
      <name val="Tahoma"/>
      <family val="2"/>
    </font>
    <font>
      <sz val="8"/>
      <color indexed="8"/>
      <name val="Tahoma"/>
      <family val="2"/>
    </font>
    <font>
      <sz val="10"/>
      <color indexed="8"/>
      <name val="Tahoma"/>
      <family val="2"/>
    </font>
    <font>
      <b/>
      <sz val="10"/>
      <color indexed="8"/>
      <name val="Arial"/>
      <family val="2"/>
    </font>
    <font>
      <sz val="9"/>
      <color indexed="8"/>
      <name val="Arial"/>
      <family val="2"/>
    </font>
    <font>
      <b/>
      <u/>
      <sz val="14"/>
      <color indexed="8"/>
      <name val="Tahoma"/>
      <family val="2"/>
    </font>
    <font>
      <b/>
      <u/>
      <sz val="14"/>
      <color indexed="8"/>
      <name val="Tahoma"/>
      <family val="2"/>
    </font>
    <font>
      <sz val="8"/>
      <color indexed="8"/>
      <name val="Tahoma"/>
      <family val="2"/>
    </font>
    <font>
      <sz val="10"/>
      <color indexed="8"/>
      <name val="Tahoma"/>
      <family val="2"/>
    </font>
    <font>
      <sz val="8"/>
      <name val="Verdana"/>
      <family val="2"/>
    </font>
    <font>
      <b/>
      <sz val="10"/>
      <color rgb="FFFFFFFF"/>
      <name val="Arial"/>
      <family val="2"/>
    </font>
    <font>
      <u/>
      <sz val="8"/>
      <color theme="10"/>
      <name val="Segoe WP Semibold"/>
      <family val="2"/>
    </font>
    <font>
      <u/>
      <sz val="8"/>
      <color theme="11"/>
      <name val="Segoe WP Semibold"/>
      <family val="2"/>
    </font>
    <font>
      <b/>
      <sz val="10"/>
      <color rgb="FF0000FF"/>
      <name val="Calibri"/>
      <family val="2"/>
    </font>
    <font>
      <b/>
      <sz val="12"/>
      <name val="Calibri"/>
      <family val="2"/>
      <scheme val="minor"/>
    </font>
    <font>
      <sz val="12"/>
      <name val="Calibri"/>
      <family val="2"/>
      <scheme val="minor"/>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tint="-9.9978637043366805E-2"/>
        <bgColor indexed="64"/>
      </patternFill>
    </fill>
    <fill>
      <patternFill patternType="solid">
        <fgColor theme="2"/>
        <bgColor indexed="64"/>
      </patternFill>
    </fill>
    <fill>
      <patternFill patternType="solid">
        <fgColor theme="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8" tint="-0.499984740745262"/>
        <bgColor indexed="64"/>
      </patternFill>
    </fill>
    <fill>
      <patternFill patternType="solid">
        <fgColor theme="9" tint="-0.249977111117893"/>
        <bgColor indexed="64"/>
      </patternFill>
    </fill>
    <fill>
      <patternFill patternType="solid">
        <fgColor theme="5" tint="-0.499984740745262"/>
        <bgColor indexed="64"/>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249977111117893"/>
        <bgColor indexed="64"/>
      </patternFill>
    </fill>
    <fill>
      <patternFill patternType="solid">
        <fgColor theme="6" tint="-0.249977111117893"/>
        <bgColor indexed="64"/>
      </patternFill>
    </fill>
    <fill>
      <patternFill patternType="solid">
        <fgColor theme="0" tint="-0.249977111117893"/>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7" tint="0.39997558519241921"/>
        <bgColor indexed="64"/>
      </patternFill>
    </fill>
    <fill>
      <patternFill patternType="solid">
        <fgColor theme="6"/>
        <bgColor indexed="64"/>
      </patternFill>
    </fill>
    <fill>
      <patternFill patternType="solid">
        <fgColor theme="8"/>
        <bgColor indexed="64"/>
      </patternFill>
    </fill>
    <fill>
      <patternFill patternType="solid">
        <fgColor rgb="FF66FF99"/>
        <bgColor indexed="64"/>
      </patternFill>
    </fill>
    <fill>
      <patternFill patternType="solid">
        <fgColor rgb="FF7030A0"/>
        <bgColor indexed="64"/>
      </patternFill>
    </fill>
    <fill>
      <patternFill patternType="solid">
        <fgColor theme="2" tint="-0.499984740745262"/>
        <bgColor indexed="64"/>
      </patternFill>
    </fill>
    <fill>
      <patternFill patternType="solid">
        <fgColor theme="3" tint="0.39994506668294322"/>
        <bgColor indexed="64"/>
      </patternFill>
    </fill>
    <fill>
      <patternFill patternType="solid">
        <fgColor theme="1"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7"/>
        <bgColor indexed="64"/>
      </patternFill>
    </fill>
    <fill>
      <patternFill patternType="solid">
        <fgColor theme="9"/>
        <bgColor indexed="64"/>
      </patternFill>
    </fill>
    <fill>
      <patternFill patternType="solid">
        <fgColor theme="5"/>
        <bgColor indexed="64"/>
      </patternFill>
    </fill>
    <fill>
      <patternFill patternType="solid">
        <fgColor indexed="22"/>
      </patternFill>
    </fill>
    <fill>
      <patternFill patternType="solid">
        <fgColor rgb="FFBFD2E2"/>
      </patternFill>
    </fill>
    <fill>
      <patternFill patternType="solid">
        <fgColor indexed="8"/>
        <bgColor indexed="64"/>
      </patternFill>
    </fill>
    <fill>
      <patternFill patternType="solid">
        <fgColor indexed="18"/>
        <bgColor indexed="64"/>
      </patternFill>
    </fill>
    <fill>
      <patternFill patternType="solid">
        <fgColor rgb="FF34BA57"/>
        <bgColor indexed="64"/>
      </patternFill>
    </fill>
  </fills>
  <borders count="30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right/>
      <top/>
      <bottom style="thin">
        <color auto="1"/>
      </bottom>
      <diagonal/>
    </border>
    <border>
      <left/>
      <right/>
      <top style="thin">
        <color auto="1"/>
      </top>
      <bottom style="double">
        <color auto="1"/>
      </bottom>
      <diagonal/>
    </border>
    <border>
      <left/>
      <right/>
      <top/>
      <bottom style="double">
        <color auto="1"/>
      </bottom>
      <diagonal/>
    </border>
    <border>
      <left/>
      <right/>
      <top style="thin">
        <color auto="1"/>
      </top>
      <bottom/>
      <diagonal/>
    </border>
    <border>
      <left/>
      <right style="thin">
        <color auto="1"/>
      </right>
      <top/>
      <bottom style="double">
        <color auto="1"/>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0" tint="-0.499984740745262"/>
      </left>
      <right/>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style="thick">
        <color theme="0" tint="-0.499984740745262"/>
      </top>
      <bottom/>
      <diagonal/>
    </border>
    <border>
      <left/>
      <right style="thick">
        <color theme="0" tint="-0.499984740745262"/>
      </right>
      <top/>
      <bottom/>
      <diagonal/>
    </border>
    <border>
      <left/>
      <right style="thick">
        <color theme="0" tint="-0.499984740745262"/>
      </right>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bottom style="thick">
        <color theme="0" tint="-0.499984740745262"/>
      </bottom>
      <diagonal/>
    </border>
    <border>
      <left style="thin">
        <color auto="1"/>
      </left>
      <right style="thin">
        <color auto="1"/>
      </right>
      <top style="thick">
        <color theme="0" tint="-0.499984740745262"/>
      </top>
      <bottom style="thick">
        <color theme="0" tint="-0.499984740745262"/>
      </bottom>
      <diagonal/>
    </border>
    <border>
      <left style="thin">
        <color auto="1"/>
      </left>
      <right/>
      <top style="thick">
        <color theme="0" tint="-0.499984740745262"/>
      </top>
      <bottom style="thick">
        <color theme="0" tint="-0.499984740745262"/>
      </bottom>
      <diagonal/>
    </border>
    <border>
      <left/>
      <right/>
      <top style="thick">
        <color theme="0" tint="-0.499984740745262"/>
      </top>
      <bottom style="thin">
        <color auto="1"/>
      </bottom>
      <diagonal/>
    </border>
    <border>
      <left/>
      <right style="thin">
        <color auto="1"/>
      </right>
      <top style="thick">
        <color theme="0" tint="-0.499984740745262"/>
      </top>
      <bottom style="thin">
        <color auto="1"/>
      </bottom>
      <diagonal/>
    </border>
    <border>
      <left/>
      <right/>
      <top style="double">
        <color auto="1"/>
      </top>
      <bottom style="thick">
        <color theme="0" tint="-0.499984740745262"/>
      </bottom>
      <diagonal/>
    </border>
    <border>
      <left style="thick">
        <color theme="0" tint="-0.499984740745262"/>
      </left>
      <right/>
      <top style="thick">
        <color theme="0" tint="-0.499984740745262"/>
      </top>
      <bottom style="thin">
        <color auto="1"/>
      </bottom>
      <diagonal/>
    </border>
    <border>
      <left/>
      <right style="thick">
        <color theme="0" tint="-0.499984740745262"/>
      </right>
      <top style="thick">
        <color theme="0" tint="-0.499984740745262"/>
      </top>
      <bottom style="thin">
        <color auto="1"/>
      </bottom>
      <diagonal/>
    </border>
    <border>
      <left/>
      <right/>
      <top style="thin">
        <color theme="3" tint="0.59996337778862885"/>
      </top>
      <bottom style="thin">
        <color theme="3" tint="0.59996337778862885"/>
      </bottom>
      <diagonal/>
    </border>
    <border>
      <left/>
      <right/>
      <top style="thin">
        <color theme="3" tint="0.59996337778862885"/>
      </top>
      <bottom/>
      <diagonal/>
    </border>
    <border>
      <left/>
      <right/>
      <top/>
      <bottom style="thin">
        <color theme="3" tint="0.59996337778862885"/>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ck">
        <color theme="0" tint="-0.499984740745262"/>
      </right>
      <top/>
      <bottom style="medium">
        <color theme="0" tint="-0.499984740745262"/>
      </bottom>
      <diagonal/>
    </border>
    <border>
      <left/>
      <right/>
      <top/>
      <bottom style="medium">
        <color theme="0" tint="-0.499984740745262"/>
      </bottom>
      <diagonal/>
    </border>
    <border>
      <left style="thick">
        <color theme="0" tint="-0.499984740745262"/>
      </left>
      <right/>
      <top/>
      <bottom style="medium">
        <color theme="0" tint="-0.499984740745262"/>
      </bottom>
      <diagonal/>
    </border>
    <border>
      <left style="thick">
        <color rgb="FF00FF00"/>
      </left>
      <right style="thick">
        <color rgb="FF00FF00"/>
      </right>
      <top style="thick">
        <color rgb="FF00FF00"/>
      </top>
      <bottom style="thick">
        <color rgb="FF00FF00"/>
      </bottom>
      <diagonal/>
    </border>
    <border>
      <left style="thick">
        <color rgb="FF00FF00"/>
      </left>
      <right/>
      <top style="thick">
        <color rgb="FF00FF00"/>
      </top>
      <bottom style="thick">
        <color rgb="FF00FF00"/>
      </bottom>
      <diagonal/>
    </border>
    <border>
      <left/>
      <right/>
      <top style="thick">
        <color rgb="FF00FF00"/>
      </top>
      <bottom style="thick">
        <color rgb="FF00FF00"/>
      </bottom>
      <diagonal/>
    </border>
    <border>
      <left/>
      <right style="thick">
        <color rgb="FF00FF00"/>
      </right>
      <top style="thick">
        <color rgb="FF00FF00"/>
      </top>
      <bottom style="thick">
        <color rgb="FF00FF00"/>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top style="thin">
        <color theme="3" tint="0.39994506668294322"/>
      </top>
      <bottom/>
      <diagonal/>
    </border>
    <border>
      <left/>
      <right/>
      <top style="thin">
        <color theme="3" tint="0.39994506668294322"/>
      </top>
      <bottom/>
      <diagonal/>
    </border>
    <border>
      <left/>
      <right style="thin">
        <color theme="3" tint="0.39994506668294322"/>
      </right>
      <top style="thin">
        <color theme="3" tint="0.39994506668294322"/>
      </top>
      <bottom/>
      <diagonal/>
    </border>
    <border>
      <left style="thick">
        <color theme="0" tint="-0.499984740745262"/>
      </left>
      <right style="thick">
        <color theme="0" tint="-0.499984740745262"/>
      </right>
      <top/>
      <bottom style="medium">
        <color theme="0" tint="-0.499984740745262"/>
      </bottom>
      <diagonal/>
    </border>
    <border>
      <left style="thin">
        <color theme="3" tint="0.59996337778862885"/>
      </left>
      <right/>
      <top style="thin">
        <color theme="3" tint="0.59996337778862885"/>
      </top>
      <bottom/>
      <diagonal/>
    </border>
    <border>
      <left/>
      <right style="thin">
        <color theme="3" tint="0.59996337778862885"/>
      </right>
      <top style="thin">
        <color theme="3" tint="0.59996337778862885"/>
      </top>
      <bottom/>
      <diagonal/>
    </border>
    <border>
      <left style="thin">
        <color theme="3" tint="0.59996337778862885"/>
      </left>
      <right/>
      <top/>
      <bottom/>
      <diagonal/>
    </border>
    <border>
      <left/>
      <right style="thin">
        <color theme="3" tint="0.59996337778862885"/>
      </right>
      <top/>
      <bottom/>
      <diagonal/>
    </border>
    <border>
      <left style="thin">
        <color theme="3" tint="0.59996337778862885"/>
      </left>
      <right/>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thin">
        <color theme="3" tint="0.39994506668294322"/>
      </left>
      <right style="thin">
        <color theme="3" tint="0.39994506668294322"/>
      </right>
      <top style="thin">
        <color theme="3" tint="0.39994506668294322"/>
      </top>
      <bottom/>
      <diagonal/>
    </border>
    <border>
      <left style="thin">
        <color theme="3" tint="0.39994506668294322"/>
      </left>
      <right style="thin">
        <color theme="3" tint="0.39994506668294322"/>
      </right>
      <top/>
      <bottom/>
      <diagonal/>
    </border>
    <border>
      <left style="thin">
        <color theme="3" tint="0.39994506668294322"/>
      </left>
      <right style="thin">
        <color theme="3" tint="0.39994506668294322"/>
      </right>
      <top/>
      <bottom style="thin">
        <color theme="3" tint="0.39994506668294322"/>
      </bottom>
      <diagonal/>
    </border>
    <border>
      <left style="thin">
        <color theme="3" tint="0.59996337778862885"/>
      </left>
      <right style="thin">
        <color theme="3" tint="0.39994506668294322"/>
      </right>
      <top/>
      <bottom style="thin">
        <color theme="3" tint="0.39994506668294322"/>
      </bottom>
      <diagonal/>
    </border>
    <border>
      <left style="thin">
        <color theme="3" tint="0.39994506668294322"/>
      </left>
      <right style="thin">
        <color theme="3" tint="0.59996337778862885"/>
      </right>
      <top/>
      <bottom style="thin">
        <color theme="3" tint="0.39994506668294322"/>
      </bottom>
      <diagonal/>
    </border>
    <border>
      <left style="thin">
        <color theme="3" tint="0.59996337778862885"/>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59996337778862885"/>
      </right>
      <top style="thin">
        <color theme="3" tint="0.39994506668294322"/>
      </top>
      <bottom style="thin">
        <color theme="3" tint="0.39994506668294322"/>
      </bottom>
      <diagonal/>
    </border>
    <border>
      <left style="thin">
        <color theme="3" tint="0.59996337778862885"/>
      </left>
      <right style="thin">
        <color theme="3" tint="0.39994506668294322"/>
      </right>
      <top style="thin">
        <color theme="3" tint="0.39994506668294322"/>
      </top>
      <bottom style="thin">
        <color theme="3" tint="0.59996337778862885"/>
      </bottom>
      <diagonal/>
    </border>
    <border>
      <left style="thin">
        <color theme="3" tint="0.39994506668294322"/>
      </left>
      <right style="thin">
        <color theme="3" tint="0.39994506668294322"/>
      </right>
      <top style="thin">
        <color theme="3" tint="0.39994506668294322"/>
      </top>
      <bottom style="thin">
        <color theme="3" tint="0.59996337778862885"/>
      </bottom>
      <diagonal/>
    </border>
    <border>
      <left style="thin">
        <color theme="3" tint="0.39994506668294322"/>
      </left>
      <right style="thin">
        <color theme="3" tint="0.59996337778862885"/>
      </right>
      <top style="thin">
        <color theme="3" tint="0.39994506668294322"/>
      </top>
      <bottom style="thin">
        <color theme="3" tint="0.59996337778862885"/>
      </bottom>
      <diagonal/>
    </border>
    <border>
      <left style="thin">
        <color theme="3" tint="0.59996337778862885"/>
      </left>
      <right style="thin">
        <color theme="3" tint="0.39994506668294322"/>
      </right>
      <top style="thin">
        <color theme="3" tint="0.39994506668294322"/>
      </top>
      <bottom/>
      <diagonal/>
    </border>
    <border>
      <left style="thin">
        <color theme="3" tint="0.39994506668294322"/>
      </left>
      <right style="thin">
        <color theme="3" tint="0.59996337778862885"/>
      </right>
      <top style="thin">
        <color theme="3" tint="0.39994506668294322"/>
      </top>
      <bottom/>
      <diagonal/>
    </border>
    <border>
      <left style="thin">
        <color theme="3" tint="0.59996337778862885"/>
      </left>
      <right style="thin">
        <color theme="3" tint="0.39994506668294322"/>
      </right>
      <top style="thin">
        <color theme="3" tint="0.59996337778862885"/>
      </top>
      <bottom style="thin">
        <color theme="3" tint="0.39994506668294322"/>
      </bottom>
      <diagonal/>
    </border>
    <border>
      <left style="thin">
        <color theme="3" tint="0.39994506668294322"/>
      </left>
      <right style="thin">
        <color theme="3" tint="0.39994506668294322"/>
      </right>
      <top style="thin">
        <color theme="3" tint="0.59996337778862885"/>
      </top>
      <bottom style="thin">
        <color theme="3" tint="0.39994506668294322"/>
      </bottom>
      <diagonal/>
    </border>
    <border>
      <left style="thin">
        <color theme="3" tint="0.39994506668294322"/>
      </left>
      <right style="thin">
        <color theme="3" tint="0.59996337778862885"/>
      </right>
      <top style="thin">
        <color theme="3" tint="0.59996337778862885"/>
      </top>
      <bottom style="thin">
        <color theme="3" tint="0.39994506668294322"/>
      </bottom>
      <diagonal/>
    </border>
    <border>
      <left style="thin">
        <color theme="3" tint="0.59996337778862885"/>
      </left>
      <right style="thin">
        <color theme="3" tint="0.39994506668294322"/>
      </right>
      <top/>
      <bottom/>
      <diagonal/>
    </border>
    <border>
      <left style="thin">
        <color theme="3" tint="0.39994506668294322"/>
      </left>
      <right style="thin">
        <color theme="3" tint="0.59996337778862885"/>
      </right>
      <top/>
      <bottom/>
      <diagonal/>
    </border>
    <border>
      <left style="thin">
        <color theme="0"/>
      </left>
      <right style="thin">
        <color theme="0"/>
      </right>
      <top style="thin">
        <color theme="0"/>
      </top>
      <bottom style="thin">
        <color theme="0"/>
      </bottom>
      <diagonal/>
    </border>
    <border>
      <left style="thin">
        <color theme="3" tint="0.79998168889431442"/>
      </left>
      <right style="thin">
        <color theme="3" tint="0.79998168889431442"/>
      </right>
      <top/>
      <bottom/>
      <diagonal/>
    </border>
    <border>
      <left style="thin">
        <color theme="3" tint="0.59996337778862885"/>
      </left>
      <right style="thin">
        <color theme="3" tint="0.59996337778862885"/>
      </right>
      <top/>
      <bottom style="thin">
        <color theme="3" tint="0.59996337778862885"/>
      </bottom>
      <diagonal/>
    </border>
    <border>
      <left style="thick">
        <color auto="1"/>
      </left>
      <right/>
      <top style="thin">
        <color auto="1"/>
      </top>
      <bottom/>
      <diagonal/>
    </border>
    <border>
      <left style="thick">
        <color auto="1"/>
      </left>
      <right/>
      <top/>
      <bottom style="thin">
        <color auto="1"/>
      </bottom>
      <diagonal/>
    </border>
    <border>
      <left style="thick">
        <color auto="1"/>
      </left>
      <right/>
      <top style="thin">
        <color auto="1"/>
      </top>
      <bottom style="thin">
        <color auto="1"/>
      </bottom>
      <diagonal/>
    </border>
    <border>
      <left style="thick">
        <color auto="1"/>
      </left>
      <right/>
      <top/>
      <bottom/>
      <diagonal/>
    </border>
    <border>
      <left style="thick">
        <color auto="1"/>
      </left>
      <right style="thin">
        <color auto="1"/>
      </right>
      <top style="thin">
        <color auto="1"/>
      </top>
      <bottom/>
      <diagonal/>
    </border>
    <border>
      <left style="thick">
        <color auto="1"/>
      </left>
      <right style="thin">
        <color auto="1"/>
      </right>
      <top/>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thick">
        <color auto="1"/>
      </left>
      <right style="thin">
        <color auto="1"/>
      </right>
      <top style="medium">
        <color auto="1"/>
      </top>
      <bottom style="thin">
        <color auto="1"/>
      </bottom>
      <diagonal/>
    </border>
    <border>
      <left style="thin">
        <color auto="1"/>
      </left>
      <right style="thick">
        <color auto="1"/>
      </right>
      <top style="medium">
        <color auto="1"/>
      </top>
      <bottom style="thin">
        <color auto="1"/>
      </bottom>
      <diagonal/>
    </border>
    <border>
      <left style="thin">
        <color auto="1"/>
      </left>
      <right style="thick">
        <color auto="1"/>
      </right>
      <top style="thin">
        <color auto="1"/>
      </top>
      <bottom/>
      <diagonal/>
    </border>
    <border>
      <left style="thin">
        <color auto="1"/>
      </left>
      <right style="thick">
        <color auto="1"/>
      </right>
      <top/>
      <bottom/>
      <diagonal/>
    </border>
    <border>
      <left style="thin">
        <color auto="1"/>
      </left>
      <right style="thick">
        <color auto="1"/>
      </right>
      <top/>
      <bottom style="medium">
        <color theme="1"/>
      </bottom>
      <diagonal/>
    </border>
    <border>
      <left style="medium">
        <color auto="1"/>
      </left>
      <right style="thin">
        <color auto="1"/>
      </right>
      <top/>
      <bottom style="medium">
        <color theme="1"/>
      </bottom>
      <diagonal/>
    </border>
    <border>
      <left/>
      <right style="medium">
        <color auto="1"/>
      </right>
      <top style="thin">
        <color auto="1"/>
      </top>
      <bottom/>
      <diagonal/>
    </border>
    <border>
      <left/>
      <right style="medium">
        <color auto="1"/>
      </right>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right style="medium">
        <color auto="1"/>
      </right>
      <top/>
      <bottom style="thin">
        <color auto="1"/>
      </bottom>
      <diagonal/>
    </border>
    <border>
      <left/>
      <right style="medium">
        <color auto="1"/>
      </right>
      <top style="thin">
        <color auto="1"/>
      </top>
      <bottom style="thin">
        <color auto="1"/>
      </bottom>
      <diagonal/>
    </border>
    <border>
      <left style="medium">
        <color theme="3" tint="0.39991454817346722"/>
      </left>
      <right style="medium">
        <color theme="3" tint="0.39991454817346722"/>
      </right>
      <top style="medium">
        <color theme="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bottom/>
      <diagonal/>
    </border>
    <border>
      <left style="medium">
        <color theme="1" tint="0.24994659260841701"/>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style="medium">
        <color theme="1" tint="0.24994659260841701"/>
      </bottom>
      <diagonal/>
    </border>
    <border>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top style="medium">
        <color theme="1" tint="0.24994659260841701"/>
      </top>
      <bottom/>
      <diagonal/>
    </border>
    <border>
      <left/>
      <right style="medium">
        <color theme="1" tint="0.24994659260841701"/>
      </right>
      <top style="medium">
        <color theme="1" tint="0.24994659260841701"/>
      </top>
      <bottom/>
      <diagonal/>
    </border>
    <border>
      <left style="medium">
        <color theme="1" tint="0.24994659260841701"/>
      </left>
      <right style="medium">
        <color theme="1" tint="0.24994659260841701"/>
      </right>
      <top style="medium">
        <color theme="1" tint="0.24994659260841701"/>
      </top>
      <bottom/>
      <diagonal/>
    </border>
    <border>
      <left style="medium">
        <color theme="1" tint="0.24994659260841701"/>
      </left>
      <right/>
      <top/>
      <bottom/>
      <diagonal/>
    </border>
    <border>
      <left/>
      <right style="medium">
        <color theme="1" tint="0.24994659260841701"/>
      </right>
      <top/>
      <bottom/>
      <diagonal/>
    </border>
    <border>
      <left style="medium">
        <color theme="1" tint="0.24994659260841701"/>
      </left>
      <right/>
      <top/>
      <bottom style="medium">
        <color theme="1" tint="0.24994659260841701"/>
      </bottom>
      <diagonal/>
    </border>
    <border>
      <left/>
      <right/>
      <top/>
      <bottom style="medium">
        <color theme="1" tint="0.24994659260841701"/>
      </bottom>
      <diagonal/>
    </border>
    <border>
      <left style="thick">
        <color theme="1" tint="0.24994659260841701"/>
      </left>
      <right style="medium">
        <color theme="1" tint="0.24994659260841701"/>
      </right>
      <top style="medium">
        <color theme="1" tint="0.24994659260841701"/>
      </top>
      <bottom style="medium">
        <color theme="1" tint="0.24994659260841701"/>
      </bottom>
      <diagonal/>
    </border>
    <border>
      <left style="thick">
        <color theme="1" tint="0.24994659260841701"/>
      </left>
      <right style="medium">
        <color theme="1" tint="0.24994659260841701"/>
      </right>
      <top style="medium">
        <color theme="1" tint="0.24994659260841701"/>
      </top>
      <bottom/>
      <diagonal/>
    </border>
    <border>
      <left style="thin">
        <color theme="1" tint="0.24994659260841701"/>
      </left>
      <right style="thin">
        <color theme="1" tint="0.24994659260841701"/>
      </right>
      <top/>
      <bottom style="thin">
        <color theme="1" tint="0.24994659260841701"/>
      </bottom>
      <diagonal/>
    </border>
    <border>
      <left style="thin">
        <color theme="1" tint="0.24994659260841701"/>
      </left>
      <right style="thin">
        <color theme="1" tint="0.24994659260841701"/>
      </right>
      <top style="thin">
        <color theme="1" tint="0.24994659260841701"/>
      </top>
      <bottom style="medium">
        <color theme="1" tint="0.24994659260841701"/>
      </bottom>
      <diagonal/>
    </border>
    <border>
      <left style="thin">
        <color theme="1" tint="0.24994659260841701"/>
      </left>
      <right style="medium">
        <color theme="1" tint="0.24994659260841701"/>
      </right>
      <top style="thin">
        <color theme="1" tint="0.24994659260841701"/>
      </top>
      <bottom style="medium">
        <color theme="1" tint="0.24994659260841701"/>
      </bottom>
      <diagonal/>
    </border>
    <border>
      <left style="medium">
        <color theme="1" tint="0.24994659260841701"/>
      </left>
      <right style="medium">
        <color theme="1" tint="0.24994659260841701"/>
      </right>
      <top/>
      <bottom style="thick">
        <color theme="1" tint="0.24994659260841701"/>
      </bottom>
      <diagonal/>
    </border>
    <border>
      <left style="thin">
        <color theme="1" tint="0.24994659260841701"/>
      </left>
      <right style="medium">
        <color theme="1" tint="0.24994659260841701"/>
      </right>
      <top/>
      <bottom style="thin">
        <color theme="1" tint="0.24994659260841701"/>
      </bottom>
      <diagonal/>
    </border>
    <border>
      <left style="medium">
        <color theme="1" tint="0.24994659260841701"/>
      </left>
      <right/>
      <top/>
      <bottom style="thick">
        <color theme="1" tint="0.24994659260841701"/>
      </bottom>
      <diagonal/>
    </border>
    <border>
      <left/>
      <right/>
      <top/>
      <bottom style="thick">
        <color theme="1" tint="0.24994659260841701"/>
      </bottom>
      <diagonal/>
    </border>
    <border>
      <left style="medium">
        <color theme="1" tint="0.24994659260841701"/>
      </left>
      <right style="medium">
        <color theme="1" tint="0.24994659260841701"/>
      </right>
      <top style="medium">
        <color theme="1" tint="0.24994659260841701"/>
      </top>
      <bottom style="thin">
        <color theme="1" tint="0.24994659260841701"/>
      </bottom>
      <diagonal/>
    </border>
    <border>
      <left style="medium">
        <color theme="1" tint="0.24994659260841701"/>
      </left>
      <right style="medium">
        <color theme="1" tint="0.24994659260841701"/>
      </right>
      <top style="thin">
        <color theme="1" tint="0.24994659260841701"/>
      </top>
      <bottom style="thick">
        <color theme="1" tint="0.24994659260841701"/>
      </bottom>
      <diagonal/>
    </border>
    <border>
      <left style="medium">
        <color theme="1" tint="0.24994659260841701"/>
      </left>
      <right style="medium">
        <color theme="1" tint="0.24994659260841701"/>
      </right>
      <top/>
      <bottom style="thin">
        <color theme="1" tint="0.24994659260841701"/>
      </bottom>
      <diagonal/>
    </border>
    <border>
      <left style="medium">
        <color theme="1" tint="0.24994659260841701"/>
      </left>
      <right style="medium">
        <color theme="1" tint="0.24994659260841701"/>
      </right>
      <top style="thin">
        <color theme="1" tint="0.24994659260841701"/>
      </top>
      <bottom style="medium">
        <color theme="1" tint="0.24994659260841701"/>
      </bottom>
      <diagonal/>
    </border>
    <border>
      <left style="medium">
        <color theme="1" tint="0.24994659260841701"/>
      </left>
      <right/>
      <top style="medium">
        <color theme="1" tint="0.24994659260841701"/>
      </top>
      <bottom style="thin">
        <color theme="1" tint="0.24994659260841701"/>
      </bottom>
      <diagonal/>
    </border>
    <border>
      <left style="medium">
        <color theme="1" tint="0.24994659260841701"/>
      </left>
      <right/>
      <top style="thin">
        <color theme="1" tint="0.24994659260841701"/>
      </top>
      <bottom style="thick">
        <color theme="1" tint="0.24994659260841701"/>
      </bottom>
      <diagonal/>
    </border>
    <border>
      <left style="medium">
        <color theme="1" tint="0.24994659260841701"/>
      </left>
      <right/>
      <top/>
      <bottom style="thin">
        <color theme="1" tint="0.24994659260841701"/>
      </bottom>
      <diagonal/>
    </border>
    <border>
      <left style="medium">
        <color theme="1" tint="0.24994659260841701"/>
      </left>
      <right/>
      <top style="thin">
        <color theme="1" tint="0.24994659260841701"/>
      </top>
      <bottom style="medium">
        <color theme="1" tint="0.24994659260841701"/>
      </bottom>
      <diagonal/>
    </border>
    <border>
      <left style="thick">
        <color theme="1" tint="0.24994659260841701"/>
      </left>
      <right style="medium">
        <color theme="1" tint="0.24994659260841701"/>
      </right>
      <top style="medium">
        <color theme="1" tint="0.24994659260841701"/>
      </top>
      <bottom style="thin">
        <color theme="1" tint="0.24994659260841701"/>
      </bottom>
      <diagonal/>
    </border>
    <border>
      <left style="thick">
        <color theme="1" tint="0.24994659260841701"/>
      </left>
      <right style="medium">
        <color theme="1" tint="0.24994659260841701"/>
      </right>
      <top style="thin">
        <color theme="1" tint="0.24994659260841701"/>
      </top>
      <bottom style="thick">
        <color theme="1" tint="0.24994659260841701"/>
      </bottom>
      <diagonal/>
    </border>
    <border>
      <left style="thick">
        <color theme="1" tint="0.24994659260841701"/>
      </left>
      <right style="medium">
        <color theme="1" tint="0.24994659260841701"/>
      </right>
      <top/>
      <bottom style="thin">
        <color theme="1" tint="0.24994659260841701"/>
      </bottom>
      <diagonal/>
    </border>
    <border>
      <left style="thick">
        <color theme="1" tint="0.24994659260841701"/>
      </left>
      <right style="medium">
        <color theme="1" tint="0.24994659260841701"/>
      </right>
      <top style="thin">
        <color theme="1" tint="0.24994659260841701"/>
      </top>
      <bottom style="medium">
        <color theme="1" tint="0.24994659260841701"/>
      </bottom>
      <diagonal/>
    </border>
    <border>
      <left/>
      <right/>
      <top style="thin">
        <color theme="1" tint="0.24994659260841701"/>
      </top>
      <bottom style="thin">
        <color theme="1" tint="0.24994659260841701"/>
      </bottom>
      <diagonal/>
    </border>
    <border>
      <left style="thin">
        <color auto="1"/>
      </left>
      <right/>
      <top/>
      <bottom style="thin">
        <color theme="1" tint="0.24994659260841701"/>
      </bottom>
      <diagonal/>
    </border>
    <border>
      <left style="medium">
        <color theme="1" tint="0.24994659260841701"/>
      </left>
      <right style="thin">
        <color auto="1"/>
      </right>
      <top style="medium">
        <color theme="1" tint="0.24994659260841701"/>
      </top>
      <bottom style="medium">
        <color theme="1" tint="0.24994659260841701"/>
      </bottom>
      <diagonal/>
    </border>
    <border>
      <left style="thin">
        <color auto="1"/>
      </left>
      <right style="thin">
        <color auto="1"/>
      </right>
      <top style="medium">
        <color theme="1" tint="0.24994659260841701"/>
      </top>
      <bottom style="medium">
        <color theme="1" tint="0.24994659260841701"/>
      </bottom>
      <diagonal/>
    </border>
    <border>
      <left style="thin">
        <color auto="1"/>
      </left>
      <right style="medium">
        <color theme="1" tint="0.24994659260841701"/>
      </right>
      <top style="medium">
        <color theme="1" tint="0.24994659260841701"/>
      </top>
      <bottom style="medium">
        <color theme="1" tint="0.24994659260841701"/>
      </bottom>
      <diagonal/>
    </border>
    <border>
      <left style="medium">
        <color theme="1" tint="0.24994659260841701"/>
      </left>
      <right style="thin">
        <color auto="1"/>
      </right>
      <top/>
      <bottom style="thin">
        <color theme="1" tint="0.24994659260841701"/>
      </bottom>
      <diagonal/>
    </border>
    <border>
      <left style="medium">
        <color theme="1" tint="0.24994659260841701"/>
      </left>
      <right/>
      <top style="thin">
        <color theme="1" tint="0.24994659260841701"/>
      </top>
      <bottom style="thin">
        <color theme="1" tint="0.24994659260841701"/>
      </bottom>
      <diagonal/>
    </border>
    <border>
      <left/>
      <right/>
      <top style="thin">
        <color theme="1" tint="0.24994659260841701"/>
      </top>
      <bottom style="medium">
        <color theme="1" tint="0.24994659260841701"/>
      </bottom>
      <diagonal/>
    </border>
    <border>
      <left style="thin">
        <color theme="1" tint="0.24994659260841701"/>
      </left>
      <right/>
      <top/>
      <bottom style="thin">
        <color theme="1" tint="0.24994659260841701"/>
      </bottom>
      <diagonal/>
    </border>
    <border>
      <left style="thin">
        <color theme="1" tint="0.24994659260841701"/>
      </left>
      <right/>
      <top style="thin">
        <color theme="1" tint="0.24994659260841701"/>
      </top>
      <bottom style="medium">
        <color theme="1" tint="0.24994659260841701"/>
      </bottom>
      <diagonal/>
    </border>
    <border>
      <left style="medium">
        <color theme="1" tint="0.24994659260841701"/>
      </left>
      <right style="medium">
        <color theme="1" tint="0.24994659260841701"/>
      </right>
      <top style="thin">
        <color theme="1" tint="0.24994659260841701"/>
      </top>
      <bottom style="thin">
        <color theme="1" tint="0.24994659260841701"/>
      </bottom>
      <diagonal/>
    </border>
    <border>
      <left style="thin">
        <color theme="1" tint="0.24994659260841701"/>
      </left>
      <right style="thin">
        <color theme="1" tint="0.24994659260841701"/>
      </right>
      <top style="medium">
        <color theme="1" tint="0.24994659260841701"/>
      </top>
      <bottom style="medium">
        <color theme="1" tint="0.24994659260841701"/>
      </bottom>
      <diagonal/>
    </border>
    <border>
      <left/>
      <right/>
      <top/>
      <bottom style="thin">
        <color theme="1" tint="0.24994659260841701"/>
      </bottom>
      <diagonal/>
    </border>
    <border>
      <left style="thick">
        <color theme="1" tint="0.24994659260841701"/>
      </left>
      <right style="medium">
        <color theme="1" tint="0.24994659260841701"/>
      </right>
      <top style="thin">
        <color theme="1" tint="0.24994659260841701"/>
      </top>
      <bottom style="thin">
        <color theme="1" tint="0.24994659260841701"/>
      </bottom>
      <diagonal/>
    </border>
    <border>
      <left style="medium">
        <color theme="1" tint="0.24994659260841701"/>
      </left>
      <right style="medium">
        <color theme="1" tint="0.24994659260841701"/>
      </right>
      <top style="medium">
        <color theme="1" tint="0.24994659260841701"/>
      </top>
      <bottom style="thick">
        <color theme="1" tint="0.24994659260841701"/>
      </bottom>
      <diagonal/>
    </border>
    <border>
      <left style="medium">
        <color theme="1" tint="0.24994659260841701"/>
      </left>
      <right style="thin">
        <color auto="1"/>
      </right>
      <top style="medium">
        <color theme="1" tint="0.24994659260841701"/>
      </top>
      <bottom style="thick">
        <color theme="1" tint="0.24994659260841701"/>
      </bottom>
      <diagonal/>
    </border>
    <border>
      <left style="thin">
        <color auto="1"/>
      </left>
      <right/>
      <top style="medium">
        <color theme="1" tint="0.24994659260841701"/>
      </top>
      <bottom style="thick">
        <color theme="1" tint="0.24994659260841701"/>
      </bottom>
      <diagonal/>
    </border>
    <border>
      <left/>
      <right/>
      <top style="medium">
        <color theme="1" tint="0.24994659260841701"/>
      </top>
      <bottom style="thick">
        <color theme="1" tint="0.24994659260841701"/>
      </bottom>
      <diagonal/>
    </border>
    <border>
      <left style="medium">
        <color theme="1" tint="0.24994659260841701"/>
      </left>
      <right/>
      <top style="medium">
        <color theme="1" tint="0.24994659260841701"/>
      </top>
      <bottom style="thick">
        <color theme="1" tint="0.24994659260841701"/>
      </bottom>
      <diagonal/>
    </border>
    <border>
      <left style="thick">
        <color theme="1" tint="0.24994659260841701"/>
      </left>
      <right style="medium">
        <color theme="1" tint="0.24994659260841701"/>
      </right>
      <top style="medium">
        <color theme="1" tint="0.24994659260841701"/>
      </top>
      <bottom style="thick">
        <color theme="1" tint="0.24994659260841701"/>
      </bottom>
      <diagonal/>
    </border>
    <border>
      <left style="thin">
        <color theme="1" tint="0.24994659260841701"/>
      </left>
      <right style="medium">
        <color theme="1" tint="0.24994659260841701"/>
      </right>
      <top style="medium">
        <color theme="1" tint="0.24994659260841701"/>
      </top>
      <bottom style="medium">
        <color theme="1" tint="0.24994659260841701"/>
      </bottom>
      <diagonal/>
    </border>
    <border>
      <left/>
      <right style="medium">
        <color theme="1" tint="0.24994659260841701"/>
      </right>
      <top/>
      <bottom style="medium">
        <color theme="1" tint="0.24994659260841701"/>
      </bottom>
      <diagonal/>
    </border>
    <border>
      <left style="thick">
        <color theme="1" tint="0.24994659260841701"/>
      </left>
      <right style="thin">
        <color theme="1" tint="0.24994659260841701"/>
      </right>
      <top/>
      <bottom style="thin">
        <color theme="1" tint="0.24994659260841701"/>
      </bottom>
      <diagonal/>
    </border>
    <border>
      <left style="medium">
        <color theme="1" tint="0.24994659260841701"/>
      </left>
      <right style="thick">
        <color theme="1" tint="0.24994659260841701"/>
      </right>
      <top style="medium">
        <color theme="1" tint="0.24994659260841701"/>
      </top>
      <bottom style="medium">
        <color theme="1" tint="0.24994659260841701"/>
      </bottom>
      <diagonal/>
    </border>
    <border>
      <left style="thin">
        <color theme="1" tint="0.24994659260841701"/>
      </left>
      <right style="thick">
        <color theme="1" tint="0.24994659260841701"/>
      </right>
      <top/>
      <bottom style="thin">
        <color theme="1" tint="0.24994659260841701"/>
      </bottom>
      <diagonal/>
    </border>
    <border>
      <left style="thick">
        <color theme="1" tint="0.24994659260841701"/>
      </left>
      <right style="thin">
        <color theme="1" tint="0.24994659260841701"/>
      </right>
      <top style="medium">
        <color theme="1" tint="0.24994659260841701"/>
      </top>
      <bottom style="medium">
        <color theme="1" tint="0.24994659260841701"/>
      </bottom>
      <diagonal/>
    </border>
    <border>
      <left style="thick">
        <color theme="1" tint="0.24994659260841701"/>
      </left>
      <right style="thin">
        <color theme="1" tint="0.24994659260841701"/>
      </right>
      <top style="thin">
        <color theme="1" tint="0.24994659260841701"/>
      </top>
      <bottom style="medium">
        <color theme="1" tint="0.24994659260841701"/>
      </bottom>
      <diagonal/>
    </border>
    <border>
      <left style="thin">
        <color theme="1" tint="0.24994659260841701"/>
      </left>
      <right style="thick">
        <color theme="1" tint="0.24994659260841701"/>
      </right>
      <top style="thin">
        <color theme="1" tint="0.24994659260841701"/>
      </top>
      <bottom style="medium">
        <color theme="1" tint="0.24994659260841701"/>
      </bottom>
      <diagonal/>
    </border>
    <border>
      <left style="thin">
        <color auto="1"/>
      </left>
      <right style="thin">
        <color auto="1"/>
      </right>
      <top style="medium">
        <color theme="1" tint="0.24994659260841701"/>
      </top>
      <bottom style="thin">
        <color auto="1"/>
      </bottom>
      <diagonal/>
    </border>
    <border>
      <left style="thin">
        <color auto="1"/>
      </left>
      <right style="medium">
        <color theme="1" tint="0.24994659260841701"/>
      </right>
      <top style="medium">
        <color theme="1" tint="0.24994659260841701"/>
      </top>
      <bottom style="thin">
        <color auto="1"/>
      </bottom>
      <diagonal/>
    </border>
    <border>
      <left style="thin">
        <color auto="1"/>
      </left>
      <right style="medium">
        <color theme="1" tint="0.24994659260841701"/>
      </right>
      <top/>
      <bottom/>
      <diagonal/>
    </border>
    <border>
      <left style="medium">
        <color theme="1" tint="0.24994659260841701"/>
      </left>
      <right/>
      <top style="thin">
        <color auto="1"/>
      </top>
      <bottom style="medium">
        <color theme="1" tint="0.24994659260841701"/>
      </bottom>
      <diagonal/>
    </border>
    <border>
      <left/>
      <right/>
      <top style="thin">
        <color auto="1"/>
      </top>
      <bottom style="medium">
        <color theme="1" tint="0.24994659260841701"/>
      </bottom>
      <diagonal/>
    </border>
    <border>
      <left style="thin">
        <color auto="1"/>
      </left>
      <right style="thin">
        <color auto="1"/>
      </right>
      <top style="medium">
        <color theme="1" tint="0.24994659260841701"/>
      </top>
      <bottom/>
      <diagonal/>
    </border>
    <border>
      <left style="thin">
        <color auto="1"/>
      </left>
      <right style="medium">
        <color theme="1" tint="0.24994659260841701"/>
      </right>
      <top style="medium">
        <color theme="1" tint="0.24994659260841701"/>
      </top>
      <bottom/>
      <diagonal/>
    </border>
    <border>
      <left style="medium">
        <color theme="1" tint="0.24994659260841701"/>
      </left>
      <right style="medium">
        <color theme="1" tint="0.24994659260841701"/>
      </right>
      <top/>
      <bottom/>
      <diagonal/>
    </border>
    <border>
      <left style="medium">
        <color theme="1" tint="0.24994659260841701"/>
      </left>
      <right/>
      <top style="medium">
        <color theme="1" tint="0.24994659260841701"/>
      </top>
      <bottom style="thin">
        <color auto="1"/>
      </bottom>
      <diagonal/>
    </border>
    <border>
      <left/>
      <right/>
      <top style="medium">
        <color theme="1" tint="0.24994659260841701"/>
      </top>
      <bottom style="thin">
        <color auto="1"/>
      </bottom>
      <diagonal/>
    </border>
    <border>
      <left/>
      <right style="thin">
        <color auto="1"/>
      </right>
      <top style="medium">
        <color theme="1" tint="0.24994659260841701"/>
      </top>
      <bottom style="thin">
        <color auto="1"/>
      </bottom>
      <diagonal/>
    </border>
    <border>
      <left style="medium">
        <color theme="1" tint="0.24994659260841701"/>
      </left>
      <right/>
      <top style="thin">
        <color auto="1"/>
      </top>
      <bottom style="thin">
        <color auto="1"/>
      </bottom>
      <diagonal/>
    </border>
    <border>
      <left style="thin">
        <color auto="1"/>
      </left>
      <right style="medium">
        <color theme="1" tint="0.24994659260841701"/>
      </right>
      <top style="thin">
        <color auto="1"/>
      </top>
      <bottom style="thin">
        <color auto="1"/>
      </bottom>
      <diagonal/>
    </border>
    <border>
      <left/>
      <right style="thin">
        <color auto="1"/>
      </right>
      <top style="thin">
        <color auto="1"/>
      </top>
      <bottom style="medium">
        <color theme="1" tint="0.24994659260841701"/>
      </bottom>
      <diagonal/>
    </border>
    <border>
      <left style="thin">
        <color auto="1"/>
      </left>
      <right style="thin">
        <color auto="1"/>
      </right>
      <top style="thin">
        <color auto="1"/>
      </top>
      <bottom style="medium">
        <color theme="1" tint="0.24994659260841701"/>
      </bottom>
      <diagonal/>
    </border>
    <border>
      <left style="thin">
        <color auto="1"/>
      </left>
      <right style="medium">
        <color theme="1" tint="0.24994659260841701"/>
      </right>
      <top style="thin">
        <color auto="1"/>
      </top>
      <bottom style="medium">
        <color theme="1" tint="0.24994659260841701"/>
      </bottom>
      <diagonal/>
    </border>
    <border>
      <left style="medium">
        <color theme="1" tint="0.24994659260841701"/>
      </left>
      <right style="medium">
        <color theme="1" tint="0.24994659260841701"/>
      </right>
      <top style="medium">
        <color theme="1" tint="0.24994659260841701"/>
      </top>
      <bottom style="thin">
        <color auto="1"/>
      </bottom>
      <diagonal/>
    </border>
    <border>
      <left style="medium">
        <color theme="1" tint="0.24994659260841701"/>
      </left>
      <right style="medium">
        <color theme="1" tint="0.24994659260841701"/>
      </right>
      <top style="thin">
        <color auto="1"/>
      </top>
      <bottom style="thin">
        <color auto="1"/>
      </bottom>
      <diagonal/>
    </border>
    <border>
      <left style="medium">
        <color theme="1" tint="0.24994659260841701"/>
      </left>
      <right style="medium">
        <color theme="1" tint="0.24994659260841701"/>
      </right>
      <top style="thin">
        <color auto="1"/>
      </top>
      <bottom style="medium">
        <color theme="1" tint="0.24994659260841701"/>
      </bottom>
      <diagonal/>
    </border>
    <border>
      <left/>
      <right style="thin">
        <color auto="1"/>
      </right>
      <top style="medium">
        <color theme="1" tint="0.24994659260841701"/>
      </top>
      <bottom/>
      <diagonal/>
    </border>
    <border>
      <left style="thick">
        <color theme="1" tint="0.24994659260841701"/>
      </left>
      <right style="medium">
        <color theme="1" tint="0.24994659260841701"/>
      </right>
      <top style="thick">
        <color theme="1" tint="0.24994659260841701"/>
      </top>
      <bottom style="medium">
        <color theme="1" tint="0.24994659260841701"/>
      </bottom>
      <diagonal/>
    </border>
    <border>
      <left style="medium">
        <color theme="1" tint="0.24994659260841701"/>
      </left>
      <right style="medium">
        <color theme="1" tint="0.24994659260841701"/>
      </right>
      <top style="thick">
        <color theme="1" tint="0.24994659260841701"/>
      </top>
      <bottom style="medium">
        <color theme="1" tint="0.24994659260841701"/>
      </bottom>
      <diagonal/>
    </border>
    <border>
      <left style="medium">
        <color theme="1" tint="0.24994659260841701"/>
      </left>
      <right style="thick">
        <color theme="1" tint="0.24994659260841701"/>
      </right>
      <top style="thick">
        <color theme="1" tint="0.24994659260841701"/>
      </top>
      <bottom style="medium">
        <color theme="1" tint="0.24994659260841701"/>
      </bottom>
      <diagonal/>
    </border>
    <border>
      <left style="thick">
        <color theme="1" tint="0.24994659260841701"/>
      </left>
      <right style="thin">
        <color auto="1"/>
      </right>
      <top style="medium">
        <color theme="1" tint="0.24994659260841701"/>
      </top>
      <bottom style="thin">
        <color auto="1"/>
      </bottom>
      <diagonal/>
    </border>
    <border>
      <left style="thin">
        <color auto="1"/>
      </left>
      <right style="thick">
        <color theme="1" tint="0.24994659260841701"/>
      </right>
      <top style="medium">
        <color theme="1" tint="0.24994659260841701"/>
      </top>
      <bottom style="thin">
        <color auto="1"/>
      </bottom>
      <diagonal/>
    </border>
    <border>
      <left style="thick">
        <color theme="1" tint="0.24994659260841701"/>
      </left>
      <right style="thin">
        <color auto="1"/>
      </right>
      <top/>
      <bottom/>
      <diagonal/>
    </border>
    <border>
      <left style="thin">
        <color auto="1"/>
      </left>
      <right style="thick">
        <color theme="1" tint="0.24994659260841701"/>
      </right>
      <top/>
      <bottom/>
      <diagonal/>
    </border>
    <border>
      <left style="thick">
        <color theme="1" tint="0.24994659260841701"/>
      </left>
      <right/>
      <top style="thin">
        <color auto="1"/>
      </top>
      <bottom style="thick">
        <color theme="1" tint="0.24994659260841701"/>
      </bottom>
      <diagonal/>
    </border>
    <border>
      <left/>
      <right/>
      <top style="thin">
        <color auto="1"/>
      </top>
      <bottom style="thick">
        <color theme="1" tint="0.24994659260841701"/>
      </bottom>
      <diagonal/>
    </border>
    <border>
      <left/>
      <right style="thick">
        <color theme="1" tint="0.24994659260841701"/>
      </right>
      <top style="thin">
        <color auto="1"/>
      </top>
      <bottom style="thick">
        <color theme="1" tint="0.24994659260841701"/>
      </bottom>
      <diagonal/>
    </border>
    <border>
      <left/>
      <right style="thin">
        <color auto="1"/>
      </right>
      <top/>
      <bottom style="thick">
        <color theme="1" tint="0.24994659260841701"/>
      </bottom>
      <diagonal/>
    </border>
    <border>
      <left style="thin">
        <color auto="1"/>
      </left>
      <right style="thin">
        <color auto="1"/>
      </right>
      <top/>
      <bottom style="thick">
        <color theme="1" tint="0.24994659260841701"/>
      </bottom>
      <diagonal/>
    </border>
    <border>
      <left style="thin">
        <color auto="1"/>
      </left>
      <right style="medium">
        <color theme="1" tint="0.24994659260841701"/>
      </right>
      <top/>
      <bottom style="thick">
        <color theme="1" tint="0.24994659260841701"/>
      </bottom>
      <diagonal/>
    </border>
    <border>
      <left style="medium">
        <color theme="1" tint="0.24994659260841701"/>
      </left>
      <right/>
      <top style="thick">
        <color theme="1" tint="0.24994659260841701"/>
      </top>
      <bottom style="medium">
        <color theme="1" tint="0.24994659260841701"/>
      </bottom>
      <diagonal/>
    </border>
    <border>
      <left/>
      <right style="medium">
        <color theme="1" tint="0.24994659260841701"/>
      </right>
      <top style="thick">
        <color theme="1" tint="0.24994659260841701"/>
      </top>
      <bottom style="medium">
        <color theme="1" tint="0.24994659260841701"/>
      </bottom>
      <diagonal/>
    </border>
    <border>
      <left style="thin">
        <color theme="3" tint="0.59996337778862885"/>
      </left>
      <right/>
      <top style="thin">
        <color theme="3" tint="0.59996337778862885"/>
      </top>
      <bottom style="thin">
        <color auto="1"/>
      </bottom>
      <diagonal/>
    </border>
    <border>
      <left/>
      <right/>
      <top style="thin">
        <color theme="3" tint="0.59996337778862885"/>
      </top>
      <bottom style="thin">
        <color auto="1"/>
      </bottom>
      <diagonal/>
    </border>
    <border>
      <left/>
      <right style="thin">
        <color theme="3" tint="0.59996337778862885"/>
      </right>
      <top style="thin">
        <color theme="3" tint="0.59996337778862885"/>
      </top>
      <bottom style="thin">
        <color auto="1"/>
      </bottom>
      <diagonal/>
    </border>
    <border>
      <left style="medium">
        <color theme="3" tint="0.59996337778862885"/>
      </left>
      <right style="thin">
        <color theme="3" tint="0.59996337778862885"/>
      </right>
      <top style="thin">
        <color theme="3" tint="0.59996337778862885"/>
      </top>
      <bottom style="thin">
        <color theme="3" tint="0.59996337778862885"/>
      </bottom>
      <diagonal/>
    </border>
    <border>
      <left style="thick">
        <color auto="1"/>
      </left>
      <right/>
      <top/>
      <bottom style="medium">
        <color theme="1"/>
      </bottom>
      <diagonal/>
    </border>
    <border>
      <left/>
      <right style="medium">
        <color auto="1"/>
      </right>
      <top/>
      <bottom style="medium">
        <color theme="1"/>
      </bottom>
      <diagonal/>
    </border>
    <border>
      <left style="thin">
        <color auto="1"/>
      </left>
      <right style="medium">
        <color auto="1"/>
      </right>
      <top/>
      <bottom style="medium">
        <color theme="1"/>
      </bottom>
      <diagonal/>
    </border>
    <border>
      <left style="thick">
        <color auto="1"/>
      </left>
      <right style="thin">
        <color auto="1"/>
      </right>
      <top/>
      <bottom style="medium">
        <color theme="1"/>
      </bottom>
      <diagonal/>
    </border>
    <border>
      <left style="medium">
        <color auto="1"/>
      </left>
      <right/>
      <top/>
      <bottom style="medium">
        <color theme="1"/>
      </bottom>
      <diagonal/>
    </border>
    <border>
      <left/>
      <right style="thin">
        <color auto="1"/>
      </right>
      <top style="thick">
        <color theme="0" tint="-0.499984740745262"/>
      </top>
      <bottom style="thick">
        <color theme="0" tint="-0.499984740745262"/>
      </bottom>
      <diagonal/>
    </border>
    <border>
      <left/>
      <right style="thin">
        <color auto="1"/>
      </right>
      <top/>
      <bottom style="thick">
        <color theme="0" tint="-0.499984740745262"/>
      </bottom>
      <diagonal/>
    </border>
    <border>
      <left style="thin">
        <color auto="1"/>
      </left>
      <right style="thin">
        <color auto="1"/>
      </right>
      <top/>
      <bottom style="thick">
        <color theme="0" tint="-0.499984740745262"/>
      </bottom>
      <diagonal/>
    </border>
    <border>
      <left/>
      <right/>
      <top style="medium">
        <color theme="0" tint="-0.499984740745262"/>
      </top>
      <bottom/>
      <diagonal/>
    </border>
    <border>
      <left style="thin">
        <color auto="1"/>
      </left>
      <right style="thick">
        <color theme="0" tint="-0.499984740745262"/>
      </right>
      <top style="thick">
        <color theme="0" tint="-0.499984740745262"/>
      </top>
      <bottom style="thick">
        <color theme="0" tint="-0.499984740745262"/>
      </bottom>
      <diagonal/>
    </border>
    <border>
      <left style="thick">
        <color theme="0" tint="-0.499984740745262"/>
      </left>
      <right/>
      <top style="medium">
        <color theme="0" tint="-0.499984740745262"/>
      </top>
      <bottom/>
      <diagonal/>
    </border>
    <border>
      <left/>
      <right style="thick">
        <color theme="0" tint="-0.499984740745262"/>
      </right>
      <top style="medium">
        <color theme="0" tint="-0.499984740745262"/>
      </top>
      <bottom/>
      <diagonal/>
    </border>
    <border>
      <left/>
      <right style="thick">
        <color theme="0" tint="-0.499984740745262"/>
      </right>
      <top style="thick">
        <color rgb="FF00FF00"/>
      </top>
      <bottom style="thick">
        <color rgb="FF00FF00"/>
      </bottom>
      <diagonal/>
    </border>
    <border>
      <left style="thick">
        <color theme="1" tint="0.499984740745262"/>
      </left>
      <right/>
      <top style="thick">
        <color theme="1" tint="0.499984740745262"/>
      </top>
      <bottom/>
      <diagonal/>
    </border>
    <border>
      <left/>
      <right/>
      <top style="thick">
        <color theme="1" tint="0.499984740745262"/>
      </top>
      <bottom/>
      <diagonal/>
    </border>
    <border>
      <left/>
      <right style="thick">
        <color theme="1" tint="0.499984740745262"/>
      </right>
      <top style="thick">
        <color theme="1" tint="0.499984740745262"/>
      </top>
      <bottom/>
      <diagonal/>
    </border>
    <border>
      <left style="thick">
        <color theme="1" tint="0.499984740745262"/>
      </left>
      <right/>
      <top/>
      <bottom/>
      <diagonal/>
    </border>
    <border>
      <left/>
      <right style="thick">
        <color theme="1" tint="0.499984740745262"/>
      </right>
      <top/>
      <bottom/>
      <diagonal/>
    </border>
    <border>
      <left style="thick">
        <color theme="1" tint="0.499984740745262"/>
      </left>
      <right/>
      <top/>
      <bottom style="thick">
        <color theme="1" tint="0.499984740745262"/>
      </bottom>
      <diagonal/>
    </border>
    <border>
      <left/>
      <right/>
      <top/>
      <bottom style="thick">
        <color theme="1" tint="0.499984740745262"/>
      </bottom>
      <diagonal/>
    </border>
    <border>
      <left/>
      <right style="thick">
        <color theme="1" tint="0.499984740745262"/>
      </right>
      <top/>
      <bottom style="thick">
        <color theme="1" tint="0.499984740745262"/>
      </bottom>
      <diagonal/>
    </border>
    <border>
      <left/>
      <right/>
      <top style="medium">
        <color theme="1"/>
      </top>
      <bottom style="thin">
        <color auto="1"/>
      </bottom>
      <diagonal/>
    </border>
    <border>
      <left style="medium">
        <color theme="8"/>
      </left>
      <right/>
      <top style="medium">
        <color theme="1"/>
      </top>
      <bottom style="thin">
        <color auto="1"/>
      </bottom>
      <diagonal/>
    </border>
    <border>
      <left/>
      <right style="medium">
        <color theme="8"/>
      </right>
      <top style="medium">
        <color theme="1"/>
      </top>
      <bottom style="thin">
        <color auto="1"/>
      </bottom>
      <diagonal/>
    </border>
    <border>
      <left style="thick">
        <color theme="1" tint="0.499984740745262"/>
      </left>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0" tint="-0.499984740745262"/>
      </left>
      <right style="thick">
        <color theme="0" tint="-0.499984740745262"/>
      </right>
      <top/>
      <bottom style="thick">
        <color theme="1" tint="0.499984740745262"/>
      </bottom>
      <diagonal/>
    </border>
    <border>
      <left style="thick">
        <color theme="0" tint="-0.499984740745262"/>
      </left>
      <right style="thick">
        <color theme="0" tint="-0.499984740745262"/>
      </right>
      <top style="thick">
        <color theme="1" tint="0.499984740745262"/>
      </top>
      <bottom/>
      <diagonal/>
    </border>
    <border>
      <left style="thick">
        <color theme="0" tint="-0.499984740745262"/>
      </left>
      <right/>
      <top/>
      <bottom style="thick">
        <color theme="1" tint="0.499984740745262"/>
      </bottom>
      <diagonal/>
    </border>
    <border>
      <left style="thick">
        <color theme="0" tint="-0.499984740745262"/>
      </left>
      <right/>
      <top style="thick">
        <color theme="1" tint="0.499984740745262"/>
      </top>
      <bottom/>
      <diagonal/>
    </border>
    <border>
      <left style="thick">
        <color theme="1" tint="0.499984740745262"/>
      </left>
      <right/>
      <top style="thick">
        <color theme="0" tint="-0.499984740745262"/>
      </top>
      <bottom style="thick">
        <color theme="0" tint="-0.499984740745262"/>
      </bottom>
      <diagonal/>
    </border>
    <border>
      <left style="thin">
        <color theme="0" tint="-0.249977111117893"/>
      </left>
      <right/>
      <top/>
      <bottom/>
      <diagonal/>
    </border>
    <border>
      <left style="thin">
        <color theme="0" tint="-0.249977111117893"/>
      </left>
      <right/>
      <top/>
      <bottom style="thin">
        <color auto="1"/>
      </bottom>
      <diagonal/>
    </border>
    <border>
      <left/>
      <right style="thin">
        <color auto="1"/>
      </right>
      <top style="thin">
        <color theme="0" tint="-0.249977111117893"/>
      </top>
      <bottom/>
      <diagonal/>
    </border>
    <border>
      <left/>
      <right style="thin">
        <color auto="1"/>
      </right>
      <top style="thin">
        <color theme="0" tint="-0.249977111117893"/>
      </top>
      <bottom style="thin">
        <color auto="1"/>
      </bottom>
      <diagonal/>
    </border>
    <border>
      <left style="thin">
        <color auto="1"/>
      </left>
      <right style="thin">
        <color auto="1"/>
      </right>
      <top/>
      <bottom style="thin">
        <color theme="0" tint="-0.249977111117893"/>
      </bottom>
      <diagonal/>
    </border>
    <border>
      <left style="thin">
        <color theme="0" tint="-0.249977111117893"/>
      </left>
      <right/>
      <top style="thin">
        <color auto="1"/>
      </top>
      <bottom style="thin">
        <color auto="1"/>
      </bottom>
      <diagonal/>
    </border>
    <border>
      <left style="thin">
        <color auto="1"/>
      </left>
      <right/>
      <top/>
      <bottom style="medium">
        <color indexed="54"/>
      </bottom>
      <diagonal/>
    </border>
    <border>
      <left/>
      <right/>
      <top/>
      <bottom style="medium">
        <color indexed="54"/>
      </bottom>
      <diagonal/>
    </border>
    <border>
      <left/>
      <right style="thin">
        <color auto="1"/>
      </right>
      <top/>
      <bottom style="medium">
        <color indexed="54"/>
      </bottom>
      <diagonal/>
    </border>
    <border>
      <left style="medium">
        <color indexed="22"/>
      </left>
      <right style="medium">
        <color indexed="22"/>
      </right>
      <top style="medium">
        <color indexed="22"/>
      </top>
      <bottom style="medium">
        <color indexed="22"/>
      </bottom>
      <diagonal/>
    </border>
    <border>
      <left/>
      <right style="medium">
        <color indexed="22"/>
      </right>
      <top style="medium">
        <color indexed="22"/>
      </top>
      <bottom/>
      <diagonal/>
    </border>
    <border>
      <left style="medium">
        <color indexed="54"/>
      </left>
      <right style="medium">
        <color indexed="54"/>
      </right>
      <top style="medium">
        <color indexed="54"/>
      </top>
      <bottom style="medium">
        <color indexed="54"/>
      </bottom>
      <diagonal/>
    </border>
    <border>
      <left style="medium">
        <color indexed="54"/>
      </left>
      <right/>
      <top style="medium">
        <color indexed="54"/>
      </top>
      <bottom style="medium">
        <color indexed="54"/>
      </bottom>
      <diagonal/>
    </border>
    <border>
      <left style="thin">
        <color auto="1"/>
      </left>
      <right style="medium">
        <color indexed="54"/>
      </right>
      <top style="medium">
        <color indexed="54"/>
      </top>
      <bottom style="medium">
        <color indexed="54"/>
      </bottom>
      <diagonal/>
    </border>
    <border>
      <left/>
      <right/>
      <top style="medium">
        <color indexed="54"/>
      </top>
      <bottom style="medium">
        <color indexed="54"/>
      </bottom>
      <diagonal/>
    </border>
    <border>
      <left style="thin">
        <color auto="1"/>
      </left>
      <right/>
      <top style="medium">
        <color indexed="54"/>
      </top>
      <bottom style="medium">
        <color indexed="54"/>
      </bottom>
      <diagonal/>
    </border>
    <border>
      <left/>
      <right style="medium">
        <color indexed="54"/>
      </right>
      <top style="medium">
        <color indexed="54"/>
      </top>
      <bottom style="medium">
        <color indexed="54"/>
      </bottom>
      <diagonal/>
    </border>
    <border>
      <left style="medium">
        <color indexed="54"/>
      </left>
      <right style="thin">
        <color auto="1"/>
      </right>
      <top style="medium">
        <color indexed="54"/>
      </top>
      <bottom/>
      <diagonal/>
    </border>
    <border>
      <left style="thin">
        <color auto="1"/>
      </left>
      <right style="thin">
        <color auto="1"/>
      </right>
      <top style="medium">
        <color indexed="54"/>
      </top>
      <bottom style="medium">
        <color indexed="54"/>
      </bottom>
      <diagonal/>
    </border>
    <border>
      <left style="medium">
        <color indexed="22"/>
      </left>
      <right/>
      <top/>
      <bottom/>
      <diagonal/>
    </border>
    <border>
      <left/>
      <right style="medium">
        <color indexed="22"/>
      </right>
      <top/>
      <bottom/>
      <diagonal/>
    </border>
    <border>
      <left style="medium">
        <color indexed="54"/>
      </left>
      <right style="thin">
        <color auto="1"/>
      </right>
      <top/>
      <bottom/>
      <diagonal/>
    </border>
    <border>
      <left style="medium">
        <color indexed="22"/>
      </left>
      <right/>
      <top/>
      <bottom style="medium">
        <color indexed="22"/>
      </bottom>
      <diagonal/>
    </border>
    <border>
      <left/>
      <right style="medium">
        <color indexed="22"/>
      </right>
      <top/>
      <bottom style="medium">
        <color indexed="22"/>
      </bottom>
      <diagonal/>
    </border>
    <border>
      <left style="medium">
        <color indexed="54"/>
      </left>
      <right style="thin">
        <color auto="1"/>
      </right>
      <top/>
      <bottom style="medium">
        <color indexed="54"/>
      </bottom>
      <diagonal/>
    </border>
    <border>
      <left style="medium">
        <color rgb="FFCCCCCC"/>
      </left>
      <right style="medium">
        <color rgb="FFCCCCCC"/>
      </right>
      <top style="medium">
        <color rgb="FFCCCCCC"/>
      </top>
      <bottom style="medium">
        <color rgb="FFCCCCCC"/>
      </bottom>
      <diagonal/>
    </border>
    <border>
      <left style="medium">
        <color indexed="22"/>
      </left>
      <right/>
      <top style="medium">
        <color indexed="22"/>
      </top>
      <bottom style="medium">
        <color indexed="22"/>
      </bottom>
      <diagonal/>
    </border>
    <border>
      <left style="thin">
        <color auto="1"/>
      </left>
      <right style="medium">
        <color indexed="22"/>
      </right>
      <top style="medium">
        <color indexed="22"/>
      </top>
      <bottom style="medium">
        <color indexed="22"/>
      </bottom>
      <diagonal/>
    </border>
    <border>
      <left/>
      <right/>
      <top style="medium">
        <color indexed="22"/>
      </top>
      <bottom style="medium">
        <color indexed="22"/>
      </bottom>
      <diagonal/>
    </border>
    <border>
      <left style="thin">
        <color auto="1"/>
      </left>
      <right/>
      <top style="medium">
        <color indexed="22"/>
      </top>
      <bottom style="medium">
        <color indexed="22"/>
      </bottom>
      <diagonal/>
    </border>
    <border>
      <left/>
      <right style="medium">
        <color indexed="22"/>
      </right>
      <top style="medium">
        <color indexed="22"/>
      </top>
      <bottom style="medium">
        <color indexed="22"/>
      </bottom>
      <diagonal/>
    </border>
    <border>
      <left style="thin">
        <color auto="1"/>
      </left>
      <right style="thin">
        <color auto="1"/>
      </right>
      <top style="medium">
        <color indexed="22"/>
      </top>
      <bottom style="medium">
        <color indexed="22"/>
      </bottom>
      <diagonal/>
    </border>
    <border>
      <left style="medium">
        <color rgb="FFCCCCCC"/>
      </left>
      <right style="medium">
        <color rgb="FFCCCCCC"/>
      </right>
      <top style="medium">
        <color rgb="FFCCCCCC"/>
      </top>
      <bottom/>
      <diagonal/>
    </border>
    <border>
      <left style="medium">
        <color indexed="54"/>
      </left>
      <right style="thin">
        <color auto="1"/>
      </right>
      <top style="medium">
        <color indexed="54"/>
      </top>
      <bottom style="medium">
        <color indexed="54"/>
      </bottom>
      <diagonal/>
    </border>
    <border>
      <left style="medium">
        <color indexed="22"/>
      </left>
      <right style="thin">
        <color auto="1"/>
      </right>
      <top style="medium">
        <color indexed="22"/>
      </top>
      <bottom style="medium">
        <color indexed="22"/>
      </bottom>
      <diagonal/>
    </border>
    <border>
      <left style="medium">
        <color rgb="FF608BB4"/>
      </left>
      <right style="medium">
        <color rgb="FF608BB4"/>
      </right>
      <top style="medium">
        <color rgb="FF608BB4"/>
      </top>
      <bottom style="medium">
        <color rgb="FF608BB4"/>
      </bottom>
      <diagonal/>
    </border>
    <border>
      <left/>
      <right style="thick">
        <color auto="1"/>
      </right>
      <top style="thin">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right style="thin">
        <color auto="1"/>
      </right>
      <top/>
      <bottom style="medium">
        <color theme="1"/>
      </bottom>
      <diagonal/>
    </border>
    <border>
      <left style="thin">
        <color auto="1"/>
      </left>
      <right style="medium">
        <color theme="3" tint="0.39991454817346722"/>
      </right>
      <top style="medium">
        <color theme="1"/>
      </top>
      <bottom style="thin">
        <color auto="1"/>
      </bottom>
      <diagonal/>
    </border>
    <border>
      <left style="medium">
        <color theme="3" tint="0.39991454817346722"/>
      </left>
      <right style="thin">
        <color auto="1"/>
      </right>
      <top style="medium">
        <color theme="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bottom style="medium">
        <color theme="1"/>
      </bottom>
      <diagonal/>
    </border>
  </borders>
  <cellStyleXfs count="151">
    <xf numFmtId="0" fontId="0" fillId="0" borderId="0"/>
    <xf numFmtId="0" fontId="8" fillId="0" borderId="0" applyNumberFormat="0" applyFill="0" applyBorder="0" applyAlignment="0" applyProtection="0"/>
    <xf numFmtId="0" fontId="9" fillId="0" borderId="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4" applyNumberFormat="0" applyAlignment="0" applyProtection="0"/>
    <xf numFmtId="0" fontId="17" fillId="6" borderId="5" applyNumberFormat="0" applyAlignment="0" applyProtection="0"/>
    <xf numFmtId="0" fontId="18" fillId="6" borderId="4" applyNumberFormat="0" applyAlignment="0" applyProtection="0"/>
    <xf numFmtId="0" fontId="19" fillId="0" borderId="6" applyNumberFormat="0" applyFill="0" applyAlignment="0" applyProtection="0"/>
    <xf numFmtId="0" fontId="20" fillId="7" borderId="7" applyNumberFormat="0" applyAlignment="0" applyProtection="0"/>
    <xf numFmtId="0" fontId="21" fillId="0" borderId="0" applyNumberFormat="0" applyFill="0" applyBorder="0" applyAlignment="0" applyProtection="0"/>
    <xf numFmtId="0" fontId="9" fillId="8" borderId="8" applyNumberFormat="0" applyFon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4" fillId="32" borderId="0" applyNumberFormat="0" applyBorder="0" applyAlignment="0" applyProtection="0"/>
    <xf numFmtId="0" fontId="25" fillId="0" borderId="0"/>
    <xf numFmtId="43" fontId="40" fillId="0" borderId="0" applyFont="0" applyFill="0" applyBorder="0" applyAlignment="0" applyProtection="0"/>
    <xf numFmtId="44" fontId="40" fillId="0" borderId="0" applyFon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39" fillId="0" borderId="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cellStyleXfs>
  <cellXfs count="2064">
    <xf numFmtId="0" fontId="0" fillId="0" borderId="0" xfId="0"/>
    <xf numFmtId="0" fontId="26" fillId="0" borderId="0" xfId="0" applyFont="1" applyFill="1" applyBorder="1"/>
    <xf numFmtId="0" fontId="26" fillId="0" borderId="0" xfId="0" applyFont="1" applyFill="1" applyBorder="1" applyAlignment="1">
      <alignment horizontal="center"/>
    </xf>
    <xf numFmtId="0" fontId="26" fillId="0" borderId="0" xfId="0" applyFont="1"/>
    <xf numFmtId="164" fontId="26" fillId="0" borderId="0" xfId="0" applyNumberFormat="1" applyFont="1"/>
    <xf numFmtId="0" fontId="26" fillId="0" borderId="0" xfId="0" applyFont="1" applyAlignment="1">
      <alignment horizontal="center"/>
    </xf>
    <xf numFmtId="0" fontId="26" fillId="0" borderId="0" xfId="0" applyFont="1" applyBorder="1"/>
    <xf numFmtId="0" fontId="26" fillId="42" borderId="0" xfId="0" applyFont="1" applyFill="1"/>
    <xf numFmtId="0" fontId="29" fillId="42" borderId="0" xfId="0" applyFont="1" applyFill="1"/>
    <xf numFmtId="0" fontId="29" fillId="42" borderId="0" xfId="0" applyFont="1" applyFill="1" applyAlignment="1">
      <alignment horizontal="center"/>
    </xf>
    <xf numFmtId="164" fontId="26" fillId="42" borderId="0" xfId="0" applyNumberFormat="1" applyFont="1" applyFill="1" applyAlignment="1">
      <alignment horizontal="center"/>
    </xf>
    <xf numFmtId="0" fontId="26" fillId="36" borderId="0" xfId="0" applyFont="1" applyFill="1"/>
    <xf numFmtId="164" fontId="26" fillId="36" borderId="0" xfId="0" applyNumberFormat="1" applyFont="1" applyFill="1" applyAlignment="1">
      <alignment horizontal="center"/>
    </xf>
    <xf numFmtId="0" fontId="26" fillId="36" borderId="0" xfId="0" applyNumberFormat="1" applyFont="1" applyFill="1"/>
    <xf numFmtId="0" fontId="26" fillId="36" borderId="0" xfId="0" applyNumberFormat="1" applyFont="1" applyFill="1" applyAlignment="1">
      <alignment horizontal="center"/>
    </xf>
    <xf numFmtId="0" fontId="26" fillId="36" borderId="0" xfId="0" applyFont="1" applyFill="1" applyAlignment="1">
      <alignment horizontal="center"/>
    </xf>
    <xf numFmtId="164" fontId="38" fillId="42" borderId="0" xfId="0" applyNumberFormat="1" applyFont="1" applyFill="1" applyAlignment="1">
      <alignment horizontal="center"/>
    </xf>
    <xf numFmtId="0" fontId="29" fillId="42" borderId="0" xfId="0" quotePrefix="1" applyFont="1" applyFill="1"/>
    <xf numFmtId="0" fontId="29" fillId="42" borderId="0" xfId="0" quotePrefix="1" applyFont="1" applyFill="1" applyAlignment="1">
      <alignment horizontal="center"/>
    </xf>
    <xf numFmtId="0" fontId="30" fillId="42" borderId="0" xfId="0" applyFont="1" applyFill="1" applyAlignment="1">
      <alignment horizontal="center"/>
    </xf>
    <xf numFmtId="0" fontId="31" fillId="42" borderId="0" xfId="0" applyFont="1" applyFill="1" applyAlignment="1">
      <alignment horizontal="center"/>
    </xf>
    <xf numFmtId="0" fontId="26" fillId="44" borderId="0" xfId="0" applyFont="1" applyFill="1"/>
    <xf numFmtId="164" fontId="26" fillId="44" borderId="0" xfId="0" applyNumberFormat="1" applyFont="1" applyFill="1" applyAlignment="1">
      <alignment horizontal="center"/>
    </xf>
    <xf numFmtId="0" fontId="26" fillId="44" borderId="0" xfId="0" applyNumberFormat="1" applyFont="1" applyFill="1"/>
    <xf numFmtId="0" fontId="26" fillId="44" borderId="0" xfId="0" applyNumberFormat="1" applyFont="1" applyFill="1" applyAlignment="1">
      <alignment horizontal="center"/>
    </xf>
    <xf numFmtId="0" fontId="26" fillId="45" borderId="0" xfId="0" applyFont="1" applyFill="1"/>
    <xf numFmtId="164" fontId="26" fillId="45" borderId="0" xfId="0" applyNumberFormat="1" applyFont="1" applyFill="1" applyAlignment="1">
      <alignment horizontal="center"/>
    </xf>
    <xf numFmtId="0" fontId="26" fillId="45" borderId="0" xfId="0" applyNumberFormat="1" applyFont="1" applyFill="1"/>
    <xf numFmtId="0" fontId="26" fillId="45" borderId="0" xfId="0" applyNumberFormat="1" applyFont="1" applyFill="1" applyAlignment="1">
      <alignment horizontal="center"/>
    </xf>
    <xf numFmtId="0" fontId="26" fillId="47" borderId="0" xfId="0" applyFont="1" applyFill="1"/>
    <xf numFmtId="164" fontId="26" fillId="47" borderId="0" xfId="0" applyNumberFormat="1" applyFont="1" applyFill="1" applyAlignment="1">
      <alignment horizontal="center"/>
    </xf>
    <xf numFmtId="0" fontId="26" fillId="47" borderId="0" xfId="0" applyNumberFormat="1" applyFont="1" applyFill="1"/>
    <xf numFmtId="0" fontId="26" fillId="47" borderId="0" xfId="0" applyNumberFormat="1" applyFont="1" applyFill="1" applyAlignment="1">
      <alignment horizontal="center"/>
    </xf>
    <xf numFmtId="164" fontId="26" fillId="48" borderId="0" xfId="0" applyNumberFormat="1" applyFont="1" applyFill="1" applyAlignment="1">
      <alignment horizontal="center"/>
    </xf>
    <xf numFmtId="0" fontId="26" fillId="48" borderId="0" xfId="0" applyNumberFormat="1" applyFont="1" applyFill="1"/>
    <xf numFmtId="0" fontId="26" fillId="48" borderId="0" xfId="0" applyNumberFormat="1" applyFont="1" applyFill="1" applyAlignment="1">
      <alignment horizontal="center"/>
    </xf>
    <xf numFmtId="0" fontId="26" fillId="48" borderId="0" xfId="0" applyFont="1" applyFill="1"/>
    <xf numFmtId="0" fontId="26" fillId="37" borderId="11" xfId="0" applyNumberFormat="1" applyFont="1" applyFill="1" applyBorder="1" applyAlignment="1">
      <alignment horizontal="center"/>
    </xf>
    <xf numFmtId="0" fontId="26" fillId="43" borderId="11" xfId="0" applyNumberFormat="1" applyFont="1" applyFill="1" applyBorder="1" applyAlignment="1">
      <alignment horizontal="center"/>
    </xf>
    <xf numFmtId="0" fontId="26" fillId="39" borderId="11" xfId="0" applyNumberFormat="1" applyFont="1" applyFill="1" applyBorder="1" applyAlignment="1">
      <alignment horizontal="center"/>
    </xf>
    <xf numFmtId="0" fontId="26" fillId="49" borderId="11" xfId="0" applyNumberFormat="1" applyFont="1" applyFill="1" applyBorder="1" applyAlignment="1">
      <alignment horizontal="center"/>
    </xf>
    <xf numFmtId="164" fontId="26" fillId="50" borderId="0" xfId="0" applyNumberFormat="1" applyFont="1" applyFill="1" applyAlignment="1">
      <alignment horizontal="center"/>
    </xf>
    <xf numFmtId="0" fontId="26" fillId="50" borderId="0" xfId="0" applyNumberFormat="1" applyFont="1" applyFill="1"/>
    <xf numFmtId="0" fontId="26" fillId="50" borderId="0" xfId="0" applyNumberFormat="1" applyFont="1" applyFill="1" applyAlignment="1">
      <alignment horizontal="center"/>
    </xf>
    <xf numFmtId="0" fontId="26" fillId="50" borderId="0" xfId="0" applyFont="1" applyFill="1"/>
    <xf numFmtId="0" fontId="26" fillId="40" borderId="11" xfId="0" applyNumberFormat="1" applyFont="1" applyFill="1" applyBorder="1" applyAlignment="1">
      <alignment horizontal="center"/>
    </xf>
    <xf numFmtId="0" fontId="36" fillId="48" borderId="0" xfId="0" applyFont="1" applyFill="1"/>
    <xf numFmtId="0" fontId="26" fillId="41" borderId="11" xfId="0" applyNumberFormat="1" applyFont="1" applyFill="1" applyBorder="1" applyAlignment="1">
      <alignment horizontal="center"/>
    </xf>
    <xf numFmtId="0" fontId="26" fillId="33" borderId="0" xfId="0" applyFont="1" applyFill="1"/>
    <xf numFmtId="0" fontId="26" fillId="41" borderId="0" xfId="0" applyFont="1" applyFill="1"/>
    <xf numFmtId="0" fontId="30" fillId="41" borderId="0" xfId="0" applyFont="1" applyFill="1" applyAlignment="1">
      <alignment horizontal="center"/>
    </xf>
    <xf numFmtId="0" fontId="31" fillId="41" borderId="0" xfId="0" applyFont="1" applyFill="1" applyAlignment="1">
      <alignment horizontal="center"/>
    </xf>
    <xf numFmtId="164" fontId="26" fillId="41" borderId="0" xfId="0" applyNumberFormat="1" applyFont="1" applyFill="1" applyAlignment="1">
      <alignment horizontal="center"/>
    </xf>
    <xf numFmtId="0" fontId="29" fillId="41" borderId="0" xfId="0" quotePrefix="1" applyFont="1" applyFill="1"/>
    <xf numFmtId="0" fontId="29" fillId="41" borderId="0" xfId="0" quotePrefix="1" applyFont="1" applyFill="1" applyAlignment="1">
      <alignment horizontal="center"/>
    </xf>
    <xf numFmtId="0" fontId="29" fillId="41" borderId="0" xfId="0" applyFont="1" applyFill="1" applyAlignment="1">
      <alignment horizontal="center"/>
    </xf>
    <xf numFmtId="0" fontId="26" fillId="0" borderId="0" xfId="0" applyFont="1" applyFill="1" applyBorder="1" applyAlignment="1"/>
    <xf numFmtId="167" fontId="38" fillId="41" borderId="0" xfId="0" applyNumberFormat="1" applyFont="1" applyFill="1" applyAlignment="1">
      <alignment horizontal="center"/>
    </xf>
    <xf numFmtId="0" fontId="26" fillId="46" borderId="0" xfId="0" applyFont="1" applyFill="1" applyBorder="1"/>
    <xf numFmtId="0" fontId="26" fillId="46" borderId="0" xfId="0" applyFont="1" applyFill="1" applyBorder="1" applyAlignment="1">
      <alignment horizontal="center"/>
    </xf>
    <xf numFmtId="0" fontId="26" fillId="46" borderId="0" xfId="0" applyFont="1" applyFill="1" applyBorder="1" applyAlignment="1"/>
    <xf numFmtId="0" fontId="27" fillId="0" borderId="0" xfId="0" applyFont="1"/>
    <xf numFmtId="0" fontId="32" fillId="36" borderId="0" xfId="0" applyFont="1" applyFill="1"/>
    <xf numFmtId="164" fontId="32" fillId="36" borderId="26" xfId="0" applyNumberFormat="1" applyFont="1" applyFill="1" applyBorder="1"/>
    <xf numFmtId="0" fontId="32" fillId="36" borderId="0" xfId="0" applyFont="1" applyFill="1" applyBorder="1"/>
    <xf numFmtId="167" fontId="32" fillId="36" borderId="23" xfId="0" applyNumberFormat="1" applyFont="1" applyFill="1" applyBorder="1"/>
    <xf numFmtId="167" fontId="32" fillId="36" borderId="0" xfId="0" applyNumberFormat="1" applyFont="1" applyFill="1" applyBorder="1"/>
    <xf numFmtId="167" fontId="32" fillId="36" borderId="24" xfId="0" applyNumberFormat="1" applyFont="1" applyFill="1" applyBorder="1"/>
    <xf numFmtId="167" fontId="32" fillId="36" borderId="25" xfId="0" applyNumberFormat="1" applyFont="1" applyFill="1" applyBorder="1"/>
    <xf numFmtId="164" fontId="32" fillId="36" borderId="0" xfId="0" applyNumberFormat="1" applyFont="1" applyFill="1" applyBorder="1"/>
    <xf numFmtId="0" fontId="32" fillId="36" borderId="29" xfId="0" applyFont="1" applyFill="1" applyBorder="1"/>
    <xf numFmtId="0" fontId="32" fillId="36" borderId="30" xfId="0" applyFont="1" applyFill="1" applyBorder="1"/>
    <xf numFmtId="0" fontId="32" fillId="36" borderId="31" xfId="0" applyFont="1" applyFill="1" applyBorder="1"/>
    <xf numFmtId="0" fontId="26" fillId="36" borderId="36" xfId="0" applyFont="1" applyFill="1" applyBorder="1" applyAlignment="1">
      <alignment horizontal="left"/>
    </xf>
    <xf numFmtId="0" fontId="32" fillId="36" borderId="31" xfId="0" applyFont="1" applyFill="1" applyBorder="1" applyAlignment="1">
      <alignment horizontal="center"/>
    </xf>
    <xf numFmtId="0" fontId="32" fillId="36" borderId="30" xfId="0" applyFont="1" applyFill="1" applyBorder="1" applyAlignment="1">
      <alignment horizontal="center"/>
    </xf>
    <xf numFmtId="0" fontId="26" fillId="36" borderId="33" xfId="0" applyFont="1" applyFill="1" applyBorder="1" applyAlignment="1">
      <alignment horizontal="left"/>
    </xf>
    <xf numFmtId="0" fontId="26" fillId="36" borderId="31" xfId="0" applyFont="1" applyFill="1" applyBorder="1"/>
    <xf numFmtId="0" fontId="26" fillId="36" borderId="32" xfId="0" applyFont="1" applyFill="1" applyBorder="1"/>
    <xf numFmtId="0" fontId="32" fillId="36" borderId="38" xfId="0" applyFont="1" applyFill="1" applyBorder="1"/>
    <xf numFmtId="0" fontId="32" fillId="36" borderId="37" xfId="0" applyFont="1" applyFill="1" applyBorder="1" applyAlignment="1">
      <alignment horizontal="left"/>
    </xf>
    <xf numFmtId="0" fontId="32" fillId="36" borderId="39" xfId="0" applyFont="1" applyFill="1" applyBorder="1"/>
    <xf numFmtId="0" fontId="32" fillId="36" borderId="39" xfId="0" applyFont="1" applyFill="1" applyBorder="1" applyAlignment="1">
      <alignment horizontal="center"/>
    </xf>
    <xf numFmtId="164" fontId="32" fillId="36" borderId="39" xfId="0" applyNumberFormat="1" applyFont="1" applyFill="1" applyBorder="1" applyAlignment="1">
      <alignment horizontal="right"/>
    </xf>
    <xf numFmtId="0" fontId="48" fillId="36" borderId="0" xfId="0" applyFont="1" applyFill="1" applyBorder="1"/>
    <xf numFmtId="0" fontId="49" fillId="36" borderId="0" xfId="0" applyFont="1" applyFill="1" applyBorder="1" applyAlignment="1">
      <alignment horizontal="center"/>
    </xf>
    <xf numFmtId="0" fontId="48" fillId="36" borderId="23" xfId="0" applyFont="1" applyFill="1" applyBorder="1"/>
    <xf numFmtId="0" fontId="48" fillId="36" borderId="33" xfId="0" applyFont="1" applyFill="1" applyBorder="1"/>
    <xf numFmtId="164" fontId="32" fillId="36" borderId="0" xfId="0" applyNumberFormat="1" applyFont="1" applyFill="1" applyBorder="1" applyAlignment="1">
      <alignment horizontal="center"/>
    </xf>
    <xf numFmtId="164" fontId="32" fillId="36" borderId="19" xfId="0" applyNumberFormat="1" applyFont="1" applyFill="1" applyBorder="1" applyAlignment="1">
      <alignment horizontal="center"/>
    </xf>
    <xf numFmtId="0" fontId="43" fillId="36" borderId="0" xfId="0" applyFont="1" applyFill="1" applyBorder="1"/>
    <xf numFmtId="164" fontId="32" fillId="36" borderId="23" xfId="0" applyNumberFormat="1" applyFont="1" applyFill="1" applyBorder="1"/>
    <xf numFmtId="0" fontId="43" fillId="36" borderId="35" xfId="0" applyFont="1" applyFill="1" applyBorder="1"/>
    <xf numFmtId="0" fontId="32" fillId="36" borderId="34" xfId="0" applyFont="1" applyFill="1" applyBorder="1"/>
    <xf numFmtId="0" fontId="32" fillId="36" borderId="35" xfId="0" applyFont="1" applyFill="1" applyBorder="1"/>
    <xf numFmtId="164" fontId="32" fillId="36" borderId="35" xfId="0" applyNumberFormat="1" applyFont="1" applyFill="1" applyBorder="1"/>
    <xf numFmtId="0" fontId="32" fillId="36" borderId="28" xfId="0" applyFont="1" applyFill="1" applyBorder="1"/>
    <xf numFmtId="0" fontId="32" fillId="36" borderId="37" xfId="0" applyFont="1" applyFill="1" applyBorder="1"/>
    <xf numFmtId="0" fontId="32" fillId="36" borderId="37" xfId="0" applyFont="1" applyFill="1" applyBorder="1" applyAlignment="1">
      <alignment horizontal="center"/>
    </xf>
    <xf numFmtId="0" fontId="32" fillId="36" borderId="35" xfId="0" applyFont="1" applyFill="1" applyBorder="1" applyAlignment="1">
      <alignment horizontal="center"/>
    </xf>
    <xf numFmtId="0" fontId="32" fillId="36" borderId="35" xfId="0" applyFont="1" applyFill="1" applyBorder="1" applyAlignment="1">
      <alignment horizontal="center" vertical="center"/>
    </xf>
    <xf numFmtId="0" fontId="32" fillId="36" borderId="34" xfId="0" applyFont="1" applyFill="1" applyBorder="1" applyAlignment="1">
      <alignment horizontal="center"/>
    </xf>
    <xf numFmtId="0" fontId="32" fillId="36" borderId="34" xfId="0" applyFont="1" applyFill="1" applyBorder="1" applyAlignment="1">
      <alignment horizontal="center" vertical="center"/>
    </xf>
    <xf numFmtId="0" fontId="26" fillId="36" borderId="0" xfId="0" applyFont="1" applyFill="1" applyBorder="1"/>
    <xf numFmtId="0" fontId="26" fillId="36" borderId="33" xfId="0" applyFont="1" applyFill="1" applyBorder="1"/>
    <xf numFmtId="0" fontId="32" fillId="36" borderId="28" xfId="0" applyFont="1" applyFill="1" applyBorder="1" applyAlignment="1">
      <alignment horizontal="center"/>
    </xf>
    <xf numFmtId="164" fontId="32" fillId="36" borderId="0" xfId="0" applyNumberFormat="1" applyFont="1" applyFill="1" applyBorder="1" applyAlignment="1"/>
    <xf numFmtId="164" fontId="32" fillId="36" borderId="30" xfId="0" applyNumberFormat="1" applyFont="1" applyFill="1" applyBorder="1" applyAlignment="1">
      <alignment horizontal="center"/>
    </xf>
    <xf numFmtId="164" fontId="47" fillId="36" borderId="0" xfId="0" applyNumberFormat="1" applyFont="1" applyFill="1" applyBorder="1" applyAlignment="1">
      <alignment horizontal="center"/>
    </xf>
    <xf numFmtId="0" fontId="26" fillId="36" borderId="33" xfId="0" applyFont="1" applyFill="1" applyBorder="1" applyAlignment="1">
      <alignment horizontal="center"/>
    </xf>
    <xf numFmtId="0" fontId="28" fillId="34" borderId="28" xfId="0" applyFont="1" applyFill="1" applyBorder="1" applyAlignment="1">
      <alignment horizontal="center"/>
    </xf>
    <xf numFmtId="0" fontId="32" fillId="36" borderId="28" xfId="0" applyFont="1" applyFill="1" applyBorder="1" applyAlignment="1">
      <alignment horizontal="left"/>
    </xf>
    <xf numFmtId="164" fontId="32" fillId="36" borderId="28" xfId="0" applyNumberFormat="1" applyFont="1" applyFill="1" applyBorder="1" applyAlignment="1">
      <alignment horizontal="center"/>
    </xf>
    <xf numFmtId="3" fontId="32" fillId="52" borderId="28" xfId="0" applyNumberFormat="1" applyFont="1" applyFill="1" applyBorder="1" applyAlignment="1">
      <alignment horizontal="center"/>
    </xf>
    <xf numFmtId="0" fontId="32" fillId="52" borderId="38" xfId="0" applyFont="1" applyFill="1" applyBorder="1" applyAlignment="1">
      <alignment horizontal="centerContinuous"/>
    </xf>
    <xf numFmtId="0" fontId="32" fillId="52" borderId="39" xfId="0" applyFont="1" applyFill="1" applyBorder="1" applyAlignment="1">
      <alignment horizontal="centerContinuous"/>
    </xf>
    <xf numFmtId="0" fontId="32" fillId="52" borderId="37" xfId="0" applyFont="1" applyFill="1" applyBorder="1" applyAlignment="1">
      <alignment horizontal="centerContinuous"/>
    </xf>
    <xf numFmtId="0" fontId="48" fillId="36" borderId="45" xfId="0" applyFont="1" applyFill="1" applyBorder="1"/>
    <xf numFmtId="164" fontId="32" fillId="36" borderId="45" xfId="0" applyNumberFormat="1" applyFont="1" applyFill="1" applyBorder="1" applyAlignment="1">
      <alignment horizontal="center"/>
    </xf>
    <xf numFmtId="164" fontId="32" fillId="36" borderId="46" xfId="0" applyNumberFormat="1" applyFont="1" applyFill="1" applyBorder="1" applyAlignment="1">
      <alignment horizontal="center"/>
    </xf>
    <xf numFmtId="0" fontId="26" fillId="0" borderId="0" xfId="0" applyFont="1" applyFill="1"/>
    <xf numFmtId="0" fontId="26" fillId="50" borderId="0" xfId="0" applyFont="1" applyFill="1" applyAlignment="1">
      <alignment horizontal="center"/>
    </xf>
    <xf numFmtId="164" fontId="26" fillId="50" borderId="0" xfId="0" applyNumberFormat="1" applyFont="1" applyFill="1"/>
    <xf numFmtId="0" fontId="37" fillId="50" borderId="0" xfId="0" applyFont="1" applyFill="1" applyBorder="1" applyAlignment="1">
      <alignment horizontal="center"/>
    </xf>
    <xf numFmtId="0" fontId="26" fillId="50" borderId="0" xfId="0" applyFont="1" applyFill="1" applyBorder="1"/>
    <xf numFmtId="164" fontId="26" fillId="50" borderId="0" xfId="0" applyNumberFormat="1" applyFont="1" applyFill="1" applyBorder="1"/>
    <xf numFmtId="0" fontId="51" fillId="50" borderId="0" xfId="0" applyFont="1" applyFill="1" applyBorder="1" applyAlignment="1">
      <alignment horizontal="center" vertical="center"/>
    </xf>
    <xf numFmtId="0" fontId="32" fillId="50" borderId="0" xfId="0" applyFont="1" applyFill="1" applyBorder="1" applyAlignment="1">
      <alignment horizontal="left"/>
    </xf>
    <xf numFmtId="0" fontId="26" fillId="50" borderId="0" xfId="0" applyFont="1" applyFill="1" applyBorder="1" applyAlignment="1">
      <alignment horizontal="left"/>
    </xf>
    <xf numFmtId="0" fontId="48" fillId="50" borderId="0" xfId="0" applyFont="1" applyFill="1" applyBorder="1"/>
    <xf numFmtId="164" fontId="32" fillId="50" borderId="0" xfId="0" applyNumberFormat="1" applyFont="1" applyFill="1" applyBorder="1"/>
    <xf numFmtId="164" fontId="32" fillId="50" borderId="0" xfId="0" applyNumberFormat="1" applyFont="1" applyFill="1" applyBorder="1" applyAlignment="1">
      <alignment horizontal="center"/>
    </xf>
    <xf numFmtId="164" fontId="32" fillId="36" borderId="47" xfId="0" applyNumberFormat="1" applyFont="1" applyFill="1" applyBorder="1" applyAlignment="1">
      <alignment horizontal="center"/>
    </xf>
    <xf numFmtId="164" fontId="32" fillId="36" borderId="18" xfId="0" applyNumberFormat="1" applyFont="1" applyFill="1" applyBorder="1" applyAlignment="1">
      <alignment horizontal="center"/>
    </xf>
    <xf numFmtId="164" fontId="32" fillId="36" borderId="27" xfId="0" applyNumberFormat="1" applyFont="1" applyFill="1" applyBorder="1" applyAlignment="1">
      <alignment horizontal="center"/>
    </xf>
    <xf numFmtId="167" fontId="32" fillId="36" borderId="30" xfId="0" applyNumberFormat="1" applyFont="1" applyFill="1" applyBorder="1"/>
    <xf numFmtId="0" fontId="0" fillId="48" borderId="0" xfId="0" applyFill="1"/>
    <xf numFmtId="0" fontId="45" fillId="48" borderId="0" xfId="0" applyFont="1" applyFill="1"/>
    <xf numFmtId="0" fontId="46" fillId="48" borderId="0" xfId="0" applyFont="1" applyFill="1"/>
    <xf numFmtId="0" fontId="0" fillId="50" borderId="0" xfId="0" applyFill="1"/>
    <xf numFmtId="0" fontId="52" fillId="50" borderId="0" xfId="0" applyFont="1" applyFill="1"/>
    <xf numFmtId="0" fontId="41" fillId="50" borderId="0" xfId="0" applyFont="1" applyFill="1"/>
    <xf numFmtId="0" fontId="53" fillId="0" borderId="0" xfId="0" applyFont="1"/>
    <xf numFmtId="164" fontId="53" fillId="0" borderId="0" xfId="0" applyNumberFormat="1" applyFont="1"/>
    <xf numFmtId="164" fontId="53" fillId="0" borderId="11" xfId="0" applyNumberFormat="1" applyFont="1" applyBorder="1"/>
    <xf numFmtId="164" fontId="53" fillId="0" borderId="15" xfId="0" applyNumberFormat="1" applyFont="1" applyBorder="1" applyAlignment="1">
      <alignment horizontal="center"/>
    </xf>
    <xf numFmtId="164" fontId="53" fillId="33" borderId="0" xfId="0" applyNumberFormat="1" applyFont="1" applyFill="1" applyBorder="1"/>
    <xf numFmtId="164" fontId="53" fillId="33" borderId="23" xfId="0" applyNumberFormat="1" applyFont="1" applyFill="1" applyBorder="1"/>
    <xf numFmtId="0" fontId="53" fillId="33" borderId="26" xfId="0" applyFont="1" applyFill="1" applyBorder="1"/>
    <xf numFmtId="164" fontId="53" fillId="33" borderId="26" xfId="0" applyNumberFormat="1" applyFont="1" applyFill="1" applyBorder="1"/>
    <xf numFmtId="0" fontId="53" fillId="33" borderId="26" xfId="0" applyNumberFormat="1" applyFont="1" applyFill="1" applyBorder="1"/>
    <xf numFmtId="0" fontId="53" fillId="33" borderId="0" xfId="0" applyNumberFormat="1" applyFont="1" applyFill="1" applyBorder="1"/>
    <xf numFmtId="0" fontId="53" fillId="33" borderId="23" xfId="0" applyNumberFormat="1" applyFont="1" applyFill="1" applyBorder="1"/>
    <xf numFmtId="164" fontId="53" fillId="33" borderId="0" xfId="0" applyNumberFormat="1" applyFont="1" applyFill="1"/>
    <xf numFmtId="164" fontId="53" fillId="33" borderId="15" xfId="0" applyNumberFormat="1" applyFont="1" applyFill="1" applyBorder="1"/>
    <xf numFmtId="164" fontId="53" fillId="33" borderId="22" xfId="0" applyNumberFormat="1" applyFont="1" applyFill="1" applyBorder="1"/>
    <xf numFmtId="164" fontId="53" fillId="33" borderId="16" xfId="0" applyNumberFormat="1" applyFont="1" applyFill="1" applyBorder="1"/>
    <xf numFmtId="0" fontId="53" fillId="33" borderId="15" xfId="0" applyNumberFormat="1" applyFont="1" applyFill="1" applyBorder="1"/>
    <xf numFmtId="0" fontId="53" fillId="33" borderId="22" xfId="0" applyNumberFormat="1" applyFont="1" applyFill="1" applyBorder="1"/>
    <xf numFmtId="0" fontId="53" fillId="33" borderId="16" xfId="0" applyNumberFormat="1" applyFont="1" applyFill="1" applyBorder="1"/>
    <xf numFmtId="0" fontId="53" fillId="0" borderId="0" xfId="0" applyFont="1" applyFill="1" applyBorder="1"/>
    <xf numFmtId="164" fontId="30" fillId="0" borderId="0" xfId="0" applyNumberFormat="1" applyFont="1" applyFill="1" applyBorder="1"/>
    <xf numFmtId="164" fontId="53" fillId="36" borderId="0" xfId="0" applyNumberFormat="1" applyFont="1" applyFill="1"/>
    <xf numFmtId="164" fontId="31" fillId="33" borderId="0" xfId="0" applyNumberFormat="1" applyFont="1" applyFill="1"/>
    <xf numFmtId="165" fontId="32" fillId="36" borderId="0" xfId="0" applyNumberFormat="1" applyFont="1" applyFill="1" applyBorder="1"/>
    <xf numFmtId="164" fontId="32" fillId="36" borderId="31" xfId="0" applyNumberFormat="1" applyFont="1" applyFill="1" applyBorder="1"/>
    <xf numFmtId="0" fontId="26" fillId="38" borderId="0" xfId="0" applyFont="1" applyFill="1"/>
    <xf numFmtId="0" fontId="56" fillId="0" borderId="0" xfId="0" applyNumberFormat="1" applyFont="1" applyFill="1" applyBorder="1" applyAlignment="1" applyProtection="1"/>
    <xf numFmtId="0" fontId="56" fillId="0" borderId="0" xfId="44" applyNumberFormat="1" applyFont="1" applyFill="1" applyBorder="1" applyAlignment="1" applyProtection="1">
      <alignment horizontal="right"/>
    </xf>
    <xf numFmtId="49" fontId="56" fillId="0" borderId="0" xfId="44" applyNumberFormat="1" applyFont="1" applyFill="1" applyBorder="1" applyAlignment="1" applyProtection="1"/>
    <xf numFmtId="3" fontId="56" fillId="0" borderId="0" xfId="44" applyNumberFormat="1" applyFont="1" applyFill="1" applyBorder="1" applyAlignment="1" applyProtection="1"/>
    <xf numFmtId="0" fontId="53" fillId="36" borderId="0" xfId="0" applyFont="1" applyFill="1"/>
    <xf numFmtId="0" fontId="53" fillId="48" borderId="0" xfId="0" applyFont="1" applyFill="1"/>
    <xf numFmtId="0" fontId="57" fillId="48" borderId="28" xfId="0" applyFont="1" applyFill="1" applyBorder="1" applyAlignment="1">
      <alignment horizontal="center"/>
    </xf>
    <xf numFmtId="0" fontId="57" fillId="48" borderId="38" xfId="0" applyFont="1" applyFill="1" applyBorder="1" applyAlignment="1">
      <alignment horizontal="right"/>
    </xf>
    <xf numFmtId="0" fontId="57" fillId="48" borderId="37" xfId="0" applyFont="1" applyFill="1" applyBorder="1"/>
    <xf numFmtId="0" fontId="57" fillId="48" borderId="0" xfId="0" applyFont="1" applyFill="1"/>
    <xf numFmtId="0" fontId="58" fillId="48" borderId="0" xfId="0" applyFont="1" applyFill="1"/>
    <xf numFmtId="0" fontId="57" fillId="48" borderId="39" xfId="0" applyFont="1" applyFill="1" applyBorder="1"/>
    <xf numFmtId="0" fontId="57" fillId="48" borderId="37" xfId="0" applyFont="1" applyFill="1" applyBorder="1" applyAlignment="1">
      <alignment horizontal="left"/>
    </xf>
    <xf numFmtId="0" fontId="57" fillId="48" borderId="38" xfId="0" applyFont="1" applyFill="1" applyBorder="1"/>
    <xf numFmtId="0" fontId="57" fillId="48" borderId="38" xfId="0" applyFont="1" applyFill="1" applyBorder="1" applyAlignment="1">
      <alignment horizontal="centerContinuous"/>
    </xf>
    <xf numFmtId="0" fontId="57" fillId="48" borderId="37" xfId="0" applyFont="1" applyFill="1" applyBorder="1" applyAlignment="1">
      <alignment horizontal="centerContinuous"/>
    </xf>
    <xf numFmtId="0" fontId="57" fillId="48" borderId="30" xfId="0" applyFont="1" applyFill="1" applyBorder="1"/>
    <xf numFmtId="0" fontId="57" fillId="48" borderId="34" xfId="0" applyFont="1" applyFill="1" applyBorder="1"/>
    <xf numFmtId="0" fontId="57" fillId="48" borderId="39" xfId="0" applyFont="1" applyFill="1" applyBorder="1" applyAlignment="1">
      <alignment horizontal="centerContinuous"/>
    </xf>
    <xf numFmtId="0" fontId="28" fillId="37" borderId="11" xfId="0" applyNumberFormat="1" applyFont="1" applyFill="1" applyBorder="1" applyAlignment="1">
      <alignment horizontal="center"/>
    </xf>
    <xf numFmtId="0" fontId="28" fillId="37" borderId="11" xfId="0" applyNumberFormat="1" applyFont="1" applyFill="1" applyBorder="1"/>
    <xf numFmtId="0" fontId="28" fillId="37" borderId="11" xfId="0" applyFont="1" applyFill="1" applyBorder="1"/>
    <xf numFmtId="0" fontId="36" fillId="37" borderId="11" xfId="0" applyNumberFormat="1" applyFont="1" applyFill="1" applyBorder="1" applyAlignment="1">
      <alignment horizontal="center"/>
    </xf>
    <xf numFmtId="0" fontId="28" fillId="43" borderId="11" xfId="0" applyNumberFormat="1" applyFont="1" applyFill="1" applyBorder="1" applyAlignment="1">
      <alignment horizontal="center"/>
    </xf>
    <xf numFmtId="0" fontId="28" fillId="43" borderId="11" xfId="0" applyNumberFormat="1" applyFont="1" applyFill="1" applyBorder="1"/>
    <xf numFmtId="0" fontId="28" fillId="43" borderId="11" xfId="0" applyFont="1" applyFill="1" applyBorder="1"/>
    <xf numFmtId="0" fontId="28" fillId="41" borderId="11" xfId="0" applyNumberFormat="1" applyFont="1" applyFill="1" applyBorder="1" applyAlignment="1">
      <alignment horizontal="center"/>
    </xf>
    <xf numFmtId="0" fontId="28" fillId="41" borderId="11" xfId="0" applyNumberFormat="1" applyFont="1" applyFill="1" applyBorder="1"/>
    <xf numFmtId="0" fontId="28" fillId="41" borderId="11" xfId="0" applyFont="1" applyFill="1" applyBorder="1"/>
    <xf numFmtId="0" fontId="28" fillId="39" borderId="11" xfId="0" applyNumberFormat="1" applyFont="1" applyFill="1" applyBorder="1" applyAlignment="1">
      <alignment horizontal="center"/>
    </xf>
    <xf numFmtId="0" fontId="28" fillId="39" borderId="11" xfId="0" applyNumberFormat="1" applyFont="1" applyFill="1" applyBorder="1"/>
    <xf numFmtId="0" fontId="28" fillId="39" borderId="11" xfId="0" applyFont="1" applyFill="1" applyBorder="1"/>
    <xf numFmtId="0" fontId="28" fillId="49" borderId="11" xfId="0" applyNumberFormat="1" applyFont="1" applyFill="1" applyBorder="1" applyAlignment="1">
      <alignment horizontal="center"/>
    </xf>
    <xf numFmtId="0" fontId="28" fillId="49" borderId="11" xfId="0" applyNumberFormat="1" applyFont="1" applyFill="1" applyBorder="1"/>
    <xf numFmtId="0" fontId="28" fillId="49" borderId="11" xfId="0" applyFont="1" applyFill="1" applyBorder="1"/>
    <xf numFmtId="0" fontId="28" fillId="40" borderId="11" xfId="0" applyNumberFormat="1" applyFont="1" applyFill="1" applyBorder="1" applyAlignment="1">
      <alignment horizontal="center"/>
    </xf>
    <xf numFmtId="0" fontId="28" fillId="40" borderId="11" xfId="0" applyNumberFormat="1" applyFont="1" applyFill="1" applyBorder="1"/>
    <xf numFmtId="0" fontId="28" fillId="40" borderId="11" xfId="0" applyFont="1" applyFill="1" applyBorder="1"/>
    <xf numFmtId="165" fontId="32" fillId="36" borderId="0" xfId="0" applyNumberFormat="1" applyFont="1" applyFill="1" applyBorder="1" applyAlignment="1">
      <alignment horizontal="center"/>
    </xf>
    <xf numFmtId="0" fontId="32" fillId="36" borderId="48" xfId="0" applyFont="1" applyFill="1" applyBorder="1"/>
    <xf numFmtId="0" fontId="32" fillId="36" borderId="45" xfId="0" applyFont="1" applyFill="1" applyBorder="1"/>
    <xf numFmtId="0" fontId="32" fillId="36" borderId="45" xfId="0" applyFont="1" applyFill="1" applyBorder="1" applyAlignment="1">
      <alignment horizontal="center"/>
    </xf>
    <xf numFmtId="0" fontId="32" fillId="36" borderId="49" xfId="0" applyFont="1" applyFill="1" applyBorder="1" applyAlignment="1">
      <alignment horizontal="center"/>
    </xf>
    <xf numFmtId="0" fontId="47" fillId="36" borderId="35" xfId="0" applyFont="1" applyFill="1" applyBorder="1" applyAlignment="1">
      <alignment horizontal="center"/>
    </xf>
    <xf numFmtId="164" fontId="47" fillId="36" borderId="35" xfId="0" applyNumberFormat="1" applyFont="1" applyFill="1" applyBorder="1" applyAlignment="1">
      <alignment horizontal="center"/>
    </xf>
    <xf numFmtId="0" fontId="43" fillId="36" borderId="31" xfId="0" applyFont="1" applyFill="1" applyBorder="1" applyAlignment="1">
      <alignment horizontal="center"/>
    </xf>
    <xf numFmtId="0" fontId="26" fillId="36" borderId="32" xfId="0" applyFont="1" applyFill="1" applyBorder="1" applyAlignment="1">
      <alignment horizontal="center"/>
    </xf>
    <xf numFmtId="0" fontId="26" fillId="36" borderId="36" xfId="0" applyFont="1" applyFill="1" applyBorder="1"/>
    <xf numFmtId="0" fontId="49" fillId="36" borderId="31" xfId="0" applyFont="1" applyFill="1" applyBorder="1" applyAlignment="1">
      <alignment horizontal="center"/>
    </xf>
    <xf numFmtId="0" fontId="49" fillId="36" borderId="0" xfId="0" applyFont="1" applyFill="1" applyBorder="1" applyAlignment="1"/>
    <xf numFmtId="0" fontId="48" fillId="36" borderId="31" xfId="0" applyFont="1" applyFill="1" applyBorder="1" applyAlignment="1"/>
    <xf numFmtId="0" fontId="48" fillId="36" borderId="0" xfId="0" applyFont="1" applyFill="1" applyBorder="1" applyAlignment="1"/>
    <xf numFmtId="164" fontId="47" fillId="36" borderId="0" xfId="0" applyNumberFormat="1" applyFont="1" applyFill="1" applyBorder="1" applyAlignment="1"/>
    <xf numFmtId="164" fontId="32" fillId="36" borderId="31" xfId="0" applyNumberFormat="1" applyFont="1" applyFill="1" applyBorder="1" applyAlignment="1"/>
    <xf numFmtId="0" fontId="26" fillId="36" borderId="31" xfId="0" applyFont="1" applyFill="1" applyBorder="1" applyAlignment="1">
      <alignment horizontal="center"/>
    </xf>
    <xf numFmtId="0" fontId="26" fillId="36" borderId="35" xfId="0" applyFont="1" applyFill="1" applyBorder="1"/>
    <xf numFmtId="0" fontId="48" fillId="36" borderId="31" xfId="0" applyFont="1" applyFill="1" applyBorder="1" applyAlignment="1">
      <alignment horizontal="center"/>
    </xf>
    <xf numFmtId="0" fontId="48" fillId="36" borderId="31" xfId="0" applyFont="1" applyFill="1" applyBorder="1"/>
    <xf numFmtId="165" fontId="26" fillId="36" borderId="33" xfId="0" applyNumberFormat="1" applyFont="1" applyFill="1" applyBorder="1"/>
    <xf numFmtId="165" fontId="26" fillId="36" borderId="36" xfId="0" applyNumberFormat="1" applyFont="1" applyFill="1" applyBorder="1" applyAlignment="1">
      <alignment horizontal="center"/>
    </xf>
    <xf numFmtId="164" fontId="30" fillId="54" borderId="18" xfId="0" applyNumberFormat="1" applyFont="1" applyFill="1" applyBorder="1"/>
    <xf numFmtId="164" fontId="30" fillId="54" borderId="21" xfId="0" applyNumberFormat="1" applyFont="1" applyFill="1" applyBorder="1"/>
    <xf numFmtId="164" fontId="30" fillId="54" borderId="19" xfId="0" applyNumberFormat="1" applyFont="1" applyFill="1" applyBorder="1"/>
    <xf numFmtId="167" fontId="30" fillId="54" borderId="18" xfId="0" applyNumberFormat="1" applyFont="1" applyFill="1" applyBorder="1"/>
    <xf numFmtId="167" fontId="53" fillId="33" borderId="0" xfId="0" applyNumberFormat="1" applyFont="1" applyFill="1" applyBorder="1"/>
    <xf numFmtId="167" fontId="30" fillId="54" borderId="21" xfId="0" applyNumberFormat="1" applyFont="1" applyFill="1" applyBorder="1"/>
    <xf numFmtId="167" fontId="53" fillId="33" borderId="23" xfId="0" applyNumberFormat="1" applyFont="1" applyFill="1" applyBorder="1"/>
    <xf numFmtId="167" fontId="30" fillId="54" borderId="19" xfId="0" applyNumberFormat="1" applyFont="1" applyFill="1" applyBorder="1"/>
    <xf numFmtId="0" fontId="47" fillId="36" borderId="39" xfId="0" applyFont="1" applyFill="1" applyBorder="1" applyAlignment="1">
      <alignment horizontal="center"/>
    </xf>
    <xf numFmtId="167" fontId="47" fillId="36" borderId="35" xfId="0" applyNumberFormat="1" applyFont="1" applyFill="1" applyBorder="1" applyAlignment="1">
      <alignment horizontal="center"/>
    </xf>
    <xf numFmtId="0" fontId="26" fillId="36" borderId="36" xfId="0" applyFont="1" applyFill="1" applyBorder="1" applyAlignment="1">
      <alignment horizontal="center"/>
    </xf>
    <xf numFmtId="165" fontId="26" fillId="36" borderId="33" xfId="0" applyNumberFormat="1" applyFont="1" applyFill="1" applyBorder="1" applyAlignment="1">
      <alignment horizontal="center"/>
    </xf>
    <xf numFmtId="167" fontId="32" fillId="36" borderId="31" xfId="0" applyNumberFormat="1" applyFont="1" applyFill="1" applyBorder="1"/>
    <xf numFmtId="167" fontId="26" fillId="37" borderId="11" xfId="0" applyNumberFormat="1" applyFont="1" applyFill="1" applyBorder="1" applyAlignment="1">
      <alignment horizontal="center"/>
    </xf>
    <xf numFmtId="0" fontId="26" fillId="46" borderId="0" xfId="0" applyFont="1" applyFill="1"/>
    <xf numFmtId="0" fontId="26" fillId="46" borderId="0" xfId="0" applyFont="1" applyFill="1" applyAlignment="1">
      <alignment horizontal="center"/>
    </xf>
    <xf numFmtId="0" fontId="59" fillId="36" borderId="33" xfId="0" applyFont="1" applyFill="1" applyBorder="1" applyAlignment="1">
      <alignment horizontal="center"/>
    </xf>
    <xf numFmtId="165" fontId="59" fillId="36" borderId="32" xfId="0" applyNumberFormat="1" applyFont="1" applyFill="1" applyBorder="1"/>
    <xf numFmtId="0" fontId="59" fillId="36" borderId="32" xfId="0" applyFont="1" applyFill="1" applyBorder="1"/>
    <xf numFmtId="0" fontId="59" fillId="36" borderId="32" xfId="0" applyFont="1" applyFill="1" applyBorder="1" applyAlignment="1">
      <alignment horizontal="center"/>
    </xf>
    <xf numFmtId="167" fontId="53" fillId="33" borderId="26" xfId="0" applyNumberFormat="1" applyFont="1" applyFill="1" applyBorder="1"/>
    <xf numFmtId="0" fontId="53" fillId="33" borderId="0" xfId="0" applyFont="1" applyFill="1" applyBorder="1"/>
    <xf numFmtId="0" fontId="26" fillId="38" borderId="0" xfId="0" applyFont="1" applyFill="1" applyAlignment="1">
      <alignment horizontal="center"/>
    </xf>
    <xf numFmtId="0" fontId="26" fillId="38" borderId="0" xfId="0" applyFont="1" applyFill="1" applyBorder="1" applyAlignment="1">
      <alignment horizontal="center"/>
    </xf>
    <xf numFmtId="0" fontId="0" fillId="50" borderId="0" xfId="0" applyFill="1" applyAlignment="1"/>
    <xf numFmtId="0" fontId="57" fillId="50" borderId="28" xfId="0" applyFont="1" applyFill="1" applyBorder="1" applyAlignment="1">
      <alignment horizontal="center"/>
    </xf>
    <xf numFmtId="0" fontId="57" fillId="50" borderId="38" xfId="0" applyFont="1" applyFill="1" applyBorder="1" applyAlignment="1">
      <alignment horizontal="right"/>
    </xf>
    <xf numFmtId="0" fontId="57" fillId="50" borderId="37" xfId="0" applyFont="1" applyFill="1" applyBorder="1"/>
    <xf numFmtId="0" fontId="57" fillId="50" borderId="39" xfId="0" applyFont="1" applyFill="1" applyBorder="1"/>
    <xf numFmtId="0" fontId="57" fillId="50" borderId="37" xfId="0" applyFont="1" applyFill="1" applyBorder="1" applyAlignment="1">
      <alignment horizontal="left"/>
    </xf>
    <xf numFmtId="0" fontId="57" fillId="50" borderId="30" xfId="0" applyFont="1" applyFill="1" applyBorder="1"/>
    <xf numFmtId="0" fontId="57" fillId="50" borderId="34" xfId="0" applyFont="1" applyFill="1" applyBorder="1"/>
    <xf numFmtId="0" fontId="57" fillId="50" borderId="0" xfId="0" applyFont="1" applyFill="1"/>
    <xf numFmtId="0" fontId="57" fillId="50" borderId="38" xfId="0" applyFont="1" applyFill="1" applyBorder="1"/>
    <xf numFmtId="0" fontId="57" fillId="50" borderId="38" xfId="0" applyFont="1" applyFill="1" applyBorder="1" applyAlignment="1">
      <alignment horizontal="centerContinuous"/>
    </xf>
    <xf numFmtId="0" fontId="57" fillId="50" borderId="39" xfId="0" applyFont="1" applyFill="1" applyBorder="1" applyAlignment="1">
      <alignment horizontal="centerContinuous"/>
    </xf>
    <xf numFmtId="0" fontId="57" fillId="50" borderId="39" xfId="0" applyFont="1" applyFill="1" applyBorder="1" applyAlignment="1">
      <alignment horizontal="left"/>
    </xf>
    <xf numFmtId="0" fontId="57" fillId="50" borderId="0" xfId="0" applyFont="1" applyFill="1" applyBorder="1"/>
    <xf numFmtId="0" fontId="26" fillId="0" borderId="0" xfId="0" applyFont="1" applyProtection="1"/>
    <xf numFmtId="0" fontId="26" fillId="38" borderId="0" xfId="0" applyFont="1" applyFill="1" applyProtection="1"/>
    <xf numFmtId="0" fontId="38" fillId="38" borderId="0" xfId="0" applyFont="1" applyFill="1" applyProtection="1"/>
    <xf numFmtId="0" fontId="26" fillId="38" borderId="0" xfId="0" applyFont="1" applyFill="1" applyAlignment="1" applyProtection="1">
      <alignment horizontal="center"/>
    </xf>
    <xf numFmtId="0" fontId="60" fillId="38" borderId="0" xfId="0" applyFont="1" applyFill="1" applyAlignment="1" applyProtection="1">
      <alignment horizontal="left"/>
    </xf>
    <xf numFmtId="0" fontId="30" fillId="38" borderId="0" xfId="0" applyFont="1" applyFill="1" applyProtection="1"/>
    <xf numFmtId="0" fontId="26" fillId="0" borderId="0" xfId="0" applyFont="1" applyFill="1" applyBorder="1" applyProtection="1"/>
    <xf numFmtId="0" fontId="26" fillId="0" borderId="0" xfId="0" applyFont="1" applyFill="1" applyProtection="1"/>
    <xf numFmtId="0" fontId="51" fillId="50" borderId="0" xfId="0" applyFont="1" applyFill="1" applyAlignment="1">
      <alignment vertical="center"/>
    </xf>
    <xf numFmtId="0" fontId="42" fillId="50" borderId="0" xfId="0" applyFont="1" applyFill="1"/>
    <xf numFmtId="0" fontId="61" fillId="50" borderId="0" xfId="0" applyFont="1" applyFill="1"/>
    <xf numFmtId="0" fontId="32" fillId="36" borderId="28" xfId="0" applyFont="1" applyFill="1" applyBorder="1" applyAlignment="1">
      <alignment horizontal="center"/>
    </xf>
    <xf numFmtId="0" fontId="0" fillId="0" borderId="0" xfId="0"/>
    <xf numFmtId="0" fontId="34" fillId="37" borderId="11" xfId="0" applyNumberFormat="1" applyFont="1" applyFill="1" applyBorder="1" applyAlignment="1">
      <alignment horizontal="center"/>
    </xf>
    <xf numFmtId="0" fontId="36" fillId="36" borderId="0" xfId="0" applyNumberFormat="1" applyFont="1" applyFill="1"/>
    <xf numFmtId="0" fontId="50" fillId="42" borderId="0" xfId="0" applyFont="1" applyFill="1"/>
    <xf numFmtId="0" fontId="50" fillId="42" borderId="0" xfId="0" quotePrefix="1" applyFont="1" applyFill="1"/>
    <xf numFmtId="0" fontId="36" fillId="45" borderId="0" xfId="0" applyNumberFormat="1" applyFont="1" applyFill="1"/>
    <xf numFmtId="0" fontId="34" fillId="43" borderId="11" xfId="0" applyNumberFormat="1" applyFont="1" applyFill="1" applyBorder="1" applyAlignment="1">
      <alignment horizontal="center"/>
    </xf>
    <xf numFmtId="0" fontId="36" fillId="47" borderId="0" xfId="0" applyNumberFormat="1" applyFont="1" applyFill="1"/>
    <xf numFmtId="0" fontId="34" fillId="41" borderId="11" xfId="0" applyNumberFormat="1" applyFont="1" applyFill="1" applyBorder="1" applyAlignment="1">
      <alignment horizontal="center"/>
    </xf>
    <xf numFmtId="0" fontId="36" fillId="44" borderId="0" xfId="0" applyNumberFormat="1" applyFont="1" applyFill="1"/>
    <xf numFmtId="0" fontId="34" fillId="39" borderId="11" xfId="0" applyNumberFormat="1" applyFont="1" applyFill="1" applyBorder="1" applyAlignment="1">
      <alignment horizontal="center"/>
    </xf>
    <xf numFmtId="0" fontId="36" fillId="48" borderId="0" xfId="0" applyNumberFormat="1" applyFont="1" applyFill="1"/>
    <xf numFmtId="0" fontId="34" fillId="49" borderId="11" xfId="0" applyNumberFormat="1" applyFont="1" applyFill="1" applyBorder="1" applyAlignment="1">
      <alignment horizontal="center"/>
    </xf>
    <xf numFmtId="0" fontId="36" fillId="50" borderId="0" xfId="0" applyNumberFormat="1" applyFont="1" applyFill="1"/>
    <xf numFmtId="0" fontId="34" fillId="40" borderId="11" xfId="0" applyNumberFormat="1" applyFont="1" applyFill="1" applyBorder="1" applyAlignment="1">
      <alignment horizontal="center"/>
    </xf>
    <xf numFmtId="0" fontId="32" fillId="36" borderId="0" xfId="0" applyFont="1" applyFill="1" applyAlignment="1">
      <alignment horizontal="left"/>
    </xf>
    <xf numFmtId="0" fontId="57" fillId="48" borderId="39" xfId="0" applyFont="1" applyFill="1" applyBorder="1" applyAlignment="1">
      <alignment horizontal="center"/>
    </xf>
    <xf numFmtId="0" fontId="0" fillId="48" borderId="39" xfId="0" applyFill="1" applyBorder="1"/>
    <xf numFmtId="0" fontId="0" fillId="48" borderId="37" xfId="0" applyFill="1" applyBorder="1"/>
    <xf numFmtId="0" fontId="57" fillId="48" borderId="38" xfId="0" applyFont="1" applyFill="1" applyBorder="1" applyAlignment="1">
      <alignment horizontal="left"/>
    </xf>
    <xf numFmtId="0" fontId="32" fillId="36" borderId="31" xfId="0" applyFont="1" applyFill="1" applyBorder="1" applyAlignment="1">
      <alignment horizontal="left"/>
    </xf>
    <xf numFmtId="0" fontId="32" fillId="36" borderId="0" xfId="0" applyFont="1" applyFill="1" applyBorder="1" applyAlignment="1">
      <alignment horizontal="left"/>
    </xf>
    <xf numFmtId="0" fontId="0" fillId="0" borderId="0" xfId="0"/>
    <xf numFmtId="0" fontId="32" fillId="36" borderId="0" xfId="0" applyFont="1" applyFill="1" applyBorder="1" applyAlignment="1">
      <alignment horizontal="center"/>
    </xf>
    <xf numFmtId="0" fontId="32" fillId="36" borderId="28" xfId="0" applyFont="1" applyFill="1" applyBorder="1" applyAlignment="1">
      <alignment horizontal="center"/>
    </xf>
    <xf numFmtId="0" fontId="32" fillId="36" borderId="29" xfId="0" applyFont="1" applyFill="1" applyBorder="1" applyAlignment="1">
      <alignment horizontal="left"/>
    </xf>
    <xf numFmtId="0" fontId="32" fillId="36" borderId="30" xfId="0" applyFont="1" applyFill="1" applyBorder="1" applyAlignment="1">
      <alignment horizontal="left"/>
    </xf>
    <xf numFmtId="0" fontId="32" fillId="36" borderId="38" xfId="0" applyFont="1" applyFill="1" applyBorder="1" applyAlignment="1">
      <alignment horizontal="center"/>
    </xf>
    <xf numFmtId="0" fontId="32" fillId="36" borderId="39" xfId="0" applyFont="1" applyFill="1" applyBorder="1" applyAlignment="1">
      <alignment horizontal="center"/>
    </xf>
    <xf numFmtId="0" fontId="32" fillId="36" borderId="37" xfId="0" applyFont="1" applyFill="1" applyBorder="1" applyAlignment="1">
      <alignment horizontal="center"/>
    </xf>
    <xf numFmtId="0" fontId="32" fillId="36" borderId="36" xfId="0" applyFont="1" applyFill="1" applyBorder="1" applyAlignment="1">
      <alignment horizontal="center"/>
    </xf>
    <xf numFmtId="0" fontId="0" fillId="51" borderId="0" xfId="0" applyFill="1"/>
    <xf numFmtId="0" fontId="0" fillId="36" borderId="0" xfId="0" applyFill="1"/>
    <xf numFmtId="0" fontId="0" fillId="47" borderId="0" xfId="0" applyFill="1"/>
    <xf numFmtId="0" fontId="67" fillId="0" borderId="0" xfId="0" applyFont="1" applyFill="1" applyBorder="1"/>
    <xf numFmtId="0" fontId="67" fillId="0" borderId="0" xfId="0" applyFont="1"/>
    <xf numFmtId="0" fontId="0" fillId="51" borderId="0" xfId="0" applyFill="1" applyBorder="1"/>
    <xf numFmtId="0" fontId="70" fillId="0" borderId="0" xfId="0" applyFont="1" applyFill="1" applyAlignment="1">
      <alignment vertical="top" wrapText="1"/>
    </xf>
    <xf numFmtId="0" fontId="69" fillId="51" borderId="0" xfId="0" applyFont="1" applyFill="1" applyAlignment="1">
      <alignment vertical="top" wrapText="1"/>
    </xf>
    <xf numFmtId="0" fontId="0" fillId="0" borderId="0" xfId="0"/>
    <xf numFmtId="0" fontId="26" fillId="55" borderId="0" xfId="0" applyFont="1" applyFill="1"/>
    <xf numFmtId="0" fontId="30" fillId="55" borderId="0" xfId="0" applyFont="1" applyFill="1" applyAlignment="1">
      <alignment horizontal="center"/>
    </xf>
    <xf numFmtId="0" fontId="31" fillId="55" borderId="0" xfId="0" applyFont="1" applyFill="1" applyAlignment="1">
      <alignment horizontal="center"/>
    </xf>
    <xf numFmtId="164" fontId="38" fillId="55" borderId="0" xfId="0" applyNumberFormat="1" applyFont="1" applyFill="1" applyAlignment="1">
      <alignment horizontal="center"/>
    </xf>
    <xf numFmtId="164" fontId="26" fillId="55" borderId="0" xfId="0" applyNumberFormat="1" applyFont="1" applyFill="1" applyAlignment="1">
      <alignment horizontal="center"/>
    </xf>
    <xf numFmtId="0" fontId="29" fillId="55" borderId="0" xfId="0" applyFont="1" applyFill="1"/>
    <xf numFmtId="0" fontId="29" fillId="55" borderId="0" xfId="0" applyFont="1" applyFill="1" applyAlignment="1">
      <alignment horizontal="center"/>
    </xf>
    <xf numFmtId="0" fontId="50" fillId="55" borderId="0" xfId="0" applyFont="1" applyFill="1"/>
    <xf numFmtId="0" fontId="26" fillId="57" borderId="0" xfId="0" applyFont="1" applyFill="1" applyAlignment="1">
      <alignment horizontal="center"/>
    </xf>
    <xf numFmtId="0" fontId="32" fillId="57" borderId="28" xfId="0" applyFont="1" applyFill="1" applyBorder="1" applyAlignment="1">
      <alignment horizontal="center"/>
    </xf>
    <xf numFmtId="164" fontId="32" fillId="57" borderId="28" xfId="0" applyNumberFormat="1" applyFont="1" applyFill="1" applyBorder="1" applyAlignment="1">
      <alignment horizontal="center"/>
    </xf>
    <xf numFmtId="164" fontId="26" fillId="57" borderId="0" xfId="0" applyNumberFormat="1" applyFont="1" applyFill="1" applyAlignment="1">
      <alignment horizontal="center"/>
    </xf>
    <xf numFmtId="0" fontId="26" fillId="57" borderId="0" xfId="0" applyFont="1" applyFill="1"/>
    <xf numFmtId="0" fontId="26" fillId="57" borderId="0" xfId="0" applyNumberFormat="1" applyFont="1" applyFill="1"/>
    <xf numFmtId="0" fontId="26" fillId="57" borderId="0" xfId="0" applyNumberFormat="1" applyFont="1" applyFill="1" applyAlignment="1">
      <alignment horizontal="center"/>
    </xf>
    <xf numFmtId="0" fontId="36" fillId="57" borderId="0" xfId="0" applyNumberFormat="1" applyFont="1" applyFill="1"/>
    <xf numFmtId="164" fontId="26" fillId="55" borderId="0" xfId="0" applyNumberFormat="1" applyFont="1" applyFill="1" applyAlignment="1">
      <alignment horizontal="left"/>
    </xf>
    <xf numFmtId="0" fontId="48" fillId="36" borderId="45" xfId="0" applyFont="1" applyFill="1" applyBorder="1" applyAlignment="1">
      <alignment horizontal="center"/>
    </xf>
    <xf numFmtId="0" fontId="32" fillId="36" borderId="55" xfId="0" applyFont="1" applyFill="1" applyBorder="1"/>
    <xf numFmtId="0" fontId="49" fillId="36" borderId="55" xfId="0" applyFont="1" applyFill="1" applyBorder="1" applyAlignment="1">
      <alignment horizontal="center"/>
    </xf>
    <xf numFmtId="164" fontId="32" fillId="36" borderId="55" xfId="0" applyNumberFormat="1" applyFont="1" applyFill="1" applyBorder="1"/>
    <xf numFmtId="0" fontId="32" fillId="36" borderId="55" xfId="0" applyFont="1" applyFill="1" applyBorder="1" applyAlignment="1">
      <alignment horizontal="center"/>
    </xf>
    <xf numFmtId="0" fontId="32" fillId="36" borderId="54" xfId="0" applyFont="1" applyFill="1" applyBorder="1" applyAlignment="1">
      <alignment horizontal="center"/>
    </xf>
    <xf numFmtId="0" fontId="32" fillId="36" borderId="56" xfId="0" applyFont="1" applyFill="1" applyBorder="1"/>
    <xf numFmtId="0" fontId="32" fillId="36" borderId="54" xfId="0" applyFont="1" applyFill="1" applyBorder="1"/>
    <xf numFmtId="165" fontId="32" fillId="36" borderId="55" xfId="0" applyNumberFormat="1" applyFont="1" applyFill="1" applyBorder="1" applyAlignment="1">
      <alignment horizontal="center"/>
    </xf>
    <xf numFmtId="164" fontId="47" fillId="36" borderId="54" xfId="0" applyNumberFormat="1" applyFont="1" applyFill="1" applyBorder="1" applyAlignment="1">
      <alignment horizontal="center"/>
    </xf>
    <xf numFmtId="0" fontId="43" fillId="36" borderId="56" xfId="0" applyFont="1" applyFill="1" applyBorder="1" applyAlignment="1">
      <alignment horizontal="center"/>
    </xf>
    <xf numFmtId="0" fontId="43" fillId="36" borderId="55" xfId="0" applyFont="1" applyFill="1" applyBorder="1"/>
    <xf numFmtId="0" fontId="43" fillId="36" borderId="54" xfId="0" applyFont="1" applyFill="1" applyBorder="1"/>
    <xf numFmtId="0" fontId="49" fillId="36" borderId="56" xfId="0" applyFont="1" applyFill="1" applyBorder="1" applyAlignment="1">
      <alignment horizontal="center"/>
    </xf>
    <xf numFmtId="0" fontId="49" fillId="36" borderId="55" xfId="0" applyFont="1" applyFill="1" applyBorder="1" applyAlignment="1"/>
    <xf numFmtId="0" fontId="48" fillId="36" borderId="56" xfId="0" applyFont="1" applyFill="1" applyBorder="1" applyAlignment="1"/>
    <xf numFmtId="164" fontId="47" fillId="36" borderId="55" xfId="0" applyNumberFormat="1" applyFont="1" applyFill="1" applyBorder="1" applyAlignment="1">
      <alignment horizontal="center"/>
    </xf>
    <xf numFmtId="164" fontId="47" fillId="36" borderId="55" xfId="0" applyNumberFormat="1" applyFont="1" applyFill="1" applyBorder="1" applyAlignment="1"/>
    <xf numFmtId="164" fontId="32" fillId="36" borderId="54" xfId="0" applyNumberFormat="1" applyFont="1" applyFill="1" applyBorder="1"/>
    <xf numFmtId="0" fontId="32" fillId="36" borderId="56" xfId="0" applyFont="1" applyFill="1" applyBorder="1" applyAlignment="1">
      <alignment horizontal="left"/>
    </xf>
    <xf numFmtId="0" fontId="32" fillId="36" borderId="55" xfId="0" applyFont="1" applyFill="1" applyBorder="1" applyAlignment="1">
      <alignment horizontal="left"/>
    </xf>
    <xf numFmtId="0" fontId="62" fillId="36" borderId="28" xfId="0" applyFont="1" applyFill="1" applyBorder="1" applyAlignment="1">
      <alignment horizontal="center"/>
    </xf>
    <xf numFmtId="3" fontId="32" fillId="52" borderId="38" xfId="0" applyNumberFormat="1" applyFont="1" applyFill="1" applyBorder="1" applyAlignment="1">
      <alignment horizontal="center"/>
    </xf>
    <xf numFmtId="0" fontId="7" fillId="51" borderId="0" xfId="0" applyFont="1" applyFill="1" applyBorder="1"/>
    <xf numFmtId="166" fontId="74" fillId="51" borderId="0" xfId="0" applyNumberFormat="1" applyFont="1" applyFill="1" applyBorder="1"/>
    <xf numFmtId="0" fontId="0" fillId="0" borderId="0" xfId="0" applyFill="1"/>
    <xf numFmtId="3" fontId="55" fillId="56" borderId="57" xfId="0" applyNumberFormat="1" applyFont="1" applyFill="1" applyBorder="1" applyAlignment="1">
      <alignment horizontal="center"/>
    </xf>
    <xf numFmtId="0" fontId="55" fillId="56" borderId="57" xfId="0" applyFont="1" applyFill="1" applyBorder="1" applyAlignment="1">
      <alignment horizontal="left"/>
    </xf>
    <xf numFmtId="164" fontId="55" fillId="56" borderId="57" xfId="0" applyNumberFormat="1" applyFont="1" applyFill="1" applyBorder="1" applyAlignment="1">
      <alignment horizontal="left"/>
    </xf>
    <xf numFmtId="0" fontId="47" fillId="36" borderId="33" xfId="0" applyFont="1" applyFill="1" applyBorder="1" applyAlignment="1">
      <alignment horizontal="center"/>
    </xf>
    <xf numFmtId="0" fontId="26" fillId="37" borderId="16" xfId="0" applyNumberFormat="1" applyFont="1" applyFill="1" applyBorder="1" applyAlignment="1">
      <alignment horizontal="center"/>
    </xf>
    <xf numFmtId="167" fontId="26" fillId="37" borderId="16" xfId="0" applyNumberFormat="1" applyFont="1" applyFill="1" applyBorder="1" applyAlignment="1">
      <alignment horizontal="center"/>
    </xf>
    <xf numFmtId="0" fontId="84" fillId="33" borderId="0" xfId="0" applyFont="1" applyFill="1" applyAlignment="1">
      <alignment vertical="center"/>
    </xf>
    <xf numFmtId="0" fontId="5" fillId="33" borderId="0" xfId="0" applyFont="1" applyFill="1" applyAlignment="1">
      <alignment vertical="center"/>
    </xf>
    <xf numFmtId="0" fontId="5" fillId="51" borderId="0" xfId="0" applyFont="1" applyFill="1" applyBorder="1" applyAlignment="1">
      <alignment vertical="center" wrapText="1"/>
    </xf>
    <xf numFmtId="0" fontId="5" fillId="51" borderId="0" xfId="0" applyFont="1" applyFill="1" applyBorder="1" applyAlignment="1">
      <alignment horizontal="center" vertical="center"/>
    </xf>
    <xf numFmtId="0" fontId="85" fillId="33" borderId="22" xfId="0" applyFont="1" applyFill="1" applyBorder="1" applyAlignment="1">
      <alignment horizontal="center" vertical="center" wrapText="1"/>
    </xf>
    <xf numFmtId="0" fontId="76" fillId="33" borderId="11" xfId="0" applyFont="1" applyFill="1" applyBorder="1" applyAlignment="1">
      <alignment horizontal="center" vertical="center"/>
    </xf>
    <xf numFmtId="0" fontId="0" fillId="0" borderId="0" xfId="0"/>
    <xf numFmtId="0" fontId="0" fillId="0" borderId="0" xfId="0"/>
    <xf numFmtId="0" fontId="62" fillId="36" borderId="41" xfId="0" applyFont="1" applyFill="1" applyBorder="1"/>
    <xf numFmtId="0" fontId="38" fillId="38" borderId="0" xfId="0" applyFont="1" applyFill="1" applyBorder="1" applyProtection="1"/>
    <xf numFmtId="164" fontId="30" fillId="61" borderId="15" xfId="0" applyNumberFormat="1" applyFont="1" applyFill="1" applyBorder="1" applyAlignment="1">
      <alignment horizontal="center"/>
    </xf>
    <xf numFmtId="0" fontId="0" fillId="0" borderId="0" xfId="0" applyFill="1" applyBorder="1"/>
    <xf numFmtId="0" fontId="62" fillId="36" borderId="28" xfId="0" applyFont="1" applyFill="1" applyBorder="1"/>
    <xf numFmtId="0" fontId="62" fillId="36" borderId="65" xfId="0" applyFont="1" applyFill="1" applyBorder="1"/>
    <xf numFmtId="0" fontId="0" fillId="0" borderId="0" xfId="0"/>
    <xf numFmtId="0" fontId="69" fillId="38" borderId="0" xfId="0" applyFont="1" applyFill="1" applyAlignment="1">
      <alignment horizontal="centerContinuous" vertical="center"/>
    </xf>
    <xf numFmtId="0" fontId="87" fillId="38" borderId="0" xfId="0" applyFont="1" applyFill="1" applyAlignment="1">
      <alignment vertical="top"/>
    </xf>
    <xf numFmtId="0" fontId="87" fillId="38" borderId="0" xfId="0" applyFont="1" applyFill="1" applyAlignment="1">
      <alignment vertical="top" wrapText="1"/>
    </xf>
    <xf numFmtId="0" fontId="87" fillId="38" borderId="0" xfId="0" applyFont="1" applyFill="1" applyAlignment="1"/>
    <xf numFmtId="0" fontId="89" fillId="38" borderId="0" xfId="0" applyFont="1" applyFill="1" applyAlignment="1">
      <alignment vertical="center"/>
    </xf>
    <xf numFmtId="0" fontId="90" fillId="38" borderId="0" xfId="0" applyFont="1" applyFill="1" applyAlignment="1">
      <alignment vertical="center"/>
    </xf>
    <xf numFmtId="0" fontId="0" fillId="0" borderId="0" xfId="0"/>
    <xf numFmtId="0" fontId="67" fillId="33" borderId="0" xfId="0" applyFont="1" applyFill="1"/>
    <xf numFmtId="0" fontId="0" fillId="33" borderId="0" xfId="0" applyFill="1"/>
    <xf numFmtId="0" fontId="0" fillId="47" borderId="0" xfId="0" applyFill="1" applyProtection="1"/>
    <xf numFmtId="0" fontId="0" fillId="51" borderId="0" xfId="0" applyFill="1" applyProtection="1"/>
    <xf numFmtId="0" fontId="0" fillId="36" borderId="0" xfId="0" applyFill="1" applyProtection="1"/>
    <xf numFmtId="0" fontId="67" fillId="33" borderId="0" xfId="0" applyFont="1" applyFill="1" applyProtection="1"/>
    <xf numFmtId="0" fontId="0" fillId="33" borderId="0" xfId="0" applyFill="1" applyProtection="1"/>
    <xf numFmtId="0" fontId="63" fillId="36" borderId="0" xfId="0" applyFont="1" applyFill="1" applyBorder="1" applyAlignment="1" applyProtection="1">
      <alignment vertical="center"/>
    </xf>
    <xf numFmtId="0" fontId="63" fillId="36" borderId="51" xfId="0" applyFont="1" applyFill="1" applyBorder="1" applyAlignment="1">
      <alignment vertical="center"/>
    </xf>
    <xf numFmtId="0" fontId="63" fillId="36" borderId="66" xfId="0" applyFont="1" applyFill="1" applyBorder="1" applyAlignment="1" applyProtection="1">
      <alignment vertical="center"/>
    </xf>
    <xf numFmtId="0" fontId="63" fillId="36" borderId="67" xfId="0" applyFont="1" applyFill="1" applyBorder="1" applyAlignment="1" applyProtection="1">
      <alignment vertical="center"/>
    </xf>
    <xf numFmtId="0" fontId="36" fillId="0" borderId="0" xfId="0" applyFont="1" applyFill="1" applyAlignment="1" applyProtection="1">
      <alignment vertical="top" wrapText="1"/>
      <protection locked="0"/>
    </xf>
    <xf numFmtId="0" fontId="63" fillId="36" borderId="68" xfId="0" applyFont="1" applyFill="1" applyBorder="1" applyAlignment="1" applyProtection="1">
      <alignment vertical="center"/>
    </xf>
    <xf numFmtId="0" fontId="63" fillId="36" borderId="69" xfId="0" applyFont="1" applyFill="1" applyBorder="1" applyAlignment="1" applyProtection="1">
      <alignment vertical="center"/>
    </xf>
    <xf numFmtId="0" fontId="26" fillId="47" borderId="0" xfId="0" applyFont="1" applyFill="1" applyProtection="1"/>
    <xf numFmtId="0" fontId="26" fillId="36" borderId="66" xfId="0" applyFont="1" applyFill="1" applyBorder="1" applyProtection="1"/>
    <xf numFmtId="0" fontId="26" fillId="36" borderId="51" xfId="0" applyFont="1" applyFill="1" applyBorder="1" applyProtection="1"/>
    <xf numFmtId="0" fontId="26" fillId="36" borderId="67" xfId="0" applyFont="1" applyFill="1" applyBorder="1" applyProtection="1"/>
    <xf numFmtId="0" fontId="44" fillId="51" borderId="0" xfId="0" applyFont="1" applyFill="1" applyAlignment="1" applyProtection="1">
      <alignment vertical="center" textRotation="90"/>
    </xf>
    <xf numFmtId="0" fontId="26" fillId="51" borderId="0" xfId="0" applyFont="1" applyFill="1" applyProtection="1"/>
    <xf numFmtId="0" fontId="26" fillId="33" borderId="0" xfId="0" applyFont="1" applyFill="1" applyProtection="1"/>
    <xf numFmtId="0" fontId="44" fillId="51" borderId="0" xfId="0" applyFont="1" applyFill="1" applyBorder="1" applyAlignment="1" applyProtection="1">
      <alignment vertical="center" textRotation="90"/>
    </xf>
    <xf numFmtId="0" fontId="26" fillId="51" borderId="0" xfId="0" applyFont="1" applyFill="1" applyBorder="1" applyProtection="1"/>
    <xf numFmtId="0" fontId="82" fillId="38" borderId="0" xfId="0" applyFont="1" applyFill="1" applyBorder="1" applyAlignment="1" applyProtection="1">
      <alignment vertical="center"/>
    </xf>
    <xf numFmtId="0" fontId="26" fillId="60" borderId="0" xfId="0" applyFont="1" applyFill="1" applyProtection="1"/>
    <xf numFmtId="0" fontId="26" fillId="36" borderId="0" xfId="0" applyFont="1" applyFill="1" applyProtection="1"/>
    <xf numFmtId="0" fontId="26" fillId="33" borderId="0" xfId="0" applyFont="1" applyFill="1" applyBorder="1" applyProtection="1"/>
    <xf numFmtId="0" fontId="34" fillId="60" borderId="0" xfId="0" applyFont="1" applyFill="1" applyBorder="1" applyAlignment="1" applyProtection="1">
      <alignment vertical="center"/>
    </xf>
    <xf numFmtId="0" fontId="32" fillId="33" borderId="0" xfId="0" applyFont="1" applyFill="1" applyBorder="1" applyAlignment="1" applyProtection="1"/>
    <xf numFmtId="0" fontId="28" fillId="33" borderId="0" xfId="0" applyFont="1" applyFill="1" applyBorder="1" applyAlignment="1" applyProtection="1"/>
    <xf numFmtId="0" fontId="76" fillId="60" borderId="0" xfId="0" applyFont="1" applyFill="1" applyAlignment="1" applyProtection="1">
      <alignment vertical="top" wrapText="1"/>
    </xf>
    <xf numFmtId="0" fontId="82" fillId="33" borderId="0" xfId="0" applyFont="1" applyFill="1" applyAlignment="1" applyProtection="1">
      <alignment vertical="top" wrapText="1"/>
    </xf>
    <xf numFmtId="0" fontId="26" fillId="33" borderId="0" xfId="0" applyFont="1" applyFill="1" applyAlignment="1" applyProtection="1">
      <alignment horizontal="right"/>
    </xf>
    <xf numFmtId="0" fontId="36" fillId="33" borderId="0" xfId="0" applyFont="1" applyFill="1" applyAlignment="1" applyProtection="1">
      <alignment vertical="top" wrapText="1"/>
    </xf>
    <xf numFmtId="0" fontId="0" fillId="0" borderId="0" xfId="0" applyAlignment="1">
      <alignment wrapText="1"/>
    </xf>
    <xf numFmtId="2" fontId="93" fillId="0" borderId="0" xfId="0" applyNumberFormat="1" applyFont="1" applyFill="1" applyBorder="1" applyAlignment="1">
      <alignment horizontal="center"/>
    </xf>
    <xf numFmtId="0" fontId="64" fillId="0" borderId="0" xfId="0" applyFont="1" applyFill="1" applyBorder="1" applyAlignment="1">
      <alignment vertical="top"/>
    </xf>
    <xf numFmtId="0" fontId="65" fillId="0" borderId="0" xfId="0" applyFont="1" applyFill="1" applyBorder="1" applyAlignment="1">
      <alignment vertical="top"/>
    </xf>
    <xf numFmtId="0" fontId="63" fillId="0" borderId="0" xfId="0" applyFont="1" applyFill="1" applyBorder="1" applyAlignment="1">
      <alignment vertical="center"/>
    </xf>
    <xf numFmtId="0" fontId="69" fillId="0" borderId="0" xfId="0" applyFont="1" applyFill="1" applyAlignment="1">
      <alignment horizontal="centerContinuous" vertical="center"/>
    </xf>
    <xf numFmtId="0" fontId="9" fillId="0" borderId="0" xfId="0" applyFont="1"/>
    <xf numFmtId="0" fontId="70" fillId="0" borderId="0" xfId="0" applyFont="1" applyFill="1" applyAlignment="1"/>
    <xf numFmtId="5" fontId="29" fillId="0" borderId="0" xfId="0" applyNumberFormat="1" applyFont="1" applyFill="1" applyAlignment="1">
      <alignment horizontal="right"/>
    </xf>
    <xf numFmtId="5" fontId="29" fillId="0" borderId="0" xfId="0" applyNumberFormat="1" applyFont="1" applyFill="1"/>
    <xf numFmtId="0" fontId="65" fillId="0" borderId="0" xfId="0" applyFont="1" applyFill="1" applyBorder="1" applyAlignment="1">
      <alignment horizontal="left" vertical="top"/>
    </xf>
    <xf numFmtId="0" fontId="63" fillId="36" borderId="66" xfId="0" applyFont="1" applyFill="1" applyBorder="1" applyAlignment="1">
      <alignment vertical="center"/>
    </xf>
    <xf numFmtId="0" fontId="63" fillId="36" borderId="67" xfId="0" applyFont="1" applyFill="1" applyBorder="1" applyAlignment="1">
      <alignment vertical="center"/>
    </xf>
    <xf numFmtId="0" fontId="63" fillId="36" borderId="0" xfId="0" applyFont="1" applyFill="1" applyAlignment="1">
      <alignment vertical="center"/>
    </xf>
    <xf numFmtId="0" fontId="63" fillId="0" borderId="0" xfId="0" applyFont="1" applyFill="1" applyAlignment="1">
      <alignment vertical="center"/>
    </xf>
    <xf numFmtId="0" fontId="95" fillId="60" borderId="0" xfId="0" applyFont="1" applyFill="1" applyAlignment="1" applyProtection="1">
      <alignment vertical="top"/>
    </xf>
    <xf numFmtId="0" fontId="29" fillId="63" borderId="0" xfId="0" applyFont="1" applyFill="1" applyBorder="1" applyAlignment="1">
      <alignment wrapText="1"/>
    </xf>
    <xf numFmtId="0" fontId="70" fillId="33" borderId="0" xfId="0" applyFont="1" applyFill="1" applyAlignment="1">
      <alignment vertical="top" wrapText="1"/>
    </xf>
    <xf numFmtId="0" fontId="9" fillId="33" borderId="0" xfId="0" applyFont="1" applyFill="1" applyAlignment="1">
      <alignment horizontal="center"/>
    </xf>
    <xf numFmtId="0" fontId="94" fillId="51" borderId="0" xfId="0" applyFont="1" applyFill="1" applyBorder="1"/>
    <xf numFmtId="0" fontId="69" fillId="0" borderId="0" xfId="0" applyFont="1" applyFill="1" applyAlignment="1">
      <alignment vertical="top" wrapText="1"/>
    </xf>
    <xf numFmtId="0" fontId="69" fillId="0" borderId="0" xfId="0" applyFont="1" applyFill="1" applyAlignment="1"/>
    <xf numFmtId="0" fontId="83" fillId="51" borderId="0" xfId="0" applyFont="1" applyFill="1" applyBorder="1"/>
    <xf numFmtId="5" fontId="94" fillId="51" borderId="0" xfId="0" applyNumberFormat="1" applyFont="1" applyFill="1" applyBorder="1"/>
    <xf numFmtId="0" fontId="0" fillId="60" borderId="0" xfId="0" applyFill="1" applyProtection="1"/>
    <xf numFmtId="0" fontId="0" fillId="60" borderId="0" xfId="0" applyFill="1"/>
    <xf numFmtId="0" fontId="47" fillId="51" borderId="0" xfId="0" applyFont="1" applyFill="1" applyBorder="1"/>
    <xf numFmtId="0" fontId="98" fillId="0" borderId="0" xfId="0" applyFont="1" applyFill="1" applyBorder="1" applyAlignment="1">
      <alignment vertical="center"/>
    </xf>
    <xf numFmtId="0" fontId="70" fillId="0" borderId="0" xfId="0" applyFont="1" applyFill="1" applyBorder="1" applyAlignment="1">
      <alignment vertical="top" wrapText="1"/>
    </xf>
    <xf numFmtId="0" fontId="68" fillId="0" borderId="0" xfId="0" applyFont="1" applyFill="1" applyBorder="1" applyAlignment="1">
      <alignment vertical="top" wrapText="1"/>
    </xf>
    <xf numFmtId="0" fontId="71" fillId="0" borderId="0" xfId="0" applyFont="1" applyFill="1" applyBorder="1" applyAlignment="1"/>
    <xf numFmtId="0" fontId="78" fillId="33" borderId="0" xfId="0" applyFont="1" applyFill="1"/>
    <xf numFmtId="0" fontId="94" fillId="51" borderId="0" xfId="0" applyFont="1" applyFill="1" applyBorder="1" applyAlignment="1">
      <alignment horizontal="right"/>
    </xf>
    <xf numFmtId="0" fontId="29" fillId="51" borderId="0" xfId="0" applyFont="1" applyFill="1" applyBorder="1" applyAlignment="1" applyProtection="1"/>
    <xf numFmtId="0" fontId="53" fillId="51" borderId="0" xfId="0" applyFont="1" applyFill="1" applyBorder="1" applyProtection="1"/>
    <xf numFmtId="0" fontId="30" fillId="58" borderId="0" xfId="0" applyFont="1" applyFill="1"/>
    <xf numFmtId="5" fontId="29" fillId="34" borderId="0" xfId="0" applyNumberFormat="1" applyFont="1" applyFill="1" applyBorder="1" applyAlignment="1">
      <alignment horizontal="right"/>
    </xf>
    <xf numFmtId="5" fontId="29" fillId="34" borderId="0" xfId="0" applyNumberFormat="1" applyFont="1" applyFill="1" applyBorder="1"/>
    <xf numFmtId="0" fontId="29" fillId="34" borderId="0" xfId="0" applyFont="1" applyFill="1" applyBorder="1" applyAlignment="1" applyProtection="1">
      <protection locked="0"/>
    </xf>
    <xf numFmtId="0" fontId="29" fillId="34" borderId="0" xfId="0" applyFont="1" applyFill="1" applyBorder="1" applyAlignment="1" applyProtection="1">
      <alignment horizontal="left"/>
      <protection locked="0"/>
    </xf>
    <xf numFmtId="0" fontId="53" fillId="51" borderId="0" xfId="0" applyFont="1" applyFill="1" applyBorder="1" applyAlignment="1" applyProtection="1"/>
    <xf numFmtId="0" fontId="30" fillId="58" borderId="0" xfId="0" applyFont="1" applyFill="1" applyAlignment="1">
      <alignment horizontal="center"/>
    </xf>
    <xf numFmtId="5" fontId="30" fillId="58" borderId="0" xfId="0" applyNumberFormat="1" applyFont="1" applyFill="1" applyAlignment="1">
      <alignment wrapText="1"/>
    </xf>
    <xf numFmtId="5" fontId="30" fillId="58" borderId="0" xfId="0" applyNumberFormat="1" applyFont="1" applyFill="1" applyAlignment="1">
      <alignment horizontal="right"/>
    </xf>
    <xf numFmtId="5" fontId="30" fillId="58" borderId="0" xfId="0" applyNumberFormat="1" applyFont="1" applyFill="1"/>
    <xf numFmtId="0" fontId="47" fillId="51" borderId="0" xfId="0" applyFont="1" applyFill="1" applyBorder="1" applyAlignment="1">
      <alignment horizontal="left" wrapText="1"/>
    </xf>
    <xf numFmtId="0" fontId="47" fillId="51" borderId="0" xfId="0" applyNumberFormat="1" applyFont="1" applyFill="1" applyBorder="1" applyAlignment="1">
      <alignment wrapText="1"/>
    </xf>
    <xf numFmtId="2" fontId="47" fillId="51" borderId="0" xfId="0" applyNumberFormat="1" applyFont="1" applyFill="1" applyBorder="1" applyAlignment="1">
      <alignment horizontal="center"/>
    </xf>
    <xf numFmtId="0" fontId="47" fillId="51" borderId="0" xfId="0" applyNumberFormat="1" applyFont="1" applyFill="1" applyBorder="1" applyAlignment="1">
      <alignment horizontal="center"/>
    </xf>
    <xf numFmtId="5" fontId="47" fillId="51" borderId="0" xfId="0" applyNumberFormat="1" applyFont="1" applyFill="1" applyBorder="1" applyAlignment="1">
      <alignment horizontal="right"/>
    </xf>
    <xf numFmtId="0" fontId="104" fillId="51" borderId="0" xfId="0" applyFont="1" applyFill="1" applyBorder="1"/>
    <xf numFmtId="0" fontId="26" fillId="0" borderId="0" xfId="0" applyFont="1" applyFill="1" applyAlignment="1">
      <alignment vertical="top" wrapText="1"/>
    </xf>
    <xf numFmtId="0" fontId="94" fillId="51" borderId="0" xfId="0" applyFont="1" applyFill="1" applyBorder="1" applyAlignment="1"/>
    <xf numFmtId="0" fontId="20" fillId="51" borderId="0" xfId="0" applyFont="1" applyFill="1" applyBorder="1"/>
    <xf numFmtId="0" fontId="32" fillId="51" borderId="0" xfId="0" applyFont="1" applyFill="1" applyBorder="1" applyAlignment="1">
      <alignment horizontal="right"/>
    </xf>
    <xf numFmtId="0" fontId="32" fillId="51" borderId="0" xfId="0" applyFont="1" applyFill="1" applyBorder="1"/>
    <xf numFmtId="0" fontId="82" fillId="60" borderId="0" xfId="0" applyFont="1" applyFill="1" applyAlignment="1">
      <alignment vertical="top" wrapText="1"/>
    </xf>
    <xf numFmtId="0" fontId="94" fillId="51" borderId="53" xfId="0" applyFont="1" applyFill="1" applyBorder="1" applyAlignment="1">
      <alignment vertical="center" wrapText="1"/>
    </xf>
    <xf numFmtId="0" fontId="94" fillId="51" borderId="73" xfId="0" applyFont="1" applyFill="1" applyBorder="1" applyAlignment="1">
      <alignment vertical="center" wrapText="1"/>
    </xf>
    <xf numFmtId="0" fontId="76" fillId="0" borderId="0" xfId="0" applyFont="1" applyFill="1" applyAlignment="1" applyProtection="1">
      <alignment vertical="top" wrapText="1"/>
    </xf>
    <xf numFmtId="0" fontId="66" fillId="34" borderId="72" xfId="0" applyFont="1" applyFill="1" applyBorder="1" applyAlignment="1" applyProtection="1">
      <protection locked="0"/>
    </xf>
    <xf numFmtId="0" fontId="66" fillId="34" borderId="50" xfId="0" applyFont="1" applyFill="1" applyBorder="1" applyAlignment="1" applyProtection="1">
      <protection locked="0"/>
    </xf>
    <xf numFmtId="0" fontId="66" fillId="34" borderId="73" xfId="0" applyFont="1" applyFill="1" applyBorder="1" applyAlignment="1" applyProtection="1">
      <protection locked="0"/>
    </xf>
    <xf numFmtId="0" fontId="30" fillId="0" borderId="0" xfId="0" applyFont="1"/>
    <xf numFmtId="0" fontId="30" fillId="0" borderId="0" xfId="0" applyFont="1" applyFill="1" applyBorder="1"/>
    <xf numFmtId="166" fontId="50" fillId="0" borderId="0" xfId="0" applyNumberFormat="1" applyFont="1" applyFill="1" applyBorder="1" applyAlignment="1">
      <alignment horizontal="right"/>
    </xf>
    <xf numFmtId="0" fontId="50" fillId="0" borderId="0" xfId="0" applyFont="1" applyFill="1" applyBorder="1"/>
    <xf numFmtId="0" fontId="50" fillId="0" borderId="0" xfId="0" applyFont="1" applyBorder="1"/>
    <xf numFmtId="0" fontId="30" fillId="0" borderId="0" xfId="0" applyFont="1" applyBorder="1"/>
    <xf numFmtId="0" fontId="30" fillId="0" borderId="0" xfId="0" applyFont="1" applyAlignment="1">
      <alignment horizontal="right"/>
    </xf>
    <xf numFmtId="5" fontId="30" fillId="0" borderId="0" xfId="0" applyNumberFormat="1" applyFont="1" applyAlignment="1">
      <alignment horizontal="right"/>
    </xf>
    <xf numFmtId="0" fontId="30" fillId="33" borderId="0" xfId="0" applyFont="1" applyFill="1"/>
    <xf numFmtId="0" fontId="95" fillId="60" borderId="0" xfId="0" applyFont="1" applyFill="1" applyAlignment="1" applyProtection="1">
      <alignment vertical="top" wrapText="1"/>
    </xf>
    <xf numFmtId="0" fontId="30" fillId="0" borderId="0" xfId="0" applyFont="1" applyFill="1"/>
    <xf numFmtId="0" fontId="24" fillId="51" borderId="53" xfId="0" applyFont="1" applyFill="1" applyBorder="1" applyAlignment="1">
      <alignment vertical="center" wrapText="1"/>
    </xf>
    <xf numFmtId="0" fontId="66" fillId="0" borderId="0" xfId="0" applyFont="1" applyFill="1" applyBorder="1" applyAlignment="1">
      <alignment horizontal="center" vertical="center"/>
    </xf>
    <xf numFmtId="5" fontId="26" fillId="33" borderId="10" xfId="0" applyNumberFormat="1" applyFont="1" applyFill="1" applyBorder="1" applyAlignment="1" applyProtection="1">
      <alignment horizontal="right"/>
    </xf>
    <xf numFmtId="0" fontId="0" fillId="0" borderId="0" xfId="0"/>
    <xf numFmtId="0" fontId="94" fillId="51" borderId="0" xfId="0" applyNumberFormat="1" applyFont="1" applyFill="1" applyBorder="1" applyAlignment="1">
      <alignment horizontal="center"/>
    </xf>
    <xf numFmtId="0" fontId="53" fillId="0" borderId="0" xfId="0" applyFont="1" applyAlignment="1">
      <alignment horizontal="center"/>
    </xf>
    <xf numFmtId="0" fontId="25" fillId="0" borderId="0" xfId="0" applyFont="1"/>
    <xf numFmtId="0" fontId="25" fillId="0" borderId="0" xfId="0" applyFont="1" applyAlignment="1">
      <alignment horizontal="center"/>
    </xf>
    <xf numFmtId="164" fontId="25" fillId="0" borderId="0" xfId="0" applyNumberFormat="1" applyFont="1"/>
    <xf numFmtId="1" fontId="26" fillId="0" borderId="0" xfId="0" applyNumberFormat="1" applyFont="1" applyAlignment="1">
      <alignment horizontal="right"/>
    </xf>
    <xf numFmtId="5" fontId="30" fillId="0" borderId="0" xfId="0" applyNumberFormat="1" applyFont="1" applyFill="1" applyProtection="1"/>
    <xf numFmtId="0" fontId="0" fillId="62" borderId="0" xfId="0" applyFill="1"/>
    <xf numFmtId="0" fontId="76" fillId="51" borderId="0" xfId="0" applyFont="1" applyFill="1" applyAlignment="1" applyProtection="1">
      <alignment vertical="top" wrapText="1"/>
    </xf>
    <xf numFmtId="0" fontId="47" fillId="0" borderId="0" xfId="0" applyFont="1" applyFill="1" applyBorder="1" applyProtection="1"/>
    <xf numFmtId="0" fontId="47" fillId="0" borderId="0" xfId="0" applyFont="1" applyFill="1" applyBorder="1" applyAlignment="1" applyProtection="1">
      <alignment horizontal="center"/>
    </xf>
    <xf numFmtId="0" fontId="30" fillId="0" borderId="0" xfId="0" applyFont="1" applyFill="1" applyBorder="1" applyProtection="1"/>
    <xf numFmtId="5" fontId="30" fillId="0" borderId="0" xfId="0" applyNumberFormat="1" applyFont="1" applyFill="1" applyBorder="1" applyProtection="1"/>
    <xf numFmtId="166" fontId="47" fillId="0" borderId="0" xfId="0" applyNumberFormat="1" applyFont="1" applyFill="1" applyBorder="1" applyProtection="1"/>
    <xf numFmtId="0" fontId="55" fillId="51" borderId="0" xfId="0" applyFont="1" applyFill="1" applyProtection="1"/>
    <xf numFmtId="5" fontId="26" fillId="53" borderId="26" xfId="0" applyNumberFormat="1" applyFont="1" applyFill="1" applyBorder="1" applyProtection="1"/>
    <xf numFmtId="5" fontId="26" fillId="53" borderId="0" xfId="0" applyNumberFormat="1" applyFont="1" applyFill="1" applyBorder="1" applyAlignment="1" applyProtection="1"/>
    <xf numFmtId="5" fontId="26" fillId="53" borderId="0" xfId="0" applyNumberFormat="1" applyFont="1" applyFill="1" applyBorder="1" applyProtection="1"/>
    <xf numFmtId="5" fontId="26" fillId="33" borderId="94" xfId="0" applyNumberFormat="1" applyFont="1" applyFill="1" applyBorder="1" applyProtection="1"/>
    <xf numFmtId="5" fontId="26" fillId="33" borderId="97" xfId="0" applyNumberFormat="1" applyFont="1" applyFill="1" applyBorder="1" applyProtection="1"/>
    <xf numFmtId="5" fontId="26" fillId="33" borderId="98" xfId="0" applyNumberFormat="1" applyFont="1" applyFill="1" applyBorder="1" applyAlignment="1" applyProtection="1">
      <alignment horizontal="right"/>
    </xf>
    <xf numFmtId="5" fontId="26" fillId="33" borderId="99" xfId="0" applyNumberFormat="1" applyFont="1" applyFill="1" applyBorder="1" applyAlignment="1" applyProtection="1">
      <alignment horizontal="right"/>
    </xf>
    <xf numFmtId="166" fontId="26" fillId="33" borderId="98" xfId="0" applyNumberFormat="1" applyFont="1" applyFill="1" applyBorder="1" applyProtection="1"/>
    <xf numFmtId="166" fontId="26" fillId="33" borderId="99" xfId="0" applyNumberFormat="1" applyFont="1" applyFill="1" applyBorder="1" applyProtection="1"/>
    <xf numFmtId="169" fontId="26" fillId="53" borderId="14" xfId="0" applyNumberFormat="1" applyFont="1" applyFill="1" applyBorder="1" applyProtection="1"/>
    <xf numFmtId="5" fontId="26" fillId="33" borderId="26" xfId="0" applyNumberFormat="1" applyFont="1" applyFill="1" applyBorder="1" applyProtection="1"/>
    <xf numFmtId="5" fontId="26" fillId="33" borderId="0" xfId="0" applyNumberFormat="1" applyFont="1" applyFill="1" applyBorder="1" applyAlignment="1" applyProtection="1"/>
    <xf numFmtId="5" fontId="26" fillId="33" borderId="0" xfId="0" applyNumberFormat="1" applyFont="1" applyFill="1" applyBorder="1" applyProtection="1"/>
    <xf numFmtId="5" fontId="26" fillId="33" borderId="20" xfId="0" applyNumberFormat="1" applyFont="1" applyFill="1" applyBorder="1" applyAlignment="1" applyProtection="1">
      <alignment horizontal="right"/>
    </xf>
    <xf numFmtId="166" fontId="26" fillId="33" borderId="10" xfId="0" applyNumberFormat="1" applyFont="1" applyFill="1" applyBorder="1" applyProtection="1"/>
    <xf numFmtId="166" fontId="26" fillId="33" borderId="20" xfId="0" applyNumberFormat="1" applyFont="1" applyFill="1" applyBorder="1" applyProtection="1"/>
    <xf numFmtId="5" fontId="26" fillId="53" borderId="101" xfId="0" applyNumberFormat="1" applyFont="1" applyFill="1" applyBorder="1" applyProtection="1"/>
    <xf numFmtId="5" fontId="26" fillId="53" borderId="103" xfId="0" applyNumberFormat="1" applyFont="1" applyFill="1" applyBorder="1" applyProtection="1"/>
    <xf numFmtId="5" fontId="26" fillId="53" borderId="105" xfId="0" applyNumberFormat="1" applyFont="1" applyFill="1" applyBorder="1" applyAlignment="1" applyProtection="1">
      <alignment horizontal="right"/>
    </xf>
    <xf numFmtId="5" fontId="26" fillId="53" borderId="106" xfId="0" applyNumberFormat="1" applyFont="1" applyFill="1" applyBorder="1" applyAlignment="1" applyProtection="1">
      <alignment horizontal="right"/>
    </xf>
    <xf numFmtId="166" fontId="26" fillId="53" borderId="105" xfId="0" applyNumberFormat="1" applyFont="1" applyFill="1" applyBorder="1" applyProtection="1"/>
    <xf numFmtId="166" fontId="26" fillId="53" borderId="106" xfId="0" applyNumberFormat="1" applyFont="1" applyFill="1" applyBorder="1" applyProtection="1"/>
    <xf numFmtId="169" fontId="26" fillId="53" borderId="100" xfId="0" applyNumberFormat="1" applyFont="1" applyFill="1" applyBorder="1" applyProtection="1"/>
    <xf numFmtId="0" fontId="26" fillId="33" borderId="23" xfId="0" applyFont="1" applyFill="1" applyBorder="1" applyProtection="1"/>
    <xf numFmtId="5" fontId="26" fillId="33" borderId="103" xfId="0" applyNumberFormat="1" applyFont="1" applyFill="1" applyBorder="1" applyAlignment="1" applyProtection="1"/>
    <xf numFmtId="5" fontId="26" fillId="33" borderId="103" xfId="0" applyNumberFormat="1" applyFont="1" applyFill="1" applyBorder="1" applyProtection="1"/>
    <xf numFmtId="5" fontId="26" fillId="33" borderId="105" xfId="0" applyNumberFormat="1" applyFont="1" applyFill="1" applyBorder="1" applyAlignment="1" applyProtection="1">
      <alignment horizontal="right"/>
    </xf>
    <xf numFmtId="5" fontId="26" fillId="33" borderId="106" xfId="0" applyNumberFormat="1" applyFont="1" applyFill="1" applyBorder="1" applyAlignment="1" applyProtection="1">
      <alignment horizontal="right"/>
    </xf>
    <xf numFmtId="166" fontId="26" fillId="33" borderId="105" xfId="0" applyNumberFormat="1" applyFont="1" applyFill="1" applyBorder="1" applyProtection="1"/>
    <xf numFmtId="166" fontId="26" fillId="33" borderId="106" xfId="0" applyNumberFormat="1" applyFont="1" applyFill="1" applyBorder="1" applyProtection="1"/>
    <xf numFmtId="5" fontId="26" fillId="33" borderId="101" xfId="0" applyNumberFormat="1" applyFont="1" applyFill="1" applyBorder="1" applyProtection="1"/>
    <xf numFmtId="166" fontId="26" fillId="33" borderId="103" xfId="0" applyNumberFormat="1" applyFont="1" applyFill="1" applyBorder="1" applyProtection="1"/>
    <xf numFmtId="168" fontId="26" fillId="33" borderId="0" xfId="0" applyNumberFormat="1" applyFont="1" applyFill="1" applyBorder="1" applyProtection="1"/>
    <xf numFmtId="168" fontId="26" fillId="53" borderId="103" xfId="0" applyNumberFormat="1" applyFont="1" applyFill="1" applyBorder="1" applyProtection="1"/>
    <xf numFmtId="168" fontId="26" fillId="53" borderId="0" xfId="0" applyNumberFormat="1" applyFont="1" applyFill="1" applyBorder="1" applyProtection="1"/>
    <xf numFmtId="168" fontId="26" fillId="33" borderId="97" xfId="0" applyNumberFormat="1" applyFont="1" applyFill="1" applyBorder="1" applyProtection="1"/>
    <xf numFmtId="168" fontId="26" fillId="33" borderId="103" xfId="0" applyNumberFormat="1" applyFont="1" applyFill="1" applyBorder="1" applyProtection="1"/>
    <xf numFmtId="0" fontId="32" fillId="56" borderId="108" xfId="0" applyFont="1" applyFill="1" applyBorder="1" applyAlignment="1" applyProtection="1">
      <alignment horizontal="center" vertical="center"/>
    </xf>
    <xf numFmtId="0" fontId="32" fillId="56" borderId="107" xfId="0" applyFont="1" applyFill="1" applyBorder="1" applyAlignment="1" applyProtection="1">
      <alignment horizontal="center" vertical="center"/>
    </xf>
    <xf numFmtId="0" fontId="32" fillId="56" borderId="109" xfId="0" applyFont="1" applyFill="1" applyBorder="1" applyAlignment="1" applyProtection="1">
      <alignment horizontal="center" vertical="center"/>
    </xf>
    <xf numFmtId="0" fontId="32" fillId="56" borderId="110" xfId="0" applyFont="1" applyFill="1" applyBorder="1" applyAlignment="1" applyProtection="1">
      <alignment horizontal="center" vertical="center"/>
    </xf>
    <xf numFmtId="166" fontId="26" fillId="53" borderId="111" xfId="0" applyNumberFormat="1" applyFont="1" applyFill="1" applyBorder="1" applyProtection="1"/>
    <xf numFmtId="166" fontId="26" fillId="53" borderId="112" xfId="0" applyNumberFormat="1" applyFont="1" applyFill="1" applyBorder="1" applyProtection="1"/>
    <xf numFmtId="166" fontId="26" fillId="53" borderId="113" xfId="0" applyNumberFormat="1" applyFont="1" applyFill="1" applyBorder="1" applyProtection="1"/>
    <xf numFmtId="5" fontId="26" fillId="53" borderId="111" xfId="0" applyNumberFormat="1" applyFont="1" applyFill="1" applyBorder="1" applyAlignment="1" applyProtection="1">
      <alignment horizontal="right"/>
    </xf>
    <xf numFmtId="5" fontId="26" fillId="53" borderId="112" xfId="0" applyNumberFormat="1" applyFont="1" applyFill="1" applyBorder="1" applyAlignment="1" applyProtection="1">
      <alignment horizontal="right"/>
    </xf>
    <xf numFmtId="5" fontId="26" fillId="53" borderId="113" xfId="0" applyNumberFormat="1" applyFont="1" applyFill="1" applyBorder="1" applyAlignment="1" applyProtection="1">
      <alignment horizontal="right"/>
    </xf>
    <xf numFmtId="5" fontId="26" fillId="53" borderId="114" xfId="0" applyNumberFormat="1" applyFont="1" applyFill="1" applyBorder="1" applyAlignment="1" applyProtection="1">
      <alignment horizontal="right"/>
    </xf>
    <xf numFmtId="166" fontId="26" fillId="53" borderId="114" xfId="0" applyNumberFormat="1" applyFont="1" applyFill="1" applyBorder="1" applyProtection="1"/>
    <xf numFmtId="5" fontId="26" fillId="33" borderId="115" xfId="0" applyNumberFormat="1" applyFont="1" applyFill="1" applyBorder="1" applyProtection="1"/>
    <xf numFmtId="5" fontId="26" fillId="33" borderId="116" xfId="0" applyNumberFormat="1" applyFont="1" applyFill="1" applyBorder="1" applyAlignment="1" applyProtection="1"/>
    <xf numFmtId="5" fontId="26" fillId="33" borderId="116" xfId="0" applyNumberFormat="1" applyFont="1" applyFill="1" applyBorder="1" applyProtection="1"/>
    <xf numFmtId="168" fontId="26" fillId="33" borderId="116" xfId="0" applyNumberFormat="1" applyFont="1" applyFill="1" applyBorder="1" applyProtection="1"/>
    <xf numFmtId="0" fontId="32" fillId="56" borderId="117" xfId="0" applyFont="1" applyFill="1" applyBorder="1" applyAlignment="1" applyProtection="1">
      <alignment horizontal="center" vertical="center"/>
    </xf>
    <xf numFmtId="5" fontId="26" fillId="33" borderId="118" xfId="0" applyNumberFormat="1" applyFont="1" applyFill="1" applyBorder="1" applyAlignment="1" applyProtection="1">
      <alignment horizontal="right"/>
    </xf>
    <xf numFmtId="5" fontId="26" fillId="33" borderId="119" xfId="0" applyNumberFormat="1" applyFont="1" applyFill="1" applyBorder="1" applyAlignment="1" applyProtection="1">
      <alignment horizontal="right"/>
    </xf>
    <xf numFmtId="166" fontId="26" fillId="33" borderId="118" xfId="0" applyNumberFormat="1" applyFont="1" applyFill="1" applyBorder="1" applyProtection="1"/>
    <xf numFmtId="166" fontId="26" fillId="33" borderId="119" xfId="0" applyNumberFormat="1" applyFont="1" applyFill="1" applyBorder="1" applyProtection="1"/>
    <xf numFmtId="0" fontId="43" fillId="56" borderId="122" xfId="0" applyFont="1" applyFill="1" applyBorder="1" applyProtection="1"/>
    <xf numFmtId="0" fontId="32" fillId="56" borderId="122" xfId="0" applyFont="1" applyFill="1" applyBorder="1" applyProtection="1"/>
    <xf numFmtId="0" fontId="32" fillId="56" borderId="122" xfId="0" applyFont="1" applyFill="1" applyBorder="1" applyAlignment="1" applyProtection="1">
      <alignment vertical="center"/>
    </xf>
    <xf numFmtId="0" fontId="32" fillId="56" borderId="122" xfId="0" applyFont="1" applyFill="1" applyBorder="1" applyAlignment="1" applyProtection="1">
      <alignment horizontal="center"/>
    </xf>
    <xf numFmtId="0" fontId="26" fillId="33" borderId="101" xfId="0" applyFont="1" applyFill="1" applyBorder="1" applyProtection="1"/>
    <xf numFmtId="0" fontId="26" fillId="33" borderId="115" xfId="0" applyFont="1" applyFill="1" applyBorder="1" applyProtection="1"/>
    <xf numFmtId="0" fontId="26" fillId="33" borderId="103" xfId="0" applyFont="1" applyFill="1" applyBorder="1" applyProtection="1"/>
    <xf numFmtId="0" fontId="26" fillId="33" borderId="116" xfId="0" applyFont="1" applyFill="1" applyBorder="1" applyProtection="1"/>
    <xf numFmtId="0" fontId="20" fillId="36" borderId="104" xfId="0" applyFont="1" applyFill="1" applyBorder="1" applyAlignment="1" applyProtection="1">
      <alignment horizontal="center" vertical="center"/>
    </xf>
    <xf numFmtId="0" fontId="47" fillId="51" borderId="0" xfId="0" applyFont="1" applyFill="1"/>
    <xf numFmtId="0" fontId="111" fillId="51" borderId="0" xfId="0" applyFont="1" applyFill="1"/>
    <xf numFmtId="5" fontId="111" fillId="51" borderId="0" xfId="0" applyNumberFormat="1" applyFont="1" applyFill="1"/>
    <xf numFmtId="0" fontId="111" fillId="51" borderId="0" xfId="0" applyFont="1" applyFill="1" applyProtection="1"/>
    <xf numFmtId="0" fontId="111" fillId="51" borderId="0" xfId="0" applyFont="1" applyFill="1" applyAlignment="1" applyProtection="1">
      <alignment horizontal="center"/>
    </xf>
    <xf numFmtId="166" fontId="111" fillId="51" borderId="0" xfId="0" applyNumberFormat="1" applyFont="1" applyFill="1" applyProtection="1"/>
    <xf numFmtId="5" fontId="111" fillId="51" borderId="0" xfId="0" applyNumberFormat="1" applyFont="1" applyFill="1" applyProtection="1"/>
    <xf numFmtId="0" fontId="112" fillId="51" borderId="0" xfId="0" applyFont="1" applyFill="1" applyAlignment="1" applyProtection="1"/>
    <xf numFmtId="0" fontId="47" fillId="51" borderId="125" xfId="0" applyFont="1" applyFill="1" applyBorder="1" applyProtection="1"/>
    <xf numFmtId="5" fontId="47" fillId="51" borderId="125" xfId="0" applyNumberFormat="1" applyFont="1" applyFill="1" applyBorder="1" applyProtection="1"/>
    <xf numFmtId="0" fontId="47" fillId="51" borderId="125" xfId="0" applyFont="1" applyFill="1" applyBorder="1"/>
    <xf numFmtId="0" fontId="47" fillId="51" borderId="0" xfId="0" applyFont="1" applyFill="1" applyProtection="1"/>
    <xf numFmtId="0" fontId="111" fillId="51" borderId="0" xfId="0" applyFont="1" applyFill="1" applyBorder="1" applyAlignment="1" applyProtection="1">
      <alignment horizontal="right"/>
    </xf>
    <xf numFmtId="0" fontId="114" fillId="51" borderId="0" xfId="0" applyFont="1" applyFill="1" applyBorder="1" applyAlignment="1" applyProtection="1">
      <alignment horizontal="right"/>
    </xf>
    <xf numFmtId="0" fontId="111" fillId="51" borderId="0" xfId="0" applyFont="1" applyFill="1" applyBorder="1" applyAlignment="1" applyProtection="1">
      <alignment horizontal="left"/>
    </xf>
    <xf numFmtId="0" fontId="111" fillId="51" borderId="0" xfId="0" applyFont="1" applyFill="1" applyBorder="1" applyAlignment="1" applyProtection="1"/>
    <xf numFmtId="5" fontId="47" fillId="51" borderId="125" xfId="0" applyNumberFormat="1" applyFont="1" applyFill="1" applyBorder="1" applyAlignment="1">
      <alignment horizontal="right"/>
    </xf>
    <xf numFmtId="0" fontId="111" fillId="51" borderId="0" xfId="0" applyFont="1" applyFill="1" applyBorder="1"/>
    <xf numFmtId="2" fontId="111" fillId="51" borderId="0" xfId="0" applyNumberFormat="1" applyFont="1" applyFill="1" applyBorder="1" applyAlignment="1">
      <alignment horizontal="center"/>
    </xf>
    <xf numFmtId="0" fontId="30" fillId="58" borderId="125" xfId="0" applyFont="1" applyFill="1" applyBorder="1"/>
    <xf numFmtId="0" fontId="30" fillId="58" borderId="125" xfId="0" applyFont="1" applyFill="1" applyBorder="1" applyAlignment="1">
      <alignment horizontal="center"/>
    </xf>
    <xf numFmtId="5" fontId="30" fillId="58" borderId="125" xfId="0" applyNumberFormat="1" applyFont="1" applyFill="1" applyBorder="1" applyAlignment="1">
      <alignment wrapText="1"/>
    </xf>
    <xf numFmtId="5" fontId="30" fillId="58" borderId="125" xfId="0" applyNumberFormat="1" applyFont="1" applyFill="1" applyBorder="1" applyAlignment="1">
      <alignment horizontal="right"/>
    </xf>
    <xf numFmtId="5" fontId="30" fillId="58" borderId="125" xfId="0" applyNumberFormat="1" applyFont="1" applyFill="1" applyBorder="1"/>
    <xf numFmtId="0" fontId="47" fillId="0" borderId="0" xfId="0" applyFont="1" applyFill="1" applyAlignment="1">
      <alignment horizontal="left" wrapText="1"/>
    </xf>
    <xf numFmtId="0" fontId="47" fillId="0" borderId="0" xfId="0" applyNumberFormat="1" applyFont="1" applyFill="1" applyAlignment="1">
      <alignment wrapText="1"/>
    </xf>
    <xf numFmtId="0" fontId="50" fillId="0" borderId="0" xfId="0" applyFont="1" applyFill="1" applyAlignment="1">
      <alignment wrapText="1"/>
    </xf>
    <xf numFmtId="0" fontId="115" fillId="0" borderId="0" xfId="0" applyNumberFormat="1" applyFont="1" applyFill="1" applyBorder="1" applyAlignment="1">
      <alignment horizontal="center"/>
    </xf>
    <xf numFmtId="0" fontId="30" fillId="0" borderId="0" xfId="0" applyFont="1" applyFill="1" applyBorder="1" applyAlignment="1">
      <alignment horizontal="center"/>
    </xf>
    <xf numFmtId="5" fontId="30" fillId="0" borderId="0" xfId="0" applyNumberFormat="1" applyFont="1" applyFill="1" applyBorder="1" applyAlignment="1">
      <alignment horizontal="right"/>
    </xf>
    <xf numFmtId="5" fontId="30" fillId="0" borderId="0" xfId="0" applyNumberFormat="1" applyFont="1" applyFill="1" applyBorder="1"/>
    <xf numFmtId="0" fontId="0" fillId="58" borderId="0" xfId="0" applyFill="1"/>
    <xf numFmtId="0" fontId="43" fillId="0" borderId="0" xfId="0" applyNumberFormat="1" applyFont="1" applyFill="1" applyBorder="1" applyAlignment="1">
      <alignment horizontal="center"/>
    </xf>
    <xf numFmtId="5" fontId="50" fillId="0" borderId="0" xfId="0" applyNumberFormat="1" applyFont="1" applyFill="1" applyAlignment="1">
      <alignment horizontal="right"/>
    </xf>
    <xf numFmtId="0" fontId="66" fillId="34" borderId="72" xfId="0" applyFont="1" applyFill="1" applyBorder="1" applyAlignment="1" applyProtection="1">
      <alignment horizontal="left"/>
      <protection locked="0"/>
    </xf>
    <xf numFmtId="0" fontId="66" fillId="34" borderId="50" xfId="0" applyFont="1" applyFill="1" applyBorder="1" applyAlignment="1" applyProtection="1">
      <alignment horizontal="left"/>
      <protection locked="0"/>
    </xf>
    <xf numFmtId="0" fontId="66" fillId="34" borderId="73" xfId="0" applyFont="1" applyFill="1" applyBorder="1" applyAlignment="1" applyProtection="1">
      <alignment horizontal="left"/>
      <protection locked="0"/>
    </xf>
    <xf numFmtId="0" fontId="94" fillId="51" borderId="0" xfId="0" applyFont="1" applyFill="1" applyBorder="1" applyAlignment="1">
      <alignment horizontal="center"/>
    </xf>
    <xf numFmtId="0" fontId="69" fillId="38" borderId="0" xfId="0" applyFont="1" applyFill="1" applyAlignment="1">
      <alignment horizontal="left" vertical="center"/>
    </xf>
    <xf numFmtId="0" fontId="32" fillId="51" borderId="91" xfId="0" applyFont="1" applyFill="1" applyBorder="1" applyAlignment="1">
      <alignment horizontal="center"/>
    </xf>
    <xf numFmtId="0" fontId="107" fillId="51" borderId="53" xfId="0" applyFont="1" applyFill="1" applyBorder="1" applyAlignment="1">
      <alignment horizontal="center" vertical="center" wrapText="1"/>
    </xf>
    <xf numFmtId="0" fontId="94" fillId="51" borderId="53" xfId="0" applyFont="1" applyFill="1" applyBorder="1" applyAlignment="1">
      <alignment horizontal="center" vertical="center" wrapText="1"/>
    </xf>
    <xf numFmtId="0" fontId="94" fillId="51" borderId="53" xfId="0" applyFont="1" applyFill="1" applyBorder="1" applyAlignment="1">
      <alignment horizontal="center" vertical="center"/>
    </xf>
    <xf numFmtId="0" fontId="0" fillId="0" borderId="0" xfId="0"/>
    <xf numFmtId="0" fontId="67" fillId="0" borderId="0" xfId="0" applyFont="1" applyFill="1" applyAlignment="1"/>
    <xf numFmtId="0" fontId="67" fillId="0" borderId="0" xfId="0" applyFont="1" applyFill="1"/>
    <xf numFmtId="0" fontId="87" fillId="0" borderId="0" xfId="0" applyFont="1" applyFill="1" applyAlignment="1">
      <alignment vertical="top" wrapText="1"/>
    </xf>
    <xf numFmtId="0" fontId="9" fillId="0" borderId="0" xfId="0" applyFont="1" applyFill="1"/>
    <xf numFmtId="5" fontId="0" fillId="0" borderId="0" xfId="0" applyNumberFormat="1"/>
    <xf numFmtId="0" fontId="3" fillId="33" borderId="0" xfId="0" applyFont="1" applyFill="1" applyBorder="1"/>
    <xf numFmtId="0" fontId="83" fillId="56" borderId="127" xfId="0" applyFont="1" applyFill="1" applyBorder="1" applyAlignment="1">
      <alignment horizontal="center"/>
    </xf>
    <xf numFmtId="0" fontId="83" fillId="56" borderId="131" xfId="0" applyFont="1" applyFill="1" applyBorder="1"/>
    <xf numFmtId="0" fontId="83" fillId="56" borderId="132" xfId="0" applyFont="1" applyFill="1" applyBorder="1"/>
    <xf numFmtId="0" fontId="83" fillId="56" borderId="132" xfId="0" applyFont="1" applyFill="1" applyBorder="1" applyAlignment="1">
      <alignment horizontal="right"/>
    </xf>
    <xf numFmtId="0" fontId="83" fillId="56" borderId="133" xfId="0" applyFont="1" applyFill="1" applyBorder="1" applyAlignment="1">
      <alignment horizontal="right"/>
    </xf>
    <xf numFmtId="0" fontId="83" fillId="56" borderId="134" xfId="0" applyFont="1" applyFill="1" applyBorder="1" applyAlignment="1">
      <alignment horizontal="center"/>
    </xf>
    <xf numFmtId="0" fontId="20" fillId="36" borderId="131" xfId="0" applyFont="1" applyFill="1" applyBorder="1" applyAlignment="1">
      <alignment horizontal="center" vertical="center"/>
    </xf>
    <xf numFmtId="0" fontId="71" fillId="33" borderId="135" xfId="0" applyFont="1" applyFill="1" applyBorder="1" applyAlignment="1"/>
    <xf numFmtId="0" fontId="3" fillId="33" borderId="135" xfId="0" applyFont="1" applyFill="1" applyBorder="1"/>
    <xf numFmtId="0" fontId="4" fillId="33" borderId="137" xfId="0" applyFont="1" applyFill="1" applyBorder="1"/>
    <xf numFmtId="0" fontId="4" fillId="33" borderId="138" xfId="0" applyFont="1" applyFill="1" applyBorder="1"/>
    <xf numFmtId="0" fontId="83" fillId="56" borderId="128" xfId="0" applyFont="1" applyFill="1" applyBorder="1" applyAlignment="1">
      <alignment horizontal="center"/>
    </xf>
    <xf numFmtId="0" fontId="83" fillId="56" borderId="139" xfId="0" applyFont="1" applyFill="1" applyBorder="1" applyAlignment="1">
      <alignment horizontal="center"/>
    </xf>
    <xf numFmtId="0" fontId="83" fillId="56" borderId="131" xfId="0" applyFont="1" applyFill="1" applyBorder="1" applyAlignment="1">
      <alignment horizontal="center"/>
    </xf>
    <xf numFmtId="0" fontId="83" fillId="56" borderId="140" xfId="0" applyFont="1" applyFill="1" applyBorder="1" applyAlignment="1">
      <alignment horizontal="center"/>
    </xf>
    <xf numFmtId="166" fontId="76" fillId="33" borderId="141" xfId="0" applyNumberFormat="1" applyFont="1" applyFill="1" applyBorder="1"/>
    <xf numFmtId="0" fontId="3" fillId="33" borderId="131" xfId="0" applyFont="1" applyFill="1" applyBorder="1"/>
    <xf numFmtId="0" fontId="3" fillId="33" borderId="132" xfId="0" applyFont="1" applyFill="1" applyBorder="1"/>
    <xf numFmtId="166" fontId="3" fillId="33" borderId="132" xfId="0" applyNumberFormat="1" applyFont="1" applyFill="1" applyBorder="1"/>
    <xf numFmtId="0" fontId="3" fillId="33" borderId="137" xfId="0" applyFont="1" applyFill="1" applyBorder="1"/>
    <xf numFmtId="0" fontId="3" fillId="33" borderId="138" xfId="0" applyFont="1" applyFill="1" applyBorder="1"/>
    <xf numFmtId="166" fontId="76" fillId="33" borderId="142" xfId="0" applyNumberFormat="1" applyFont="1" applyFill="1" applyBorder="1"/>
    <xf numFmtId="166" fontId="76" fillId="33" borderId="143" xfId="0" applyNumberFormat="1" applyFont="1" applyFill="1" applyBorder="1"/>
    <xf numFmtId="0" fontId="4" fillId="33" borderId="131" xfId="0" applyFont="1" applyFill="1" applyBorder="1"/>
    <xf numFmtId="0" fontId="4" fillId="33" borderId="132" xfId="0" applyFont="1" applyFill="1" applyBorder="1"/>
    <xf numFmtId="166" fontId="76" fillId="33" borderId="145" xfId="0" applyNumberFormat="1" applyFont="1" applyFill="1" applyBorder="1"/>
    <xf numFmtId="0" fontId="3" fillId="33" borderId="146" xfId="0" applyFont="1" applyFill="1" applyBorder="1"/>
    <xf numFmtId="0" fontId="3" fillId="33" borderId="147" xfId="0" applyFont="1" applyFill="1" applyBorder="1"/>
    <xf numFmtId="166" fontId="76" fillId="33" borderId="148" xfId="0" applyNumberFormat="1" applyFont="1" applyFill="1" applyBorder="1"/>
    <xf numFmtId="166" fontId="76" fillId="33" borderId="149" xfId="0" applyNumberFormat="1" applyFont="1" applyFill="1" applyBorder="1"/>
    <xf numFmtId="166" fontId="76" fillId="33" borderId="150" xfId="0" applyNumberFormat="1" applyFont="1" applyFill="1" applyBorder="1"/>
    <xf numFmtId="166" fontId="76" fillId="33" borderId="151" xfId="0" applyNumberFormat="1" applyFont="1" applyFill="1" applyBorder="1"/>
    <xf numFmtId="166" fontId="76" fillId="33" borderId="152" xfId="0" applyNumberFormat="1" applyFont="1" applyFill="1" applyBorder="1"/>
    <xf numFmtId="166" fontId="76" fillId="33" borderId="153" xfId="0" applyNumberFormat="1" applyFont="1" applyFill="1" applyBorder="1"/>
    <xf numFmtId="166" fontId="76" fillId="33" borderId="154" xfId="0" applyNumberFormat="1" applyFont="1" applyFill="1" applyBorder="1"/>
    <xf numFmtId="166" fontId="76" fillId="33" borderId="155" xfId="0" applyNumberFormat="1" applyFont="1" applyFill="1" applyBorder="1"/>
    <xf numFmtId="166" fontId="76" fillId="33" borderId="156" xfId="0" applyNumberFormat="1" applyFont="1" applyFill="1" applyBorder="1"/>
    <xf numFmtId="166" fontId="76" fillId="33" borderId="157" xfId="0" applyNumberFormat="1" applyFont="1" applyFill="1" applyBorder="1"/>
    <xf numFmtId="166" fontId="76" fillId="33" borderId="158" xfId="0" applyNumberFormat="1" applyFont="1" applyFill="1" applyBorder="1"/>
    <xf numFmtId="166" fontId="76" fillId="33" borderId="159" xfId="0" applyNumberFormat="1" applyFont="1" applyFill="1" applyBorder="1"/>
    <xf numFmtId="0" fontId="2" fillId="33" borderId="160" xfId="0" applyFont="1" applyFill="1" applyBorder="1" applyAlignment="1"/>
    <xf numFmtId="0" fontId="2" fillId="33" borderId="161" xfId="0" applyFont="1" applyFill="1" applyBorder="1" applyAlignment="1"/>
    <xf numFmtId="0" fontId="0" fillId="33" borderId="135" xfId="0" applyFill="1" applyBorder="1" applyAlignment="1">
      <alignment vertical="top"/>
    </xf>
    <xf numFmtId="0" fontId="2" fillId="33" borderId="165" xfId="0" applyFont="1" applyFill="1" applyBorder="1" applyAlignment="1"/>
    <xf numFmtId="0" fontId="2" fillId="33" borderId="166" xfId="0" applyFont="1" applyFill="1" applyBorder="1" applyAlignment="1"/>
    <xf numFmtId="0" fontId="2" fillId="33" borderId="155" xfId="0" applyFont="1" applyFill="1" applyBorder="1" applyAlignment="1"/>
    <xf numFmtId="0" fontId="2" fillId="33" borderId="167" xfId="0" applyFont="1" applyFill="1" applyBorder="1" applyAlignment="1"/>
    <xf numFmtId="166" fontId="76" fillId="33" borderId="170" xfId="0" applyNumberFormat="1" applyFont="1" applyFill="1" applyBorder="1" applyAlignment="1">
      <alignment horizontal="right"/>
    </xf>
    <xf numFmtId="166" fontId="76" fillId="33" borderId="151" xfId="0" applyNumberFormat="1" applyFont="1" applyFill="1" applyBorder="1" applyAlignment="1">
      <alignment horizontal="right"/>
    </xf>
    <xf numFmtId="166" fontId="76" fillId="33" borderId="150" xfId="0" applyNumberFormat="1" applyFont="1" applyFill="1" applyBorder="1" applyAlignment="1">
      <alignment horizontal="right"/>
    </xf>
    <xf numFmtId="0" fontId="2" fillId="33" borderId="172" xfId="0" applyFont="1" applyFill="1" applyBorder="1" applyAlignment="1"/>
    <xf numFmtId="166" fontId="76" fillId="33" borderId="154" xfId="0" applyNumberFormat="1" applyFont="1" applyFill="1" applyBorder="1" applyAlignment="1">
      <alignment horizontal="right"/>
    </xf>
    <xf numFmtId="166" fontId="76" fillId="33" borderId="166" xfId="0" applyNumberFormat="1" applyFont="1" applyFill="1" applyBorder="1" applyAlignment="1">
      <alignment horizontal="right"/>
    </xf>
    <xf numFmtId="166" fontId="76" fillId="33" borderId="155" xfId="0" applyNumberFormat="1" applyFont="1" applyFill="1" applyBorder="1" applyAlignment="1">
      <alignment horizontal="right"/>
    </xf>
    <xf numFmtId="166" fontId="76" fillId="33" borderId="158" xfId="0" applyNumberFormat="1" applyFont="1" applyFill="1" applyBorder="1" applyAlignment="1">
      <alignment horizontal="right"/>
    </xf>
    <xf numFmtId="166" fontId="76" fillId="33" borderId="173" xfId="0" applyNumberFormat="1" applyFont="1" applyFill="1" applyBorder="1" applyAlignment="1">
      <alignment horizontal="right"/>
    </xf>
    <xf numFmtId="166" fontId="76" fillId="33" borderId="159" xfId="0" applyNumberFormat="1" applyFont="1" applyFill="1" applyBorder="1" applyAlignment="1">
      <alignment horizontal="right"/>
    </xf>
    <xf numFmtId="0" fontId="2" fillId="33" borderId="175" xfId="0" applyFont="1" applyFill="1" applyBorder="1" applyAlignment="1"/>
    <xf numFmtId="0" fontId="2" fillId="33" borderId="176" xfId="0" applyFont="1" applyFill="1" applyBorder="1" applyAlignment="1"/>
    <xf numFmtId="0" fontId="2" fillId="33" borderId="177" xfId="0" applyFont="1" applyFill="1" applyBorder="1" applyAlignment="1"/>
    <xf numFmtId="166" fontId="76" fillId="33" borderId="174" xfId="0" applyNumberFormat="1" applyFont="1" applyFill="1" applyBorder="1" applyAlignment="1">
      <alignment horizontal="right"/>
    </xf>
    <xf numFmtId="166" fontId="76" fillId="33" borderId="178" xfId="0" applyNumberFormat="1" applyFont="1" applyFill="1" applyBorder="1" applyAlignment="1">
      <alignment horizontal="right"/>
    </xf>
    <xf numFmtId="166" fontId="76" fillId="33" borderId="179" xfId="0" applyNumberFormat="1" applyFont="1" applyFill="1" applyBorder="1" applyAlignment="1">
      <alignment horizontal="right"/>
    </xf>
    <xf numFmtId="0" fontId="6" fillId="33" borderId="131" xfId="0" applyFont="1" applyFill="1" applyBorder="1"/>
    <xf numFmtId="0" fontId="6" fillId="33" borderId="137" xfId="0" applyFont="1" applyFill="1" applyBorder="1"/>
    <xf numFmtId="0" fontId="20" fillId="56" borderId="131" xfId="0" applyFont="1" applyFill="1" applyBorder="1" applyAlignment="1">
      <alignment horizontal="center" vertical="center"/>
    </xf>
    <xf numFmtId="0" fontId="83" fillId="56" borderId="127" xfId="0" applyFont="1" applyFill="1" applyBorder="1" applyAlignment="1">
      <alignment horizontal="center" vertical="center"/>
    </xf>
    <xf numFmtId="0" fontId="83" fillId="56" borderId="128" xfId="0" applyFont="1" applyFill="1" applyBorder="1" applyAlignment="1">
      <alignment horizontal="center" vertical="center"/>
    </xf>
    <xf numFmtId="166" fontId="76" fillId="33" borderId="168" xfId="0" applyNumberFormat="1" applyFont="1" applyFill="1" applyBorder="1"/>
    <xf numFmtId="0" fontId="83" fillId="56" borderId="139" xfId="0" applyFont="1" applyFill="1" applyBorder="1" applyAlignment="1">
      <alignment horizontal="center" vertical="center"/>
    </xf>
    <xf numFmtId="166" fontId="76" fillId="33" borderId="182" xfId="0" applyNumberFormat="1" applyFont="1" applyFill="1" applyBorder="1"/>
    <xf numFmtId="166" fontId="76" fillId="33" borderId="184" xfId="0" applyNumberFormat="1" applyFont="1" applyFill="1" applyBorder="1"/>
    <xf numFmtId="0" fontId="76" fillId="56" borderId="132" xfId="0" applyFont="1" applyFill="1" applyBorder="1" applyAlignment="1">
      <alignment vertical="center"/>
    </xf>
    <xf numFmtId="0" fontId="6" fillId="33" borderId="132" xfId="0" applyFont="1" applyFill="1" applyBorder="1"/>
    <xf numFmtId="0" fontId="6" fillId="33" borderId="138" xfId="0" applyFont="1" applyFill="1" applyBorder="1"/>
    <xf numFmtId="166" fontId="76" fillId="33" borderId="186" xfId="0" applyNumberFormat="1" applyFont="1" applyFill="1" applyBorder="1"/>
    <xf numFmtId="166" fontId="76" fillId="33" borderId="169" xfId="0" applyNumberFormat="1" applyFont="1" applyFill="1" applyBorder="1"/>
    <xf numFmtId="166" fontId="76" fillId="33" borderId="187" xfId="0" applyNumberFormat="1" applyFont="1" applyFill="1" applyBorder="1"/>
    <xf numFmtId="0" fontId="43" fillId="56" borderId="188" xfId="0" applyFont="1" applyFill="1" applyBorder="1" applyAlignment="1">
      <alignment horizontal="center" vertical="center" wrapText="1"/>
    </xf>
    <xf numFmtId="0" fontId="76" fillId="33" borderId="188" xfId="0" applyFont="1" applyFill="1" applyBorder="1" applyAlignment="1">
      <alignment horizontal="center" vertical="center"/>
    </xf>
    <xf numFmtId="0" fontId="76" fillId="33" borderId="189" xfId="0" applyFont="1" applyFill="1" applyBorder="1" applyAlignment="1">
      <alignment horizontal="center" vertical="center"/>
    </xf>
    <xf numFmtId="0" fontId="76" fillId="33" borderId="200" xfId="0" applyFont="1" applyFill="1" applyBorder="1" applyAlignment="1">
      <alignment horizontal="center" vertical="center"/>
    </xf>
    <xf numFmtId="0" fontId="76" fillId="33" borderId="202" xfId="0" applyFont="1" applyFill="1" applyBorder="1" applyAlignment="1">
      <alignment horizontal="center" vertical="center"/>
    </xf>
    <xf numFmtId="0" fontId="76" fillId="33" borderId="203" xfId="0" applyFont="1" applyFill="1" applyBorder="1" applyAlignment="1">
      <alignment horizontal="center" vertical="center"/>
    </xf>
    <xf numFmtId="0" fontId="5" fillId="33" borderId="204" xfId="0" applyFont="1" applyFill="1" applyBorder="1" applyAlignment="1">
      <alignment horizontal="center" vertical="center"/>
    </xf>
    <xf numFmtId="0" fontId="5" fillId="33" borderId="205" xfId="0" applyFont="1" applyFill="1" applyBorder="1" applyAlignment="1">
      <alignment horizontal="center" vertical="center"/>
    </xf>
    <xf numFmtId="0" fontId="5" fillId="33" borderId="206" xfId="0" applyFont="1" applyFill="1" applyBorder="1" applyAlignment="1">
      <alignment horizontal="center" vertical="center"/>
    </xf>
    <xf numFmtId="0" fontId="43" fillId="56" borderId="211" xfId="0" applyFont="1" applyFill="1" applyBorder="1" applyAlignment="1">
      <alignment horizontal="center" vertical="center" wrapText="1"/>
    </xf>
    <xf numFmtId="0" fontId="43" fillId="56" borderId="212" xfId="0" applyFont="1" applyFill="1" applyBorder="1" applyAlignment="1">
      <alignment horizontal="center" vertical="center" wrapText="1"/>
    </xf>
    <xf numFmtId="0" fontId="85" fillId="33" borderId="213" xfId="0" applyFont="1" applyFill="1" applyBorder="1" applyAlignment="1">
      <alignment horizontal="center" vertical="center" wrapText="1"/>
    </xf>
    <xf numFmtId="0" fontId="85" fillId="33" borderId="214" xfId="0" applyFont="1" applyFill="1" applyBorder="1" applyAlignment="1">
      <alignment horizontal="center" vertical="center" wrapText="1"/>
    </xf>
    <xf numFmtId="0" fontId="83" fillId="56" borderId="209" xfId="0" applyFont="1" applyFill="1" applyBorder="1" applyAlignment="1">
      <alignment horizontal="center" vertical="center"/>
    </xf>
    <xf numFmtId="0" fontId="43" fillId="56" borderId="11" xfId="0" applyFont="1" applyFill="1" applyBorder="1" applyAlignment="1">
      <alignment horizontal="center" vertical="center" wrapText="1"/>
    </xf>
    <xf numFmtId="0" fontId="113" fillId="51" borderId="0" xfId="0" applyFont="1" applyFill="1" applyProtection="1"/>
    <xf numFmtId="0" fontId="79" fillId="47" borderId="0" xfId="0" applyFont="1" applyFill="1" applyAlignment="1" applyProtection="1">
      <alignment vertical="center"/>
    </xf>
    <xf numFmtId="0" fontId="63" fillId="36" borderId="223" xfId="0" applyFont="1" applyFill="1" applyBorder="1" applyAlignment="1" applyProtection="1">
      <alignment vertical="center"/>
    </xf>
    <xf numFmtId="0" fontId="63" fillId="36" borderId="225" xfId="0" applyFont="1" applyFill="1" applyBorder="1" applyAlignment="1" applyProtection="1">
      <alignment vertical="center"/>
    </xf>
    <xf numFmtId="0" fontId="63" fillId="36" borderId="51" xfId="0" applyFont="1" applyFill="1" applyBorder="1" applyAlignment="1" applyProtection="1">
      <alignment vertical="center"/>
    </xf>
    <xf numFmtId="37" fontId="47" fillId="51" borderId="125" xfId="0" applyNumberFormat="1" applyFont="1" applyFill="1" applyBorder="1" applyProtection="1"/>
    <xf numFmtId="166" fontId="111" fillId="51" borderId="0" xfId="0" applyNumberFormat="1" applyFont="1" applyFill="1" applyBorder="1" applyProtection="1"/>
    <xf numFmtId="0" fontId="50" fillId="34" borderId="0" xfId="0" applyFont="1" applyFill="1" applyBorder="1" applyAlignment="1" applyProtection="1">
      <protection locked="0"/>
    </xf>
    <xf numFmtId="0" fontId="50" fillId="34" borderId="0" xfId="0" applyFont="1" applyFill="1" applyBorder="1" applyAlignment="1" applyProtection="1">
      <alignment horizontal="left"/>
      <protection locked="0"/>
    </xf>
    <xf numFmtId="0" fontId="50" fillId="33" borderId="0" xfId="0" applyFont="1" applyFill="1" applyBorder="1" applyAlignment="1" applyProtection="1"/>
    <xf numFmtId="0" fontId="53" fillId="33" borderId="0" xfId="0" applyFont="1" applyFill="1" applyBorder="1" applyProtection="1"/>
    <xf numFmtId="0" fontId="53" fillId="0" borderId="0" xfId="0" applyFont="1" applyFill="1" applyBorder="1" applyAlignment="1" applyProtection="1"/>
    <xf numFmtId="0" fontId="111" fillId="0" borderId="0" xfId="0" applyFont="1" applyFill="1" applyBorder="1" applyAlignment="1" applyProtection="1">
      <alignment horizontal="right"/>
    </xf>
    <xf numFmtId="0" fontId="64" fillId="0" borderId="0" xfId="0" applyFont="1" applyFill="1" applyProtection="1"/>
    <xf numFmtId="0" fontId="28" fillId="0" borderId="0" xfId="0" applyFont="1" applyFill="1" applyBorder="1" applyAlignment="1" applyProtection="1">
      <alignment horizontal="left"/>
    </xf>
    <xf numFmtId="0" fontId="82" fillId="0" borderId="0" xfId="0" applyFont="1" applyFill="1" applyAlignment="1" applyProtection="1">
      <alignment vertical="center"/>
    </xf>
    <xf numFmtId="0" fontId="29" fillId="34" borderId="0" xfId="0" applyFont="1" applyFill="1" applyBorder="1" applyAlignment="1" applyProtection="1"/>
    <xf numFmtId="0" fontId="9" fillId="0" borderId="0" xfId="0" applyFont="1" applyFill="1" applyBorder="1" applyProtection="1"/>
    <xf numFmtId="0" fontId="29" fillId="0" borderId="0" xfId="0" applyFont="1" applyFill="1" applyBorder="1" applyAlignment="1" applyProtection="1"/>
    <xf numFmtId="0" fontId="29" fillId="0" borderId="0" xfId="0" applyFont="1" applyFill="1" applyBorder="1" applyAlignment="1" applyProtection="1">
      <alignment horizontal="left"/>
    </xf>
    <xf numFmtId="0" fontId="53" fillId="51" borderId="0" xfId="0" applyFont="1" applyFill="1" applyBorder="1" applyAlignment="1" applyProtection="1">
      <protection locked="0"/>
    </xf>
    <xf numFmtId="0" fontId="47" fillId="51" borderId="0" xfId="0" applyFont="1" applyFill="1" applyBorder="1" applyAlignment="1" applyProtection="1">
      <alignment horizontal="right"/>
      <protection locked="0"/>
    </xf>
    <xf numFmtId="5" fontId="29" fillId="34" borderId="0" xfId="0" applyNumberFormat="1" applyFont="1" applyFill="1" applyBorder="1" applyAlignment="1" applyProtection="1">
      <alignment horizontal="right"/>
      <protection locked="0"/>
    </xf>
    <xf numFmtId="5" fontId="29" fillId="34" borderId="0" xfId="0" applyNumberFormat="1" applyFont="1" applyFill="1" applyBorder="1" applyProtection="1">
      <protection locked="0"/>
    </xf>
    <xf numFmtId="0" fontId="47" fillId="51" borderId="0" xfId="0" applyFont="1" applyFill="1" applyAlignment="1" applyProtection="1">
      <alignment horizontal="left" wrapText="1"/>
      <protection locked="0"/>
    </xf>
    <xf numFmtId="0" fontId="47" fillId="51" borderId="0" xfId="0" applyNumberFormat="1" applyFont="1" applyFill="1" applyAlignment="1" applyProtection="1">
      <alignment wrapText="1"/>
      <protection locked="0"/>
    </xf>
    <xf numFmtId="0" fontId="50" fillId="63" borderId="0" xfId="0" applyFont="1" applyFill="1" applyAlignment="1" applyProtection="1">
      <alignment wrapText="1"/>
      <protection locked="0"/>
    </xf>
    <xf numFmtId="5" fontId="50" fillId="34" borderId="0" xfId="0" applyNumberFormat="1" applyFont="1" applyFill="1" applyAlignment="1" applyProtection="1">
      <alignment horizontal="right"/>
      <protection locked="0"/>
    </xf>
    <xf numFmtId="5" fontId="50" fillId="34" borderId="0" xfId="0" applyNumberFormat="1" applyFont="1" applyFill="1" applyProtection="1">
      <protection locked="0"/>
    </xf>
    <xf numFmtId="5" fontId="29" fillId="0" borderId="0" xfId="0" applyNumberFormat="1" applyFont="1" applyFill="1" applyBorder="1" applyAlignment="1">
      <alignment horizontal="right"/>
    </xf>
    <xf numFmtId="5" fontId="29" fillId="0" borderId="0" xfId="0" applyNumberFormat="1" applyFont="1" applyFill="1" applyBorder="1"/>
    <xf numFmtId="5" fontId="0" fillId="0" borderId="0" xfId="0" applyNumberFormat="1" applyProtection="1">
      <protection locked="0"/>
    </xf>
    <xf numFmtId="5" fontId="66" fillId="34" borderId="0" xfId="0" applyNumberFormat="1" applyFont="1" applyFill="1" applyBorder="1" applyAlignment="1" applyProtection="1">
      <alignment horizontal="right"/>
      <protection locked="0"/>
    </xf>
    <xf numFmtId="0" fontId="93" fillId="51" borderId="0" xfId="0" applyFont="1" applyFill="1" applyAlignment="1" applyProtection="1">
      <alignment horizontal="left" wrapText="1"/>
      <protection locked="0"/>
    </xf>
    <xf numFmtId="0" fontId="93" fillId="51" borderId="0" xfId="0" applyNumberFormat="1" applyFont="1" applyFill="1" applyAlignment="1" applyProtection="1">
      <alignment wrapText="1"/>
      <protection locked="0"/>
    </xf>
    <xf numFmtId="0" fontId="0" fillId="0" borderId="0" xfId="0" applyProtection="1">
      <protection locked="0"/>
    </xf>
    <xf numFmtId="0" fontId="116" fillId="0" borderId="0" xfId="0" applyFont="1" applyProtection="1">
      <protection locked="0"/>
    </xf>
    <xf numFmtId="0" fontId="38" fillId="0" borderId="0" xfId="0" applyFont="1" applyFill="1" applyAlignment="1">
      <alignment vertical="center" wrapText="1"/>
    </xf>
    <xf numFmtId="0" fontId="0" fillId="0" borderId="0" xfId="0" applyFill="1" applyBorder="1" applyProtection="1"/>
    <xf numFmtId="0" fontId="0" fillId="0" borderId="0" xfId="0" applyProtection="1"/>
    <xf numFmtId="0" fontId="63" fillId="0" borderId="0" xfId="0" applyFont="1" applyFill="1" applyBorder="1" applyAlignment="1" applyProtection="1">
      <alignment vertical="center"/>
    </xf>
    <xf numFmtId="0" fontId="64" fillId="0" borderId="0" xfId="0" applyFont="1" applyFill="1" applyBorder="1" applyAlignment="1" applyProtection="1">
      <alignment vertical="top"/>
    </xf>
    <xf numFmtId="0" fontId="65" fillId="0" borderId="0" xfId="0" applyFont="1" applyFill="1" applyBorder="1" applyAlignment="1" applyProtection="1">
      <alignment vertical="top"/>
    </xf>
    <xf numFmtId="0" fontId="65" fillId="0" borderId="0" xfId="0" applyFont="1" applyFill="1" applyBorder="1" applyAlignment="1" applyProtection="1">
      <alignment horizontal="left" vertical="top"/>
    </xf>
    <xf numFmtId="0" fontId="69" fillId="38" borderId="0" xfId="0" applyFont="1" applyFill="1" applyAlignment="1" applyProtection="1">
      <alignment horizontal="left" vertical="center"/>
    </xf>
    <xf numFmtId="0" fontId="69" fillId="38" borderId="0" xfId="0" applyFont="1" applyFill="1" applyAlignment="1" applyProtection="1">
      <alignment horizontal="centerContinuous" vertical="center"/>
    </xf>
    <xf numFmtId="0" fontId="69" fillId="0" borderId="0" xfId="0" applyFont="1" applyFill="1" applyAlignment="1" applyProtection="1">
      <alignment horizontal="centerContinuous" vertical="center"/>
    </xf>
    <xf numFmtId="0" fontId="67" fillId="0" borderId="0" xfId="0" applyFont="1" applyProtection="1"/>
    <xf numFmtId="0" fontId="20" fillId="51" borderId="0" xfId="0" applyFont="1" applyFill="1" applyBorder="1" applyProtection="1"/>
    <xf numFmtId="0" fontId="104" fillId="51" borderId="0" xfId="0" applyFont="1" applyFill="1" applyBorder="1" applyProtection="1"/>
    <xf numFmtId="0" fontId="26" fillId="0" borderId="0" xfId="0" applyFont="1" applyFill="1" applyAlignment="1" applyProtection="1">
      <alignment vertical="top" wrapText="1"/>
    </xf>
    <xf numFmtId="0" fontId="0" fillId="0" borderId="0" xfId="0" applyFill="1" applyProtection="1"/>
    <xf numFmtId="0" fontId="47" fillId="51" borderId="0" xfId="0" applyFont="1" applyFill="1" applyBorder="1" applyProtection="1"/>
    <xf numFmtId="2" fontId="47" fillId="51" borderId="0" xfId="0" applyNumberFormat="1" applyFont="1" applyFill="1" applyBorder="1" applyAlignment="1" applyProtection="1">
      <alignment horizontal="center"/>
    </xf>
    <xf numFmtId="0" fontId="47" fillId="51" borderId="0" xfId="0" applyNumberFormat="1" applyFont="1" applyFill="1" applyBorder="1" applyAlignment="1" applyProtection="1">
      <alignment horizontal="center"/>
    </xf>
    <xf numFmtId="0" fontId="115" fillId="0" borderId="0" xfId="0" applyNumberFormat="1" applyFont="1" applyFill="1" applyBorder="1" applyAlignment="1" applyProtection="1">
      <alignment horizontal="center"/>
    </xf>
    <xf numFmtId="0" fontId="47" fillId="51" borderId="0" xfId="0" applyFont="1" applyFill="1" applyBorder="1" applyAlignment="1" applyProtection="1">
      <alignment horizontal="left" wrapText="1"/>
    </xf>
    <xf numFmtId="5" fontId="29" fillId="34" borderId="0" xfId="0" applyNumberFormat="1" applyFont="1" applyFill="1" applyBorder="1" applyAlignment="1" applyProtection="1">
      <alignment horizontal="right"/>
    </xf>
    <xf numFmtId="5" fontId="29" fillId="34" borderId="0" xfId="0" applyNumberFormat="1" applyFont="1" applyFill="1" applyBorder="1" applyProtection="1"/>
    <xf numFmtId="0" fontId="47" fillId="0" borderId="0" xfId="0" applyFont="1" applyFill="1" applyAlignment="1" applyProtection="1">
      <alignment horizontal="left" wrapText="1"/>
    </xf>
    <xf numFmtId="0" fontId="47" fillId="51" borderId="0" xfId="0" applyNumberFormat="1" applyFont="1" applyFill="1" applyBorder="1" applyAlignment="1" applyProtection="1">
      <alignment wrapText="1"/>
    </xf>
    <xf numFmtId="0" fontId="47" fillId="0" borderId="0" xfId="0" applyNumberFormat="1" applyFont="1" applyFill="1" applyAlignment="1" applyProtection="1">
      <alignment wrapText="1"/>
    </xf>
    <xf numFmtId="0" fontId="50" fillId="0" borderId="0" xfId="0" applyFont="1" applyFill="1" applyAlignment="1" applyProtection="1">
      <alignment wrapText="1"/>
    </xf>
    <xf numFmtId="0" fontId="70" fillId="0" borderId="0" xfId="0" applyFont="1" applyFill="1" applyAlignment="1" applyProtection="1">
      <alignment vertical="top" wrapText="1"/>
    </xf>
    <xf numFmtId="0" fontId="70" fillId="0" borderId="0" xfId="0" applyFont="1" applyFill="1" applyAlignment="1" applyProtection="1"/>
    <xf numFmtId="0" fontId="9" fillId="0" borderId="0" xfId="0" applyFont="1" applyProtection="1"/>
    <xf numFmtId="0" fontId="43" fillId="0" borderId="0" xfId="0" applyNumberFormat="1" applyFont="1" applyFill="1" applyBorder="1" applyAlignment="1" applyProtection="1">
      <alignment horizontal="center"/>
    </xf>
    <xf numFmtId="0" fontId="30" fillId="58" borderId="125" xfId="0" applyFont="1" applyFill="1" applyBorder="1" applyProtection="1"/>
    <xf numFmtId="0" fontId="30" fillId="58" borderId="125" xfId="0" applyFont="1" applyFill="1" applyBorder="1" applyAlignment="1" applyProtection="1">
      <alignment horizontal="center"/>
    </xf>
    <xf numFmtId="0" fontId="0" fillId="58" borderId="0" xfId="0" applyFill="1" applyProtection="1"/>
    <xf numFmtId="5" fontId="50" fillId="0" borderId="0" xfId="0" applyNumberFormat="1" applyFont="1" applyFill="1" applyAlignment="1" applyProtection="1">
      <alignment horizontal="right"/>
    </xf>
    <xf numFmtId="5" fontId="50" fillId="0" borderId="0" xfId="0" applyNumberFormat="1" applyFont="1" applyFill="1" applyProtection="1"/>
    <xf numFmtId="2" fontId="93" fillId="0" borderId="0" xfId="0" applyNumberFormat="1" applyFont="1" applyFill="1" applyBorder="1" applyAlignment="1" applyProtection="1">
      <alignment horizontal="center"/>
    </xf>
    <xf numFmtId="5" fontId="30" fillId="58" borderId="125" xfId="0" applyNumberFormat="1" applyFont="1" applyFill="1" applyBorder="1" applyAlignment="1" applyProtection="1">
      <alignment wrapText="1"/>
    </xf>
    <xf numFmtId="5" fontId="30" fillId="58" borderId="125" xfId="0" applyNumberFormat="1" applyFont="1" applyFill="1" applyBorder="1" applyAlignment="1" applyProtection="1">
      <alignment horizontal="right"/>
    </xf>
    <xf numFmtId="5" fontId="30" fillId="58" borderId="125" xfId="0" applyNumberFormat="1" applyFont="1" applyFill="1" applyBorder="1" applyProtection="1"/>
    <xf numFmtId="5" fontId="29" fillId="0" borderId="0" xfId="0" applyNumberFormat="1" applyFont="1" applyFill="1" applyAlignment="1" applyProtection="1">
      <alignment horizontal="right"/>
    </xf>
    <xf numFmtId="5" fontId="29" fillId="0" borderId="0" xfId="0" applyNumberFormat="1" applyFont="1" applyFill="1" applyProtection="1"/>
    <xf numFmtId="0" fontId="0" fillId="62" borderId="0" xfId="0" applyFill="1" applyProtection="1"/>
    <xf numFmtId="0" fontId="9" fillId="33" borderId="0" xfId="0" applyFont="1" applyFill="1" applyAlignment="1" applyProtection="1">
      <alignment horizontal="center"/>
    </xf>
    <xf numFmtId="166" fontId="101" fillId="34" borderId="0" xfId="0" applyNumberFormat="1" applyFont="1" applyFill="1" applyBorder="1" applyAlignment="1" applyProtection="1">
      <alignment horizontal="right"/>
      <protection locked="0"/>
    </xf>
    <xf numFmtId="0" fontId="67" fillId="51" borderId="0" xfId="0" applyFont="1" applyFill="1" applyBorder="1" applyProtection="1">
      <protection locked="0"/>
    </xf>
    <xf numFmtId="166" fontId="28" fillId="34" borderId="0" xfId="0" applyNumberFormat="1" applyFont="1" applyFill="1" applyBorder="1" applyProtection="1">
      <protection locked="0"/>
    </xf>
    <xf numFmtId="0" fontId="9" fillId="51" borderId="0" xfId="0" applyFont="1" applyFill="1" applyBorder="1" applyProtection="1"/>
    <xf numFmtId="0" fontId="100" fillId="51" borderId="0" xfId="0" applyFont="1" applyFill="1" applyBorder="1" applyProtection="1"/>
    <xf numFmtId="0" fontId="100" fillId="51" borderId="0" xfId="0" applyNumberFormat="1" applyFont="1" applyFill="1" applyBorder="1" applyAlignment="1" applyProtection="1">
      <alignment horizontal="center"/>
    </xf>
    <xf numFmtId="0" fontId="100" fillId="51" borderId="0" xfId="0" applyFont="1" applyFill="1" applyBorder="1" applyAlignment="1" applyProtection="1">
      <alignment horizontal="center"/>
    </xf>
    <xf numFmtId="166" fontId="102" fillId="51" borderId="0" xfId="0" applyNumberFormat="1" applyFont="1" applyFill="1" applyBorder="1" applyAlignment="1" applyProtection="1">
      <alignment horizontal="right"/>
    </xf>
    <xf numFmtId="0" fontId="67" fillId="33" borderId="0" xfId="0" applyFont="1" applyFill="1" applyBorder="1" applyAlignment="1" applyProtection="1">
      <alignment horizontal="right"/>
    </xf>
    <xf numFmtId="0" fontId="70" fillId="33" borderId="0" xfId="0" applyFont="1" applyFill="1" applyBorder="1" applyAlignment="1" applyProtection="1">
      <alignment vertical="top" wrapText="1"/>
    </xf>
    <xf numFmtId="0" fontId="67" fillId="51" borderId="0" xfId="0" applyFont="1" applyFill="1" applyBorder="1" applyProtection="1"/>
    <xf numFmtId="0" fontId="67" fillId="33" borderId="0" xfId="0" applyFont="1" applyFill="1" applyBorder="1" applyProtection="1"/>
    <xf numFmtId="0" fontId="75" fillId="33" borderId="0" xfId="0" applyFont="1" applyFill="1" applyAlignment="1" applyProtection="1">
      <alignment vertical="top" wrapText="1"/>
    </xf>
    <xf numFmtId="0" fontId="68" fillId="33" borderId="0" xfId="0" applyFont="1" applyFill="1" applyAlignment="1" applyProtection="1">
      <alignment vertical="top" wrapText="1"/>
    </xf>
    <xf numFmtId="0" fontId="87" fillId="38" borderId="0" xfId="0" applyFont="1" applyFill="1" applyAlignment="1" applyProtection="1">
      <alignment vertical="top" wrapText="1"/>
    </xf>
    <xf numFmtId="0" fontId="68" fillId="38" borderId="0" xfId="0" applyFont="1" applyFill="1" applyAlignment="1" applyProtection="1">
      <alignment vertical="top" wrapText="1"/>
    </xf>
    <xf numFmtId="0" fontId="86" fillId="34" borderId="53" xfId="0" quotePrefix="1" applyFont="1" applyFill="1" applyBorder="1" applyAlignment="1" applyProtection="1">
      <alignment horizontal="center" vertical="center" wrapText="1"/>
      <protection locked="0"/>
    </xf>
    <xf numFmtId="0" fontId="66" fillId="34" borderId="53" xfId="0" applyFont="1" applyFill="1" applyBorder="1" applyAlignment="1" applyProtection="1">
      <alignment horizontal="center" vertical="center"/>
      <protection locked="0"/>
    </xf>
    <xf numFmtId="0" fontId="66" fillId="34" borderId="53" xfId="0" quotePrefix="1" applyFont="1" applyFill="1" applyBorder="1" applyAlignment="1" applyProtection="1">
      <alignment horizontal="center" vertical="center"/>
      <protection locked="0"/>
    </xf>
    <xf numFmtId="0" fontId="2" fillId="33" borderId="0" xfId="0" applyFont="1" applyFill="1"/>
    <xf numFmtId="0" fontId="117" fillId="33" borderId="0" xfId="0" applyFont="1" applyFill="1"/>
    <xf numFmtId="0" fontId="2" fillId="33" borderId="0" xfId="0" applyFont="1" applyFill="1" applyAlignment="1">
      <alignment horizontal="center"/>
    </xf>
    <xf numFmtId="0" fontId="118" fillId="33" borderId="0" xfId="0" applyFont="1" applyFill="1"/>
    <xf numFmtId="0" fontId="2" fillId="33" borderId="12" xfId="0" applyFont="1" applyFill="1" applyBorder="1"/>
    <xf numFmtId="0" fontId="2" fillId="33" borderId="14" xfId="0" applyFont="1" applyFill="1" applyBorder="1"/>
    <xf numFmtId="0" fontId="2" fillId="33" borderId="13" xfId="0" applyFont="1" applyFill="1" applyBorder="1"/>
    <xf numFmtId="0" fontId="2" fillId="33" borderId="22" xfId="0" applyFont="1" applyFill="1" applyBorder="1"/>
    <xf numFmtId="0" fontId="2" fillId="33" borderId="16" xfId="0" applyFont="1" applyFill="1" applyBorder="1"/>
    <xf numFmtId="0" fontId="2" fillId="33" borderId="20" xfId="0" applyFont="1" applyFill="1" applyBorder="1"/>
    <xf numFmtId="0" fontId="2" fillId="33" borderId="0" xfId="0" applyFont="1" applyFill="1" applyBorder="1"/>
    <xf numFmtId="0" fontId="2" fillId="33" borderId="21" xfId="0" applyFont="1" applyFill="1" applyBorder="1"/>
    <xf numFmtId="0" fontId="2" fillId="33" borderId="17" xfId="0" applyFont="1" applyFill="1" applyBorder="1"/>
    <xf numFmtId="0" fontId="2" fillId="33" borderId="23" xfId="0" applyFont="1" applyFill="1" applyBorder="1"/>
    <xf numFmtId="0" fontId="2" fillId="33" borderId="19" xfId="0" applyFont="1" applyFill="1" applyBorder="1"/>
    <xf numFmtId="0" fontId="110" fillId="36" borderId="0" xfId="0" applyFont="1" applyFill="1" applyAlignment="1">
      <alignment horizontal="center" vertical="center"/>
    </xf>
    <xf numFmtId="0" fontId="30" fillId="0" borderId="68" xfId="0" applyFont="1" applyFill="1" applyBorder="1" applyAlignment="1" applyProtection="1">
      <alignment horizontal="left" vertical="center"/>
      <protection locked="0"/>
    </xf>
    <xf numFmtId="0" fontId="66" fillId="34" borderId="72" xfId="0" applyFont="1" applyFill="1" applyBorder="1" applyAlignment="1" applyProtection="1">
      <alignment horizontal="center" vertical="center"/>
      <protection locked="0"/>
    </xf>
    <xf numFmtId="0" fontId="66" fillId="34" borderId="72" xfId="0" quotePrefix="1" applyFont="1" applyFill="1" applyBorder="1" applyAlignment="1" applyProtection="1">
      <alignment horizontal="center" vertical="center"/>
      <protection locked="0"/>
    </xf>
    <xf numFmtId="0" fontId="66" fillId="34" borderId="226" xfId="0" quotePrefix="1" applyFont="1" applyFill="1" applyBorder="1" applyAlignment="1" applyProtection="1">
      <alignment horizontal="center" vertical="center"/>
      <protection locked="0"/>
    </xf>
    <xf numFmtId="0" fontId="119" fillId="33" borderId="0" xfId="0" applyFont="1" applyFill="1" applyProtection="1"/>
    <xf numFmtId="0" fontId="99" fillId="51" borderId="0" xfId="0" applyFont="1" applyFill="1" applyBorder="1" applyProtection="1"/>
    <xf numFmtId="164" fontId="32" fillId="36" borderId="33" xfId="0" applyNumberFormat="1" applyFont="1" applyFill="1" applyBorder="1" applyAlignment="1">
      <alignment horizontal="center"/>
    </xf>
    <xf numFmtId="0" fontId="32" fillId="36" borderId="32" xfId="0" applyFont="1" applyFill="1" applyBorder="1" applyAlignment="1">
      <alignment horizontal="left"/>
    </xf>
    <xf numFmtId="0" fontId="32" fillId="36" borderId="31" xfId="0" applyFont="1" applyFill="1" applyBorder="1" applyAlignment="1">
      <alignment horizontal="left"/>
    </xf>
    <xf numFmtId="0" fontId="32" fillId="36" borderId="28" xfId="0" applyFont="1" applyFill="1" applyBorder="1" applyAlignment="1">
      <alignment horizontal="center"/>
    </xf>
    <xf numFmtId="0" fontId="32" fillId="36" borderId="38" xfId="0" applyFont="1" applyFill="1" applyBorder="1" applyAlignment="1">
      <alignment horizontal="center"/>
    </xf>
    <xf numFmtId="0" fontId="55" fillId="56" borderId="57" xfId="0" applyFont="1" applyFill="1" applyBorder="1" applyAlignment="1">
      <alignment horizontal="center"/>
    </xf>
    <xf numFmtId="0" fontId="32" fillId="36" borderId="38" xfId="0" applyFont="1" applyFill="1" applyBorder="1" applyAlignment="1">
      <alignment horizontal="left"/>
    </xf>
    <xf numFmtId="0" fontId="32" fillId="36" borderId="39" xfId="0" applyFont="1" applyFill="1" applyBorder="1" applyAlignment="1">
      <alignment horizontal="left"/>
    </xf>
    <xf numFmtId="0" fontId="32" fillId="36" borderId="39" xfId="0" applyFont="1" applyFill="1" applyBorder="1" applyAlignment="1">
      <alignment horizontal="center"/>
    </xf>
    <xf numFmtId="0" fontId="32" fillId="36" borderId="37" xfId="0" applyFont="1" applyFill="1" applyBorder="1" applyAlignment="1">
      <alignment horizontal="center"/>
    </xf>
    <xf numFmtId="0" fontId="51" fillId="50" borderId="0" xfId="0" applyFont="1" applyFill="1" applyAlignment="1">
      <alignment horizontal="center" vertical="center"/>
    </xf>
    <xf numFmtId="167" fontId="1" fillId="33" borderId="26" xfId="0" applyNumberFormat="1" applyFont="1" applyFill="1" applyBorder="1"/>
    <xf numFmtId="167" fontId="1" fillId="33" borderId="23" xfId="0" applyNumberFormat="1" applyFont="1" applyFill="1" applyBorder="1"/>
    <xf numFmtId="167" fontId="1" fillId="33" borderId="0" xfId="0" applyNumberFormat="1" applyFont="1" applyFill="1" applyBorder="1"/>
    <xf numFmtId="164" fontId="1" fillId="33" borderId="24" xfId="0" applyNumberFormat="1" applyFont="1" applyFill="1" applyBorder="1"/>
    <xf numFmtId="164" fontId="1" fillId="33" borderId="0" xfId="0" applyNumberFormat="1" applyFont="1" applyFill="1" applyBorder="1"/>
    <xf numFmtId="164" fontId="1" fillId="33" borderId="23" xfId="0" applyNumberFormat="1" applyFont="1" applyFill="1" applyBorder="1"/>
    <xf numFmtId="5" fontId="26" fillId="33" borderId="229" xfId="0" applyNumberFormat="1" applyFont="1" applyFill="1" applyBorder="1" applyAlignment="1" applyProtection="1">
      <alignment horizontal="right"/>
    </xf>
    <xf numFmtId="166" fontId="26" fillId="33" borderId="230" xfId="0" applyNumberFormat="1" applyFont="1" applyFill="1" applyBorder="1" applyProtection="1"/>
    <xf numFmtId="166" fontId="26" fillId="33" borderId="229" xfId="0" applyNumberFormat="1" applyFont="1" applyFill="1" applyBorder="1" applyProtection="1"/>
    <xf numFmtId="166" fontId="26" fillId="33" borderId="114" xfId="0" applyNumberFormat="1" applyFont="1" applyFill="1" applyBorder="1" applyProtection="1"/>
    <xf numFmtId="170" fontId="32" fillId="36" borderId="0" xfId="0" applyNumberFormat="1" applyFont="1" applyFill="1" applyBorder="1" applyAlignment="1">
      <alignment horizontal="center"/>
    </xf>
    <xf numFmtId="170" fontId="32" fillId="36" borderId="23" xfId="0" applyNumberFormat="1" applyFont="1" applyFill="1" applyBorder="1" applyAlignment="1">
      <alignment horizontal="center"/>
    </xf>
    <xf numFmtId="170" fontId="32" fillId="36" borderId="26" xfId="0" applyNumberFormat="1" applyFont="1" applyFill="1" applyBorder="1" applyAlignment="1">
      <alignment horizontal="center"/>
    </xf>
    <xf numFmtId="170" fontId="32" fillId="36" borderId="25" xfId="0" applyNumberFormat="1" applyFont="1" applyFill="1" applyBorder="1" applyAlignment="1">
      <alignment horizontal="center"/>
    </xf>
    <xf numFmtId="170" fontId="32" fillId="36" borderId="47" xfId="0" applyNumberFormat="1" applyFont="1" applyFill="1" applyBorder="1" applyAlignment="1">
      <alignment horizontal="center"/>
    </xf>
    <xf numFmtId="5" fontId="26" fillId="33" borderId="101" xfId="0" applyNumberFormat="1" applyFont="1" applyFill="1" applyBorder="1" applyAlignment="1" applyProtection="1">
      <alignment horizontal="right"/>
    </xf>
    <xf numFmtId="0" fontId="32" fillId="36" borderId="28" xfId="0" applyFont="1" applyFill="1" applyBorder="1" applyAlignment="1">
      <alignment horizontal="center"/>
    </xf>
    <xf numFmtId="0" fontId="55" fillId="56" borderId="57" xfId="0" applyFont="1" applyFill="1" applyBorder="1" applyAlignment="1">
      <alignment horizontal="center"/>
    </xf>
    <xf numFmtId="0" fontId="32" fillId="36" borderId="42" xfId="0" applyFont="1" applyFill="1" applyBorder="1" applyAlignment="1">
      <alignment horizontal="center"/>
    </xf>
    <xf numFmtId="0" fontId="0" fillId="0" borderId="0" xfId="0"/>
    <xf numFmtId="0" fontId="32" fillId="36" borderId="28" xfId="0" applyFont="1" applyFill="1" applyBorder="1" applyAlignment="1">
      <alignment horizontal="center"/>
    </xf>
    <xf numFmtId="0" fontId="32" fillId="36" borderId="38" xfId="0" applyFont="1" applyFill="1" applyBorder="1" applyAlignment="1">
      <alignment horizontal="center"/>
    </xf>
    <xf numFmtId="0" fontId="32" fillId="36" borderId="37" xfId="0" applyFont="1" applyFill="1" applyBorder="1" applyAlignment="1">
      <alignment horizontal="center"/>
    </xf>
    <xf numFmtId="0" fontId="26" fillId="42" borderId="232" xfId="0" applyFont="1" applyFill="1" applyBorder="1" applyAlignment="1">
      <alignment horizontal="center"/>
    </xf>
    <xf numFmtId="0" fontId="37" fillId="0" borderId="43" xfId="0" applyFont="1" applyBorder="1" applyAlignment="1">
      <alignment horizontal="center"/>
    </xf>
    <xf numFmtId="0" fontId="26" fillId="42" borderId="233" xfId="0" applyFont="1" applyFill="1" applyBorder="1" applyAlignment="1">
      <alignment horizontal="center"/>
    </xf>
    <xf numFmtId="0" fontId="37" fillId="0" borderId="234" xfId="0" applyFont="1" applyBorder="1" applyAlignment="1">
      <alignment horizontal="center"/>
    </xf>
    <xf numFmtId="0" fontId="110" fillId="0" borderId="0" xfId="0" applyFont="1" applyFill="1" applyAlignment="1">
      <alignment horizontal="center" vertical="center"/>
    </xf>
    <xf numFmtId="0" fontId="59" fillId="36" borderId="31" xfId="0" applyFont="1" applyFill="1" applyBorder="1"/>
    <xf numFmtId="0" fontId="55" fillId="56" borderId="239" xfId="0" applyFont="1" applyFill="1" applyBorder="1" applyAlignment="1"/>
    <xf numFmtId="0" fontId="29" fillId="37" borderId="11" xfId="0" quotePrefix="1" applyFont="1" applyFill="1" applyBorder="1" applyAlignment="1">
      <alignment horizontal="center"/>
    </xf>
    <xf numFmtId="0" fontId="29" fillId="37" borderId="16" xfId="0" quotePrefix="1" applyFont="1" applyFill="1" applyBorder="1" applyAlignment="1">
      <alignment horizontal="center"/>
    </xf>
    <xf numFmtId="0" fontId="26" fillId="65" borderId="11" xfId="0" applyNumberFormat="1" applyFont="1" applyFill="1" applyBorder="1" applyAlignment="1">
      <alignment horizontal="center"/>
    </xf>
    <xf numFmtId="167" fontId="26" fillId="65" borderId="11" xfId="0" applyNumberFormat="1" applyFont="1" applyFill="1" applyBorder="1" applyAlignment="1">
      <alignment horizontal="center"/>
    </xf>
    <xf numFmtId="0" fontId="0" fillId="0" borderId="0" xfId="0" applyAlignment="1">
      <alignment horizontal="center"/>
    </xf>
    <xf numFmtId="0" fontId="26" fillId="0" borderId="0" xfId="0" applyFont="1" applyFill="1" applyAlignment="1">
      <alignment horizontal="right"/>
    </xf>
    <xf numFmtId="0" fontId="26" fillId="0" borderId="0" xfId="0" applyFont="1" applyFill="1" applyBorder="1" applyAlignment="1">
      <alignment horizontal="right"/>
    </xf>
    <xf numFmtId="0" fontId="0" fillId="0" borderId="0" xfId="0" applyAlignment="1">
      <alignment horizontal="right"/>
    </xf>
    <xf numFmtId="0" fontId="26" fillId="0" borderId="0" xfId="0" applyFont="1" applyFill="1" applyBorder="1" applyAlignment="1">
      <alignment horizontal="left"/>
    </xf>
    <xf numFmtId="0" fontId="28" fillId="65" borderId="11" xfId="0" applyNumberFormat="1" applyFont="1" applyFill="1" applyBorder="1" applyAlignment="1">
      <alignment horizontal="center"/>
    </xf>
    <xf numFmtId="0" fontId="34" fillId="65" borderId="11" xfId="0" applyNumberFormat="1" applyFont="1" applyFill="1" applyBorder="1" applyAlignment="1">
      <alignment horizontal="center"/>
    </xf>
    <xf numFmtId="0" fontId="28" fillId="65" borderId="11" xfId="0" applyNumberFormat="1" applyFont="1" applyFill="1" applyBorder="1"/>
    <xf numFmtId="0" fontId="28" fillId="65" borderId="11" xfId="0" applyFont="1" applyFill="1" applyBorder="1"/>
    <xf numFmtId="0" fontId="36" fillId="65" borderId="11" xfId="0" applyNumberFormat="1" applyFont="1" applyFill="1" applyBorder="1" applyAlignment="1">
      <alignment horizontal="center"/>
    </xf>
    <xf numFmtId="0" fontId="55" fillId="60" borderId="0" xfId="0" applyFont="1" applyFill="1" applyBorder="1" applyAlignment="1"/>
    <xf numFmtId="0" fontId="55" fillId="60" borderId="35" xfId="0" applyFont="1" applyFill="1" applyBorder="1" applyAlignment="1">
      <alignment horizontal="center"/>
    </xf>
    <xf numFmtId="0" fontId="55" fillId="60" borderId="28" xfId="0" applyFont="1" applyFill="1" applyBorder="1" applyAlignment="1">
      <alignment horizontal="center"/>
    </xf>
    <xf numFmtId="0" fontId="55" fillId="60" borderId="31" xfId="0" applyFont="1" applyFill="1" applyBorder="1"/>
    <xf numFmtId="0" fontId="55" fillId="60" borderId="0" xfId="0" applyFont="1" applyFill="1" applyBorder="1"/>
    <xf numFmtId="164" fontId="55" fillId="60" borderId="0" xfId="0" applyNumberFormat="1" applyFont="1" applyFill="1" applyBorder="1"/>
    <xf numFmtId="0" fontId="55" fillId="60" borderId="39" xfId="0" applyFont="1" applyFill="1" applyBorder="1" applyAlignment="1">
      <alignment horizontal="center"/>
    </xf>
    <xf numFmtId="0" fontId="55" fillId="60" borderId="36" xfId="0" applyFont="1" applyFill="1" applyBorder="1" applyAlignment="1">
      <alignment horizontal="center"/>
    </xf>
    <xf numFmtId="0" fontId="57" fillId="60" borderId="0" xfId="0" applyFont="1" applyFill="1" applyBorder="1" applyAlignment="1">
      <alignment horizontal="center"/>
    </xf>
    <xf numFmtId="164" fontId="55" fillId="60" borderId="0" xfId="0" applyNumberFormat="1" applyFont="1" applyFill="1" applyBorder="1" applyAlignment="1">
      <alignment horizontal="center"/>
    </xf>
    <xf numFmtId="0" fontId="55" fillId="60" borderId="35" xfId="0" applyFont="1" applyFill="1" applyBorder="1" applyAlignment="1">
      <alignment horizontal="center" vertical="center"/>
    </xf>
    <xf numFmtId="0" fontId="55" fillId="60" borderId="36" xfId="0" applyFont="1" applyFill="1" applyBorder="1" applyAlignment="1">
      <alignment horizontal="center" vertical="center"/>
    </xf>
    <xf numFmtId="0" fontId="55" fillId="60" borderId="34" xfId="0" applyFont="1" applyFill="1" applyBorder="1" applyAlignment="1">
      <alignment horizontal="center" vertical="center"/>
    </xf>
    <xf numFmtId="164" fontId="55" fillId="60" borderId="30" xfId="0" applyNumberFormat="1" applyFont="1" applyFill="1" applyBorder="1" applyAlignment="1">
      <alignment horizontal="center"/>
    </xf>
    <xf numFmtId="0" fontId="32" fillId="60" borderId="108" xfId="0" applyFont="1" applyFill="1" applyBorder="1" applyAlignment="1" applyProtection="1">
      <alignment horizontal="center" vertical="center"/>
    </xf>
    <xf numFmtId="0" fontId="32" fillId="60" borderId="107" xfId="0" applyFont="1" applyFill="1" applyBorder="1" applyAlignment="1" applyProtection="1">
      <alignment horizontal="center" vertical="center"/>
    </xf>
    <xf numFmtId="0" fontId="32" fillId="60" borderId="110" xfId="0" applyFont="1" applyFill="1" applyBorder="1" applyAlignment="1" applyProtection="1">
      <alignment horizontal="center" vertical="center"/>
    </xf>
    <xf numFmtId="0" fontId="32" fillId="60" borderId="109" xfId="0" applyFont="1" applyFill="1" applyBorder="1" applyAlignment="1" applyProtection="1">
      <alignment horizontal="center" vertical="center"/>
    </xf>
    <xf numFmtId="0" fontId="32" fillId="60" borderId="117" xfId="0" applyFont="1" applyFill="1" applyBorder="1" applyAlignment="1" applyProtection="1">
      <alignment horizontal="center" vertical="center"/>
    </xf>
    <xf numFmtId="0" fontId="32" fillId="60" borderId="248" xfId="0" applyFont="1" applyFill="1" applyBorder="1" applyAlignment="1" applyProtection="1">
      <alignment vertical="center"/>
    </xf>
    <xf numFmtId="0" fontId="43" fillId="60" borderId="248" xfId="0" applyFont="1" applyFill="1" applyBorder="1" applyProtection="1"/>
    <xf numFmtId="0" fontId="32" fillId="60" borderId="248" xfId="0" applyFont="1" applyFill="1" applyBorder="1" applyProtection="1"/>
    <xf numFmtId="0" fontId="32" fillId="60" borderId="248" xfId="0" applyFont="1" applyFill="1" applyBorder="1" applyAlignment="1" applyProtection="1">
      <alignment horizontal="center"/>
    </xf>
    <xf numFmtId="0" fontId="32" fillId="60" borderId="249" xfId="0" applyFont="1" applyFill="1" applyBorder="1" applyAlignment="1" applyProtection="1">
      <alignment vertical="center"/>
    </xf>
    <xf numFmtId="0" fontId="43" fillId="60" borderId="250" xfId="0" applyFont="1" applyFill="1" applyBorder="1" applyProtection="1"/>
    <xf numFmtId="0" fontId="32" fillId="60" borderId="250" xfId="0" applyFont="1" applyFill="1" applyBorder="1" applyProtection="1"/>
    <xf numFmtId="0" fontId="38" fillId="0" borderId="0" xfId="0" applyFont="1" applyFill="1" applyProtection="1"/>
    <xf numFmtId="0" fontId="51" fillId="50" borderId="0" xfId="0" applyFont="1" applyFill="1" applyAlignment="1">
      <alignment horizontal="center" vertical="center"/>
    </xf>
    <xf numFmtId="0" fontId="125" fillId="36" borderId="30" xfId="0" applyFont="1" applyFill="1" applyBorder="1" applyAlignment="1"/>
    <xf numFmtId="0" fontId="126" fillId="36" borderId="0" xfId="0" applyFont="1" applyFill="1" applyBorder="1"/>
    <xf numFmtId="0" fontId="125" fillId="36" borderId="0" xfId="0" applyFont="1" applyFill="1" applyBorder="1" applyAlignment="1">
      <alignment vertical="center"/>
    </xf>
    <xf numFmtId="0" fontId="33" fillId="38" borderId="0" xfId="0" applyFont="1" applyFill="1" applyBorder="1" applyProtection="1"/>
    <xf numFmtId="0" fontId="126" fillId="36" borderId="245" xfId="0" applyFont="1" applyFill="1" applyBorder="1"/>
    <xf numFmtId="0" fontId="125" fillId="36" borderId="40" xfId="0" applyFont="1" applyFill="1" applyBorder="1" applyAlignment="1">
      <alignment horizontal="right"/>
    </xf>
    <xf numFmtId="0" fontId="125" fillId="36" borderId="240" xfId="0" applyFont="1" applyFill="1" applyBorder="1" applyAlignment="1">
      <alignment vertical="center"/>
    </xf>
    <xf numFmtId="0" fontId="125" fillId="36" borderId="29" xfId="0" applyFont="1" applyFill="1" applyBorder="1" applyAlignment="1">
      <alignment horizontal="right"/>
    </xf>
    <xf numFmtId="0" fontId="34" fillId="60" borderId="40" xfId="0" applyFont="1" applyFill="1" applyBorder="1" applyAlignment="1">
      <alignment horizontal="right"/>
    </xf>
    <xf numFmtId="0" fontId="34" fillId="60" borderId="40" xfId="0" applyFont="1" applyFill="1" applyBorder="1" applyAlignment="1">
      <alignment horizontal="right" vertical="center"/>
    </xf>
    <xf numFmtId="0" fontId="32" fillId="36" borderId="28" xfId="0" applyFont="1" applyFill="1" applyBorder="1" applyAlignment="1">
      <alignment horizontal="center"/>
    </xf>
    <xf numFmtId="0" fontId="32" fillId="36" borderId="38" xfId="0" applyFont="1" applyFill="1" applyBorder="1" applyAlignment="1">
      <alignment horizontal="center"/>
    </xf>
    <xf numFmtId="0" fontId="55" fillId="60" borderId="34" xfId="0" applyFont="1" applyFill="1" applyBorder="1" applyAlignment="1">
      <alignment horizontal="center"/>
    </xf>
    <xf numFmtId="164" fontId="55" fillId="60" borderId="32" xfId="0" applyNumberFormat="1" applyFont="1" applyFill="1" applyBorder="1" applyAlignment="1">
      <alignment horizontal="center"/>
    </xf>
    <xf numFmtId="164" fontId="55" fillId="60" borderId="33" xfId="0" applyNumberFormat="1" applyFont="1" applyFill="1" applyBorder="1" applyAlignment="1">
      <alignment horizontal="center"/>
    </xf>
    <xf numFmtId="0" fontId="32" fillId="36" borderId="42" xfId="0" applyFont="1" applyFill="1" applyBorder="1" applyAlignment="1">
      <alignment horizontal="center"/>
    </xf>
    <xf numFmtId="164" fontId="55" fillId="50" borderId="0" xfId="0" applyNumberFormat="1" applyFont="1" applyFill="1" applyBorder="1" applyAlignment="1">
      <alignment horizontal="center"/>
    </xf>
    <xf numFmtId="0" fontId="51" fillId="38" borderId="0" xfId="0" applyFont="1" applyFill="1" applyAlignment="1">
      <alignment vertical="center"/>
    </xf>
    <xf numFmtId="0" fontId="51" fillId="38" borderId="35" xfId="0" applyFont="1" applyFill="1" applyBorder="1" applyAlignment="1">
      <alignment vertical="center"/>
    </xf>
    <xf numFmtId="0" fontId="87" fillId="50" borderId="0" xfId="0" applyFont="1" applyFill="1" applyAlignment="1"/>
    <xf numFmtId="0" fontId="89" fillId="50" borderId="0" xfId="0" applyFont="1" applyFill="1" applyAlignment="1">
      <alignment vertical="center"/>
    </xf>
    <xf numFmtId="0" fontId="37" fillId="38" borderId="0" xfId="0" applyFont="1" applyFill="1" applyAlignment="1">
      <alignment horizontal="center"/>
    </xf>
    <xf numFmtId="0" fontId="34" fillId="60" borderId="41" xfId="0" applyFont="1" applyFill="1" applyBorder="1" applyAlignment="1">
      <alignment horizontal="right" vertical="center"/>
    </xf>
    <xf numFmtId="0" fontId="125" fillId="36" borderId="254" xfId="0" applyFont="1" applyFill="1" applyBorder="1" applyAlignment="1">
      <alignment horizontal="right"/>
    </xf>
    <xf numFmtId="0" fontId="125" fillId="36" borderId="256" xfId="0" applyFont="1" applyFill="1" applyBorder="1" applyAlignment="1">
      <alignment horizontal="right"/>
    </xf>
    <xf numFmtId="0" fontId="34" fillId="60" borderId="42" xfId="0" applyFont="1" applyFill="1" applyBorder="1" applyAlignment="1">
      <alignment horizontal="right"/>
    </xf>
    <xf numFmtId="0" fontId="125" fillId="36" borderId="41" xfId="0" applyFont="1" applyFill="1" applyBorder="1" applyAlignment="1">
      <alignment horizontal="right"/>
    </xf>
    <xf numFmtId="0" fontId="125" fillId="36" borderId="31" xfId="0" applyFont="1" applyFill="1" applyBorder="1" applyAlignment="1">
      <alignment horizontal="right"/>
    </xf>
    <xf numFmtId="0" fontId="34" fillId="60" borderId="41" xfId="0" applyFont="1" applyFill="1" applyBorder="1" applyAlignment="1">
      <alignment horizontal="right"/>
    </xf>
    <xf numFmtId="0" fontId="125" fillId="36" borderId="255" xfId="0" applyFont="1" applyFill="1" applyBorder="1" applyAlignment="1">
      <alignment horizontal="right"/>
    </xf>
    <xf numFmtId="0" fontId="125" fillId="36" borderId="257" xfId="0" applyFont="1" applyFill="1" applyBorder="1" applyAlignment="1">
      <alignment horizontal="right"/>
    </xf>
    <xf numFmtId="0" fontId="38" fillId="38" borderId="0" xfId="0" applyFont="1" applyFill="1" applyAlignment="1" applyProtection="1">
      <alignment horizontal="centerContinuous"/>
    </xf>
    <xf numFmtId="167" fontId="26" fillId="38" borderId="0" xfId="0" applyNumberFormat="1" applyFont="1" applyFill="1" applyAlignment="1">
      <alignment horizontal="centerContinuous"/>
    </xf>
    <xf numFmtId="164" fontId="26" fillId="38" borderId="0" xfId="0" applyNumberFormat="1" applyFont="1" applyFill="1" applyAlignment="1">
      <alignment horizontal="centerContinuous"/>
    </xf>
    <xf numFmtId="0" fontId="127" fillId="38" borderId="0" xfId="0" applyFont="1" applyFill="1" applyBorder="1" applyAlignment="1">
      <alignment horizontal="center"/>
    </xf>
    <xf numFmtId="0" fontId="26" fillId="38" borderId="0" xfId="0" applyFont="1" applyFill="1" applyAlignment="1" applyProtection="1">
      <alignment horizontal="centerContinuous"/>
    </xf>
    <xf numFmtId="164" fontId="26" fillId="38" borderId="0" xfId="0" applyNumberFormat="1" applyFont="1" applyFill="1" applyAlignment="1" applyProtection="1">
      <alignment horizontal="centerContinuous"/>
    </xf>
    <xf numFmtId="0" fontId="55" fillId="60" borderId="38" xfId="0" applyFont="1" applyFill="1" applyBorder="1"/>
    <xf numFmtId="167" fontId="55" fillId="60" borderId="0" xfId="0" applyNumberFormat="1" applyFont="1" applyFill="1" applyBorder="1"/>
    <xf numFmtId="167" fontId="55" fillId="60" borderId="30" xfId="0" applyNumberFormat="1" applyFont="1" applyFill="1" applyBorder="1"/>
    <xf numFmtId="167" fontId="55" fillId="60" borderId="33" xfId="0" applyNumberFormat="1" applyFont="1" applyFill="1" applyBorder="1"/>
    <xf numFmtId="0" fontId="55" fillId="60" borderId="39" xfId="0" applyFont="1" applyFill="1" applyBorder="1"/>
    <xf numFmtId="164" fontId="55" fillId="60" borderId="37" xfId="0" applyNumberFormat="1" applyFont="1" applyFill="1" applyBorder="1" applyAlignment="1">
      <alignment horizontal="right"/>
    </xf>
    <xf numFmtId="170" fontId="55" fillId="60" borderId="31" xfId="0" applyNumberFormat="1" applyFont="1" applyFill="1" applyBorder="1" applyAlignment="1">
      <alignment horizontal="center"/>
    </xf>
    <xf numFmtId="170" fontId="55" fillId="60" borderId="29" xfId="0" applyNumberFormat="1" applyFont="1" applyFill="1" applyBorder="1" applyAlignment="1">
      <alignment horizontal="center"/>
    </xf>
    <xf numFmtId="170" fontId="55" fillId="60" borderId="32" xfId="0" applyNumberFormat="1" applyFont="1" applyFill="1" applyBorder="1" applyAlignment="1">
      <alignment horizontal="center"/>
    </xf>
    <xf numFmtId="0" fontId="55" fillId="60" borderId="37" xfId="0" applyFont="1" applyFill="1" applyBorder="1" applyAlignment="1">
      <alignment horizontal="center"/>
    </xf>
    <xf numFmtId="167" fontId="57" fillId="60" borderId="35" xfId="0" applyNumberFormat="1" applyFont="1" applyFill="1" applyBorder="1" applyAlignment="1">
      <alignment horizontal="center"/>
    </xf>
    <xf numFmtId="0" fontId="57" fillId="60" borderId="31" xfId="0" applyFont="1" applyFill="1" applyBorder="1" applyAlignment="1">
      <alignment horizontal="center"/>
    </xf>
    <xf numFmtId="167" fontId="55" fillId="60" borderId="31" xfId="0" applyNumberFormat="1" applyFont="1" applyFill="1" applyBorder="1"/>
    <xf numFmtId="0" fontId="26" fillId="66" borderId="0" xfId="0" applyFont="1" applyFill="1"/>
    <xf numFmtId="164" fontId="26" fillId="66" borderId="0" xfId="0" applyNumberFormat="1" applyFont="1" applyFill="1" applyAlignment="1">
      <alignment horizontal="center"/>
    </xf>
    <xf numFmtId="0" fontId="26" fillId="66" borderId="0" xfId="0" applyNumberFormat="1" applyFont="1" applyFill="1" applyAlignment="1">
      <alignment horizontal="center"/>
    </xf>
    <xf numFmtId="0" fontId="55" fillId="60" borderId="0" xfId="0" applyFont="1" applyFill="1" applyBorder="1" applyAlignment="1">
      <alignment horizontal="left"/>
    </xf>
    <xf numFmtId="0" fontId="32" fillId="36" borderId="37" xfId="0" applyFont="1" applyFill="1" applyBorder="1" applyAlignment="1">
      <alignment horizontal="center"/>
    </xf>
    <xf numFmtId="0" fontId="48" fillId="46" borderId="40" xfId="0" applyFont="1" applyFill="1" applyBorder="1" applyAlignment="1">
      <alignment horizontal="center"/>
    </xf>
    <xf numFmtId="0" fontId="49" fillId="46" borderId="41" xfId="0" applyFont="1" applyFill="1" applyBorder="1" applyAlignment="1">
      <alignment horizontal="center"/>
    </xf>
    <xf numFmtId="0" fontId="48" fillId="46" borderId="41" xfId="0" applyFont="1" applyFill="1" applyBorder="1"/>
    <xf numFmtId="0" fontId="48" fillId="46" borderId="42" xfId="0" applyFont="1" applyFill="1" applyBorder="1"/>
    <xf numFmtId="0" fontId="49" fillId="60" borderId="39" xfId="0" applyFont="1" applyFill="1" applyBorder="1" applyAlignment="1">
      <alignment horizontal="center"/>
    </xf>
    <xf numFmtId="0" fontId="49" fillId="60" borderId="0" xfId="0" applyFont="1" applyFill="1" applyBorder="1" applyAlignment="1">
      <alignment horizontal="center"/>
    </xf>
    <xf numFmtId="0" fontId="32" fillId="36" borderId="28" xfId="0" applyFont="1" applyFill="1" applyBorder="1" applyAlignment="1">
      <alignment horizontal="center"/>
    </xf>
    <xf numFmtId="0" fontId="32" fillId="36" borderId="38" xfId="0" applyFont="1" applyFill="1" applyBorder="1" applyAlignment="1">
      <alignment horizontal="center"/>
    </xf>
    <xf numFmtId="0" fontId="32" fillId="36" borderId="38" xfId="0" applyFont="1" applyFill="1" applyBorder="1" applyAlignment="1">
      <alignment horizontal="left"/>
    </xf>
    <xf numFmtId="0" fontId="32" fillId="60" borderId="240" xfId="0" applyFont="1" applyFill="1" applyBorder="1"/>
    <xf numFmtId="0" fontId="55" fillId="60" borderId="241" xfId="0" applyFont="1" applyFill="1" applyBorder="1"/>
    <xf numFmtId="0" fontId="48" fillId="60" borderId="241" xfId="0" applyFont="1" applyFill="1" applyBorder="1" applyAlignment="1">
      <alignment horizontal="center"/>
    </xf>
    <xf numFmtId="0" fontId="55" fillId="60" borderId="241" xfId="0" applyFont="1" applyFill="1" applyBorder="1" applyAlignment="1">
      <alignment horizontal="center"/>
    </xf>
    <xf numFmtId="0" fontId="55" fillId="60" borderId="242" xfId="0" applyFont="1" applyFill="1" applyBorder="1" applyAlignment="1">
      <alignment horizontal="center"/>
    </xf>
    <xf numFmtId="0" fontId="55" fillId="60" borderId="240" xfId="0" applyFont="1" applyFill="1" applyBorder="1"/>
    <xf numFmtId="0" fontId="55" fillId="60" borderId="242" xfId="0" applyFont="1" applyFill="1" applyBorder="1"/>
    <xf numFmtId="0" fontId="32" fillId="60" borderId="243" xfId="0" applyFont="1" applyFill="1" applyBorder="1"/>
    <xf numFmtId="0" fontId="55" fillId="60" borderId="0" xfId="0" applyFont="1" applyFill="1" applyBorder="1" applyAlignment="1">
      <alignment horizontal="center"/>
    </xf>
    <xf numFmtId="0" fontId="55" fillId="60" borderId="244" xfId="0" applyFont="1" applyFill="1" applyBorder="1" applyAlignment="1">
      <alignment horizontal="center"/>
    </xf>
    <xf numFmtId="0" fontId="55" fillId="60" borderId="243" xfId="0" applyFont="1" applyFill="1" applyBorder="1"/>
    <xf numFmtId="0" fontId="55" fillId="60" borderId="243" xfId="0" applyFont="1" applyFill="1" applyBorder="1" applyAlignment="1">
      <alignment horizontal="left"/>
    </xf>
    <xf numFmtId="0" fontId="55" fillId="60" borderId="244" xfId="0" applyFont="1" applyFill="1" applyBorder="1"/>
    <xf numFmtId="0" fontId="49" fillId="60" borderId="241" xfId="0" applyFont="1" applyFill="1" applyBorder="1" applyAlignment="1">
      <alignment horizontal="center"/>
    </xf>
    <xf numFmtId="164" fontId="55" fillId="60" borderId="241" xfId="0" applyNumberFormat="1" applyFont="1" applyFill="1" applyBorder="1"/>
    <xf numFmtId="165" fontId="55" fillId="60" borderId="241" xfId="0" applyNumberFormat="1" applyFont="1" applyFill="1" applyBorder="1" applyAlignment="1">
      <alignment horizontal="center"/>
    </xf>
    <xf numFmtId="0" fontId="57" fillId="60" borderId="242" xfId="0" applyFont="1" applyFill="1" applyBorder="1" applyAlignment="1">
      <alignment horizontal="center"/>
    </xf>
    <xf numFmtId="0" fontId="121" fillId="60" borderId="240" xfId="0" applyFont="1" applyFill="1" applyBorder="1" applyAlignment="1">
      <alignment horizontal="center"/>
    </xf>
    <xf numFmtId="0" fontId="121" fillId="60" borderId="241" xfId="0" applyFont="1" applyFill="1" applyBorder="1"/>
    <xf numFmtId="0" fontId="121" fillId="60" borderId="242" xfId="0" applyFont="1" applyFill="1" applyBorder="1"/>
    <xf numFmtId="0" fontId="57" fillId="60" borderId="240" xfId="0" applyFont="1" applyFill="1" applyBorder="1" applyAlignment="1">
      <alignment horizontal="center"/>
    </xf>
    <xf numFmtId="0" fontId="55" fillId="60" borderId="240" xfId="0" applyFont="1" applyFill="1" applyBorder="1" applyAlignment="1"/>
    <xf numFmtId="0" fontId="55" fillId="60" borderId="241" xfId="0" applyFont="1" applyFill="1" applyBorder="1" applyAlignment="1"/>
    <xf numFmtId="164" fontId="57" fillId="60" borderId="242" xfId="0" applyNumberFormat="1" applyFont="1" applyFill="1" applyBorder="1" applyAlignment="1">
      <alignment horizontal="center"/>
    </xf>
    <xf numFmtId="164" fontId="57" fillId="60" borderId="241" xfId="0" applyNumberFormat="1" applyFont="1" applyFill="1" applyBorder="1" applyAlignment="1">
      <alignment horizontal="center"/>
    </xf>
    <xf numFmtId="164" fontId="55" fillId="60" borderId="240" xfId="0" applyNumberFormat="1" applyFont="1" applyFill="1" applyBorder="1" applyAlignment="1"/>
    <xf numFmtId="164" fontId="55" fillId="60" borderId="241" xfId="0" applyNumberFormat="1" applyFont="1" applyFill="1" applyBorder="1" applyAlignment="1"/>
    <xf numFmtId="164" fontId="55" fillId="60" borderId="242" xfId="0" applyNumberFormat="1" applyFont="1" applyFill="1" applyBorder="1"/>
    <xf numFmtId="165" fontId="55" fillId="60" borderId="0" xfId="0" applyNumberFormat="1" applyFont="1" applyFill="1" applyBorder="1" applyAlignment="1">
      <alignment horizontal="center"/>
    </xf>
    <xf numFmtId="164" fontId="57" fillId="60" borderId="244" xfId="0" applyNumberFormat="1" applyFont="1" applyFill="1" applyBorder="1" applyAlignment="1">
      <alignment horizontal="center"/>
    </xf>
    <xf numFmtId="0" fontId="55" fillId="60" borderId="243" xfId="0" applyFont="1" applyFill="1" applyBorder="1" applyAlignment="1">
      <alignment horizontal="center"/>
    </xf>
    <xf numFmtId="0" fontId="121" fillId="60" borderId="0" xfId="0" applyFont="1" applyFill="1" applyBorder="1"/>
    <xf numFmtId="0" fontId="121" fillId="60" borderId="244" xfId="0" applyFont="1" applyFill="1" applyBorder="1"/>
    <xf numFmtId="0" fontId="57" fillId="60" borderId="243" xfId="0" applyFont="1" applyFill="1" applyBorder="1" applyAlignment="1">
      <alignment horizontal="center"/>
    </xf>
    <xf numFmtId="0" fontId="57" fillId="60" borderId="0" xfId="0" applyFont="1" applyFill="1" applyBorder="1" applyAlignment="1"/>
    <xf numFmtId="0" fontId="55" fillId="60" borderId="243" xfId="0" applyFont="1" applyFill="1" applyBorder="1" applyAlignment="1"/>
    <xf numFmtId="164" fontId="57" fillId="60" borderId="0" xfId="0" applyNumberFormat="1" applyFont="1" applyFill="1" applyBorder="1" applyAlignment="1">
      <alignment horizontal="center"/>
    </xf>
    <xf numFmtId="164" fontId="57" fillId="60" borderId="0" xfId="0" applyNumberFormat="1" applyFont="1" applyFill="1" applyBorder="1" applyAlignment="1"/>
    <xf numFmtId="164" fontId="55" fillId="60" borderId="244" xfId="0" applyNumberFormat="1" applyFont="1" applyFill="1" applyBorder="1"/>
    <xf numFmtId="0" fontId="32" fillId="60" borderId="245" xfId="0" applyFont="1" applyFill="1" applyBorder="1"/>
    <xf numFmtId="0" fontId="55" fillId="60" borderId="246" xfId="0" applyFont="1" applyFill="1" applyBorder="1"/>
    <xf numFmtId="0" fontId="49" fillId="60" borderId="246" xfId="0" applyFont="1" applyFill="1" applyBorder="1" applyAlignment="1">
      <alignment horizontal="center"/>
    </xf>
    <xf numFmtId="164" fontId="55" fillId="60" borderId="246" xfId="0" applyNumberFormat="1" applyFont="1" applyFill="1" applyBorder="1"/>
    <xf numFmtId="165" fontId="55" fillId="60" borderId="246" xfId="0" applyNumberFormat="1" applyFont="1" applyFill="1" applyBorder="1" applyAlignment="1">
      <alignment horizontal="center"/>
    </xf>
    <xf numFmtId="164" fontId="57" fillId="60" borderId="247" xfId="0" applyNumberFormat="1" applyFont="1" applyFill="1" applyBorder="1" applyAlignment="1">
      <alignment horizontal="center"/>
    </xf>
    <xf numFmtId="0" fontId="121" fillId="60" borderId="245" xfId="0" applyFont="1" applyFill="1" applyBorder="1" applyAlignment="1">
      <alignment horizontal="center"/>
    </xf>
    <xf numFmtId="0" fontId="121" fillId="60" borderId="246" xfId="0" applyFont="1" applyFill="1" applyBorder="1"/>
    <xf numFmtId="0" fontId="121" fillId="60" borderId="247" xfId="0" applyFont="1" applyFill="1" applyBorder="1"/>
    <xf numFmtId="0" fontId="57" fillId="60" borderId="245" xfId="0" applyFont="1" applyFill="1" applyBorder="1" applyAlignment="1">
      <alignment horizontal="center"/>
    </xf>
    <xf numFmtId="0" fontId="57" fillId="60" borderId="246" xfId="0" applyFont="1" applyFill="1" applyBorder="1" applyAlignment="1"/>
    <xf numFmtId="0" fontId="55" fillId="60" borderId="245" xfId="0" applyFont="1" applyFill="1" applyBorder="1" applyAlignment="1"/>
    <xf numFmtId="0" fontId="57" fillId="60" borderId="246" xfId="0" applyFont="1" applyFill="1" applyBorder="1" applyAlignment="1">
      <alignment horizontal="center"/>
    </xf>
    <xf numFmtId="164" fontId="57" fillId="60" borderId="246" xfId="0" applyNumberFormat="1" applyFont="1" applyFill="1" applyBorder="1" applyAlignment="1">
      <alignment horizontal="center"/>
    </xf>
    <xf numFmtId="164" fontId="57" fillId="60" borderId="246" xfId="0" applyNumberFormat="1" applyFont="1" applyFill="1" applyBorder="1" applyAlignment="1"/>
    <xf numFmtId="164" fontId="55" fillId="60" borderId="247" xfId="0" applyNumberFormat="1" applyFont="1" applyFill="1" applyBorder="1"/>
    <xf numFmtId="164" fontId="55" fillId="60" borderId="243" xfId="0" applyNumberFormat="1" applyFont="1" applyFill="1" applyBorder="1" applyAlignment="1"/>
    <xf numFmtId="164" fontId="55" fillId="60" borderId="0" xfId="0" applyNumberFormat="1" applyFont="1" applyFill="1" applyBorder="1" applyAlignment="1"/>
    <xf numFmtId="0" fontId="37" fillId="60" borderId="0" xfId="0" applyFont="1" applyFill="1" applyBorder="1" applyAlignment="1">
      <alignment horizontal="center"/>
    </xf>
    <xf numFmtId="0" fontId="32" fillId="36" borderId="38" xfId="0" applyFont="1" applyFill="1" applyBorder="1" applyAlignment="1">
      <alignment horizontal="center"/>
    </xf>
    <xf numFmtId="0" fontId="0" fillId="0" borderId="0" xfId="0"/>
    <xf numFmtId="0" fontId="32" fillId="36" borderId="37" xfId="0" applyFont="1" applyFill="1" applyBorder="1" applyAlignment="1">
      <alignment horizontal="center"/>
    </xf>
    <xf numFmtId="0" fontId="26" fillId="48" borderId="0" xfId="0" applyFont="1" applyFill="1" applyProtection="1"/>
    <xf numFmtId="0" fontId="26" fillId="48" borderId="0" xfId="0" applyFont="1" applyFill="1" applyAlignment="1" applyProtection="1">
      <alignment horizontal="center"/>
    </xf>
    <xf numFmtId="164" fontId="26" fillId="48" borderId="0" xfId="0" applyNumberFormat="1" applyFont="1" applyFill="1" applyProtection="1"/>
    <xf numFmtId="0" fontId="54" fillId="48" borderId="0" xfId="0" applyFont="1" applyFill="1" applyBorder="1" applyAlignment="1" applyProtection="1">
      <alignment horizontal="center" vertical="center"/>
    </xf>
    <xf numFmtId="0" fontId="32" fillId="36" borderId="28" xfId="0" applyFont="1" applyFill="1" applyBorder="1" applyProtection="1"/>
    <xf numFmtId="0" fontId="32" fillId="36" borderId="38" xfId="0" applyFont="1" applyFill="1" applyBorder="1" applyProtection="1"/>
    <xf numFmtId="0" fontId="43" fillId="36" borderId="39" xfId="0" applyFont="1" applyFill="1" applyBorder="1" applyAlignment="1" applyProtection="1">
      <alignment horizontal="center"/>
    </xf>
    <xf numFmtId="0" fontId="48" fillId="36" borderId="39" xfId="0" applyFont="1" applyFill="1" applyBorder="1" applyProtection="1"/>
    <xf numFmtId="164" fontId="32" fillId="36" borderId="39" xfId="0" applyNumberFormat="1" applyFont="1" applyFill="1" applyBorder="1" applyAlignment="1" applyProtection="1">
      <alignment horizontal="right"/>
    </xf>
    <xf numFmtId="0" fontId="32" fillId="36" borderId="39" xfId="0" applyFont="1" applyFill="1" applyBorder="1" applyAlignment="1" applyProtection="1">
      <alignment horizontal="center"/>
    </xf>
    <xf numFmtId="0" fontId="32" fillId="36" borderId="37" xfId="0" applyFont="1" applyFill="1" applyBorder="1" applyAlignment="1" applyProtection="1">
      <alignment horizontal="center"/>
    </xf>
    <xf numFmtId="0" fontId="48" fillId="36" borderId="39" xfId="0" applyFont="1" applyFill="1" applyBorder="1" applyAlignment="1" applyProtection="1">
      <alignment horizontal="center"/>
    </xf>
    <xf numFmtId="0" fontId="32" fillId="36" borderId="43" xfId="0" applyFont="1" applyFill="1" applyBorder="1" applyAlignment="1" applyProtection="1">
      <alignment horizontal="right"/>
    </xf>
    <xf numFmtId="0" fontId="32" fillId="36" borderId="44" xfId="0" applyFont="1" applyFill="1" applyBorder="1" applyAlignment="1" applyProtection="1">
      <alignment horizontal="right"/>
    </xf>
    <xf numFmtId="0" fontId="32" fillId="48" borderId="0" xfId="0" applyFont="1" applyFill="1" applyBorder="1" applyAlignment="1" applyProtection="1">
      <alignment horizontal="center"/>
    </xf>
    <xf numFmtId="0" fontId="26" fillId="48" borderId="0" xfId="0" applyFont="1" applyFill="1" applyBorder="1" applyProtection="1"/>
    <xf numFmtId="0" fontId="51" fillId="48" borderId="0" xfId="0" applyFont="1" applyFill="1" applyAlignment="1" applyProtection="1">
      <alignment vertical="center"/>
    </xf>
    <xf numFmtId="0" fontId="32" fillId="36" borderId="41" xfId="0" applyFont="1" applyFill="1" applyBorder="1" applyProtection="1"/>
    <xf numFmtId="0" fontId="32" fillId="36" borderId="31" xfId="0" applyFont="1" applyFill="1" applyBorder="1" applyAlignment="1" applyProtection="1">
      <alignment horizontal="left"/>
    </xf>
    <xf numFmtId="0" fontId="49" fillId="36" borderId="0" xfId="0" applyFont="1" applyFill="1" applyBorder="1" applyAlignment="1" applyProtection="1">
      <alignment horizontal="center"/>
    </xf>
    <xf numFmtId="164" fontId="32" fillId="36" borderId="0" xfId="0" applyNumberFormat="1" applyFont="1" applyFill="1" applyBorder="1" applyProtection="1"/>
    <xf numFmtId="164" fontId="32" fillId="36" borderId="0" xfId="0" applyNumberFormat="1" applyFont="1" applyFill="1" applyBorder="1" applyAlignment="1" applyProtection="1">
      <alignment horizontal="center"/>
    </xf>
    <xf numFmtId="0" fontId="32" fillId="36" borderId="0" xfId="0" applyFont="1" applyFill="1" applyAlignment="1" applyProtection="1">
      <alignment horizontal="center"/>
    </xf>
    <xf numFmtId="0" fontId="32" fillId="36" borderId="35" xfId="0" applyFont="1" applyFill="1" applyBorder="1" applyAlignment="1" applyProtection="1">
      <alignment horizontal="center"/>
    </xf>
    <xf numFmtId="0" fontId="26" fillId="36" borderId="34" xfId="0" applyFont="1" applyFill="1" applyBorder="1" applyProtection="1"/>
    <xf numFmtId="0" fontId="32" fillId="36" borderId="29" xfId="0" applyFont="1" applyFill="1" applyBorder="1" applyAlignment="1" applyProtection="1"/>
    <xf numFmtId="0" fontId="32" fillId="36" borderId="30" xfId="0" applyFont="1" applyFill="1" applyBorder="1" applyAlignment="1" applyProtection="1"/>
    <xf numFmtId="0" fontId="32" fillId="36" borderId="34" xfId="0" applyFont="1" applyFill="1" applyBorder="1" applyAlignment="1" applyProtection="1"/>
    <xf numFmtId="0" fontId="48" fillId="46" borderId="40" xfId="0" applyFont="1" applyFill="1" applyBorder="1" applyAlignment="1" applyProtection="1">
      <alignment horizontal="center"/>
    </xf>
    <xf numFmtId="0" fontId="55" fillId="60" borderId="232" xfId="0" applyFont="1" applyFill="1" applyBorder="1" applyAlignment="1" applyProtection="1">
      <alignment horizontal="right"/>
    </xf>
    <xf numFmtId="0" fontId="55" fillId="60" borderId="43" xfId="0" applyFont="1" applyFill="1" applyBorder="1" applyAlignment="1" applyProtection="1">
      <alignment horizontal="right"/>
    </xf>
    <xf numFmtId="0" fontId="55" fillId="60" borderId="236" xfId="0" applyFont="1" applyFill="1" applyBorder="1" applyAlignment="1" applyProtection="1">
      <alignment horizontal="right"/>
    </xf>
    <xf numFmtId="0" fontId="55" fillId="46" borderId="33" xfId="0" applyFont="1" applyFill="1" applyBorder="1" applyAlignment="1" applyProtection="1">
      <alignment horizontal="center"/>
    </xf>
    <xf numFmtId="0" fontId="55" fillId="60" borderId="33" xfId="0" applyFont="1" applyFill="1" applyBorder="1" applyAlignment="1" applyProtection="1">
      <alignment horizontal="center"/>
    </xf>
    <xf numFmtId="0" fontId="55" fillId="60" borderId="36" xfId="0" applyFont="1" applyFill="1" applyBorder="1" applyAlignment="1" applyProtection="1">
      <alignment horizontal="center"/>
    </xf>
    <xf numFmtId="0" fontId="55" fillId="60" borderId="29" xfId="0" applyFont="1" applyFill="1" applyBorder="1" applyAlignment="1" applyProtection="1"/>
    <xf numFmtId="0" fontId="55" fillId="60" borderId="30" xfId="0" applyFont="1" applyFill="1" applyBorder="1" applyAlignment="1" applyProtection="1"/>
    <xf numFmtId="0" fontId="55" fillId="60" borderId="34" xfId="0" applyFont="1" applyFill="1" applyBorder="1" applyAlignment="1" applyProtection="1"/>
    <xf numFmtId="0" fontId="87" fillId="38" borderId="0" xfId="0" applyFont="1" applyFill="1" applyAlignment="1" applyProtection="1"/>
    <xf numFmtId="0" fontId="32" fillId="36" borderId="0" xfId="0" applyFont="1" applyFill="1" applyBorder="1" applyAlignment="1" applyProtection="1">
      <alignment horizontal="left"/>
    </xf>
    <xf numFmtId="0" fontId="32" fillId="36" borderId="31" xfId="0" applyFont="1" applyFill="1" applyBorder="1" applyAlignment="1" applyProtection="1"/>
    <xf numFmtId="0" fontId="32" fillId="36" borderId="0" xfId="0" applyFont="1" applyFill="1" applyBorder="1" applyAlignment="1" applyProtection="1"/>
    <xf numFmtId="0" fontId="32" fillId="36" borderId="35" xfId="0" applyFont="1" applyFill="1" applyBorder="1" applyAlignment="1" applyProtection="1"/>
    <xf numFmtId="0" fontId="32" fillId="36" borderId="31" xfId="0" applyFont="1" applyFill="1" applyBorder="1" applyAlignment="1" applyProtection="1">
      <alignment horizontal="center"/>
    </xf>
    <xf numFmtId="0" fontId="49" fillId="46" borderId="41" xfId="0" applyFont="1" applyFill="1" applyBorder="1" applyAlignment="1" applyProtection="1">
      <alignment horizontal="center"/>
    </xf>
    <xf numFmtId="164" fontId="55" fillId="60" borderId="0" xfId="0" applyNumberFormat="1" applyFont="1" applyFill="1" applyBorder="1" applyProtection="1"/>
    <xf numFmtId="164" fontId="55" fillId="60" borderId="35" xfId="0" applyNumberFormat="1" applyFont="1" applyFill="1" applyBorder="1" applyProtection="1"/>
    <xf numFmtId="164" fontId="55" fillId="46" borderId="0" xfId="0" applyNumberFormat="1" applyFont="1" applyFill="1" applyBorder="1" applyAlignment="1" applyProtection="1">
      <alignment horizontal="center"/>
    </xf>
    <xf numFmtId="0" fontId="55" fillId="60" borderId="0" xfId="0" applyFont="1" applyFill="1" applyAlignment="1" applyProtection="1">
      <alignment horizontal="center"/>
    </xf>
    <xf numFmtId="0" fontId="55" fillId="60" borderId="35" xfId="0" applyFont="1" applyFill="1" applyBorder="1" applyAlignment="1" applyProtection="1">
      <alignment horizontal="center"/>
    </xf>
    <xf numFmtId="0" fontId="55" fillId="60" borderId="31" xfId="0" applyFont="1" applyFill="1" applyBorder="1" applyAlignment="1" applyProtection="1"/>
    <xf numFmtId="0" fontId="55" fillId="60" borderId="0" xfId="0" applyFont="1" applyFill="1" applyBorder="1" applyAlignment="1" applyProtection="1"/>
    <xf numFmtId="0" fontId="55" fillId="60" borderId="35" xfId="0" applyFont="1" applyFill="1" applyBorder="1" applyAlignment="1" applyProtection="1"/>
    <xf numFmtId="0" fontId="55" fillId="60" borderId="31" xfId="0" applyFont="1" applyFill="1" applyBorder="1" applyAlignment="1" applyProtection="1">
      <alignment horizontal="center"/>
    </xf>
    <xf numFmtId="0" fontId="32" fillId="36" borderId="32" xfId="0" applyFont="1" applyFill="1" applyBorder="1" applyAlignment="1" applyProtection="1">
      <alignment horizontal="center"/>
    </xf>
    <xf numFmtId="0" fontId="32" fillId="36" borderId="33" xfId="0" applyFont="1" applyFill="1" applyBorder="1" applyAlignment="1" applyProtection="1">
      <alignment horizontal="center"/>
    </xf>
    <xf numFmtId="0" fontId="55" fillId="60" borderId="31" xfId="0" applyFont="1" applyFill="1" applyBorder="1" applyAlignment="1" applyProtection="1">
      <alignment horizontal="left"/>
    </xf>
    <xf numFmtId="0" fontId="55" fillId="60" borderId="0" xfId="0" applyFont="1" applyFill="1" applyBorder="1" applyAlignment="1" applyProtection="1">
      <alignment horizontal="left"/>
    </xf>
    <xf numFmtId="0" fontId="55" fillId="60" borderId="32" xfId="0" applyFont="1" applyFill="1" applyBorder="1" applyAlignment="1" applyProtection="1">
      <alignment horizontal="center"/>
    </xf>
    <xf numFmtId="0" fontId="48" fillId="36" borderId="0" xfId="0" applyFont="1" applyFill="1" applyBorder="1" applyProtection="1"/>
    <xf numFmtId="0" fontId="26" fillId="36" borderId="0" xfId="0" applyFont="1" applyFill="1" applyBorder="1" applyProtection="1"/>
    <xf numFmtId="0" fontId="32" fillId="36" borderId="32" xfId="0" applyFont="1" applyFill="1" applyBorder="1" applyAlignment="1" applyProtection="1"/>
    <xf numFmtId="0" fontId="32" fillId="36" borderId="33" xfId="0" applyFont="1" applyFill="1" applyBorder="1" applyAlignment="1" applyProtection="1"/>
    <xf numFmtId="0" fontId="32" fillId="36" borderId="36" xfId="0" applyFont="1" applyFill="1" applyBorder="1" applyAlignment="1" applyProtection="1"/>
    <xf numFmtId="0" fontId="32" fillId="36" borderId="28" xfId="0" applyFont="1" applyFill="1" applyBorder="1" applyAlignment="1" applyProtection="1">
      <alignment horizontal="center"/>
    </xf>
    <xf numFmtId="0" fontId="32" fillId="36" borderId="38" xfId="0" applyFont="1" applyFill="1" applyBorder="1" applyAlignment="1" applyProtection="1">
      <alignment horizontal="center"/>
    </xf>
    <xf numFmtId="0" fontId="55" fillId="60" borderId="32" xfId="0" applyFont="1" applyFill="1" applyBorder="1" applyAlignment="1" applyProtection="1"/>
    <xf numFmtId="0" fontId="55" fillId="60" borderId="33" xfId="0" applyFont="1" applyFill="1" applyBorder="1" applyAlignment="1" applyProtection="1"/>
    <xf numFmtId="0" fontId="55" fillId="60" borderId="36" xfId="0" applyFont="1" applyFill="1" applyBorder="1" applyAlignment="1" applyProtection="1"/>
    <xf numFmtId="0" fontId="55" fillId="60" borderId="28" xfId="0" applyFont="1" applyFill="1" applyBorder="1" applyAlignment="1" applyProtection="1">
      <alignment horizontal="center"/>
    </xf>
    <xf numFmtId="0" fontId="55" fillId="60" borderId="38" xfId="0" applyFont="1" applyFill="1" applyBorder="1" applyAlignment="1" applyProtection="1">
      <alignment horizontal="center"/>
    </xf>
    <xf numFmtId="3" fontId="32" fillId="36" borderId="30" xfId="0" applyNumberFormat="1" applyFont="1" applyFill="1" applyBorder="1" applyProtection="1"/>
    <xf numFmtId="3" fontId="32" fillId="36" borderId="34" xfId="0" applyNumberFormat="1" applyFont="1" applyFill="1" applyBorder="1" applyProtection="1"/>
    <xf numFmtId="3" fontId="55" fillId="60" borderId="30" xfId="0" applyNumberFormat="1" applyFont="1" applyFill="1" applyBorder="1" applyProtection="1"/>
    <xf numFmtId="3" fontId="55" fillId="60" borderId="34" xfId="0" applyNumberFormat="1" applyFont="1" applyFill="1" applyBorder="1" applyProtection="1"/>
    <xf numFmtId="164" fontId="32" fillId="36" borderId="24" xfId="0" applyNumberFormat="1" applyFont="1" applyFill="1" applyBorder="1" applyProtection="1"/>
    <xf numFmtId="0" fontId="32" fillId="36" borderId="31" xfId="0" applyFont="1" applyFill="1" applyBorder="1" applyProtection="1"/>
    <xf numFmtId="0" fontId="32" fillId="36" borderId="0" xfId="0" applyFont="1" applyFill="1" applyBorder="1" applyProtection="1"/>
    <xf numFmtId="3" fontId="32" fillId="36" borderId="0" xfId="0" applyNumberFormat="1" applyFont="1" applyFill="1" applyBorder="1" applyProtection="1"/>
    <xf numFmtId="3" fontId="32" fillId="36" borderId="35" xfId="0" applyNumberFormat="1" applyFont="1" applyFill="1" applyBorder="1" applyProtection="1"/>
    <xf numFmtId="0" fontId="55" fillId="60" borderId="31" xfId="0" applyFont="1" applyFill="1" applyBorder="1" applyProtection="1"/>
    <xf numFmtId="0" fontId="55" fillId="60" borderId="0" xfId="0" applyFont="1" applyFill="1" applyBorder="1" applyProtection="1"/>
    <xf numFmtId="3" fontId="55" fillId="60" borderId="0" xfId="0" applyNumberFormat="1" applyFont="1" applyFill="1" applyBorder="1" applyProtection="1"/>
    <xf numFmtId="3" fontId="55" fillId="60" borderId="35" xfId="0" applyNumberFormat="1" applyFont="1" applyFill="1" applyBorder="1" applyProtection="1"/>
    <xf numFmtId="0" fontId="32" fillId="36" borderId="32" xfId="0" applyFont="1" applyFill="1" applyBorder="1" applyProtection="1"/>
    <xf numFmtId="0" fontId="32" fillId="36" borderId="33" xfId="0" applyFont="1" applyFill="1" applyBorder="1" applyProtection="1"/>
    <xf numFmtId="166" fontId="32" fillId="36" borderId="33" xfId="0" applyNumberFormat="1" applyFont="1" applyFill="1" applyBorder="1" applyProtection="1"/>
    <xf numFmtId="166" fontId="32" fillId="36" borderId="36" xfId="0" applyNumberFormat="1" applyFont="1" applyFill="1" applyBorder="1" applyProtection="1"/>
    <xf numFmtId="164" fontId="55" fillId="60" borderId="235" xfId="0" applyNumberFormat="1" applyFont="1" applyFill="1" applyBorder="1" applyProtection="1"/>
    <xf numFmtId="164" fontId="55" fillId="60" borderId="238" xfId="0" applyNumberFormat="1" applyFont="1" applyFill="1" applyBorder="1" applyProtection="1"/>
    <xf numFmtId="0" fontId="55" fillId="60" borderId="32" xfId="0" applyFont="1" applyFill="1" applyBorder="1" applyProtection="1"/>
    <xf numFmtId="0" fontId="55" fillId="60" borderId="33" xfId="0" applyFont="1" applyFill="1" applyBorder="1" applyProtection="1"/>
    <xf numFmtId="166" fontId="55" fillId="60" borderId="33" xfId="0" applyNumberFormat="1" applyFont="1" applyFill="1" applyBorder="1" applyProtection="1"/>
    <xf numFmtId="166" fontId="55" fillId="60" borderId="36" xfId="0" applyNumberFormat="1" applyFont="1" applyFill="1" applyBorder="1" applyProtection="1"/>
    <xf numFmtId="0" fontId="62" fillId="36" borderId="28" xfId="0" applyFont="1" applyFill="1" applyBorder="1" applyProtection="1"/>
    <xf numFmtId="0" fontId="32" fillId="36" borderId="35" xfId="0" applyFont="1" applyFill="1" applyBorder="1" applyProtection="1"/>
    <xf numFmtId="0" fontId="55" fillId="60" borderId="35" xfId="0" applyFont="1" applyFill="1" applyBorder="1" applyProtection="1"/>
    <xf numFmtId="0" fontId="62" fillId="36" borderId="41" xfId="0" applyFont="1" applyFill="1" applyBorder="1" applyProtection="1"/>
    <xf numFmtId="164" fontId="32" fillId="36" borderId="35" xfId="0" applyNumberFormat="1" applyFont="1" applyFill="1" applyBorder="1" applyProtection="1"/>
    <xf numFmtId="164" fontId="55" fillId="60" borderId="30" xfId="0" applyNumberFormat="1" applyFont="1" applyFill="1" applyBorder="1" applyProtection="1"/>
    <xf numFmtId="164" fontId="55" fillId="60" borderId="34" xfId="0" applyNumberFormat="1" applyFont="1" applyFill="1" applyBorder="1" applyProtection="1"/>
    <xf numFmtId="165" fontId="32" fillId="36" borderId="0" xfId="0" applyNumberFormat="1" applyFont="1" applyFill="1" applyBorder="1" applyProtection="1"/>
    <xf numFmtId="165" fontId="32" fillId="36" borderId="35" xfId="0" applyNumberFormat="1" applyFont="1" applyFill="1" applyBorder="1" applyProtection="1"/>
    <xf numFmtId="164" fontId="55" fillId="60" borderId="33" xfId="0" applyNumberFormat="1" applyFont="1" applyFill="1" applyBorder="1" applyProtection="1"/>
    <xf numFmtId="164" fontId="55" fillId="60" borderId="36" xfId="0" applyNumberFormat="1" applyFont="1" applyFill="1" applyBorder="1" applyProtection="1"/>
    <xf numFmtId="165" fontId="55" fillId="60" borderId="0" xfId="0" applyNumberFormat="1" applyFont="1" applyFill="1" applyBorder="1" applyProtection="1"/>
    <xf numFmtId="165" fontId="55" fillId="60" borderId="35" xfId="0" applyNumberFormat="1" applyFont="1" applyFill="1" applyBorder="1" applyProtection="1"/>
    <xf numFmtId="0" fontId="62" fillId="36" borderId="65" xfId="0" applyFont="1" applyFill="1" applyBorder="1" applyProtection="1"/>
    <xf numFmtId="0" fontId="37" fillId="48" borderId="0" xfId="0" applyFont="1" applyFill="1" applyBorder="1" applyAlignment="1" applyProtection="1">
      <alignment horizontal="center"/>
    </xf>
    <xf numFmtId="0" fontId="89" fillId="38" borderId="0" xfId="0" applyFont="1" applyFill="1" applyAlignment="1" applyProtection="1">
      <alignment vertical="center"/>
    </xf>
    <xf numFmtId="0" fontId="90" fillId="38" borderId="0" xfId="0" applyFont="1" applyFill="1" applyAlignment="1" applyProtection="1">
      <alignment vertical="center"/>
    </xf>
    <xf numFmtId="164" fontId="26" fillId="48" borderId="0" xfId="0" applyNumberFormat="1" applyFont="1" applyFill="1" applyBorder="1" applyProtection="1"/>
    <xf numFmtId="0" fontId="89" fillId="48" borderId="0" xfId="0" applyFont="1" applyFill="1" applyAlignment="1" applyProtection="1">
      <alignment vertical="center"/>
    </xf>
    <xf numFmtId="0" fontId="128" fillId="48" borderId="0" xfId="0" applyFont="1" applyFill="1" applyAlignment="1" applyProtection="1">
      <alignment vertical="center"/>
    </xf>
    <xf numFmtId="0" fontId="89" fillId="48" borderId="35" xfId="0" applyFont="1" applyFill="1" applyBorder="1" applyAlignment="1" applyProtection="1">
      <alignment vertical="center"/>
    </xf>
    <xf numFmtId="0" fontId="32" fillId="36" borderId="35" xfId="0" applyFont="1" applyFill="1" applyBorder="1" applyAlignment="1" applyProtection="1">
      <alignment horizontal="center" vertical="center"/>
    </xf>
    <xf numFmtId="164" fontId="32" fillId="36" borderId="23" xfId="0" applyNumberFormat="1" applyFont="1" applyFill="1" applyBorder="1" applyProtection="1"/>
    <xf numFmtId="0" fontId="55" fillId="60" borderId="35" xfId="0" applyFont="1" applyFill="1" applyBorder="1" applyAlignment="1" applyProtection="1">
      <alignment horizontal="center" vertical="center"/>
    </xf>
    <xf numFmtId="0" fontId="32" fillId="36" borderId="29" xfId="0" applyFont="1" applyFill="1" applyBorder="1" applyProtection="1"/>
    <xf numFmtId="0" fontId="32" fillId="36" borderId="30" xfId="0" applyFont="1" applyFill="1" applyBorder="1" applyProtection="1"/>
    <xf numFmtId="0" fontId="32" fillId="36" borderId="34" xfId="0" applyFont="1" applyFill="1" applyBorder="1" applyProtection="1"/>
    <xf numFmtId="0" fontId="55" fillId="36" borderId="40" xfId="0" applyFont="1" applyFill="1" applyBorder="1" applyAlignment="1" applyProtection="1">
      <alignment horizontal="right"/>
    </xf>
    <xf numFmtId="0" fontId="55" fillId="60" borderId="29" xfId="0" applyFont="1" applyFill="1" applyBorder="1" applyProtection="1"/>
    <xf numFmtId="0" fontId="55" fillId="60" borderId="30" xfId="0" applyFont="1" applyFill="1" applyBorder="1" applyProtection="1"/>
    <xf numFmtId="0" fontId="55" fillId="60" borderId="34" xfId="0" applyFont="1" applyFill="1" applyBorder="1" applyProtection="1"/>
    <xf numFmtId="0" fontId="55" fillId="60" borderId="40" xfId="0" applyFont="1" applyFill="1" applyBorder="1" applyAlignment="1" applyProtection="1">
      <alignment horizontal="right"/>
    </xf>
    <xf numFmtId="0" fontId="125" fillId="36" borderId="30" xfId="0" applyFont="1" applyFill="1" applyBorder="1" applyAlignment="1" applyProtection="1"/>
    <xf numFmtId="0" fontId="125" fillId="36" borderId="40" xfId="0" applyFont="1" applyFill="1" applyBorder="1" applyAlignment="1" applyProtection="1">
      <alignment horizontal="right"/>
    </xf>
    <xf numFmtId="0" fontId="125" fillId="36" borderId="29" xfId="0" applyFont="1" applyFill="1" applyBorder="1" applyAlignment="1" applyProtection="1">
      <alignment horizontal="right"/>
    </xf>
    <xf numFmtId="0" fontId="34" fillId="60" borderId="40" xfId="0" applyFont="1" applyFill="1" applyBorder="1" applyAlignment="1" applyProtection="1">
      <alignment horizontal="right"/>
    </xf>
    <xf numFmtId="0" fontId="34" fillId="60" borderId="40" xfId="0" applyFont="1" applyFill="1" applyBorder="1" applyAlignment="1" applyProtection="1">
      <alignment horizontal="right" vertical="center"/>
    </xf>
    <xf numFmtId="0" fontId="62" fillId="36" borderId="35" xfId="0" applyFont="1" applyFill="1" applyBorder="1" applyProtection="1"/>
    <xf numFmtId="0" fontId="32" fillId="36" borderId="36" xfId="0" applyFont="1" applyFill="1" applyBorder="1" applyProtection="1"/>
    <xf numFmtId="164" fontId="55" fillId="36" borderId="42" xfId="0" applyNumberFormat="1" applyFont="1" applyFill="1" applyBorder="1" applyAlignment="1" applyProtection="1">
      <alignment horizontal="right"/>
    </xf>
    <xf numFmtId="0" fontId="55" fillId="60" borderId="36" xfId="0" applyFont="1" applyFill="1" applyBorder="1" applyProtection="1"/>
    <xf numFmtId="164" fontId="55" fillId="60" borderId="42" xfId="0" applyNumberFormat="1" applyFont="1" applyFill="1" applyBorder="1" applyAlignment="1" applyProtection="1">
      <alignment horizontal="right"/>
    </xf>
    <xf numFmtId="0" fontId="126" fillId="36" borderId="245" xfId="0" applyFont="1" applyFill="1" applyBorder="1" applyProtection="1"/>
    <xf numFmtId="0" fontId="125" fillId="36" borderId="254" xfId="0" applyFont="1" applyFill="1" applyBorder="1" applyAlignment="1" applyProtection="1">
      <alignment horizontal="right"/>
    </xf>
    <xf numFmtId="0" fontId="125" fillId="36" borderId="256" xfId="0" applyFont="1" applyFill="1" applyBorder="1" applyAlignment="1" applyProtection="1">
      <alignment horizontal="right"/>
    </xf>
    <xf numFmtId="0" fontId="34" fillId="60" borderId="42" xfId="0" applyFont="1" applyFill="1" applyBorder="1" applyAlignment="1" applyProtection="1">
      <alignment horizontal="right"/>
    </xf>
    <xf numFmtId="0" fontId="62" fillId="36" borderId="54" xfId="0" applyFont="1" applyFill="1" applyBorder="1" applyProtection="1"/>
    <xf numFmtId="165" fontId="55" fillId="36" borderId="35" xfId="0" applyNumberFormat="1" applyFont="1" applyFill="1" applyBorder="1" applyProtection="1"/>
    <xf numFmtId="0" fontId="126" fillId="36" borderId="0" xfId="0" applyFont="1" applyFill="1" applyBorder="1" applyProtection="1"/>
    <xf numFmtId="0" fontId="125" fillId="36" borderId="41" xfId="0" applyFont="1" applyFill="1" applyBorder="1" applyAlignment="1" applyProtection="1">
      <alignment horizontal="right"/>
    </xf>
    <xf numFmtId="0" fontId="125" fillId="36" borderId="31" xfId="0" applyFont="1" applyFill="1" applyBorder="1" applyAlignment="1" applyProtection="1">
      <alignment horizontal="right"/>
    </xf>
    <xf numFmtId="0" fontId="34" fillId="60" borderId="41" xfId="0" applyFont="1" applyFill="1" applyBorder="1" applyAlignment="1" applyProtection="1">
      <alignment horizontal="right"/>
    </xf>
    <xf numFmtId="0" fontId="34" fillId="60" borderId="41" xfId="0" applyFont="1" applyFill="1" applyBorder="1" applyAlignment="1" applyProtection="1">
      <alignment horizontal="right" vertical="center"/>
    </xf>
    <xf numFmtId="164" fontId="32" fillId="36" borderId="25" xfId="0" applyNumberFormat="1" applyFont="1" applyFill="1" applyBorder="1" applyProtection="1"/>
    <xf numFmtId="0" fontId="125" fillId="36" borderId="0" xfId="0" applyFont="1" applyFill="1" applyBorder="1" applyAlignment="1" applyProtection="1">
      <alignment vertical="center"/>
    </xf>
    <xf numFmtId="164" fontId="32" fillId="36" borderId="33" xfId="0" applyNumberFormat="1" applyFont="1" applyFill="1" applyBorder="1" applyAlignment="1" applyProtection="1">
      <alignment horizontal="center"/>
    </xf>
    <xf numFmtId="164" fontId="32" fillId="36" borderId="33" xfId="0" applyNumberFormat="1" applyFont="1" applyFill="1" applyBorder="1" applyProtection="1"/>
    <xf numFmtId="0" fontId="32" fillId="36" borderId="36" xfId="0" applyFont="1" applyFill="1" applyBorder="1" applyAlignment="1" applyProtection="1">
      <alignment horizontal="center" vertical="center"/>
    </xf>
    <xf numFmtId="164" fontId="55" fillId="46" borderId="33" xfId="0" applyNumberFormat="1" applyFont="1" applyFill="1" applyBorder="1" applyAlignment="1" applyProtection="1">
      <alignment horizontal="center"/>
    </xf>
    <xf numFmtId="0" fontId="55" fillId="60" borderId="36" xfId="0" applyFont="1" applyFill="1" applyBorder="1" applyAlignment="1" applyProtection="1">
      <alignment horizontal="center" vertical="center"/>
    </xf>
    <xf numFmtId="0" fontId="62" fillId="36" borderId="35" xfId="0" applyFont="1" applyFill="1" applyBorder="1" applyAlignment="1" applyProtection="1">
      <alignment horizontal="center"/>
    </xf>
    <xf numFmtId="0" fontId="48" fillId="36" borderId="30" xfId="0" applyFont="1" applyFill="1" applyBorder="1" applyProtection="1"/>
    <xf numFmtId="164" fontId="32" fillId="36" borderId="30" xfId="0" applyNumberFormat="1" applyFont="1" applyFill="1" applyBorder="1" applyProtection="1"/>
    <xf numFmtId="0" fontId="32" fillId="36" borderId="34" xfId="0" applyFont="1" applyFill="1" applyBorder="1" applyAlignment="1" applyProtection="1">
      <alignment horizontal="center" vertical="center"/>
    </xf>
    <xf numFmtId="0" fontId="26" fillId="36" borderId="30" xfId="0" applyFont="1" applyFill="1" applyBorder="1" applyProtection="1"/>
    <xf numFmtId="0" fontId="32" fillId="36" borderId="30" xfId="0" applyFont="1" applyFill="1" applyBorder="1" applyAlignment="1" applyProtection="1">
      <alignment horizontal="center"/>
    </xf>
    <xf numFmtId="0" fontId="59" fillId="46" borderId="41" xfId="0" applyFont="1" applyFill="1" applyBorder="1" applyProtection="1"/>
    <xf numFmtId="0" fontId="55" fillId="60" borderId="30" xfId="0" applyFont="1" applyFill="1" applyBorder="1" applyAlignment="1" applyProtection="1">
      <alignment horizontal="center"/>
    </xf>
    <xf numFmtId="0" fontId="55" fillId="60" borderId="34" xfId="0" applyFont="1" applyFill="1" applyBorder="1" applyAlignment="1" applyProtection="1">
      <alignment horizontal="center" vertical="center"/>
    </xf>
    <xf numFmtId="0" fontId="48" fillId="36" borderId="33" xfId="0" applyFont="1" applyFill="1" applyBorder="1" applyProtection="1"/>
    <xf numFmtId="0" fontId="32" fillId="36" borderId="36" xfId="0" applyFont="1" applyFill="1" applyBorder="1" applyAlignment="1" applyProtection="1">
      <alignment horizontal="center"/>
    </xf>
    <xf numFmtId="0" fontId="26" fillId="36" borderId="33" xfId="0" applyFont="1" applyFill="1" applyBorder="1" applyProtection="1"/>
    <xf numFmtId="164" fontId="32" fillId="36" borderId="30" xfId="0" applyNumberFormat="1" applyFont="1" applyFill="1" applyBorder="1" applyAlignment="1" applyProtection="1">
      <alignment horizontal="center"/>
    </xf>
    <xf numFmtId="0" fontId="32" fillId="36" borderId="0" xfId="0" applyFont="1" applyFill="1" applyProtection="1"/>
    <xf numFmtId="0" fontId="32" fillId="36" borderId="34" xfId="0" applyFont="1" applyFill="1" applyBorder="1" applyAlignment="1" applyProtection="1">
      <alignment horizontal="center"/>
    </xf>
    <xf numFmtId="0" fontId="47" fillId="36" borderId="30" xfId="0" applyFont="1" applyFill="1" applyBorder="1" applyAlignment="1" applyProtection="1">
      <alignment horizontal="center"/>
    </xf>
    <xf numFmtId="164" fontId="32" fillId="36" borderId="30" xfId="0" applyNumberFormat="1" applyFont="1" applyFill="1" applyBorder="1" applyAlignment="1" applyProtection="1">
      <alignment horizontal="right"/>
    </xf>
    <xf numFmtId="0" fontId="55" fillId="60" borderId="34" xfId="0" applyFont="1" applyFill="1" applyBorder="1" applyAlignment="1" applyProtection="1">
      <alignment horizontal="center"/>
    </xf>
    <xf numFmtId="0" fontId="125" fillId="36" borderId="240" xfId="0" applyFont="1" applyFill="1" applyBorder="1" applyAlignment="1" applyProtection="1">
      <alignment vertical="center"/>
    </xf>
    <xf numFmtId="0" fontId="125" fillId="36" borderId="255" xfId="0" applyFont="1" applyFill="1" applyBorder="1" applyAlignment="1" applyProtection="1">
      <alignment horizontal="right"/>
    </xf>
    <xf numFmtId="0" fontId="125" fillId="36" borderId="257" xfId="0" applyFont="1" applyFill="1" applyBorder="1" applyAlignment="1" applyProtection="1">
      <alignment horizontal="right"/>
    </xf>
    <xf numFmtId="164" fontId="47" fillId="36" borderId="0" xfId="0" applyNumberFormat="1" applyFont="1" applyFill="1" applyBorder="1" applyAlignment="1" applyProtection="1">
      <alignment horizontal="right"/>
    </xf>
    <xf numFmtId="0" fontId="47" fillId="36" borderId="0" xfId="0" applyFont="1" applyFill="1" applyBorder="1" applyAlignment="1" applyProtection="1">
      <alignment horizontal="center"/>
    </xf>
    <xf numFmtId="164" fontId="32" fillId="36" borderId="0" xfId="0" applyNumberFormat="1" applyFont="1" applyFill="1" applyBorder="1" applyAlignment="1" applyProtection="1">
      <alignment horizontal="right"/>
    </xf>
    <xf numFmtId="165" fontId="32" fillId="36" borderId="33" xfId="0" applyNumberFormat="1" applyFont="1" applyFill="1" applyBorder="1" applyProtection="1"/>
    <xf numFmtId="165" fontId="55" fillId="36" borderId="36" xfId="0" applyNumberFormat="1" applyFont="1" applyFill="1" applyBorder="1" applyProtection="1"/>
    <xf numFmtId="0" fontId="57" fillId="60" borderId="0" xfId="0" applyFont="1" applyFill="1" applyBorder="1" applyAlignment="1" applyProtection="1">
      <alignment horizontal="center"/>
    </xf>
    <xf numFmtId="165" fontId="55" fillId="60" borderId="33" xfId="0" applyNumberFormat="1" applyFont="1" applyFill="1" applyBorder="1" applyProtection="1"/>
    <xf numFmtId="165" fontId="55" fillId="60" borderId="36" xfId="0" applyNumberFormat="1" applyFont="1" applyFill="1" applyBorder="1" applyProtection="1"/>
    <xf numFmtId="0" fontId="32" fillId="36" borderId="32" xfId="0" applyFont="1" applyFill="1" applyBorder="1" applyAlignment="1" applyProtection="1">
      <alignment horizontal="left"/>
    </xf>
    <xf numFmtId="164" fontId="47" fillId="36" borderId="33" xfId="0" applyNumberFormat="1" applyFont="1" applyFill="1" applyBorder="1" applyAlignment="1" applyProtection="1">
      <alignment horizontal="right"/>
    </xf>
    <xf numFmtId="164" fontId="32" fillId="36" borderId="33" xfId="0" applyNumberFormat="1" applyFont="1" applyFill="1" applyBorder="1" applyAlignment="1" applyProtection="1">
      <alignment horizontal="right"/>
    </xf>
    <xf numFmtId="0" fontId="32" fillId="48" borderId="0" xfId="0" applyFont="1" applyFill="1" applyAlignment="1" applyProtection="1">
      <alignment vertical="center"/>
    </xf>
    <xf numFmtId="0" fontId="51" fillId="48" borderId="0" xfId="0" applyFont="1" applyFill="1" applyBorder="1" applyAlignment="1" applyProtection="1">
      <alignment vertical="center"/>
    </xf>
    <xf numFmtId="0" fontId="32" fillId="48" borderId="0" xfId="0" applyFont="1" applyFill="1" applyBorder="1" applyProtection="1"/>
    <xf numFmtId="0" fontId="32" fillId="48" borderId="0" xfId="0" applyFont="1" applyFill="1" applyBorder="1" applyAlignment="1" applyProtection="1">
      <alignment horizontal="left"/>
    </xf>
    <xf numFmtId="0" fontId="26" fillId="48" borderId="0" xfId="0" applyFont="1" applyFill="1" applyBorder="1" applyAlignment="1" applyProtection="1">
      <alignment horizontal="center"/>
    </xf>
    <xf numFmtId="0" fontId="49" fillId="48" borderId="0" xfId="0" applyFont="1" applyFill="1" applyBorder="1" applyAlignment="1" applyProtection="1">
      <alignment horizontal="center"/>
    </xf>
    <xf numFmtId="164" fontId="47" fillId="48" borderId="0" xfId="0" applyNumberFormat="1" applyFont="1" applyFill="1" applyBorder="1" applyAlignment="1" applyProtection="1">
      <alignment horizontal="right"/>
    </xf>
    <xf numFmtId="164" fontId="32" fillId="48" borderId="0" xfId="0" applyNumberFormat="1" applyFont="1" applyFill="1" applyBorder="1" applyAlignment="1" applyProtection="1">
      <alignment horizontal="center"/>
    </xf>
    <xf numFmtId="0" fontId="32" fillId="48" borderId="0" xfId="0" applyFont="1" applyFill="1" applyAlignment="1" applyProtection="1">
      <alignment horizontal="center" vertical="center"/>
    </xf>
    <xf numFmtId="0" fontId="32" fillId="56" borderId="57" xfId="0" applyFont="1" applyFill="1" applyBorder="1" applyAlignment="1" applyProtection="1">
      <alignment horizontal="center"/>
    </xf>
    <xf numFmtId="0" fontId="32" fillId="64" borderId="57" xfId="0" applyFont="1" applyFill="1" applyBorder="1" applyAlignment="1" applyProtection="1">
      <alignment horizontal="center"/>
    </xf>
    <xf numFmtId="0" fontId="32" fillId="52" borderId="38" xfId="0" applyFont="1" applyFill="1" applyBorder="1" applyAlignment="1" applyProtection="1">
      <alignment horizontal="centerContinuous"/>
    </xf>
    <xf numFmtId="0" fontId="32" fillId="52" borderId="39" xfId="0" applyFont="1" applyFill="1" applyBorder="1" applyAlignment="1" applyProtection="1">
      <alignment horizontal="centerContinuous"/>
    </xf>
    <xf numFmtId="0" fontId="32" fillId="52" borderId="37" xfId="0" applyFont="1" applyFill="1" applyBorder="1" applyAlignment="1" applyProtection="1">
      <alignment horizontal="centerContinuous"/>
    </xf>
    <xf numFmtId="3" fontId="32" fillId="52" borderId="28" xfId="0" applyNumberFormat="1" applyFont="1" applyFill="1" applyBorder="1" applyAlignment="1" applyProtection="1">
      <alignment horizontal="center"/>
    </xf>
    <xf numFmtId="3" fontId="32" fillId="52" borderId="38" xfId="0" applyNumberFormat="1" applyFont="1" applyFill="1" applyBorder="1" applyAlignment="1" applyProtection="1">
      <alignment horizontal="center"/>
    </xf>
    <xf numFmtId="3" fontId="32" fillId="56" borderId="57" xfId="0" applyNumberFormat="1" applyFont="1" applyFill="1" applyBorder="1" applyAlignment="1" applyProtection="1">
      <alignment horizontal="center"/>
    </xf>
    <xf numFmtId="3" fontId="32" fillId="64" borderId="57" xfId="0" applyNumberFormat="1" applyFont="1" applyFill="1" applyBorder="1" applyAlignment="1" applyProtection="1">
      <alignment horizontal="center"/>
    </xf>
    <xf numFmtId="3" fontId="32" fillId="52" borderId="37" xfId="0" applyNumberFormat="1" applyFont="1" applyFill="1" applyBorder="1" applyAlignment="1" applyProtection="1">
      <alignment horizontal="center"/>
    </xf>
    <xf numFmtId="0" fontId="28" fillId="34" borderId="37" xfId="0" applyFont="1" applyFill="1" applyBorder="1" applyAlignment="1" applyProtection="1">
      <alignment horizontal="center"/>
    </xf>
    <xf numFmtId="0" fontId="32" fillId="36" borderId="0" xfId="0" applyFont="1" applyFill="1" applyAlignment="1" applyProtection="1">
      <alignment horizontal="left"/>
    </xf>
    <xf numFmtId="0" fontId="32" fillId="36" borderId="28" xfId="0" applyFont="1" applyFill="1" applyBorder="1" applyAlignment="1" applyProtection="1">
      <alignment horizontal="left"/>
    </xf>
    <xf numFmtId="0" fontId="32" fillId="36" borderId="38" xfId="0" applyFont="1" applyFill="1" applyBorder="1" applyAlignment="1" applyProtection="1">
      <alignment horizontal="left"/>
    </xf>
    <xf numFmtId="0" fontId="55" fillId="56" borderId="57" xfId="0" applyFont="1" applyFill="1" applyBorder="1" applyAlignment="1" applyProtection="1">
      <alignment horizontal="left"/>
    </xf>
    <xf numFmtId="164" fontId="55" fillId="56" borderId="57" xfId="0" applyNumberFormat="1" applyFont="1" applyFill="1" applyBorder="1" applyAlignment="1" applyProtection="1">
      <alignment horizontal="left"/>
    </xf>
    <xf numFmtId="0" fontId="55" fillId="64" borderId="57" xfId="0" applyFont="1" applyFill="1" applyBorder="1" applyAlignment="1" applyProtection="1">
      <alignment horizontal="left"/>
    </xf>
    <xf numFmtId="0" fontId="38" fillId="38" borderId="0" xfId="0" applyFont="1" applyFill="1" applyBorder="1" applyProtection="1">
      <protection locked="0"/>
    </xf>
    <xf numFmtId="0" fontId="38" fillId="38" borderId="0" xfId="0" applyFont="1" applyFill="1" applyBorder="1" applyAlignment="1" applyProtection="1">
      <alignment horizontal="center"/>
      <protection locked="0"/>
    </xf>
    <xf numFmtId="0" fontId="26" fillId="38" borderId="0" xfId="0" applyFont="1" applyFill="1" applyBorder="1" applyProtection="1">
      <protection locked="0"/>
    </xf>
    <xf numFmtId="0" fontId="26" fillId="38" borderId="0" xfId="0" applyFont="1" applyFill="1" applyBorder="1" applyAlignment="1" applyProtection="1">
      <alignment horizontal="center"/>
      <protection locked="0"/>
    </xf>
    <xf numFmtId="0" fontId="127" fillId="38" borderId="0" xfId="0" applyFont="1" applyFill="1" applyBorder="1" applyAlignment="1" applyProtection="1">
      <alignment horizontal="center"/>
      <protection locked="0"/>
    </xf>
    <xf numFmtId="164" fontId="26" fillId="38" borderId="0" xfId="0" applyNumberFormat="1" applyFont="1" applyFill="1" applyBorder="1" applyProtection="1">
      <protection locked="0"/>
    </xf>
    <xf numFmtId="0" fontId="26" fillId="0" borderId="0" xfId="0" applyFont="1" applyFill="1" applyBorder="1" applyAlignment="1" applyProtection="1">
      <alignment horizontal="center"/>
      <protection locked="0"/>
    </xf>
    <xf numFmtId="0" fontId="26" fillId="0" borderId="0" xfId="0" applyFont="1" applyFill="1" applyBorder="1" applyProtection="1">
      <protection locked="0"/>
    </xf>
    <xf numFmtId="0" fontId="26" fillId="0" borderId="0" xfId="0" applyFont="1" applyFill="1" applyProtection="1">
      <protection locked="0"/>
    </xf>
    <xf numFmtId="0" fontId="26" fillId="0" borderId="0" xfId="0" applyFont="1" applyProtection="1">
      <protection locked="0"/>
    </xf>
    <xf numFmtId="0" fontId="60" fillId="38" borderId="0" xfId="0" applyFont="1" applyFill="1" applyBorder="1" applyAlignment="1" applyProtection="1">
      <alignment horizontal="left"/>
      <protection locked="0"/>
    </xf>
    <xf numFmtId="0" fontId="33" fillId="38" borderId="0" xfId="0" applyFont="1" applyFill="1" applyBorder="1" applyProtection="1">
      <protection locked="0"/>
    </xf>
    <xf numFmtId="0" fontId="30" fillId="38" borderId="0" xfId="0" applyFont="1" applyFill="1" applyBorder="1" applyProtection="1">
      <protection locked="0"/>
    </xf>
    <xf numFmtId="0" fontId="32" fillId="0" borderId="0" xfId="0" applyFont="1" applyFill="1" applyBorder="1" applyProtection="1">
      <protection locked="0"/>
    </xf>
    <xf numFmtId="0" fontId="53" fillId="0" borderId="0" xfId="0" applyFont="1" applyFill="1" applyBorder="1" applyProtection="1">
      <protection locked="0"/>
    </xf>
    <xf numFmtId="0" fontId="53" fillId="0" borderId="0" xfId="0" applyFont="1" applyFill="1" applyProtection="1">
      <protection locked="0"/>
    </xf>
    <xf numFmtId="0" fontId="53" fillId="0" borderId="0" xfId="0" applyFont="1" applyProtection="1">
      <protection locked="0"/>
    </xf>
    <xf numFmtId="0" fontId="53" fillId="0" borderId="0" xfId="0" applyFont="1" applyAlignment="1" applyProtection="1">
      <alignment horizontal="center"/>
      <protection locked="0"/>
    </xf>
    <xf numFmtId="0" fontId="25" fillId="0" borderId="0" xfId="0" applyFont="1" applyProtection="1">
      <protection locked="0"/>
    </xf>
    <xf numFmtId="0" fontId="25" fillId="0" borderId="0" xfId="0" applyFont="1" applyAlignment="1" applyProtection="1">
      <alignment horizontal="center"/>
      <protection locked="0"/>
    </xf>
    <xf numFmtId="164" fontId="25" fillId="0" borderId="0" xfId="0" applyNumberFormat="1" applyFont="1" applyProtection="1">
      <protection locked="0"/>
    </xf>
    <xf numFmtId="0" fontId="53" fillId="0" borderId="0" xfId="0" applyFont="1" applyBorder="1" applyProtection="1">
      <protection locked="0"/>
    </xf>
    <xf numFmtId="0" fontId="110" fillId="36" borderId="0" xfId="0" applyFont="1" applyFill="1" applyAlignment="1" applyProtection="1">
      <alignment horizontal="center" vertical="center"/>
      <protection locked="0"/>
    </xf>
    <xf numFmtId="0" fontId="34" fillId="67" borderId="28" xfId="0" applyFont="1" applyFill="1" applyBorder="1" applyAlignment="1">
      <alignment horizontal="center"/>
    </xf>
    <xf numFmtId="0" fontId="34" fillId="67" borderId="41" xfId="0" applyFont="1" applyFill="1" applyBorder="1"/>
    <xf numFmtId="0" fontId="34" fillId="67" borderId="40" xfId="0" applyFont="1" applyFill="1" applyBorder="1"/>
    <xf numFmtId="0" fontId="34" fillId="67" borderId="42" xfId="0" applyFont="1" applyFill="1" applyBorder="1"/>
    <xf numFmtId="167" fontId="55" fillId="60" borderId="29" xfId="0" applyNumberFormat="1" applyFont="1" applyFill="1" applyBorder="1"/>
    <xf numFmtId="0" fontId="57" fillId="60" borderId="32" xfId="0" applyFont="1" applyFill="1" applyBorder="1" applyAlignment="1">
      <alignment horizontal="center"/>
    </xf>
    <xf numFmtId="170" fontId="34" fillId="67" borderId="42" xfId="0" applyNumberFormat="1" applyFont="1" applyFill="1" applyBorder="1"/>
    <xf numFmtId="170" fontId="34" fillId="67" borderId="40" xfId="0" applyNumberFormat="1" applyFont="1" applyFill="1" applyBorder="1"/>
    <xf numFmtId="170" fontId="34" fillId="67" borderId="41" xfId="0" applyNumberFormat="1" applyFont="1" applyFill="1" applyBorder="1"/>
    <xf numFmtId="164" fontId="34" fillId="60" borderId="30" xfId="0" applyNumberFormat="1" applyFont="1" applyFill="1" applyBorder="1" applyProtection="1"/>
    <xf numFmtId="164" fontId="50" fillId="60" borderId="30" xfId="0" applyNumberFormat="1" applyFont="1" applyFill="1" applyBorder="1" applyAlignment="1" applyProtection="1">
      <alignment horizontal="right"/>
    </xf>
    <xf numFmtId="164" fontId="34" fillId="60" borderId="30" xfId="0" applyNumberFormat="1" applyFont="1" applyFill="1" applyBorder="1" applyAlignment="1" applyProtection="1">
      <alignment horizontal="right"/>
    </xf>
    <xf numFmtId="164" fontId="34" fillId="60" borderId="34" xfId="0" applyNumberFormat="1" applyFont="1" applyFill="1" applyBorder="1" applyProtection="1"/>
    <xf numFmtId="164" fontId="55" fillId="46" borderId="40" xfId="0" applyNumberFormat="1" applyFont="1" applyFill="1" applyBorder="1" applyAlignment="1" applyProtection="1">
      <alignment horizontal="center"/>
    </xf>
    <xf numFmtId="164" fontId="34" fillId="60" borderId="0" xfId="0" applyNumberFormat="1" applyFont="1" applyFill="1" applyBorder="1" applyAlignment="1" applyProtection="1">
      <alignment horizontal="right"/>
    </xf>
    <xf numFmtId="164" fontId="34" fillId="60" borderId="35" xfId="0" applyNumberFormat="1" applyFont="1" applyFill="1" applyBorder="1" applyAlignment="1" applyProtection="1">
      <alignment horizontal="right"/>
    </xf>
    <xf numFmtId="164" fontId="55" fillId="46" borderId="41" xfId="0" applyNumberFormat="1" applyFont="1" applyFill="1" applyBorder="1" applyAlignment="1" applyProtection="1">
      <alignment horizontal="center"/>
    </xf>
    <xf numFmtId="0" fontId="49" fillId="46" borderId="42" xfId="0" applyFont="1" applyFill="1" applyBorder="1" applyAlignment="1" applyProtection="1">
      <alignment horizontal="center"/>
    </xf>
    <xf numFmtId="164" fontId="34" fillId="60" borderId="33" xfId="0" applyNumberFormat="1" applyFont="1" applyFill="1" applyBorder="1" applyAlignment="1" applyProtection="1">
      <alignment horizontal="right"/>
    </xf>
    <xf numFmtId="164" fontId="34" fillId="60" borderId="36" xfId="0" applyNumberFormat="1" applyFont="1" applyFill="1" applyBorder="1" applyAlignment="1" applyProtection="1">
      <alignment horizontal="right"/>
    </xf>
    <xf numFmtId="164" fontId="55" fillId="46" borderId="42" xfId="0" applyNumberFormat="1" applyFont="1" applyFill="1" applyBorder="1" applyAlignment="1" applyProtection="1">
      <alignment horizontal="center"/>
    </xf>
    <xf numFmtId="0" fontId="57" fillId="51" borderId="0" xfId="0" applyFont="1" applyFill="1" applyBorder="1" applyAlignment="1" applyProtection="1">
      <protection locked="0"/>
    </xf>
    <xf numFmtId="0" fontId="57" fillId="51" borderId="0" xfId="0" applyFont="1" applyFill="1" applyBorder="1" applyAlignment="1" applyProtection="1">
      <alignment horizontal="left"/>
      <protection locked="0"/>
    </xf>
    <xf numFmtId="0" fontId="57" fillId="51" borderId="0" xfId="0" applyFont="1" applyFill="1" applyBorder="1" applyAlignment="1" applyProtection="1"/>
    <xf numFmtId="0" fontId="0" fillId="0" borderId="0" xfId="0"/>
    <xf numFmtId="0" fontId="0" fillId="0" borderId="0" xfId="0"/>
    <xf numFmtId="0" fontId="0" fillId="0" borderId="259" xfId="0" applyBorder="1"/>
    <xf numFmtId="0" fontId="0" fillId="0" borderId="260" xfId="0" applyBorder="1"/>
    <xf numFmtId="0" fontId="0" fillId="0" borderId="0" xfId="0" applyBorder="1" applyAlignment="1">
      <alignment wrapText="1"/>
    </xf>
    <xf numFmtId="0" fontId="0" fillId="0" borderId="23" xfId="0" applyBorder="1" applyAlignment="1">
      <alignment wrapText="1"/>
    </xf>
    <xf numFmtId="0" fontId="0" fillId="0" borderId="0" xfId="0" applyBorder="1"/>
    <xf numFmtId="0" fontId="140" fillId="0" borderId="0" xfId="48" applyFont="1" applyFill="1" applyBorder="1" applyAlignment="1">
      <alignment horizontal="center"/>
    </xf>
    <xf numFmtId="44" fontId="0" fillId="68" borderId="22" xfId="45" applyFont="1" applyFill="1" applyBorder="1"/>
    <xf numFmtId="44" fontId="0" fillId="68" borderId="16" xfId="45" applyFont="1" applyFill="1" applyBorder="1"/>
    <xf numFmtId="44" fontId="0" fillId="0" borderId="21" xfId="45" applyFont="1" applyBorder="1"/>
    <xf numFmtId="44" fontId="0" fillId="0" borderId="261" xfId="45" applyFont="1" applyBorder="1"/>
    <xf numFmtId="44" fontId="0" fillId="0" borderId="262" xfId="45" applyFont="1" applyBorder="1"/>
    <xf numFmtId="44" fontId="0" fillId="47" borderId="0" xfId="45" applyFont="1" applyFill="1"/>
    <xf numFmtId="44" fontId="0" fillId="0" borderId="0" xfId="45" applyFont="1" applyBorder="1"/>
    <xf numFmtId="44" fontId="0" fillId="0" borderId="23" xfId="45" applyFont="1" applyBorder="1"/>
    <xf numFmtId="44" fontId="0" fillId="52" borderId="0" xfId="45" applyFont="1" applyFill="1" applyBorder="1"/>
    <xf numFmtId="44" fontId="0" fillId="52" borderId="23" xfId="45" applyFont="1" applyFill="1" applyBorder="1"/>
    <xf numFmtId="44" fontId="0" fillId="60" borderId="0" xfId="45" applyFont="1" applyFill="1" applyBorder="1"/>
    <xf numFmtId="44" fontId="0" fillId="60" borderId="23" xfId="45" applyFont="1" applyFill="1" applyBorder="1"/>
    <xf numFmtId="0" fontId="0" fillId="59" borderId="0" xfId="0" applyFill="1"/>
    <xf numFmtId="0" fontId="0" fillId="60" borderId="0" xfId="0" applyFill="1" applyBorder="1"/>
    <xf numFmtId="44" fontId="0" fillId="68" borderId="0" xfId="45" applyFont="1" applyFill="1" applyBorder="1"/>
    <xf numFmtId="44" fontId="0" fillId="0" borderId="0" xfId="45" applyFont="1" applyFill="1" applyBorder="1"/>
    <xf numFmtId="0" fontId="0" fillId="69" borderId="20" xfId="0" applyFill="1" applyBorder="1" applyAlignment="1">
      <alignment wrapText="1"/>
    </xf>
    <xf numFmtId="0" fontId="0" fillId="69" borderId="21" xfId="0" applyFill="1" applyBorder="1" applyAlignment="1">
      <alignment wrapText="1"/>
    </xf>
    <xf numFmtId="0" fontId="0" fillId="70" borderId="20" xfId="0" applyFill="1" applyBorder="1" applyAlignment="1">
      <alignment wrapText="1"/>
    </xf>
    <xf numFmtId="0" fontId="0" fillId="70" borderId="21" xfId="0" applyFill="1" applyBorder="1" applyAlignment="1">
      <alignment wrapText="1"/>
    </xf>
    <xf numFmtId="0" fontId="0" fillId="60" borderId="0" xfId="0" applyFill="1" applyAlignment="1">
      <alignment wrapText="1"/>
    </xf>
    <xf numFmtId="0" fontId="142" fillId="68" borderId="22" xfId="0" applyFont="1" applyFill="1" applyBorder="1" applyAlignment="1">
      <alignment wrapText="1"/>
    </xf>
    <xf numFmtId="0" fontId="0" fillId="0" borderId="11" xfId="0" applyBorder="1"/>
    <xf numFmtId="0" fontId="0" fillId="0" borderId="11" xfId="0" applyBorder="1" applyAlignment="1">
      <alignment wrapText="1"/>
    </xf>
    <xf numFmtId="0" fontId="0" fillId="53" borderId="11" xfId="0" applyFill="1" applyBorder="1"/>
    <xf numFmtId="0" fontId="0" fillId="53" borderId="12" xfId="0" applyFill="1" applyBorder="1"/>
    <xf numFmtId="0" fontId="0" fillId="69" borderId="11" xfId="0" applyFill="1" applyBorder="1" applyAlignment="1">
      <alignment wrapText="1"/>
    </xf>
    <xf numFmtId="0" fontId="0" fillId="70" borderId="11" xfId="0" applyFill="1" applyBorder="1" applyAlignment="1">
      <alignment wrapText="1"/>
    </xf>
    <xf numFmtId="0" fontId="0" fillId="60" borderId="13" xfId="0" applyFill="1" applyBorder="1"/>
    <xf numFmtId="0" fontId="0" fillId="60" borderId="11" xfId="0" applyFill="1" applyBorder="1"/>
    <xf numFmtId="0" fontId="0" fillId="38" borderId="11" xfId="0" applyFill="1" applyBorder="1"/>
    <xf numFmtId="0" fontId="0" fillId="68" borderId="11" xfId="0" applyFill="1" applyBorder="1" applyAlignment="1">
      <alignment wrapText="1"/>
    </xf>
    <xf numFmtId="0" fontId="0" fillId="38" borderId="13" xfId="0" applyFill="1" applyBorder="1"/>
    <xf numFmtId="0" fontId="0" fillId="59" borderId="11" xfId="0" applyFill="1" applyBorder="1"/>
    <xf numFmtId="0" fontId="0" fillId="59" borderId="14" xfId="0" applyFill="1" applyBorder="1"/>
    <xf numFmtId="0" fontId="0" fillId="53" borderId="13" xfId="0" applyFill="1" applyBorder="1"/>
    <xf numFmtId="0" fontId="0" fillId="53" borderId="11" xfId="0" applyFill="1" applyBorder="1" applyAlignment="1">
      <alignment wrapText="1"/>
    </xf>
    <xf numFmtId="0" fontId="0" fillId="70" borderId="11" xfId="0" applyFill="1" applyBorder="1"/>
    <xf numFmtId="44" fontId="0" fillId="0" borderId="20" xfId="45" applyFont="1" applyBorder="1"/>
    <xf numFmtId="44" fontId="0" fillId="38" borderId="0" xfId="45" applyFont="1" applyFill="1" applyBorder="1"/>
    <xf numFmtId="44" fontId="0" fillId="37" borderId="22" xfId="45" applyFont="1" applyFill="1" applyBorder="1"/>
    <xf numFmtId="16" fontId="0" fillId="0" borderId="0" xfId="0" applyNumberFormat="1" applyBorder="1" applyAlignment="1">
      <alignment wrapText="1"/>
    </xf>
    <xf numFmtId="16" fontId="0" fillId="0" borderId="23" xfId="0" applyNumberFormat="1" applyBorder="1" applyAlignment="1">
      <alignment wrapText="1"/>
    </xf>
    <xf numFmtId="0" fontId="0" fillId="0" borderId="23" xfId="0" applyBorder="1"/>
    <xf numFmtId="44" fontId="0" fillId="0" borderId="17" xfId="45" applyFont="1" applyBorder="1"/>
    <xf numFmtId="44" fontId="0" fillId="38" borderId="23" xfId="45" applyFont="1" applyFill="1" applyBorder="1"/>
    <xf numFmtId="44" fontId="0" fillId="37" borderId="16" xfId="45" applyFont="1" applyFill="1" applyBorder="1"/>
    <xf numFmtId="44" fontId="0" fillId="0" borderId="14" xfId="45" applyFont="1" applyBorder="1"/>
    <xf numFmtId="0" fontId="143" fillId="0" borderId="264" xfId="0" applyFont="1" applyFill="1" applyBorder="1"/>
    <xf numFmtId="0" fontId="143" fillId="0" borderId="14" xfId="0" applyFont="1" applyBorder="1" applyAlignment="1">
      <alignment wrapText="1"/>
    </xf>
    <xf numFmtId="0" fontId="143" fillId="0" borderId="14" xfId="0" applyFont="1" applyBorder="1"/>
    <xf numFmtId="44" fontId="143" fillId="0" borderId="14" xfId="45" applyFont="1" applyBorder="1"/>
    <xf numFmtId="44" fontId="143" fillId="0" borderId="14" xfId="45" applyFont="1" applyFill="1" applyBorder="1"/>
    <xf numFmtId="44" fontId="0" fillId="0" borderId="0" xfId="0" applyNumberFormat="1"/>
    <xf numFmtId="0" fontId="0" fillId="0" borderId="20" xfId="0" applyBorder="1"/>
    <xf numFmtId="0" fontId="0" fillId="0" borderId="21" xfId="0" applyBorder="1"/>
    <xf numFmtId="0" fontId="0" fillId="38" borderId="0" xfId="0" applyFill="1"/>
    <xf numFmtId="0" fontId="0" fillId="68" borderId="22" xfId="0" applyFill="1" applyBorder="1"/>
    <xf numFmtId="0" fontId="0" fillId="37" borderId="22" xfId="0" applyFill="1" applyBorder="1"/>
    <xf numFmtId="0" fontId="0" fillId="68" borderId="0" xfId="0" applyFill="1" applyBorder="1"/>
    <xf numFmtId="0" fontId="0" fillId="69" borderId="0" xfId="0" applyFill="1" applyBorder="1"/>
    <xf numFmtId="44" fontId="0" fillId="47" borderId="0" xfId="45" applyFont="1" applyFill="1" applyBorder="1"/>
    <xf numFmtId="0" fontId="0" fillId="59" borderId="0" xfId="0" applyFill="1" applyBorder="1"/>
    <xf numFmtId="0" fontId="143" fillId="0" borderId="0" xfId="0" applyFont="1" applyAlignment="1">
      <alignment wrapText="1"/>
    </xf>
    <xf numFmtId="0" fontId="143" fillId="0" borderId="0" xfId="0" applyFont="1" applyFill="1" applyAlignment="1">
      <alignment wrapText="1"/>
    </xf>
    <xf numFmtId="0" fontId="143" fillId="69" borderId="265" xfId="0" applyFont="1" applyFill="1" applyBorder="1" applyAlignment="1">
      <alignment wrapText="1"/>
    </xf>
    <xf numFmtId="0" fontId="143" fillId="69" borderId="266" xfId="0" applyFont="1" applyFill="1" applyBorder="1" applyAlignment="1">
      <alignment wrapText="1"/>
    </xf>
    <xf numFmtId="0" fontId="143" fillId="70" borderId="265" xfId="0" applyFont="1" applyFill="1" applyBorder="1" applyAlignment="1">
      <alignment wrapText="1"/>
    </xf>
    <xf numFmtId="0" fontId="143" fillId="68" borderId="22" xfId="0" applyFont="1" applyFill="1" applyBorder="1" applyAlignment="1">
      <alignment horizontal="center" wrapText="1"/>
    </xf>
    <xf numFmtId="0" fontId="143" fillId="59" borderId="266" xfId="0" applyFont="1" applyFill="1" applyBorder="1" applyAlignment="1">
      <alignment wrapText="1"/>
    </xf>
    <xf numFmtId="0" fontId="0" fillId="0" borderId="0" xfId="0" applyAlignment="1">
      <alignment horizontal="center" wrapText="1"/>
    </xf>
    <xf numFmtId="0" fontId="144" fillId="0" borderId="268" xfId="0" applyFont="1" applyBorder="1" applyAlignment="1">
      <alignment horizontal="center" vertical="top" wrapText="1"/>
    </xf>
    <xf numFmtId="0" fontId="0" fillId="0" borderId="269" xfId="0" applyBorder="1" applyAlignment="1">
      <alignment wrapText="1"/>
    </xf>
    <xf numFmtId="0" fontId="0" fillId="0" borderId="0" xfId="0" applyFill="1" applyBorder="1" applyAlignment="1">
      <alignment wrapText="1"/>
    </xf>
    <xf numFmtId="0" fontId="145" fillId="71" borderId="270" xfId="0" applyFont="1" applyFill="1" applyBorder="1" applyAlignment="1">
      <alignment vertical="top" wrapText="1"/>
    </xf>
    <xf numFmtId="0" fontId="145" fillId="71" borderId="271" xfId="0" applyFont="1" applyFill="1" applyBorder="1" applyAlignment="1">
      <alignment vertical="top" wrapText="1"/>
    </xf>
    <xf numFmtId="0" fontId="145" fillId="69" borderId="272" xfId="0" applyFont="1" applyFill="1" applyBorder="1" applyAlignment="1">
      <alignment vertical="top" wrapText="1"/>
    </xf>
    <xf numFmtId="0" fontId="145" fillId="69" borderId="273" xfId="0" applyFont="1" applyFill="1" applyBorder="1" applyAlignment="1">
      <alignment vertical="top" wrapText="1"/>
    </xf>
    <xf numFmtId="0" fontId="145" fillId="70" borderId="274" xfId="0" applyFont="1" applyFill="1" applyBorder="1" applyAlignment="1">
      <alignment vertical="top" wrapText="1"/>
    </xf>
    <xf numFmtId="0" fontId="0" fillId="70" borderId="21" xfId="0" applyFill="1" applyBorder="1"/>
    <xf numFmtId="0" fontId="145" fillId="60" borderId="275" xfId="0" applyFont="1" applyFill="1" applyBorder="1" applyAlignment="1">
      <alignment vertical="top" wrapText="1"/>
    </xf>
    <xf numFmtId="0" fontId="145" fillId="60" borderId="270" xfId="0" applyFont="1" applyFill="1" applyBorder="1" applyAlignment="1">
      <alignment vertical="top" wrapText="1"/>
    </xf>
    <xf numFmtId="0" fontId="145" fillId="38" borderId="270" xfId="0" applyFont="1" applyFill="1" applyBorder="1" applyAlignment="1">
      <alignment vertical="top" wrapText="1"/>
    </xf>
    <xf numFmtId="0" fontId="144" fillId="60" borderId="276" xfId="0" applyFont="1" applyFill="1" applyBorder="1" applyAlignment="1">
      <alignment horizontal="center" vertical="top" wrapText="1"/>
    </xf>
    <xf numFmtId="0" fontId="145" fillId="68" borderId="277" xfId="0" applyFont="1" applyFill="1" applyBorder="1" applyAlignment="1">
      <alignment vertical="top" wrapText="1"/>
    </xf>
    <xf numFmtId="0" fontId="145" fillId="38" borderId="275" xfId="0" applyFont="1" applyFill="1" applyBorder="1" applyAlignment="1">
      <alignment vertical="top" wrapText="1"/>
    </xf>
    <xf numFmtId="0" fontId="145" fillId="59" borderId="270" xfId="0" applyFont="1" applyFill="1" applyBorder="1" applyAlignment="1">
      <alignment vertical="top" wrapText="1"/>
    </xf>
    <xf numFmtId="0" fontId="145" fillId="59" borderId="271" xfId="0" applyFont="1" applyFill="1" applyBorder="1" applyAlignment="1">
      <alignment vertical="top" wrapText="1"/>
    </xf>
    <xf numFmtId="0" fontId="145" fillId="0" borderId="270" xfId="0" applyFont="1" applyFill="1" applyBorder="1" applyAlignment="1">
      <alignment vertical="top" wrapText="1"/>
    </xf>
    <xf numFmtId="0" fontId="0" fillId="0" borderId="278" xfId="0" applyBorder="1" applyAlignment="1">
      <alignment wrapText="1"/>
    </xf>
    <xf numFmtId="0" fontId="0" fillId="0" borderId="279" xfId="0" applyBorder="1" applyAlignment="1">
      <alignment wrapText="1"/>
    </xf>
    <xf numFmtId="0" fontId="0" fillId="0" borderId="0" xfId="0" applyFill="1" applyBorder="1" applyAlignment="1">
      <alignment horizontal="center" wrapText="1"/>
    </xf>
    <xf numFmtId="0" fontId="144" fillId="60" borderId="280" xfId="0" applyFont="1" applyFill="1" applyBorder="1" applyAlignment="1">
      <alignment horizontal="center" vertical="top" wrapText="1"/>
    </xf>
    <xf numFmtId="0" fontId="146" fillId="71" borderId="270" xfId="0" applyFont="1" applyFill="1" applyBorder="1" applyAlignment="1">
      <alignment horizontal="center" vertical="top" wrapText="1"/>
    </xf>
    <xf numFmtId="0" fontId="0" fillId="0" borderId="281" xfId="0" applyBorder="1" applyAlignment="1">
      <alignment wrapText="1"/>
    </xf>
    <xf numFmtId="0" fontId="0" fillId="0" borderId="282" xfId="0" applyBorder="1" applyAlignment="1">
      <alignment wrapText="1"/>
    </xf>
    <xf numFmtId="0" fontId="144" fillId="60" borderId="283" xfId="0" applyFont="1" applyFill="1" applyBorder="1" applyAlignment="1">
      <alignment horizontal="center" vertical="top" wrapText="1"/>
    </xf>
    <xf numFmtId="0" fontId="145" fillId="71" borderId="270" xfId="0" applyFont="1" applyFill="1" applyBorder="1" applyAlignment="1">
      <alignment vertical="top"/>
    </xf>
    <xf numFmtId="3" fontId="145" fillId="0" borderId="284" xfId="0" applyNumberFormat="1" applyFont="1" applyBorder="1" applyAlignment="1">
      <alignment horizontal="right" vertical="top"/>
    </xf>
    <xf numFmtId="171" fontId="145" fillId="0" borderId="268" xfId="0" applyNumberFormat="1" applyFont="1" applyBorder="1" applyAlignment="1">
      <alignment horizontal="right" vertical="top"/>
    </xf>
    <xf numFmtId="10" fontId="145" fillId="0" borderId="268" xfId="0" applyNumberFormat="1" applyFont="1" applyBorder="1" applyAlignment="1">
      <alignment horizontal="right" vertical="top"/>
    </xf>
    <xf numFmtId="3" fontId="145" fillId="0" borderId="268" xfId="0" applyNumberFormat="1" applyFont="1" applyBorder="1" applyAlignment="1">
      <alignment horizontal="right" vertical="top"/>
    </xf>
    <xf numFmtId="171" fontId="145" fillId="0" borderId="285" xfId="0" applyNumberFormat="1" applyFont="1" applyBorder="1" applyAlignment="1">
      <alignment horizontal="right" vertical="top"/>
    </xf>
    <xf numFmtId="171" fontId="145" fillId="0" borderId="286" xfId="0" applyNumberFormat="1" applyFont="1" applyBorder="1" applyAlignment="1">
      <alignment horizontal="right" vertical="top"/>
    </xf>
    <xf numFmtId="171" fontId="145" fillId="0" borderId="287" xfId="0" applyNumberFormat="1" applyFont="1" applyBorder="1" applyAlignment="1">
      <alignment horizontal="right" vertical="top"/>
    </xf>
    <xf numFmtId="3" fontId="145" fillId="0" borderId="288" xfId="0" applyNumberFormat="1" applyFont="1" applyBorder="1" applyAlignment="1">
      <alignment horizontal="right" vertical="top"/>
    </xf>
    <xf numFmtId="3" fontId="0" fillId="0" borderId="21" xfId="0" applyNumberFormat="1" applyBorder="1"/>
    <xf numFmtId="3" fontId="145" fillId="0" borderId="289" xfId="0" applyNumberFormat="1" applyFont="1" applyBorder="1" applyAlignment="1">
      <alignment horizontal="right" vertical="top"/>
    </xf>
    <xf numFmtId="3" fontId="145" fillId="38" borderId="268" xfId="0" applyNumberFormat="1" applyFont="1" applyFill="1" applyBorder="1" applyAlignment="1">
      <alignment horizontal="right" vertical="top"/>
    </xf>
    <xf numFmtId="3" fontId="144" fillId="0" borderId="287" xfId="0" applyNumberFormat="1" applyFont="1" applyBorder="1" applyAlignment="1">
      <alignment horizontal="right" vertical="top"/>
    </xf>
    <xf numFmtId="171" fontId="145" fillId="0" borderId="290" xfId="0" applyNumberFormat="1" applyFont="1" applyFill="1" applyBorder="1" applyAlignment="1">
      <alignment horizontal="right" vertical="top"/>
    </xf>
    <xf numFmtId="171" fontId="145" fillId="38" borderId="289" xfId="0" applyNumberFormat="1" applyFont="1" applyFill="1" applyBorder="1" applyAlignment="1">
      <alignment horizontal="right" vertical="top"/>
    </xf>
    <xf numFmtId="172" fontId="145" fillId="0" borderId="268" xfId="0" applyNumberFormat="1" applyFont="1" applyBorder="1" applyAlignment="1">
      <alignment horizontal="right" vertical="top"/>
    </xf>
    <xf numFmtId="173" fontId="145" fillId="0" borderId="268" xfId="0" applyNumberFormat="1" applyFont="1" applyBorder="1" applyAlignment="1">
      <alignment horizontal="right" vertical="top"/>
    </xf>
    <xf numFmtId="171" fontId="145" fillId="38" borderId="268" xfId="0" applyNumberFormat="1" applyFont="1" applyFill="1" applyBorder="1" applyAlignment="1">
      <alignment horizontal="right" vertical="top"/>
    </xf>
    <xf numFmtId="171" fontId="145" fillId="0" borderId="288" xfId="0" applyNumberFormat="1" applyFont="1" applyBorder="1" applyAlignment="1">
      <alignment horizontal="right" vertical="top"/>
    </xf>
    <xf numFmtId="3" fontId="145" fillId="38" borderId="289" xfId="0" applyNumberFormat="1" applyFont="1" applyFill="1" applyBorder="1" applyAlignment="1">
      <alignment horizontal="right" vertical="top"/>
    </xf>
    <xf numFmtId="3" fontId="145" fillId="0" borderId="285" xfId="0" applyNumberFormat="1" applyFont="1" applyBorder="1" applyAlignment="1">
      <alignment horizontal="right" vertical="top"/>
    </xf>
    <xf numFmtId="0" fontId="0" fillId="0" borderId="268" xfId="0" applyBorder="1"/>
    <xf numFmtId="3" fontId="145" fillId="0" borderId="290" xfId="0" applyNumberFormat="1" applyFont="1" applyFill="1" applyBorder="1" applyAlignment="1">
      <alignment horizontal="right" vertical="top"/>
    </xf>
    <xf numFmtId="3" fontId="145" fillId="0" borderId="286" xfId="0" applyNumberFormat="1" applyFont="1" applyBorder="1" applyAlignment="1">
      <alignment horizontal="right" vertical="top"/>
    </xf>
    <xf numFmtId="0" fontId="145" fillId="53" borderId="270" xfId="0" applyFont="1" applyFill="1" applyBorder="1" applyAlignment="1">
      <alignment vertical="top"/>
    </xf>
    <xf numFmtId="171" fontId="145" fillId="0" borderId="289" xfId="0" applyNumberFormat="1" applyFont="1" applyBorder="1" applyAlignment="1">
      <alignment horizontal="right" vertical="top"/>
    </xf>
    <xf numFmtId="3" fontId="145" fillId="0" borderId="291" xfId="0" applyNumberFormat="1" applyFont="1" applyBorder="1" applyAlignment="1">
      <alignment horizontal="right" vertical="top"/>
    </xf>
    <xf numFmtId="3" fontId="145" fillId="0" borderId="0" xfId="0" applyNumberFormat="1" applyFont="1" applyBorder="1" applyAlignment="1">
      <alignment horizontal="right" vertical="top"/>
    </xf>
    <xf numFmtId="0" fontId="143" fillId="0" borderId="0" xfId="0" applyFont="1"/>
    <xf numFmtId="0" fontId="0" fillId="0" borderId="22" xfId="0" applyFill="1" applyBorder="1"/>
    <xf numFmtId="0" fontId="144" fillId="71" borderId="14" xfId="0" applyFont="1" applyFill="1" applyBorder="1" applyAlignment="1">
      <alignment vertical="top"/>
    </xf>
    <xf numFmtId="3" fontId="145" fillId="0" borderId="14" xfId="0" applyNumberFormat="1" applyFont="1" applyBorder="1" applyAlignment="1">
      <alignment horizontal="right" vertical="top"/>
    </xf>
    <xf numFmtId="0" fontId="145" fillId="71" borderId="270" xfId="0" applyFont="1" applyFill="1" applyBorder="1" applyAlignment="1">
      <alignment vertical="top"/>
    </xf>
    <xf numFmtId="0" fontId="145" fillId="71" borderId="271" xfId="0" applyFont="1" applyFill="1" applyBorder="1" applyAlignment="1">
      <alignment vertical="top"/>
    </xf>
    <xf numFmtId="0" fontId="145" fillId="71" borderId="272" xfId="0" applyFont="1" applyFill="1" applyBorder="1" applyAlignment="1">
      <alignment vertical="top"/>
    </xf>
    <xf numFmtId="0" fontId="145" fillId="71" borderId="292" xfId="0" applyFont="1" applyFill="1" applyBorder="1" applyAlignment="1">
      <alignment vertical="top"/>
    </xf>
    <xf numFmtId="0" fontId="145" fillId="71" borderId="275" xfId="0" applyFont="1" applyFill="1" applyBorder="1" applyAlignment="1">
      <alignment vertical="top"/>
    </xf>
    <xf numFmtId="0" fontId="0" fillId="0" borderId="285" xfId="0" applyBorder="1"/>
    <xf numFmtId="3" fontId="145" fillId="0" borderId="293" xfId="0" applyNumberFormat="1" applyFont="1" applyBorder="1" applyAlignment="1">
      <alignment horizontal="right" vertical="top"/>
    </xf>
    <xf numFmtId="171" fontId="145" fillId="0" borderId="293" xfId="0" applyNumberFormat="1" applyFont="1" applyBorder="1" applyAlignment="1">
      <alignment horizontal="right" vertical="top"/>
    </xf>
    <xf numFmtId="4" fontId="145" fillId="0" borderId="268" xfId="0" applyNumberFormat="1" applyFont="1" applyBorder="1" applyAlignment="1">
      <alignment horizontal="right" vertical="top"/>
    </xf>
    <xf numFmtId="43" fontId="146" fillId="0" borderId="0" xfId="44" applyFont="1"/>
    <xf numFmtId="16" fontId="0" fillId="0" borderId="0" xfId="0" applyNumberFormat="1" applyAlignment="1">
      <alignment wrapText="1"/>
    </xf>
    <xf numFmtId="0" fontId="145" fillId="47" borderId="270" xfId="0" applyFont="1" applyFill="1" applyBorder="1" applyAlignment="1">
      <alignment vertical="top"/>
    </xf>
    <xf numFmtId="0" fontId="147" fillId="0" borderId="0" xfId="0" applyFont="1" applyFill="1" applyAlignment="1">
      <alignment horizontal="left" wrapText="1"/>
    </xf>
    <xf numFmtId="0" fontId="76" fillId="0" borderId="0" xfId="0" applyFont="1" applyFill="1" applyAlignment="1">
      <alignment horizontal="center" wrapText="1"/>
    </xf>
    <xf numFmtId="0" fontId="0" fillId="0" borderId="0" xfId="0" applyFill="1" applyAlignment="1">
      <alignment horizontal="center" wrapText="1"/>
    </xf>
    <xf numFmtId="0" fontId="0" fillId="0" borderId="0" xfId="0" applyFill="1" applyAlignment="1">
      <alignment horizontal="center"/>
    </xf>
    <xf numFmtId="0" fontId="139" fillId="0" borderId="0" xfId="0" applyFont="1" applyFill="1" applyAlignment="1">
      <alignment horizontal="left" wrapText="1"/>
    </xf>
    <xf numFmtId="0" fontId="0" fillId="0" borderId="0" xfId="0" applyFont="1" applyFill="1" applyAlignment="1">
      <alignment horizontal="center" wrapText="1"/>
    </xf>
    <xf numFmtId="0" fontId="139" fillId="0" borderId="0" xfId="0" applyFont="1" applyFill="1" applyAlignment="1">
      <alignment horizontal="left" vertical="center" wrapText="1"/>
    </xf>
    <xf numFmtId="0" fontId="147" fillId="0" borderId="0" xfId="0" applyFont="1" applyFill="1" applyAlignment="1">
      <alignment horizontal="left" vertical="center" wrapText="1"/>
    </xf>
    <xf numFmtId="0" fontId="148" fillId="0" borderId="0" xfId="0" applyFont="1" applyFill="1" applyAlignment="1">
      <alignment horizontal="left" vertical="center" wrapText="1"/>
    </xf>
    <xf numFmtId="0" fontId="148" fillId="0" borderId="0" xfId="0" applyFont="1" applyFill="1" applyAlignment="1">
      <alignment horizontal="center" vertical="center" wrapText="1"/>
    </xf>
    <xf numFmtId="0" fontId="145" fillId="72" borderId="294" xfId="0" applyFont="1" applyFill="1" applyBorder="1" applyAlignment="1">
      <alignment horizontal="center" vertical="top"/>
    </xf>
    <xf numFmtId="0" fontId="145" fillId="0" borderId="284" xfId="0" applyFont="1" applyBorder="1" applyAlignment="1">
      <alignment vertical="top"/>
    </xf>
    <xf numFmtId="3" fontId="0" fillId="0" borderId="0" xfId="0" applyNumberFormat="1" applyFill="1"/>
    <xf numFmtId="44" fontId="0" fillId="0" borderId="0" xfId="45" applyFont="1"/>
    <xf numFmtId="0" fontId="0" fillId="0" borderId="0" xfId="0"/>
    <xf numFmtId="0" fontId="151" fillId="72" borderId="294" xfId="0" applyFont="1" applyFill="1" applyBorder="1" applyAlignment="1">
      <alignment horizontal="center" vertical="top"/>
    </xf>
    <xf numFmtId="0" fontId="151" fillId="0" borderId="284" xfId="0" applyFont="1" applyBorder="1" applyAlignment="1">
      <alignment vertical="top"/>
    </xf>
    <xf numFmtId="3" fontId="151" fillId="0" borderId="284" xfId="0" applyNumberFormat="1" applyFont="1" applyBorder="1" applyAlignment="1">
      <alignment horizontal="right" vertical="top"/>
    </xf>
    <xf numFmtId="175" fontId="151" fillId="0" borderId="284" xfId="0" applyNumberFormat="1" applyFont="1" applyBorder="1" applyAlignment="1">
      <alignment horizontal="right" vertical="top"/>
    </xf>
    <xf numFmtId="175" fontId="0" fillId="0" borderId="0" xfId="0" applyNumberFormat="1"/>
    <xf numFmtId="0" fontId="0" fillId="0" borderId="0" xfId="0" applyProtection="1"/>
    <xf numFmtId="0" fontId="0" fillId="0" borderId="0" xfId="0"/>
    <xf numFmtId="176" fontId="0" fillId="0" borderId="0" xfId="45" applyNumberFormat="1" applyFont="1"/>
    <xf numFmtId="0" fontId="20" fillId="73" borderId="0" xfId="0" applyFont="1" applyFill="1" applyBorder="1"/>
    <xf numFmtId="3" fontId="0" fillId="0" borderId="0" xfId="0" applyNumberFormat="1"/>
    <xf numFmtId="5" fontId="154" fillId="75" borderId="0" xfId="0" applyNumberFormat="1" applyFont="1" applyFill="1" applyAlignment="1">
      <alignment vertical="center"/>
    </xf>
    <xf numFmtId="176" fontId="0" fillId="0" borderId="0" xfId="45" applyNumberFormat="1" applyFont="1" applyProtection="1"/>
    <xf numFmtId="0" fontId="87" fillId="38" borderId="0" xfId="0" applyFont="1" applyFill="1" applyAlignment="1">
      <alignment horizontal="left" vertical="top" wrapText="1"/>
    </xf>
    <xf numFmtId="0" fontId="157" fillId="0" borderId="0" xfId="0" applyFont="1" applyAlignment="1">
      <alignment vertical="top"/>
    </xf>
    <xf numFmtId="166" fontId="158" fillId="53" borderId="0" xfId="0" applyNumberFormat="1" applyFont="1" applyFill="1" applyAlignment="1" applyProtection="1">
      <alignment horizontal="center"/>
    </xf>
    <xf numFmtId="166" fontId="159" fillId="53" borderId="0" xfId="0" applyNumberFormat="1" applyFont="1" applyFill="1" applyAlignment="1" applyProtection="1">
      <alignment horizontal="center"/>
    </xf>
    <xf numFmtId="166" fontId="60" fillId="53" borderId="0" xfId="0" applyNumberFormat="1" applyFont="1" applyFill="1" applyProtection="1"/>
    <xf numFmtId="166" fontId="26" fillId="33" borderId="103" xfId="0" applyNumberFormat="1" applyFont="1" applyFill="1" applyBorder="1" applyAlignment="1" applyProtection="1">
      <alignment horizontal="right"/>
    </xf>
    <xf numFmtId="166" fontId="26" fillId="33" borderId="97" xfId="0" applyNumberFormat="1" applyFont="1" applyFill="1" applyBorder="1" applyAlignment="1" applyProtection="1">
      <alignment horizontal="right"/>
    </xf>
    <xf numFmtId="166" fontId="26" fillId="33" borderId="116" xfId="0" applyNumberFormat="1" applyFont="1" applyFill="1" applyBorder="1" applyAlignment="1" applyProtection="1">
      <alignment horizontal="right"/>
    </xf>
    <xf numFmtId="3" fontId="26" fillId="33" borderId="0" xfId="0" applyNumberFormat="1" applyFont="1" applyFill="1" applyBorder="1" applyAlignment="1" applyProtection="1">
      <alignment horizontal="right"/>
    </xf>
    <xf numFmtId="5" fontId="26" fillId="33" borderId="101" xfId="0" applyNumberFormat="1" applyFont="1" applyFill="1" applyBorder="1" applyAlignment="1" applyProtection="1">
      <alignment horizontal="right"/>
    </xf>
    <xf numFmtId="0" fontId="26" fillId="33" borderId="116" xfId="0" applyFont="1" applyFill="1" applyBorder="1" applyAlignment="1" applyProtection="1">
      <alignment horizontal="left"/>
    </xf>
    <xf numFmtId="0" fontId="26" fillId="33" borderId="14" xfId="0" applyFont="1" applyFill="1" applyBorder="1" applyProtection="1"/>
    <xf numFmtId="0" fontId="20" fillId="36" borderId="11" xfId="0" applyFont="1" applyFill="1" applyBorder="1" applyAlignment="1" applyProtection="1">
      <alignment horizontal="center" vertical="center"/>
    </xf>
    <xf numFmtId="0" fontId="26" fillId="33" borderId="13" xfId="0" applyFont="1" applyFill="1" applyBorder="1" applyProtection="1"/>
    <xf numFmtId="0" fontId="32" fillId="56" borderId="299" xfId="0" applyFont="1" applyFill="1" applyBorder="1" applyAlignment="1" applyProtection="1">
      <alignment vertical="center"/>
    </xf>
    <xf numFmtId="0" fontId="43" fillId="56" borderId="300" xfId="0" applyFont="1" applyFill="1" applyBorder="1" applyProtection="1"/>
    <xf numFmtId="5" fontId="26" fillId="33" borderId="18" xfId="0" applyNumberFormat="1" applyFont="1" applyFill="1" applyBorder="1" applyProtection="1"/>
    <xf numFmtId="5" fontId="26" fillId="33" borderId="21" xfId="0" applyNumberFormat="1" applyFont="1" applyFill="1" applyBorder="1" applyAlignment="1" applyProtection="1"/>
    <xf numFmtId="5" fontId="26" fillId="33" borderId="21" xfId="0" applyNumberFormat="1" applyFont="1" applyFill="1" applyBorder="1" applyProtection="1"/>
    <xf numFmtId="168" fontId="26" fillId="33" borderId="21" xfId="0" applyNumberFormat="1" applyFont="1" applyFill="1" applyBorder="1" applyProtection="1"/>
    <xf numFmtId="0" fontId="32" fillId="56" borderId="301" xfId="0" applyFont="1" applyFill="1" applyBorder="1" applyAlignment="1" applyProtection="1">
      <alignment horizontal="center" vertical="center"/>
    </xf>
    <xf numFmtId="0" fontId="26" fillId="33" borderId="10" xfId="0" applyFont="1" applyFill="1" applyBorder="1" applyProtection="1"/>
    <xf numFmtId="5" fontId="26" fillId="33" borderId="15" xfId="0" applyNumberFormat="1" applyFont="1" applyFill="1" applyBorder="1" applyAlignment="1" applyProtection="1">
      <alignment horizontal="right"/>
    </xf>
    <xf numFmtId="0" fontId="26" fillId="33" borderId="20" xfId="0" applyFont="1" applyFill="1" applyBorder="1" applyProtection="1"/>
    <xf numFmtId="5" fontId="26" fillId="33" borderId="22" xfId="0" applyNumberFormat="1" applyFont="1" applyFill="1" applyBorder="1" applyAlignment="1" applyProtection="1">
      <alignment horizontal="right"/>
    </xf>
    <xf numFmtId="5" fontId="26" fillId="33" borderId="302" xfId="0" applyNumberFormat="1" applyFont="1" applyFill="1" applyBorder="1" applyAlignment="1" applyProtection="1">
      <alignment horizontal="right"/>
    </xf>
    <xf numFmtId="0" fontId="26" fillId="33" borderId="20" xfId="0" applyFont="1" applyFill="1" applyBorder="1" applyAlignment="1" applyProtection="1">
      <alignment horizontal="left"/>
    </xf>
    <xf numFmtId="3" fontId="26" fillId="33" borderId="21" xfId="0" applyNumberFormat="1" applyFont="1" applyFill="1" applyBorder="1" applyAlignment="1" applyProtection="1">
      <alignment horizontal="right"/>
    </xf>
    <xf numFmtId="0" fontId="32" fillId="56" borderId="300" xfId="0" applyFont="1" applyFill="1" applyBorder="1" applyProtection="1"/>
    <xf numFmtId="166" fontId="26" fillId="33" borderId="15" xfId="0" applyNumberFormat="1" applyFont="1" applyFill="1" applyBorder="1" applyProtection="1"/>
    <xf numFmtId="166" fontId="26" fillId="33" borderId="22" xfId="0" applyNumberFormat="1" applyFont="1" applyFill="1" applyBorder="1" applyProtection="1"/>
    <xf numFmtId="166" fontId="26" fillId="33" borderId="302" xfId="0" applyNumberFormat="1" applyFont="1" applyFill="1" applyBorder="1" applyProtection="1"/>
    <xf numFmtId="0" fontId="87" fillId="38" borderId="0" xfId="0" applyFont="1" applyFill="1" applyBorder="1" applyAlignment="1" applyProtection="1">
      <alignment horizontal="left" vertical="center"/>
    </xf>
    <xf numFmtId="0" fontId="66" fillId="34" borderId="66" xfId="0" applyFont="1" applyFill="1" applyBorder="1" applyAlignment="1" applyProtection="1">
      <alignment horizontal="left" vertical="top" wrapText="1"/>
      <protection locked="0"/>
    </xf>
    <xf numFmtId="0" fontId="66" fillId="34" borderId="51" xfId="0" applyFont="1" applyFill="1" applyBorder="1" applyAlignment="1" applyProtection="1">
      <alignment horizontal="left" vertical="top" wrapText="1"/>
      <protection locked="0"/>
    </xf>
    <xf numFmtId="0" fontId="66" fillId="34" borderId="67" xfId="0" applyFont="1" applyFill="1" applyBorder="1" applyAlignment="1" applyProtection="1">
      <alignment horizontal="left" vertical="top" wrapText="1"/>
      <protection locked="0"/>
    </xf>
    <xf numFmtId="0" fontId="66" fillId="34" borderId="68" xfId="0" applyFont="1" applyFill="1" applyBorder="1" applyAlignment="1" applyProtection="1">
      <alignment horizontal="left" vertical="top" wrapText="1"/>
      <protection locked="0"/>
    </xf>
    <xf numFmtId="0" fontId="66" fillId="34" borderId="0" xfId="0" applyFont="1" applyFill="1" applyBorder="1" applyAlignment="1" applyProtection="1">
      <alignment horizontal="left" vertical="top" wrapText="1"/>
      <protection locked="0"/>
    </xf>
    <xf numFmtId="0" fontId="66" fillId="34" borderId="69" xfId="0" applyFont="1" applyFill="1" applyBorder="1" applyAlignment="1" applyProtection="1">
      <alignment horizontal="left" vertical="top" wrapText="1"/>
      <protection locked="0"/>
    </xf>
    <xf numFmtId="0" fontId="66" fillId="34" borderId="70" xfId="0" applyFont="1" applyFill="1" applyBorder="1" applyAlignment="1" applyProtection="1">
      <alignment horizontal="left" vertical="top" wrapText="1"/>
      <protection locked="0"/>
    </xf>
    <xf numFmtId="0" fontId="66" fillId="34" borderId="52" xfId="0" applyFont="1" applyFill="1" applyBorder="1" applyAlignment="1" applyProtection="1">
      <alignment horizontal="left" vertical="top" wrapText="1"/>
      <protection locked="0"/>
    </xf>
    <xf numFmtId="0" fontId="66" fillId="34" borderId="71" xfId="0" applyFont="1" applyFill="1" applyBorder="1" applyAlignment="1" applyProtection="1">
      <alignment horizontal="left" vertical="top" wrapText="1"/>
      <protection locked="0"/>
    </xf>
    <xf numFmtId="0" fontId="87" fillId="33" borderId="0" xfId="0" applyFont="1" applyFill="1" applyAlignment="1" applyProtection="1">
      <alignment horizontal="left"/>
    </xf>
    <xf numFmtId="0" fontId="76" fillId="59" borderId="0" xfId="0" applyFont="1" applyFill="1" applyAlignment="1" applyProtection="1">
      <alignment horizontal="left" vertical="top" wrapText="1"/>
    </xf>
    <xf numFmtId="0" fontId="66" fillId="34" borderId="77" xfId="0" applyFont="1" applyFill="1" applyBorder="1" applyAlignment="1" applyProtection="1">
      <alignment horizontal="left" vertical="top" wrapText="1"/>
      <protection locked="0"/>
    </xf>
    <xf numFmtId="0" fontId="66" fillId="34" borderId="76" xfId="0" applyFont="1" applyFill="1" applyBorder="1" applyAlignment="1" applyProtection="1">
      <alignment horizontal="left" vertical="top" wrapText="1"/>
      <protection locked="0"/>
    </xf>
    <xf numFmtId="0" fontId="66" fillId="34" borderId="78" xfId="0" applyFont="1" applyFill="1" applyBorder="1" applyAlignment="1" applyProtection="1">
      <alignment horizontal="left" vertical="top" wrapText="1"/>
      <protection locked="0"/>
    </xf>
    <xf numFmtId="0" fontId="66" fillId="34" borderId="79" xfId="0" applyFont="1" applyFill="1" applyBorder="1" applyAlignment="1" applyProtection="1">
      <alignment horizontal="left" vertical="top" wrapText="1"/>
      <protection locked="0"/>
    </xf>
    <xf numFmtId="0" fontId="66" fillId="34" borderId="61" xfId="0" applyFont="1" applyFill="1" applyBorder="1" applyAlignment="1" applyProtection="1">
      <alignment horizontal="left" vertical="top" wrapText="1"/>
      <protection locked="0"/>
    </xf>
    <xf numFmtId="0" fontId="66" fillId="34" borderId="80" xfId="0" applyFont="1" applyFill="1" applyBorder="1" applyAlignment="1" applyProtection="1">
      <alignment horizontal="left" vertical="top" wrapText="1"/>
      <protection locked="0"/>
    </xf>
    <xf numFmtId="0" fontId="66" fillId="34" borderId="84" xfId="0" applyFont="1" applyFill="1" applyBorder="1" applyAlignment="1" applyProtection="1">
      <alignment horizontal="left" vertical="top" wrapText="1"/>
      <protection locked="0"/>
    </xf>
    <xf numFmtId="0" fontId="66" fillId="34" borderId="74" xfId="0" applyFont="1" applyFill="1" applyBorder="1" applyAlignment="1" applyProtection="1">
      <alignment horizontal="left" vertical="top" wrapText="1"/>
      <protection locked="0"/>
    </xf>
    <xf numFmtId="0" fontId="66" fillId="34" borderId="85" xfId="0" applyFont="1" applyFill="1" applyBorder="1" applyAlignment="1" applyProtection="1">
      <alignment horizontal="left" vertical="top" wrapText="1"/>
      <protection locked="0"/>
    </xf>
    <xf numFmtId="0" fontId="66" fillId="34" borderId="86" xfId="0" applyFont="1" applyFill="1" applyBorder="1" applyAlignment="1" applyProtection="1">
      <alignment horizontal="left" vertical="top" wrapText="1"/>
      <protection locked="0"/>
    </xf>
    <xf numFmtId="0" fontId="66" fillId="34" borderId="87" xfId="0" applyFont="1" applyFill="1" applyBorder="1" applyAlignment="1" applyProtection="1">
      <alignment horizontal="left" vertical="top" wrapText="1"/>
      <protection locked="0"/>
    </xf>
    <xf numFmtId="0" fontId="66" fillId="34" borderId="88" xfId="0" applyFont="1" applyFill="1" applyBorder="1" applyAlignment="1" applyProtection="1">
      <alignment horizontal="left" vertical="top" wrapText="1"/>
      <protection locked="0"/>
    </xf>
    <xf numFmtId="0" fontId="66" fillId="34" borderId="81" xfId="0" applyFont="1" applyFill="1" applyBorder="1" applyAlignment="1" applyProtection="1">
      <alignment horizontal="left" vertical="top" wrapText="1"/>
      <protection locked="0"/>
    </xf>
    <xf numFmtId="0" fontId="66" fillId="34" borderId="82" xfId="0" applyFont="1" applyFill="1" applyBorder="1" applyAlignment="1" applyProtection="1">
      <alignment horizontal="left" vertical="top" wrapText="1"/>
      <protection locked="0"/>
    </xf>
    <xf numFmtId="0" fontId="66" fillId="34" borderId="83" xfId="0" applyFont="1" applyFill="1" applyBorder="1" applyAlignment="1" applyProtection="1">
      <alignment horizontal="left" vertical="top" wrapText="1"/>
      <protection locked="0"/>
    </xf>
    <xf numFmtId="0" fontId="95" fillId="47" borderId="0" xfId="0" applyFont="1" applyFill="1" applyAlignment="1" applyProtection="1">
      <alignment horizontal="center" vertical="top" wrapText="1"/>
    </xf>
    <xf numFmtId="0" fontId="79" fillId="47" borderId="0" xfId="0" applyFont="1" applyFill="1" applyAlignment="1" applyProtection="1">
      <alignment horizontal="distributed" vertical="center"/>
    </xf>
    <xf numFmtId="0" fontId="66" fillId="34" borderId="72" xfId="0" applyFont="1" applyFill="1" applyBorder="1" applyAlignment="1" applyProtection="1">
      <alignment horizontal="center"/>
      <protection locked="0"/>
    </xf>
    <xf numFmtId="0" fontId="66" fillId="34" borderId="50" xfId="0" applyFont="1" applyFill="1" applyBorder="1" applyAlignment="1" applyProtection="1">
      <alignment horizontal="center"/>
      <protection locked="0"/>
    </xf>
    <xf numFmtId="0" fontId="66" fillId="34" borderId="73" xfId="0" applyFont="1" applyFill="1" applyBorder="1" applyAlignment="1" applyProtection="1">
      <alignment horizontal="center"/>
      <protection locked="0"/>
    </xf>
    <xf numFmtId="0" fontId="108" fillId="34" borderId="72" xfId="0" applyFont="1" applyFill="1" applyBorder="1" applyAlignment="1" applyProtection="1">
      <alignment horizontal="center"/>
      <protection locked="0"/>
    </xf>
    <xf numFmtId="0" fontId="108" fillId="34" borderId="50" xfId="0" applyFont="1" applyFill="1" applyBorder="1" applyAlignment="1" applyProtection="1">
      <alignment horizontal="center"/>
      <protection locked="0"/>
    </xf>
    <xf numFmtId="0" fontId="108" fillId="34" borderId="73" xfId="0" applyFont="1" applyFill="1" applyBorder="1" applyAlignment="1" applyProtection="1">
      <alignment horizontal="center"/>
      <protection locked="0"/>
    </xf>
    <xf numFmtId="0" fontId="63" fillId="36" borderId="62" xfId="0" applyFont="1" applyFill="1" applyBorder="1" applyAlignment="1" applyProtection="1">
      <alignment horizontal="center" vertical="center"/>
    </xf>
    <xf numFmtId="0" fontId="63" fillId="36" borderId="63" xfId="0" applyFont="1" applyFill="1" applyBorder="1" applyAlignment="1" applyProtection="1">
      <alignment horizontal="center" vertical="center"/>
    </xf>
    <xf numFmtId="0" fontId="63" fillId="36" borderId="64" xfId="0" applyFont="1" applyFill="1" applyBorder="1" applyAlignment="1" applyProtection="1">
      <alignment horizontal="center" vertical="center"/>
    </xf>
    <xf numFmtId="0" fontId="63" fillId="36" borderId="51" xfId="0" applyFont="1" applyFill="1" applyBorder="1" applyAlignment="1" applyProtection="1">
      <alignment horizontal="center" vertical="center"/>
    </xf>
    <xf numFmtId="0" fontId="66" fillId="34" borderId="89" xfId="0" applyFont="1" applyFill="1" applyBorder="1" applyAlignment="1" applyProtection="1">
      <alignment horizontal="left"/>
      <protection locked="0"/>
    </xf>
    <xf numFmtId="0" fontId="66" fillId="34" borderId="75" xfId="0" applyFont="1" applyFill="1" applyBorder="1" applyAlignment="1" applyProtection="1">
      <alignment horizontal="left"/>
      <protection locked="0"/>
    </xf>
    <xf numFmtId="0" fontId="66" fillId="34" borderId="90" xfId="0" applyFont="1" applyFill="1" applyBorder="1" applyAlignment="1" applyProtection="1">
      <alignment horizontal="left"/>
      <protection locked="0"/>
    </xf>
    <xf numFmtId="0" fontId="79" fillId="47" borderId="0" xfId="0" applyFont="1" applyFill="1" applyAlignment="1" applyProtection="1">
      <alignment horizontal="center" vertical="distributed" textRotation="90"/>
    </xf>
    <xf numFmtId="0" fontId="63" fillId="36" borderId="0" xfId="0" applyFont="1" applyFill="1" applyAlignment="1" applyProtection="1">
      <alignment horizontal="center" vertical="center"/>
    </xf>
    <xf numFmtId="0" fontId="63" fillId="36" borderId="0" xfId="0" applyFont="1" applyFill="1" applyBorder="1" applyAlignment="1" applyProtection="1">
      <alignment horizontal="center" vertical="center"/>
    </xf>
    <xf numFmtId="0" fontId="76" fillId="51" borderId="0" xfId="0" applyFont="1" applyFill="1" applyAlignment="1" applyProtection="1">
      <alignment horizontal="left" vertical="top" wrapText="1"/>
    </xf>
    <xf numFmtId="0" fontId="63" fillId="36" borderId="224" xfId="0" applyFont="1" applyFill="1" applyBorder="1" applyAlignment="1" applyProtection="1">
      <alignment horizontal="center" vertical="center"/>
    </xf>
    <xf numFmtId="0" fontId="66" fillId="34" borderId="72" xfId="0" applyFont="1" applyFill="1" applyBorder="1" applyAlignment="1" applyProtection="1">
      <alignment horizontal="left" vertical="top"/>
      <protection locked="0"/>
    </xf>
    <xf numFmtId="0" fontId="66" fillId="34" borderId="50" xfId="0" applyFont="1" applyFill="1" applyBorder="1" applyAlignment="1" applyProtection="1">
      <alignment horizontal="left" vertical="top"/>
      <protection locked="0"/>
    </xf>
    <xf numFmtId="0" fontId="66" fillId="34" borderId="73" xfId="0" applyFont="1" applyFill="1" applyBorder="1" applyAlignment="1" applyProtection="1">
      <alignment horizontal="left" vertical="top"/>
      <protection locked="0"/>
    </xf>
    <xf numFmtId="0" fontId="66" fillId="34" borderId="72" xfId="0" applyFont="1" applyFill="1" applyBorder="1" applyAlignment="1" applyProtection="1">
      <alignment horizontal="left"/>
      <protection locked="0"/>
    </xf>
    <xf numFmtId="0" fontId="66" fillId="34" borderId="50" xfId="0" applyFont="1" applyFill="1" applyBorder="1" applyAlignment="1" applyProtection="1">
      <alignment horizontal="left"/>
      <protection locked="0"/>
    </xf>
    <xf numFmtId="0" fontId="66" fillId="34" borderId="73" xfId="0" applyFont="1" applyFill="1" applyBorder="1" applyAlignment="1" applyProtection="1">
      <alignment horizontal="left"/>
      <protection locked="0"/>
    </xf>
    <xf numFmtId="0" fontId="66" fillId="34" borderId="72" xfId="0" applyFont="1" applyFill="1" applyBorder="1" applyAlignment="1" applyProtection="1">
      <alignment horizontal="center" vertical="top"/>
      <protection locked="0"/>
    </xf>
    <xf numFmtId="0" fontId="66" fillId="34" borderId="50" xfId="0" applyFont="1" applyFill="1" applyBorder="1" applyAlignment="1" applyProtection="1">
      <alignment horizontal="center" vertical="top"/>
      <protection locked="0"/>
    </xf>
    <xf numFmtId="0" fontId="66" fillId="34" borderId="73" xfId="0" applyFont="1" applyFill="1" applyBorder="1" applyAlignment="1" applyProtection="1">
      <alignment horizontal="center" vertical="top"/>
      <protection locked="0"/>
    </xf>
    <xf numFmtId="0" fontId="26" fillId="33" borderId="0" xfId="0" applyFont="1" applyFill="1" applyAlignment="1" applyProtection="1">
      <alignment horizontal="left" vertical="center" wrapText="1"/>
    </xf>
    <xf numFmtId="0" fontId="26" fillId="33" borderId="0" xfId="0" applyFont="1" applyFill="1" applyAlignment="1" applyProtection="1">
      <alignment horizontal="left" vertical="center"/>
    </xf>
    <xf numFmtId="0" fontId="96" fillId="38" borderId="0" xfId="0" applyFont="1" applyFill="1" applyAlignment="1" applyProtection="1">
      <alignment horizontal="left" vertical="top" wrapText="1"/>
    </xf>
    <xf numFmtId="0" fontId="66" fillId="34" borderId="53" xfId="0" applyFont="1" applyFill="1" applyBorder="1" applyAlignment="1" applyProtection="1">
      <alignment horizontal="left"/>
      <protection locked="0"/>
    </xf>
    <xf numFmtId="166" fontId="26" fillId="33" borderId="102" xfId="0" applyNumberFormat="1" applyFont="1" applyFill="1" applyBorder="1" applyAlignment="1" applyProtection="1">
      <alignment horizontal="right"/>
    </xf>
    <xf numFmtId="166" fontId="26" fillId="33" borderId="120" xfId="0" applyNumberFormat="1" applyFont="1" applyFill="1" applyBorder="1" applyAlignment="1" applyProtection="1">
      <alignment horizontal="right"/>
    </xf>
    <xf numFmtId="37" fontId="26" fillId="33" borderId="101" xfId="0" applyNumberFormat="1" applyFont="1" applyFill="1" applyBorder="1" applyAlignment="1" applyProtection="1">
      <alignment horizontal="right"/>
    </xf>
    <xf numFmtId="37" fontId="26" fillId="33" borderId="115" xfId="0" applyNumberFormat="1" applyFont="1" applyFill="1" applyBorder="1" applyAlignment="1" applyProtection="1">
      <alignment horizontal="right"/>
    </xf>
    <xf numFmtId="0" fontId="26" fillId="33" borderId="101" xfId="0" applyFont="1" applyFill="1" applyBorder="1" applyAlignment="1" applyProtection="1">
      <alignment horizontal="right"/>
    </xf>
    <xf numFmtId="0" fontId="26" fillId="33" borderId="115" xfId="0" applyFont="1" applyFill="1" applyBorder="1" applyAlignment="1" applyProtection="1">
      <alignment horizontal="right"/>
    </xf>
    <xf numFmtId="37" fontId="26" fillId="33" borderId="103" xfId="0" applyNumberFormat="1" applyFont="1" applyFill="1" applyBorder="1" applyAlignment="1" applyProtection="1">
      <alignment horizontal="right"/>
    </xf>
    <xf numFmtId="37" fontId="26" fillId="33" borderId="116" xfId="0" applyNumberFormat="1" applyFont="1" applyFill="1" applyBorder="1" applyAlignment="1" applyProtection="1">
      <alignment horizontal="right"/>
    </xf>
    <xf numFmtId="5" fontId="26" fillId="53" borderId="101" xfId="0" applyNumberFormat="1" applyFont="1" applyFill="1" applyBorder="1" applyAlignment="1" applyProtection="1">
      <alignment horizontal="center"/>
    </xf>
    <xf numFmtId="5" fontId="26" fillId="53" borderId="26" xfId="0" applyNumberFormat="1" applyFont="1" applyFill="1" applyBorder="1" applyAlignment="1" applyProtection="1">
      <alignment horizontal="center"/>
    </xf>
    <xf numFmtId="37" fontId="26" fillId="33" borderId="94" xfId="0" applyNumberFormat="1" applyFont="1" applyFill="1" applyBorder="1" applyAlignment="1" applyProtection="1">
      <alignment horizontal="right"/>
    </xf>
    <xf numFmtId="37" fontId="26" fillId="33" borderId="18" xfId="0" applyNumberFormat="1" applyFont="1" applyFill="1" applyBorder="1" applyAlignment="1" applyProtection="1">
      <alignment horizontal="right"/>
    </xf>
    <xf numFmtId="166" fontId="26" fillId="33" borderId="95" xfId="0" applyNumberFormat="1" applyFont="1" applyFill="1" applyBorder="1" applyAlignment="1" applyProtection="1">
      <alignment horizontal="right"/>
    </xf>
    <xf numFmtId="166" fontId="26" fillId="33" borderId="19" xfId="0" applyNumberFormat="1" applyFont="1" applyFill="1" applyBorder="1" applyAlignment="1" applyProtection="1">
      <alignment horizontal="right"/>
    </xf>
    <xf numFmtId="0" fontId="33" fillId="33" borderId="103" xfId="0" applyFont="1" applyFill="1" applyBorder="1" applyAlignment="1" applyProtection="1">
      <alignment horizontal="center"/>
    </xf>
    <xf numFmtId="0" fontId="33" fillId="33" borderId="0" xfId="0" applyFont="1" applyFill="1" applyBorder="1" applyAlignment="1" applyProtection="1">
      <alignment horizontal="center"/>
    </xf>
    <xf numFmtId="0" fontId="80" fillId="47" borderId="0" xfId="0" applyFont="1" applyFill="1" applyAlignment="1" applyProtection="1">
      <alignment horizontal="center" vertical="distributed" textRotation="90"/>
    </xf>
    <xf numFmtId="0" fontId="81" fillId="51" borderId="0" xfId="0" applyFont="1" applyFill="1" applyAlignment="1" applyProtection="1">
      <alignment horizontal="center" vertical="center"/>
    </xf>
    <xf numFmtId="0" fontId="26" fillId="33" borderId="26" xfId="0" applyFont="1" applyFill="1" applyBorder="1" applyAlignment="1" applyProtection="1">
      <alignment horizontal="right"/>
    </xf>
    <xf numFmtId="37" fontId="26" fillId="33" borderId="0" xfId="0" applyNumberFormat="1" applyFont="1" applyFill="1" applyBorder="1" applyAlignment="1" applyProtection="1">
      <alignment horizontal="right"/>
    </xf>
    <xf numFmtId="37" fontId="26" fillId="33" borderId="231" xfId="0" applyNumberFormat="1" applyFont="1" applyFill="1" applyBorder="1" applyAlignment="1" applyProtection="1">
      <alignment horizontal="right"/>
    </xf>
    <xf numFmtId="37" fontId="26" fillId="33" borderId="228" xfId="0" applyNumberFormat="1" applyFont="1" applyFill="1" applyBorder="1" applyAlignment="1" applyProtection="1">
      <alignment horizontal="right"/>
    </xf>
    <xf numFmtId="5" fontId="26" fillId="33" borderId="101" xfId="0" applyNumberFormat="1" applyFont="1" applyFill="1" applyBorder="1" applyAlignment="1" applyProtection="1">
      <alignment horizontal="right"/>
    </xf>
    <xf numFmtId="5" fontId="26" fillId="33" borderId="26" xfId="0" applyNumberFormat="1" applyFont="1" applyFill="1" applyBorder="1" applyAlignment="1" applyProtection="1">
      <alignment horizontal="right"/>
    </xf>
    <xf numFmtId="0" fontId="34" fillId="33" borderId="227" xfId="0" applyFont="1" applyFill="1" applyBorder="1" applyAlignment="1" applyProtection="1">
      <alignment horizontal="center"/>
    </xf>
    <xf numFmtId="0" fontId="34" fillId="33" borderId="298" xfId="0" applyFont="1" applyFill="1" applyBorder="1" applyAlignment="1" applyProtection="1">
      <alignment horizontal="center"/>
    </xf>
    <xf numFmtId="0" fontId="34" fillId="33" borderId="94" xfId="0" applyFont="1" applyFill="1" applyBorder="1" applyAlignment="1" applyProtection="1">
      <alignment horizontal="center"/>
    </xf>
    <xf numFmtId="0" fontId="34" fillId="33" borderId="18" xfId="0" applyFont="1" applyFill="1" applyBorder="1" applyAlignment="1" applyProtection="1">
      <alignment horizontal="center"/>
    </xf>
    <xf numFmtId="0" fontId="34" fillId="33" borderId="101" xfId="0" applyFont="1" applyFill="1" applyBorder="1" applyAlignment="1" applyProtection="1">
      <alignment horizontal="center"/>
    </xf>
    <xf numFmtId="0" fontId="34" fillId="33" borderId="115" xfId="0" applyFont="1" applyFill="1" applyBorder="1" applyAlignment="1" applyProtection="1">
      <alignment horizontal="center"/>
    </xf>
    <xf numFmtId="0" fontId="34" fillId="33" borderId="103" xfId="0" applyFont="1" applyFill="1" applyBorder="1" applyAlignment="1" applyProtection="1">
      <alignment horizontal="center"/>
    </xf>
    <xf numFmtId="0" fontId="34" fillId="33" borderId="116" xfId="0" applyFont="1" applyFill="1" applyBorder="1" applyAlignment="1" applyProtection="1">
      <alignment horizontal="center"/>
    </xf>
    <xf numFmtId="0" fontId="33" fillId="33" borderId="101" xfId="0" applyFont="1" applyFill="1" applyBorder="1" applyAlignment="1" applyProtection="1">
      <alignment horizontal="center"/>
    </xf>
    <xf numFmtId="0" fontId="33" fillId="33" borderId="26" xfId="0" applyFont="1" applyFill="1" applyBorder="1" applyAlignment="1" applyProtection="1">
      <alignment horizontal="center"/>
    </xf>
    <xf numFmtId="0" fontId="34" fillId="33" borderId="231" xfId="0" applyFont="1" applyFill="1" applyBorder="1" applyAlignment="1" applyProtection="1">
      <alignment horizontal="center"/>
    </xf>
    <xf numFmtId="0" fontId="34" fillId="33" borderId="228" xfId="0" applyFont="1" applyFill="1" applyBorder="1" applyAlignment="1" applyProtection="1">
      <alignment horizontal="center"/>
    </xf>
    <xf numFmtId="37" fontId="26" fillId="53" borderId="101" xfId="0" applyNumberFormat="1" applyFont="1" applyFill="1" applyBorder="1" applyAlignment="1" applyProtection="1">
      <alignment horizontal="center" vertical="center" wrapText="1"/>
    </xf>
    <xf numFmtId="37" fontId="26" fillId="53" borderId="296" xfId="0" applyNumberFormat="1" applyFont="1" applyFill="1" applyBorder="1" applyAlignment="1" applyProtection="1">
      <alignment horizontal="center" vertical="center" wrapText="1"/>
    </xf>
    <xf numFmtId="37" fontId="26" fillId="53" borderId="102" xfId="0" applyNumberFormat="1" applyFont="1" applyFill="1" applyBorder="1" applyAlignment="1" applyProtection="1">
      <alignment horizontal="center" vertical="center" wrapText="1"/>
    </xf>
    <xf numFmtId="37" fontId="26" fillId="53" borderId="297" xfId="0" applyNumberFormat="1" applyFont="1" applyFill="1" applyBorder="1" applyAlignment="1" applyProtection="1">
      <alignment horizontal="center" vertical="center" wrapText="1"/>
    </xf>
    <xf numFmtId="0" fontId="26" fillId="53" borderId="101" xfId="0" applyFont="1" applyFill="1" applyBorder="1" applyAlignment="1" applyProtection="1">
      <alignment horizontal="center"/>
    </xf>
    <xf numFmtId="0" fontId="26" fillId="53" borderId="26" xfId="0" applyFont="1" applyFill="1" applyBorder="1" applyAlignment="1" applyProtection="1">
      <alignment horizontal="center"/>
    </xf>
    <xf numFmtId="37" fontId="26" fillId="53" borderId="103" xfId="0" applyNumberFormat="1" applyFont="1" applyFill="1" applyBorder="1" applyAlignment="1" applyProtection="1">
      <alignment horizontal="center"/>
    </xf>
    <xf numFmtId="37" fontId="26" fillId="53" borderId="0" xfId="0" applyNumberFormat="1" applyFont="1" applyFill="1" applyBorder="1" applyAlignment="1" applyProtection="1">
      <alignment horizontal="center"/>
    </xf>
    <xf numFmtId="37" fontId="26" fillId="33" borderId="26" xfId="0" applyNumberFormat="1" applyFont="1" applyFill="1" applyBorder="1" applyAlignment="1" applyProtection="1">
      <alignment horizontal="right"/>
    </xf>
    <xf numFmtId="166" fontId="26" fillId="33" borderId="23" xfId="0" applyNumberFormat="1" applyFont="1" applyFill="1" applyBorder="1" applyAlignment="1" applyProtection="1">
      <alignment horizontal="right"/>
    </xf>
    <xf numFmtId="0" fontId="26" fillId="33" borderId="94" xfId="0" applyFont="1" applyFill="1" applyBorder="1" applyAlignment="1" applyProtection="1">
      <alignment horizontal="right"/>
    </xf>
    <xf numFmtId="0" fontId="26" fillId="33" borderId="18" xfId="0" applyFont="1" applyFill="1" applyBorder="1" applyAlignment="1" applyProtection="1">
      <alignment horizontal="right"/>
    </xf>
    <xf numFmtId="37" fontId="26" fillId="33" borderId="227" xfId="0" applyNumberFormat="1" applyFont="1" applyFill="1" applyBorder="1" applyAlignment="1" applyProtection="1">
      <alignment horizontal="right"/>
    </xf>
    <xf numFmtId="37" fontId="26" fillId="33" borderId="298" xfId="0" applyNumberFormat="1" applyFont="1" applyFill="1" applyBorder="1" applyAlignment="1" applyProtection="1">
      <alignment horizontal="right"/>
    </xf>
    <xf numFmtId="166" fontId="26" fillId="53" borderId="100" xfId="0" applyNumberFormat="1" applyFont="1" applyFill="1" applyBorder="1" applyAlignment="1" applyProtection="1">
      <alignment horizontal="center"/>
    </xf>
    <xf numFmtId="166" fontId="26" fillId="53" borderId="295" xfId="0" applyNumberFormat="1" applyFont="1" applyFill="1" applyBorder="1" applyAlignment="1" applyProtection="1">
      <alignment horizontal="center"/>
    </xf>
    <xf numFmtId="5" fontId="26" fillId="33" borderId="115" xfId="0" applyNumberFormat="1" applyFont="1" applyFill="1" applyBorder="1" applyAlignment="1" applyProtection="1">
      <alignment horizontal="right"/>
    </xf>
    <xf numFmtId="5" fontId="26" fillId="33" borderId="94" xfId="0" applyNumberFormat="1" applyFont="1" applyFill="1" applyBorder="1" applyAlignment="1" applyProtection="1">
      <alignment horizontal="right"/>
    </xf>
    <xf numFmtId="5" fontId="26" fillId="33" borderId="18" xfId="0" applyNumberFormat="1" applyFont="1" applyFill="1" applyBorder="1" applyAlignment="1" applyProtection="1">
      <alignment horizontal="right"/>
    </xf>
    <xf numFmtId="166" fontId="26" fillId="53" borderId="102" xfId="0" applyNumberFormat="1" applyFont="1" applyFill="1" applyBorder="1" applyAlignment="1" applyProtection="1">
      <alignment horizontal="center"/>
    </xf>
    <xf numFmtId="166" fontId="26" fillId="53" borderId="23" xfId="0" applyNumberFormat="1" applyFont="1" applyFill="1" applyBorder="1" applyAlignment="1" applyProtection="1">
      <alignment horizontal="center"/>
    </xf>
    <xf numFmtId="0" fontId="26" fillId="33" borderId="10" xfId="0" applyFont="1" applyFill="1" applyBorder="1" applyAlignment="1" applyProtection="1">
      <alignment horizontal="left"/>
    </xf>
    <xf numFmtId="0" fontId="26" fillId="33" borderId="115" xfId="0" applyFont="1" applyFill="1" applyBorder="1" applyAlignment="1" applyProtection="1">
      <alignment horizontal="left"/>
    </xf>
    <xf numFmtId="0" fontId="26" fillId="33" borderId="20" xfId="0" applyFont="1" applyFill="1" applyBorder="1" applyAlignment="1" applyProtection="1">
      <alignment horizontal="left"/>
    </xf>
    <xf numFmtId="0" fontId="26" fillId="33" borderId="116" xfId="0" applyFont="1" applyFill="1" applyBorder="1" applyAlignment="1" applyProtection="1">
      <alignment horizontal="left"/>
    </xf>
    <xf numFmtId="5" fontId="0" fillId="0" borderId="100" xfId="0" applyNumberFormat="1" applyBorder="1" applyAlignment="1">
      <alignment horizontal="center"/>
    </xf>
    <xf numFmtId="5" fontId="0" fillId="0" borderId="121" xfId="0" applyNumberFormat="1" applyBorder="1" applyAlignment="1">
      <alignment horizontal="center"/>
    </xf>
    <xf numFmtId="5" fontId="0" fillId="0" borderId="14" xfId="0" applyNumberFormat="1" applyBorder="1" applyAlignment="1">
      <alignment horizontal="center"/>
    </xf>
    <xf numFmtId="5" fontId="0" fillId="0" borderId="13" xfId="0" applyNumberFormat="1" applyBorder="1" applyAlignment="1">
      <alignment horizontal="center"/>
    </xf>
    <xf numFmtId="169" fontId="35" fillId="0" borderId="100" xfId="0" applyNumberFormat="1" applyFont="1" applyBorder="1" applyAlignment="1" applyProtection="1">
      <alignment horizontal="center"/>
    </xf>
    <xf numFmtId="169" fontId="35" fillId="0" borderId="121" xfId="0" applyNumberFormat="1" applyFont="1" applyBorder="1" applyAlignment="1" applyProtection="1">
      <alignment horizontal="center"/>
    </xf>
    <xf numFmtId="0" fontId="60" fillId="33" borderId="10" xfId="0" applyFont="1" applyFill="1" applyBorder="1" applyAlignment="1" applyProtection="1">
      <alignment horizontal="center" vertical="center"/>
    </xf>
    <xf numFmtId="0" fontId="60" fillId="33" borderId="115" xfId="0" applyFont="1" applyFill="1" applyBorder="1" applyAlignment="1" applyProtection="1">
      <alignment horizontal="center" vertical="center"/>
    </xf>
    <xf numFmtId="0" fontId="60" fillId="33" borderId="20" xfId="0" applyFont="1" applyFill="1" applyBorder="1" applyAlignment="1" applyProtection="1">
      <alignment horizontal="center" vertical="center"/>
    </xf>
    <xf numFmtId="0" fontId="60" fillId="33" borderId="116" xfId="0" applyFont="1" applyFill="1" applyBorder="1" applyAlignment="1" applyProtection="1">
      <alignment horizontal="center" vertical="center"/>
    </xf>
    <xf numFmtId="0" fontId="95" fillId="33" borderId="12" xfId="0" applyFont="1" applyFill="1" applyBorder="1" applyAlignment="1" applyProtection="1">
      <alignment horizontal="left" vertical="center"/>
    </xf>
    <xf numFmtId="0" fontId="95" fillId="33" borderId="14" xfId="0" applyFont="1" applyFill="1" applyBorder="1" applyAlignment="1" applyProtection="1">
      <alignment horizontal="left" vertical="center"/>
    </xf>
    <xf numFmtId="0" fontId="26" fillId="0" borderId="10" xfId="0" applyFont="1" applyBorder="1" applyAlignment="1" applyProtection="1">
      <alignment horizontal="left" vertical="center"/>
    </xf>
    <xf numFmtId="0" fontId="26" fillId="0" borderId="115" xfId="0" applyFont="1" applyBorder="1" applyAlignment="1" applyProtection="1">
      <alignment horizontal="left" vertical="center"/>
    </xf>
    <xf numFmtId="0" fontId="26" fillId="0" borderId="17" xfId="0" applyFont="1" applyBorder="1" applyAlignment="1" applyProtection="1">
      <alignment horizontal="left" vertical="center"/>
    </xf>
    <xf numFmtId="0" fontId="26" fillId="0" borderId="120" xfId="0" applyFont="1" applyBorder="1" applyAlignment="1" applyProtection="1">
      <alignment horizontal="left" vertical="center"/>
    </xf>
    <xf numFmtId="0" fontId="26" fillId="33" borderId="10" xfId="0" applyFont="1" applyFill="1" applyBorder="1" applyAlignment="1" applyProtection="1">
      <alignment horizontal="left" vertical="center" wrapText="1"/>
    </xf>
    <xf numFmtId="0" fontId="26" fillId="33" borderId="115" xfId="0" applyFont="1" applyFill="1" applyBorder="1" applyAlignment="1" applyProtection="1">
      <alignment horizontal="left" vertical="center" wrapText="1"/>
    </xf>
    <xf numFmtId="0" fontId="26" fillId="33" borderId="20" xfId="0" applyFont="1" applyFill="1" applyBorder="1" applyAlignment="1" applyProtection="1">
      <alignment horizontal="left" vertical="center" wrapText="1"/>
    </xf>
    <xf numFmtId="0" fontId="26" fillId="33" borderId="116" xfId="0" applyFont="1" applyFill="1" applyBorder="1" applyAlignment="1" applyProtection="1">
      <alignment horizontal="left" vertical="center" wrapText="1"/>
    </xf>
    <xf numFmtId="0" fontId="32" fillId="56" borderId="107" xfId="0" applyFont="1" applyFill="1" applyBorder="1" applyAlignment="1" applyProtection="1">
      <alignment horizontal="left" vertical="center" wrapText="1"/>
    </xf>
    <xf numFmtId="0" fontId="32" fillId="56" borderId="124" xfId="0" applyFont="1" applyFill="1" applyBorder="1" applyAlignment="1" applyProtection="1">
      <alignment horizontal="left" vertical="center" wrapText="1"/>
    </xf>
    <xf numFmtId="0" fontId="26" fillId="33" borderId="10" xfId="0" applyFont="1" applyFill="1" applyBorder="1" applyAlignment="1" applyProtection="1">
      <alignment horizontal="left" vertical="center"/>
    </xf>
    <xf numFmtId="0" fontId="26" fillId="33" borderId="115" xfId="0" applyFont="1" applyFill="1" applyBorder="1" applyAlignment="1" applyProtection="1">
      <alignment horizontal="left" vertical="center"/>
    </xf>
    <xf numFmtId="0" fontId="26" fillId="33" borderId="17" xfId="0" applyFont="1" applyFill="1" applyBorder="1" applyAlignment="1" applyProtection="1">
      <alignment horizontal="left" vertical="center"/>
    </xf>
    <xf numFmtId="0" fontId="26" fillId="33" borderId="120" xfId="0" applyFont="1" applyFill="1" applyBorder="1" applyAlignment="1" applyProtection="1">
      <alignment horizontal="left" vertical="center"/>
    </xf>
    <xf numFmtId="0" fontId="26" fillId="0" borderId="10" xfId="0" applyFont="1" applyBorder="1" applyAlignment="1" applyProtection="1">
      <alignment horizontal="left"/>
    </xf>
    <xf numFmtId="0" fontId="26" fillId="0" borderId="115" xfId="0" applyFont="1" applyBorder="1" applyAlignment="1" applyProtection="1">
      <alignment horizontal="left"/>
    </xf>
    <xf numFmtId="0" fontId="26" fillId="0" borderId="12" xfId="0" applyFont="1" applyBorder="1" applyAlignment="1" applyProtection="1">
      <alignment horizontal="left"/>
    </xf>
    <xf numFmtId="0" fontId="26" fillId="0" borderId="121" xfId="0" applyFont="1" applyBorder="1" applyAlignment="1" applyProtection="1">
      <alignment horizontal="left"/>
    </xf>
    <xf numFmtId="0" fontId="79" fillId="47" borderId="0" xfId="0" applyFont="1" applyFill="1" applyAlignment="1">
      <alignment horizontal="distributed" vertical="center"/>
    </xf>
    <xf numFmtId="0" fontId="79" fillId="47" borderId="0" xfId="0" applyFont="1" applyFill="1" applyAlignment="1">
      <alignment horizontal="center" vertical="distributed" textRotation="90"/>
    </xf>
    <xf numFmtId="0" fontId="63" fillId="36" borderId="0" xfId="0" applyFont="1" applyFill="1" applyAlignment="1">
      <alignment horizontal="center" vertical="center"/>
    </xf>
    <xf numFmtId="0" fontId="63" fillId="36" borderId="51" xfId="0" applyFont="1" applyFill="1" applyBorder="1" applyAlignment="1">
      <alignment horizontal="center" vertical="center"/>
    </xf>
    <xf numFmtId="0" fontId="82" fillId="38" borderId="0" xfId="0" applyFont="1" applyFill="1" applyAlignment="1">
      <alignment horizontal="left" vertical="center"/>
    </xf>
    <xf numFmtId="0" fontId="109" fillId="38" borderId="0" xfId="0" applyFont="1" applyFill="1" applyAlignment="1">
      <alignment horizontal="left" vertical="center"/>
    </xf>
    <xf numFmtId="0" fontId="38" fillId="38" borderId="0" xfId="0" applyFont="1" applyFill="1" applyAlignment="1">
      <alignment horizontal="left" vertical="top" wrapText="1"/>
    </xf>
    <xf numFmtId="0" fontId="87" fillId="38" borderId="0" xfId="0" applyFont="1" applyFill="1" applyAlignment="1">
      <alignment horizontal="left" vertical="top" wrapText="1"/>
    </xf>
    <xf numFmtId="0" fontId="71" fillId="59" borderId="0" xfId="0" applyFont="1" applyFill="1" applyAlignment="1" applyProtection="1">
      <alignment horizontal="left" vertical="top" wrapText="1"/>
    </xf>
    <xf numFmtId="0" fontId="79" fillId="47" borderId="126" xfId="0" applyFont="1" applyFill="1" applyBorder="1" applyAlignment="1">
      <alignment horizontal="center" vertical="center" wrapText="1"/>
    </xf>
    <xf numFmtId="0" fontId="79" fillId="47" borderId="0" xfId="0" applyFont="1" applyFill="1" applyAlignment="1">
      <alignment horizontal="center" vertical="center" wrapText="1"/>
    </xf>
    <xf numFmtId="0" fontId="82" fillId="38" borderId="0" xfId="0" applyFont="1" applyFill="1" applyAlignment="1">
      <alignment horizontal="center" vertical="center" wrapText="1"/>
    </xf>
    <xf numFmtId="0" fontId="26" fillId="33" borderId="0" xfId="0" applyFont="1" applyFill="1" applyAlignment="1">
      <alignment horizontal="left" vertical="center" wrapText="1"/>
    </xf>
    <xf numFmtId="0" fontId="26" fillId="0" borderId="0" xfId="0" applyFont="1" applyAlignment="1">
      <alignment horizontal="left" vertical="center" wrapText="1"/>
    </xf>
    <xf numFmtId="0" fontId="26" fillId="0" borderId="0" xfId="0" applyFont="1" applyAlignment="1" applyProtection="1">
      <alignment horizontal="left" vertical="top" wrapText="1"/>
    </xf>
    <xf numFmtId="0" fontId="79" fillId="47" borderId="126" xfId="0" applyFont="1" applyFill="1" applyBorder="1" applyAlignment="1" applyProtection="1">
      <alignment horizontal="center" vertical="center" wrapText="1"/>
    </xf>
    <xf numFmtId="0" fontId="79" fillId="47" borderId="0" xfId="0" applyFont="1" applyFill="1" applyBorder="1" applyAlignment="1" applyProtection="1">
      <alignment horizontal="center" vertical="center" wrapText="1"/>
    </xf>
    <xf numFmtId="0" fontId="82" fillId="38" borderId="0" xfId="0" applyFont="1" applyFill="1" applyAlignment="1" applyProtection="1">
      <alignment horizontal="center" vertical="center" wrapText="1"/>
    </xf>
    <xf numFmtId="0" fontId="87" fillId="38" borderId="0" xfId="0" applyFont="1" applyFill="1" applyAlignment="1" applyProtection="1">
      <alignment horizontal="left" vertical="top" wrapText="1"/>
    </xf>
    <xf numFmtId="0" fontId="0" fillId="0" borderId="0" xfId="0" applyAlignment="1">
      <alignment horizontal="left" vertical="center"/>
    </xf>
    <xf numFmtId="0" fontId="0" fillId="0" borderId="12" xfId="0" applyBorder="1" applyAlignment="1" applyProtection="1">
      <alignment horizontal="center"/>
      <protection locked="0"/>
    </xf>
    <xf numFmtId="0" fontId="0" fillId="0" borderId="14" xfId="0" applyBorder="1" applyAlignment="1" applyProtection="1">
      <alignment horizontal="center"/>
      <protection locked="0"/>
    </xf>
    <xf numFmtId="0" fontId="0" fillId="0" borderId="13" xfId="0" applyBorder="1" applyAlignment="1" applyProtection="1">
      <alignment horizontal="center"/>
      <protection locked="0"/>
    </xf>
    <xf numFmtId="0" fontId="96" fillId="38" borderId="0" xfId="0" applyFont="1" applyFill="1" applyAlignment="1">
      <alignment horizontal="left" vertical="center"/>
    </xf>
    <xf numFmtId="0" fontId="38" fillId="38" borderId="0" xfId="0" applyFont="1" applyFill="1" applyAlignment="1">
      <alignment horizontal="left" vertical="center" wrapText="1"/>
    </xf>
    <xf numFmtId="0" fontId="87" fillId="38" borderId="0" xfId="0" applyFont="1" applyFill="1" applyAlignment="1" applyProtection="1">
      <alignment horizontal="left" vertical="top" wrapText="1"/>
      <protection locked="0"/>
    </xf>
    <xf numFmtId="0" fontId="39" fillId="38" borderId="0" xfId="0" applyFont="1" applyFill="1" applyAlignment="1" applyProtection="1">
      <alignment horizontal="left" vertical="top" wrapText="1"/>
      <protection locked="0"/>
    </xf>
    <xf numFmtId="0" fontId="94" fillId="51" borderId="0" xfId="0" applyFont="1" applyFill="1" applyBorder="1" applyAlignment="1">
      <alignment horizontal="center"/>
    </xf>
    <xf numFmtId="0" fontId="103" fillId="33" borderId="132" xfId="0" applyFont="1" applyFill="1" applyBorder="1" applyAlignment="1">
      <alignment horizontal="center"/>
    </xf>
    <xf numFmtId="0" fontId="103" fillId="33" borderId="133" xfId="0" applyFont="1" applyFill="1" applyBorder="1" applyAlignment="1">
      <alignment horizontal="center"/>
    </xf>
    <xf numFmtId="0" fontId="69" fillId="51" borderId="0" xfId="0" applyFont="1" applyFill="1" applyAlignment="1">
      <alignment horizontal="left" vertical="top" wrapText="1"/>
    </xf>
    <xf numFmtId="0" fontId="73" fillId="51" borderId="0" xfId="0" applyFont="1" applyFill="1" applyAlignment="1">
      <alignment horizontal="left" vertical="top" wrapText="1"/>
    </xf>
    <xf numFmtId="0" fontId="103" fillId="33" borderId="0" xfId="0" applyFont="1" applyFill="1" applyBorder="1" applyAlignment="1">
      <alignment horizontal="center" vertical="top"/>
    </xf>
    <xf numFmtId="0" fontId="103" fillId="33" borderId="136" xfId="0" applyFont="1" applyFill="1" applyBorder="1" applyAlignment="1">
      <alignment horizontal="center" vertical="top"/>
    </xf>
    <xf numFmtId="0" fontId="98" fillId="38" borderId="0" xfId="0" applyFont="1" applyFill="1" applyAlignment="1">
      <alignment horizontal="left" vertical="center"/>
    </xf>
    <xf numFmtId="0" fontId="9" fillId="0" borderId="0" xfId="0" applyFont="1" applyAlignment="1">
      <alignment horizontal="left" vertical="center" wrapText="1"/>
    </xf>
    <xf numFmtId="0" fontId="108" fillId="34" borderId="72" xfId="0" applyFont="1" applyFill="1" applyBorder="1" applyAlignment="1" applyProtection="1">
      <alignment horizontal="left"/>
      <protection locked="0"/>
    </xf>
    <xf numFmtId="0" fontId="108" fillId="34" borderId="50" xfId="0" applyFont="1" applyFill="1" applyBorder="1" applyAlignment="1" applyProtection="1">
      <alignment horizontal="left"/>
      <protection locked="0"/>
    </xf>
    <xf numFmtId="0" fontId="108" fillId="34" borderId="73" xfId="0" applyFont="1" applyFill="1" applyBorder="1" applyAlignment="1" applyProtection="1">
      <alignment horizontal="left"/>
      <protection locked="0"/>
    </xf>
    <xf numFmtId="0" fontId="99" fillId="51" borderId="0" xfId="0" applyFont="1" applyFill="1" applyAlignment="1">
      <alignment horizontal="center"/>
    </xf>
    <xf numFmtId="0" fontId="66" fillId="34" borderId="0" xfId="0" applyNumberFormat="1" applyFont="1" applyFill="1" applyBorder="1" applyAlignment="1" applyProtection="1">
      <alignment horizontal="center"/>
      <protection locked="0"/>
    </xf>
    <xf numFmtId="0" fontId="38" fillId="38" borderId="0" xfId="0" applyFont="1" applyFill="1" applyAlignment="1" applyProtection="1">
      <alignment horizontal="left" vertical="center" wrapText="1"/>
    </xf>
    <xf numFmtId="0" fontId="87" fillId="38" borderId="0" xfId="0" applyFont="1" applyFill="1" applyAlignment="1" applyProtection="1">
      <alignment horizontal="left" vertical="center"/>
    </xf>
    <xf numFmtId="0" fontId="87" fillId="51" borderId="0" xfId="0" applyFont="1" applyFill="1" applyAlignment="1">
      <alignment horizontal="left" vertical="top" wrapText="1"/>
    </xf>
    <xf numFmtId="0" fontId="72" fillId="51" borderId="0" xfId="0" applyFont="1" applyFill="1" applyAlignment="1">
      <alignment horizontal="left" vertical="top" wrapText="1"/>
    </xf>
    <xf numFmtId="0" fontId="79" fillId="33" borderId="0" xfId="0" applyFont="1" applyFill="1" applyBorder="1" applyAlignment="1">
      <alignment horizontal="center" vertical="center"/>
    </xf>
    <xf numFmtId="0" fontId="79" fillId="33" borderId="136" xfId="0" applyFont="1" applyFill="1" applyBorder="1" applyAlignment="1">
      <alignment horizontal="center" vertical="center"/>
    </xf>
    <xf numFmtId="0" fontId="83" fillId="56" borderId="162" xfId="0" applyFont="1" applyFill="1" applyBorder="1" applyAlignment="1">
      <alignment horizontal="center"/>
    </xf>
    <xf numFmtId="0" fontId="83" fillId="56" borderId="163" xfId="0" applyFont="1" applyFill="1" applyBorder="1" applyAlignment="1">
      <alignment horizontal="center"/>
    </xf>
    <xf numFmtId="0" fontId="83" fillId="56" borderId="164" xfId="0" applyFont="1" applyFill="1" applyBorder="1" applyAlignment="1">
      <alignment horizontal="center"/>
    </xf>
    <xf numFmtId="0" fontId="47" fillId="51" borderId="0" xfId="0" applyFont="1" applyFill="1" applyBorder="1" applyAlignment="1">
      <alignment horizontal="center"/>
    </xf>
    <xf numFmtId="0" fontId="32" fillId="74" borderId="0" xfId="0" applyFont="1" applyFill="1" applyBorder="1" applyAlignment="1">
      <alignment horizontal="center"/>
    </xf>
    <xf numFmtId="0" fontId="0" fillId="0" borderId="0" xfId="0" applyBorder="1" applyAlignment="1">
      <alignment horizontal="center"/>
    </xf>
    <xf numFmtId="166" fontId="28" fillId="34" borderId="0" xfId="0" applyNumberFormat="1" applyFont="1" applyFill="1" applyBorder="1" applyAlignment="1" applyProtection="1">
      <alignment horizontal="center"/>
      <protection locked="0"/>
    </xf>
    <xf numFmtId="0" fontId="0" fillId="0" borderId="0" xfId="0" applyBorder="1" applyAlignment="1"/>
    <xf numFmtId="0" fontId="84" fillId="33" borderId="132" xfId="0" applyFont="1" applyFill="1" applyBorder="1" applyAlignment="1">
      <alignment horizontal="center" vertical="center"/>
    </xf>
    <xf numFmtId="0" fontId="84" fillId="33" borderId="133" xfId="0" applyFont="1" applyFill="1" applyBorder="1" applyAlignment="1">
      <alignment horizontal="center" vertical="center"/>
    </xf>
    <xf numFmtId="0" fontId="69" fillId="38" borderId="0" xfId="0" applyFont="1" applyFill="1" applyAlignment="1">
      <alignment horizontal="left" vertical="top" wrapText="1"/>
    </xf>
    <xf numFmtId="0" fontId="92" fillId="56" borderId="185" xfId="0" applyFont="1" applyFill="1" applyBorder="1" applyAlignment="1">
      <alignment horizontal="center" vertical="center"/>
    </xf>
    <xf numFmtId="0" fontId="92" fillId="56" borderId="171" xfId="0" applyFont="1" applyFill="1" applyBorder="1" applyAlignment="1">
      <alignment horizontal="center" vertical="center"/>
    </xf>
    <xf numFmtId="0" fontId="92" fillId="56" borderId="180" xfId="0" applyFont="1" applyFill="1" applyBorder="1" applyAlignment="1">
      <alignment horizontal="center" vertical="center"/>
    </xf>
    <xf numFmtId="0" fontId="83" fillId="56" borderId="139" xfId="0" applyFont="1" applyFill="1" applyBorder="1" applyAlignment="1">
      <alignment horizontal="center" vertical="center"/>
    </xf>
    <xf numFmtId="0" fontId="83" fillId="56" borderId="127" xfId="0" applyFont="1" applyFill="1" applyBorder="1" applyAlignment="1">
      <alignment horizontal="center" vertical="center"/>
    </xf>
    <xf numFmtId="0" fontId="83" fillId="56" borderId="128" xfId="0" applyFont="1" applyFill="1" applyBorder="1" applyAlignment="1">
      <alignment horizontal="center" vertical="center"/>
    </xf>
    <xf numFmtId="0" fontId="83" fillId="56" borderId="183" xfId="0" applyFont="1" applyFill="1" applyBorder="1" applyAlignment="1">
      <alignment horizontal="center" vertical="center"/>
    </xf>
    <xf numFmtId="0" fontId="69" fillId="38" borderId="0" xfId="0" applyFont="1" applyFill="1" applyAlignment="1">
      <alignment horizontal="left" vertical="center"/>
    </xf>
    <xf numFmtId="0" fontId="32" fillId="51" borderId="91" xfId="0" applyFont="1" applyFill="1" applyBorder="1" applyAlignment="1">
      <alignment horizontal="center"/>
    </xf>
    <xf numFmtId="0" fontId="83" fillId="56" borderId="135" xfId="0" applyFont="1" applyFill="1" applyBorder="1" applyAlignment="1">
      <alignment horizontal="right" vertical="center"/>
    </xf>
    <xf numFmtId="0" fontId="83" fillId="56" borderId="0" xfId="0" applyFont="1" applyFill="1" applyBorder="1" applyAlignment="1">
      <alignment horizontal="right" vertical="center"/>
    </xf>
    <xf numFmtId="0" fontId="83" fillId="56" borderId="137" xfId="0" applyFont="1" applyFill="1" applyBorder="1" applyAlignment="1">
      <alignment horizontal="right" vertical="center"/>
    </xf>
    <xf numFmtId="0" fontId="83" fillId="56" borderId="138" xfId="0" applyFont="1" applyFill="1" applyBorder="1" applyAlignment="1">
      <alignment horizontal="right" vertical="center"/>
    </xf>
    <xf numFmtId="0" fontId="83" fillId="56" borderId="208" xfId="0" applyFont="1" applyFill="1" applyBorder="1" applyAlignment="1">
      <alignment horizontal="center" vertical="center" wrapText="1"/>
    </xf>
    <xf numFmtId="0" fontId="83" fillId="56" borderId="209" xfId="0" applyFont="1" applyFill="1" applyBorder="1" applyAlignment="1">
      <alignment horizontal="center" vertical="center" wrapText="1"/>
    </xf>
    <xf numFmtId="0" fontId="83" fillId="56" borderId="210" xfId="0" applyFont="1" applyFill="1" applyBorder="1" applyAlignment="1">
      <alignment horizontal="center" vertical="center" wrapText="1"/>
    </xf>
    <xf numFmtId="0" fontId="83" fillId="56" borderId="222" xfId="0" applyFont="1" applyFill="1" applyBorder="1" applyAlignment="1">
      <alignment horizontal="center" vertical="center"/>
    </xf>
    <xf numFmtId="0" fontId="83" fillId="56" borderId="209" xfId="0" applyFont="1" applyFill="1" applyBorder="1" applyAlignment="1">
      <alignment horizontal="center" vertical="center"/>
    </xf>
    <xf numFmtId="0" fontId="5" fillId="33" borderId="207" xfId="0" applyFont="1" applyFill="1" applyBorder="1" applyAlignment="1">
      <alignment horizontal="center" textRotation="90"/>
    </xf>
    <xf numFmtId="0" fontId="5" fillId="33" borderId="21" xfId="0" applyFont="1" applyFill="1" applyBorder="1" applyAlignment="1">
      <alignment horizontal="center" textRotation="90"/>
    </xf>
    <xf numFmtId="0" fontId="5" fillId="33" borderId="218" xfId="0" applyFont="1" applyFill="1" applyBorder="1" applyAlignment="1">
      <alignment horizontal="center" textRotation="90"/>
    </xf>
    <xf numFmtId="0" fontId="5" fillId="33" borderId="193" xfId="0" applyFont="1" applyFill="1" applyBorder="1" applyAlignment="1">
      <alignment horizontal="center" textRotation="90"/>
    </xf>
    <xf numFmtId="0" fontId="5" fillId="33" borderId="22" xfId="0" applyFont="1" applyFill="1" applyBorder="1" applyAlignment="1">
      <alignment horizontal="center" textRotation="90"/>
    </xf>
    <xf numFmtId="0" fontId="5" fillId="33" borderId="219" xfId="0" applyFont="1" applyFill="1" applyBorder="1" applyAlignment="1">
      <alignment horizontal="center" textRotation="90"/>
    </xf>
    <xf numFmtId="0" fontId="5" fillId="33" borderId="194" xfId="0" applyFont="1" applyFill="1" applyBorder="1" applyAlignment="1">
      <alignment horizontal="center" textRotation="90"/>
    </xf>
    <xf numFmtId="0" fontId="5" fillId="33" borderId="190" xfId="0" applyFont="1" applyFill="1" applyBorder="1" applyAlignment="1">
      <alignment horizontal="center" textRotation="90"/>
    </xf>
    <xf numFmtId="0" fontId="5" fillId="33" borderId="220" xfId="0" applyFont="1" applyFill="1" applyBorder="1" applyAlignment="1">
      <alignment horizontal="center" textRotation="90"/>
    </xf>
    <xf numFmtId="0" fontId="5" fillId="33" borderId="196" xfId="0" applyFont="1" applyFill="1" applyBorder="1" applyAlignment="1">
      <alignment horizontal="left" vertical="center" wrapText="1"/>
    </xf>
    <xf numFmtId="0" fontId="5" fillId="33" borderId="197" xfId="0" applyFont="1" applyFill="1" applyBorder="1" applyAlignment="1">
      <alignment horizontal="left" vertical="center" wrapText="1"/>
    </xf>
    <xf numFmtId="0" fontId="5" fillId="33" borderId="198" xfId="0" applyFont="1" applyFill="1" applyBorder="1" applyAlignment="1">
      <alignment horizontal="left" vertical="center" wrapText="1"/>
    </xf>
    <xf numFmtId="0" fontId="5" fillId="33" borderId="199"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3" xfId="0" applyFont="1" applyFill="1" applyBorder="1" applyAlignment="1">
      <alignment horizontal="left" vertical="center" wrapText="1"/>
    </xf>
    <xf numFmtId="0" fontId="5" fillId="33" borderId="191" xfId="0" applyFont="1" applyFill="1" applyBorder="1" applyAlignment="1">
      <alignment horizontal="left" vertical="center" wrapText="1"/>
    </xf>
    <xf numFmtId="0" fontId="5" fillId="33" borderId="192" xfId="0" applyFont="1" applyFill="1" applyBorder="1" applyAlignment="1">
      <alignment horizontal="left" vertical="center" wrapText="1"/>
    </xf>
    <xf numFmtId="0" fontId="5" fillId="33" borderId="201" xfId="0" applyFont="1" applyFill="1" applyBorder="1" applyAlignment="1">
      <alignment horizontal="left" vertical="center" wrapText="1"/>
    </xf>
    <xf numFmtId="0" fontId="83" fillId="56" borderId="137" xfId="0" applyFont="1" applyFill="1" applyBorder="1" applyAlignment="1">
      <alignment horizontal="center" vertical="center" wrapText="1"/>
    </xf>
    <xf numFmtId="0" fontId="83" fillId="56" borderId="138" xfId="0" applyFont="1" applyFill="1" applyBorder="1" applyAlignment="1">
      <alignment horizontal="center" vertical="center" wrapText="1"/>
    </xf>
    <xf numFmtId="0" fontId="83" fillId="56" borderId="181" xfId="0" applyFont="1" applyFill="1" applyBorder="1" applyAlignment="1">
      <alignment horizontal="center" vertical="center" wrapText="1"/>
    </xf>
    <xf numFmtId="0" fontId="5" fillId="33" borderId="134" xfId="0" applyFont="1" applyFill="1" applyBorder="1" applyAlignment="1">
      <alignment horizontal="center" vertical="center"/>
    </xf>
    <xf numFmtId="0" fontId="5" fillId="33" borderId="195" xfId="0" applyFont="1" applyFill="1" applyBorder="1" applyAlignment="1">
      <alignment horizontal="center" vertical="center"/>
    </xf>
    <xf numFmtId="0" fontId="5" fillId="33" borderId="144" xfId="0" applyFont="1" applyFill="1" applyBorder="1" applyAlignment="1">
      <alignment horizontal="center" vertical="center"/>
    </xf>
    <xf numFmtId="0" fontId="24" fillId="56" borderId="215" xfId="0" applyFont="1" applyFill="1" applyBorder="1" applyAlignment="1">
      <alignment horizontal="center" vertical="center" wrapText="1"/>
    </xf>
    <xf numFmtId="0" fontId="24" fillId="56" borderId="216" xfId="0" applyFont="1" applyFill="1" applyBorder="1" applyAlignment="1">
      <alignment horizontal="center" vertical="center" wrapText="1"/>
    </xf>
    <xf numFmtId="0" fontId="24" fillId="56" borderId="217" xfId="0" applyFont="1" applyFill="1" applyBorder="1" applyAlignment="1">
      <alignment horizontal="center" vertical="center" wrapText="1"/>
    </xf>
    <xf numFmtId="0" fontId="83" fillId="56" borderId="128" xfId="0" applyFont="1" applyFill="1" applyBorder="1" applyAlignment="1">
      <alignment horizontal="center" vertical="center" wrapText="1"/>
    </xf>
    <xf numFmtId="0" fontId="83" fillId="56" borderId="129" xfId="0" applyFont="1" applyFill="1" applyBorder="1" applyAlignment="1">
      <alignment horizontal="center" vertical="center" wrapText="1"/>
    </xf>
    <xf numFmtId="0" fontId="83" fillId="56" borderId="130" xfId="0" applyFont="1" applyFill="1" applyBorder="1" applyAlignment="1">
      <alignment horizontal="center" vertical="center" wrapText="1"/>
    </xf>
    <xf numFmtId="0" fontId="107" fillId="51" borderId="53" xfId="0" applyFont="1" applyFill="1" applyBorder="1" applyAlignment="1">
      <alignment horizontal="center" vertical="center" wrapText="1"/>
    </xf>
    <xf numFmtId="0" fontId="105" fillId="51" borderId="53" xfId="0" applyFont="1" applyFill="1" applyBorder="1" applyAlignment="1">
      <alignment horizontal="left" vertical="center" wrapText="1"/>
    </xf>
    <xf numFmtId="0" fontId="94" fillId="51" borderId="53" xfId="0" applyFont="1" applyFill="1" applyBorder="1" applyAlignment="1">
      <alignment horizontal="center" vertical="center" wrapText="1"/>
    </xf>
    <xf numFmtId="0" fontId="24" fillId="56" borderId="12" xfId="0" applyFont="1" applyFill="1" applyBorder="1" applyAlignment="1">
      <alignment horizontal="center" vertical="center" wrapText="1"/>
    </xf>
    <xf numFmtId="0" fontId="24" fillId="56" borderId="14" xfId="0" applyFont="1" applyFill="1" applyBorder="1" applyAlignment="1">
      <alignment horizontal="center" vertical="center" wrapText="1"/>
    </xf>
    <xf numFmtId="0" fontId="24" fillId="56" borderId="13" xfId="0" applyFont="1" applyFill="1" applyBorder="1" applyAlignment="1">
      <alignment horizontal="center" vertical="center" wrapText="1"/>
    </xf>
    <xf numFmtId="0" fontId="94" fillId="51" borderId="92" xfId="0" applyFont="1" applyFill="1" applyBorder="1" applyAlignment="1">
      <alignment horizontal="center" vertical="center" wrapText="1"/>
    </xf>
    <xf numFmtId="0" fontId="66" fillId="34" borderId="53" xfId="0" quotePrefix="1" applyFont="1" applyFill="1" applyBorder="1" applyAlignment="1" applyProtection="1">
      <alignment horizontal="center" vertical="center"/>
      <protection locked="0"/>
    </xf>
    <xf numFmtId="0" fontId="66" fillId="34" borderId="53" xfId="0" applyFont="1" applyFill="1" applyBorder="1" applyAlignment="1" applyProtection="1">
      <alignment horizontal="center" vertical="center"/>
      <protection locked="0"/>
    </xf>
    <xf numFmtId="0" fontId="26" fillId="60" borderId="0" xfId="0" applyFont="1" applyFill="1" applyAlignment="1">
      <alignment horizontal="left" vertical="top" wrapText="1"/>
    </xf>
    <xf numFmtId="0" fontId="106" fillId="33" borderId="131" xfId="0" applyFont="1" applyFill="1" applyBorder="1" applyAlignment="1">
      <alignment horizontal="center" vertical="center" wrapText="1"/>
    </xf>
    <xf numFmtId="0" fontId="106" fillId="33" borderId="132" xfId="0" applyFont="1" applyFill="1" applyBorder="1" applyAlignment="1">
      <alignment horizontal="center" vertical="center" wrapText="1"/>
    </xf>
    <xf numFmtId="0" fontId="106" fillId="33" borderId="135" xfId="0" applyFont="1" applyFill="1" applyBorder="1" applyAlignment="1">
      <alignment horizontal="center" vertical="center" wrapText="1"/>
    </xf>
    <xf numFmtId="0" fontId="106" fillId="33" borderId="0" xfId="0" applyFont="1" applyFill="1" applyBorder="1" applyAlignment="1">
      <alignment horizontal="center" vertical="center" wrapText="1"/>
    </xf>
    <xf numFmtId="0" fontId="106" fillId="33" borderId="146" xfId="0" applyFont="1" applyFill="1" applyBorder="1" applyAlignment="1">
      <alignment horizontal="center" vertical="center" wrapText="1"/>
    </xf>
    <xf numFmtId="0" fontId="106" fillId="33" borderId="147" xfId="0" applyFont="1" applyFill="1" applyBorder="1" applyAlignment="1">
      <alignment horizontal="center" vertical="center" wrapText="1"/>
    </xf>
    <xf numFmtId="0" fontId="83" fillId="56" borderId="221" xfId="0" applyFont="1" applyFill="1" applyBorder="1" applyAlignment="1">
      <alignment horizontal="center" vertical="center" wrapText="1"/>
    </xf>
    <xf numFmtId="0" fontId="94" fillId="51" borderId="53" xfId="0" applyFont="1" applyFill="1" applyBorder="1" applyAlignment="1">
      <alignment horizontal="center" vertical="center"/>
    </xf>
    <xf numFmtId="0" fontId="105" fillId="51" borderId="93" xfId="0" applyFont="1" applyFill="1" applyBorder="1" applyAlignment="1">
      <alignment horizontal="left" vertical="center" wrapText="1"/>
    </xf>
    <xf numFmtId="0" fontId="94" fillId="51" borderId="53" xfId="0" applyFont="1" applyFill="1" applyBorder="1" applyAlignment="1">
      <alignment horizontal="center" textRotation="90"/>
    </xf>
    <xf numFmtId="0" fontId="26" fillId="33" borderId="103" xfId="0" applyFont="1" applyFill="1" applyBorder="1" applyAlignment="1" applyProtection="1">
      <alignment horizontal="left"/>
    </xf>
    <xf numFmtId="0" fontId="26" fillId="0" borderId="100" xfId="0" applyFont="1" applyBorder="1" applyAlignment="1" applyProtection="1">
      <alignment horizontal="left"/>
    </xf>
    <xf numFmtId="169" fontId="35" fillId="0" borderId="14" xfId="0" applyNumberFormat="1" applyFont="1" applyBorder="1" applyAlignment="1" applyProtection="1">
      <alignment horizontal="center"/>
    </xf>
    <xf numFmtId="169" fontId="35" fillId="0" borderId="96" xfId="0" applyNumberFormat="1" applyFont="1" applyBorder="1" applyAlignment="1" applyProtection="1">
      <alignment horizontal="center"/>
    </xf>
    <xf numFmtId="0" fontId="32" fillId="60" borderId="123" xfId="0" applyFont="1" applyFill="1" applyBorder="1" applyAlignment="1" applyProtection="1">
      <alignment horizontal="left" vertical="center" wrapText="1"/>
    </xf>
    <xf numFmtId="0" fontId="32" fillId="60" borderId="124" xfId="0" applyFont="1" applyFill="1" applyBorder="1" applyAlignment="1" applyProtection="1">
      <alignment horizontal="left" vertical="center" wrapText="1"/>
    </xf>
    <xf numFmtId="0" fontId="26" fillId="33" borderId="101" xfId="0" applyFont="1" applyFill="1" applyBorder="1" applyAlignment="1" applyProtection="1">
      <alignment horizontal="left"/>
    </xf>
    <xf numFmtId="0" fontId="26" fillId="0" borderId="101" xfId="0" applyFont="1" applyBorder="1" applyAlignment="1" applyProtection="1">
      <alignment horizontal="left"/>
    </xf>
    <xf numFmtId="0" fontId="26" fillId="0" borderId="101" xfId="0" applyFont="1" applyBorder="1" applyAlignment="1" applyProtection="1">
      <alignment horizontal="left" vertical="center"/>
    </xf>
    <xf numFmtId="0" fontId="26" fillId="0" borderId="102" xfId="0" applyFont="1" applyBorder="1" applyAlignment="1" applyProtection="1">
      <alignment horizontal="left" vertical="center"/>
    </xf>
    <xf numFmtId="0" fontId="26" fillId="33" borderId="101" xfId="0" applyFont="1" applyFill="1" applyBorder="1" applyAlignment="1" applyProtection="1">
      <alignment horizontal="left" vertical="center"/>
    </xf>
    <xf numFmtId="0" fontId="26" fillId="33" borderId="102" xfId="0" applyFont="1" applyFill="1" applyBorder="1" applyAlignment="1" applyProtection="1">
      <alignment horizontal="left" vertical="center"/>
    </xf>
    <xf numFmtId="37" fontId="26" fillId="53" borderId="101" xfId="0" applyNumberFormat="1" applyFont="1" applyFill="1" applyBorder="1" applyAlignment="1" applyProtection="1">
      <alignment horizontal="center"/>
    </xf>
    <xf numFmtId="37" fontId="26" fillId="53" borderId="26" xfId="0" applyNumberFormat="1" applyFont="1" applyFill="1" applyBorder="1" applyAlignment="1" applyProtection="1">
      <alignment horizontal="center"/>
    </xf>
    <xf numFmtId="0" fontId="26" fillId="33" borderId="101" xfId="0" applyFont="1" applyFill="1" applyBorder="1" applyAlignment="1" applyProtection="1">
      <alignment horizontal="left" vertical="center" wrapText="1"/>
    </xf>
    <xf numFmtId="0" fontId="26" fillId="33" borderId="103" xfId="0" applyFont="1" applyFill="1" applyBorder="1" applyAlignment="1" applyProtection="1">
      <alignment horizontal="left" vertical="center" wrapText="1"/>
    </xf>
    <xf numFmtId="0" fontId="95" fillId="33" borderId="17" xfId="0" applyFont="1" applyFill="1" applyBorder="1" applyAlignment="1" applyProtection="1">
      <alignment horizontal="left" vertical="center"/>
    </xf>
    <xf numFmtId="0" fontId="95" fillId="33" borderId="23" xfId="0" applyFont="1" applyFill="1" applyBorder="1" applyAlignment="1" applyProtection="1">
      <alignment horizontal="left" vertical="center"/>
    </xf>
    <xf numFmtId="0" fontId="60" fillId="33" borderId="101" xfId="0" applyFont="1" applyFill="1" applyBorder="1" applyAlignment="1" applyProtection="1">
      <alignment horizontal="center" vertical="center"/>
    </xf>
    <xf numFmtId="0" fontId="60" fillId="33" borderId="103" xfId="0" applyFont="1" applyFill="1" applyBorder="1" applyAlignment="1" applyProtection="1">
      <alignment horizontal="center" vertical="center"/>
    </xf>
    <xf numFmtId="0" fontId="123" fillId="48" borderId="0" xfId="0" applyFont="1" applyFill="1" applyAlignment="1" applyProtection="1">
      <alignment horizontal="center" vertical="center"/>
    </xf>
    <xf numFmtId="0" fontId="87" fillId="38" borderId="0" xfId="0" applyFont="1" applyFill="1" applyAlignment="1" applyProtection="1">
      <alignment horizontal="left" vertical="top"/>
    </xf>
    <xf numFmtId="0" fontId="87" fillId="38" borderId="35" xfId="0" applyFont="1" applyFill="1" applyBorder="1" applyAlignment="1" applyProtection="1">
      <alignment horizontal="left" vertical="top"/>
    </xf>
    <xf numFmtId="0" fontId="87" fillId="38" borderId="0" xfId="0" applyFont="1" applyFill="1" applyAlignment="1" applyProtection="1">
      <alignment horizontal="left"/>
    </xf>
    <xf numFmtId="0" fontId="87" fillId="38" borderId="35" xfId="0" applyFont="1" applyFill="1" applyBorder="1" applyAlignment="1" applyProtection="1">
      <alignment horizontal="left"/>
    </xf>
    <xf numFmtId="0" fontId="55" fillId="60" borderId="29" xfId="0" applyFont="1" applyFill="1" applyBorder="1" applyAlignment="1" applyProtection="1">
      <alignment horizontal="left" vertical="top" wrapText="1"/>
    </xf>
    <xf numFmtId="0" fontId="55" fillId="60" borderId="30" xfId="0" applyFont="1" applyFill="1" applyBorder="1" applyAlignment="1" applyProtection="1">
      <alignment horizontal="left" vertical="top" wrapText="1"/>
    </xf>
    <xf numFmtId="0" fontId="55" fillId="60" borderId="31" xfId="0" applyFont="1" applyFill="1" applyBorder="1" applyAlignment="1" applyProtection="1">
      <alignment horizontal="left" vertical="top" wrapText="1"/>
    </xf>
    <xf numFmtId="0" fontId="55" fillId="60" borderId="0" xfId="0" applyFont="1" applyFill="1" applyBorder="1" applyAlignment="1" applyProtection="1">
      <alignment horizontal="left" vertical="top" wrapText="1"/>
    </xf>
    <xf numFmtId="0" fontId="55" fillId="60" borderId="31" xfId="0" applyFont="1" applyFill="1" applyBorder="1" applyAlignment="1" applyProtection="1">
      <alignment horizontal="left"/>
    </xf>
    <xf numFmtId="0" fontId="120" fillId="60" borderId="0" xfId="0" applyFont="1" applyFill="1" applyBorder="1" applyProtection="1"/>
    <xf numFmtId="0" fontId="61" fillId="48" borderId="0" xfId="0" applyFont="1" applyFill="1" applyAlignment="1" applyProtection="1">
      <alignment horizontal="center" vertical="center"/>
    </xf>
    <xf numFmtId="0" fontId="55" fillId="48" borderId="39" xfId="0" applyFont="1" applyFill="1" applyBorder="1" applyAlignment="1" applyProtection="1">
      <alignment horizontal="distributed"/>
    </xf>
    <xf numFmtId="0" fontId="32" fillId="48" borderId="39" xfId="0" applyFont="1" applyFill="1" applyBorder="1" applyAlignment="1" applyProtection="1">
      <alignment horizontal="distributed"/>
    </xf>
    <xf numFmtId="0" fontId="55" fillId="60" borderId="0" xfId="0" applyFont="1" applyFill="1" applyBorder="1" applyAlignment="1" applyProtection="1">
      <alignment horizontal="left"/>
    </xf>
    <xf numFmtId="0" fontId="55" fillId="60" borderId="32" xfId="0" applyFont="1" applyFill="1" applyBorder="1" applyAlignment="1" applyProtection="1">
      <alignment horizontal="left"/>
    </xf>
    <xf numFmtId="0" fontId="55" fillId="60" borderId="33" xfId="0" applyFont="1" applyFill="1" applyBorder="1" applyAlignment="1" applyProtection="1">
      <alignment horizontal="left"/>
    </xf>
    <xf numFmtId="0" fontId="55" fillId="60" borderId="29" xfId="0" applyFont="1" applyFill="1" applyBorder="1" applyAlignment="1" applyProtection="1">
      <alignment horizontal="left"/>
    </xf>
    <xf numFmtId="0" fontId="55" fillId="60" borderId="30" xfId="0" applyFont="1" applyFill="1" applyBorder="1" applyAlignment="1" applyProtection="1">
      <alignment horizontal="left"/>
    </xf>
    <xf numFmtId="0" fontId="34" fillId="60" borderId="29" xfId="0" applyFont="1" applyFill="1" applyBorder="1" applyAlignment="1" applyProtection="1">
      <alignment horizontal="left"/>
    </xf>
    <xf numFmtId="0" fontId="34" fillId="60" borderId="30" xfId="0" applyFont="1" applyFill="1" applyBorder="1" applyAlignment="1" applyProtection="1">
      <alignment horizontal="left"/>
    </xf>
    <xf numFmtId="0" fontId="55" fillId="60" borderId="237" xfId="0" applyFont="1" applyFill="1" applyBorder="1" applyAlignment="1" applyProtection="1">
      <alignment horizontal="left"/>
    </xf>
    <xf numFmtId="0" fontId="55" fillId="60" borderId="235" xfId="0" applyFont="1" applyFill="1" applyBorder="1" applyAlignment="1" applyProtection="1">
      <alignment horizontal="left"/>
    </xf>
    <xf numFmtId="0" fontId="28" fillId="34" borderId="0" xfId="0" applyFont="1" applyFill="1" applyBorder="1" applyAlignment="1" applyProtection="1">
      <alignment horizontal="left"/>
    </xf>
    <xf numFmtId="0" fontId="28" fillId="34" borderId="35" xfId="0" applyFont="1" applyFill="1" applyBorder="1" applyAlignment="1" applyProtection="1">
      <alignment horizontal="left"/>
    </xf>
    <xf numFmtId="0" fontId="32" fillId="36" borderId="32" xfId="0" applyFont="1" applyFill="1" applyBorder="1" applyAlignment="1" applyProtection="1">
      <alignment horizontal="left"/>
    </xf>
    <xf numFmtId="0" fontId="32" fillId="36" borderId="33" xfId="0" applyFont="1" applyFill="1" applyBorder="1" applyAlignment="1" applyProtection="1">
      <alignment horizontal="left"/>
    </xf>
    <xf numFmtId="0" fontId="32" fillId="36" borderId="29" xfId="0" applyFont="1" applyFill="1" applyBorder="1" applyAlignment="1" applyProtection="1">
      <alignment horizontal="left"/>
    </xf>
    <xf numFmtId="0" fontId="32" fillId="36" borderId="30" xfId="0" applyFont="1" applyFill="1" applyBorder="1" applyAlignment="1" applyProtection="1">
      <alignment horizontal="left"/>
    </xf>
    <xf numFmtId="0" fontId="32" fillId="36" borderId="31" xfId="0" applyFont="1" applyFill="1" applyBorder="1" applyAlignment="1" applyProtection="1">
      <alignment horizontal="left"/>
    </xf>
    <xf numFmtId="0" fontId="32" fillId="36" borderId="0" xfId="0" applyFont="1" applyFill="1" applyBorder="1" applyAlignment="1" applyProtection="1">
      <alignment horizontal="left"/>
    </xf>
    <xf numFmtId="164" fontId="32" fillId="36" borderId="32" xfId="0" applyNumberFormat="1" applyFont="1" applyFill="1" applyBorder="1" applyAlignment="1" applyProtection="1">
      <alignment horizontal="center"/>
    </xf>
    <xf numFmtId="164" fontId="32" fillId="36" borderId="33" xfId="0" applyNumberFormat="1" applyFont="1" applyFill="1" applyBorder="1" applyAlignment="1" applyProtection="1">
      <alignment horizontal="center"/>
    </xf>
    <xf numFmtId="164" fontId="32" fillId="36" borderId="36" xfId="0" applyNumberFormat="1" applyFont="1" applyFill="1" applyBorder="1" applyAlignment="1" applyProtection="1">
      <alignment horizontal="center"/>
    </xf>
    <xf numFmtId="0" fontId="32" fillId="36" borderId="28" xfId="0" applyFont="1" applyFill="1" applyBorder="1" applyAlignment="1" applyProtection="1">
      <alignment horizontal="center"/>
    </xf>
    <xf numFmtId="0" fontId="32" fillId="36" borderId="38" xfId="0" applyFont="1" applyFill="1" applyBorder="1" applyAlignment="1" applyProtection="1">
      <alignment horizontal="center"/>
    </xf>
    <xf numFmtId="0" fontId="55" fillId="56" borderId="58" xfId="0" applyFont="1" applyFill="1" applyBorder="1" applyAlignment="1" applyProtection="1">
      <alignment horizontal="center"/>
    </xf>
    <xf numFmtId="0" fontId="55" fillId="56" borderId="59" xfId="0" applyFont="1" applyFill="1" applyBorder="1" applyAlignment="1" applyProtection="1">
      <alignment horizontal="center"/>
    </xf>
    <xf numFmtId="0" fontId="55" fillId="56" borderId="60" xfId="0" applyFont="1" applyFill="1" applyBorder="1" applyAlignment="1" applyProtection="1">
      <alignment horizontal="center"/>
    </xf>
    <xf numFmtId="0" fontId="129" fillId="36" borderId="240" xfId="0" applyFont="1" applyFill="1" applyBorder="1" applyAlignment="1" applyProtection="1">
      <alignment horizontal="left" vertical="top" wrapText="1"/>
    </xf>
    <xf numFmtId="0" fontId="129" fillId="36" borderId="241" xfId="0" applyFont="1" applyFill="1" applyBorder="1" applyAlignment="1" applyProtection="1">
      <alignment horizontal="left" vertical="top" wrapText="1"/>
    </xf>
    <xf numFmtId="0" fontId="129" fillId="36" borderId="242" xfId="0" applyFont="1" applyFill="1" applyBorder="1" applyAlignment="1" applyProtection="1">
      <alignment horizontal="left" vertical="top" wrapText="1"/>
    </xf>
    <xf numFmtId="0" fontId="129" fillId="36" borderId="243" xfId="0" applyFont="1" applyFill="1" applyBorder="1" applyAlignment="1" applyProtection="1">
      <alignment horizontal="left" vertical="top" wrapText="1"/>
    </xf>
    <xf numFmtId="0" fontId="129" fillId="36" borderId="0" xfId="0" applyFont="1" applyFill="1" applyBorder="1" applyAlignment="1" applyProtection="1">
      <alignment horizontal="left" vertical="top" wrapText="1"/>
    </xf>
    <xf numFmtId="0" fontId="129" fillId="36" borderId="244" xfId="0" applyFont="1" applyFill="1" applyBorder="1" applyAlignment="1" applyProtection="1">
      <alignment horizontal="left" vertical="top" wrapText="1"/>
    </xf>
    <xf numFmtId="0" fontId="77" fillId="36" borderId="251" xfId="0" applyFont="1" applyFill="1" applyBorder="1" applyAlignment="1" applyProtection="1">
      <alignment horizontal="left" wrapText="1"/>
    </xf>
    <xf numFmtId="0" fontId="77" fillId="36" borderId="252" xfId="0" applyFont="1" applyFill="1" applyBorder="1" applyAlignment="1" applyProtection="1">
      <alignment horizontal="left" wrapText="1"/>
    </xf>
    <xf numFmtId="0" fontId="77" fillId="36" borderId="253" xfId="0" applyFont="1" applyFill="1" applyBorder="1" applyAlignment="1" applyProtection="1">
      <alignment horizontal="left" wrapText="1"/>
    </xf>
    <xf numFmtId="0" fontId="124" fillId="36" borderId="258" xfId="0" applyFont="1" applyFill="1" applyBorder="1" applyAlignment="1" applyProtection="1">
      <alignment horizontal="center"/>
    </xf>
    <xf numFmtId="0" fontId="124" fillId="36" borderId="39" xfId="0" applyFont="1" applyFill="1" applyBorder="1" applyAlignment="1" applyProtection="1">
      <alignment horizontal="center"/>
    </xf>
    <xf numFmtId="0" fontId="124" fillId="36" borderId="37" xfId="0" applyFont="1" applyFill="1" applyBorder="1" applyAlignment="1" applyProtection="1">
      <alignment horizontal="center"/>
    </xf>
    <xf numFmtId="0" fontId="34" fillId="60" borderId="38" xfId="0" applyFont="1" applyFill="1" applyBorder="1" applyAlignment="1" applyProtection="1">
      <alignment horizontal="center"/>
    </xf>
    <xf numFmtId="0" fontId="34" fillId="60" borderId="37" xfId="0" applyFont="1" applyFill="1" applyBorder="1" applyAlignment="1" applyProtection="1">
      <alignment horizontal="center"/>
    </xf>
    <xf numFmtId="0" fontId="0" fillId="0" borderId="0" xfId="0" applyBorder="1" applyProtection="1"/>
    <xf numFmtId="0" fontId="32" fillId="36" borderId="35" xfId="0" applyFont="1" applyFill="1" applyBorder="1" applyAlignment="1" applyProtection="1">
      <alignment horizontal="left"/>
    </xf>
    <xf numFmtId="0" fontId="0" fillId="0" borderId="0" xfId="0" applyProtection="1"/>
    <xf numFmtId="0" fontId="55" fillId="60" borderId="29" xfId="0" applyFont="1" applyFill="1" applyBorder="1" applyAlignment="1" applyProtection="1">
      <alignment horizontal="center"/>
    </xf>
    <xf numFmtId="0" fontId="55" fillId="60" borderId="30" xfId="0" applyFont="1" applyFill="1" applyBorder="1" applyAlignment="1" applyProtection="1">
      <alignment horizontal="center"/>
    </xf>
    <xf numFmtId="0" fontId="55" fillId="60" borderId="34" xfId="0" applyFont="1" applyFill="1" applyBorder="1" applyAlignment="1" applyProtection="1">
      <alignment horizontal="center"/>
    </xf>
    <xf numFmtId="0" fontId="55" fillId="60" borderId="40" xfId="0" applyFont="1" applyFill="1" applyBorder="1" applyAlignment="1" applyProtection="1">
      <alignment horizontal="center"/>
    </xf>
    <xf numFmtId="0" fontId="55" fillId="60" borderId="41" xfId="0" applyFont="1" applyFill="1" applyBorder="1" applyAlignment="1" applyProtection="1">
      <alignment horizontal="center"/>
    </xf>
    <xf numFmtId="0" fontId="55" fillId="60" borderId="42" xfId="0" applyFont="1" applyFill="1" applyBorder="1" applyAlignment="1" applyProtection="1">
      <alignment horizontal="center"/>
    </xf>
    <xf numFmtId="0" fontId="55" fillId="60" borderId="0" xfId="0" applyFont="1" applyFill="1" applyBorder="1" applyAlignment="1" applyProtection="1">
      <alignment horizontal="center" vertical="center"/>
    </xf>
    <xf numFmtId="0" fontId="55" fillId="60" borderId="33" xfId="0" applyFont="1" applyFill="1" applyBorder="1" applyAlignment="1" applyProtection="1">
      <alignment horizontal="center" vertical="center"/>
    </xf>
    <xf numFmtId="164" fontId="55" fillId="60" borderId="32" xfId="0" applyNumberFormat="1" applyFont="1" applyFill="1" applyBorder="1" applyAlignment="1" applyProtection="1">
      <alignment horizontal="center"/>
    </xf>
    <xf numFmtId="164" fontId="55" fillId="60" borderId="33" xfId="0" applyNumberFormat="1" applyFont="1" applyFill="1" applyBorder="1" applyAlignment="1" applyProtection="1">
      <alignment horizontal="center"/>
    </xf>
    <xf numFmtId="164" fontId="55" fillId="60" borderId="36" xfId="0" applyNumberFormat="1" applyFont="1" applyFill="1" applyBorder="1" applyAlignment="1" applyProtection="1">
      <alignment horizontal="center"/>
    </xf>
    <xf numFmtId="0" fontId="61" fillId="48" borderId="0" xfId="0" applyFont="1" applyFill="1" applyBorder="1" applyAlignment="1" applyProtection="1">
      <alignment horizontal="center" vertical="center"/>
    </xf>
    <xf numFmtId="0" fontId="61" fillId="48" borderId="33" xfId="0" applyFont="1" applyFill="1" applyBorder="1" applyAlignment="1" applyProtection="1">
      <alignment horizontal="center" vertical="center"/>
    </xf>
    <xf numFmtId="0" fontId="54" fillId="48" borderId="0" xfId="0" applyFont="1" applyFill="1" applyBorder="1" applyAlignment="1" applyProtection="1">
      <alignment horizontal="center" vertical="center"/>
    </xf>
    <xf numFmtId="0" fontId="54" fillId="48" borderId="33" xfId="0" applyFont="1" applyFill="1" applyBorder="1" applyAlignment="1" applyProtection="1">
      <alignment horizontal="center" vertical="center"/>
    </xf>
    <xf numFmtId="0" fontId="62" fillId="36" borderId="38" xfId="0" applyFont="1" applyFill="1" applyBorder="1" applyAlignment="1" applyProtection="1">
      <alignment horizontal="left"/>
    </xf>
    <xf numFmtId="0" fontId="62" fillId="36" borderId="39" xfId="0" applyFont="1" applyFill="1" applyBorder="1" applyAlignment="1" applyProtection="1">
      <alignment horizontal="left"/>
    </xf>
    <xf numFmtId="0" fontId="62" fillId="36" borderId="29" xfId="0" applyFont="1" applyFill="1" applyBorder="1" applyAlignment="1" applyProtection="1">
      <alignment horizontal="left" vertical="top" wrapText="1"/>
    </xf>
    <xf numFmtId="0" fontId="62" fillId="36" borderId="30" xfId="0" applyFont="1" applyFill="1" applyBorder="1" applyAlignment="1" applyProtection="1">
      <alignment horizontal="left" vertical="top" wrapText="1"/>
    </xf>
    <xf numFmtId="0" fontId="62" fillId="36" borderId="31" xfId="0" applyFont="1" applyFill="1" applyBorder="1" applyAlignment="1" applyProtection="1">
      <alignment horizontal="left" vertical="top" wrapText="1"/>
    </xf>
    <xf numFmtId="0" fontId="62" fillId="36" borderId="0" xfId="0" applyFont="1" applyFill="1" applyBorder="1" applyAlignment="1" applyProtection="1">
      <alignment horizontal="left" vertical="top" wrapText="1"/>
    </xf>
    <xf numFmtId="0" fontId="32" fillId="36" borderId="29" xfId="0" applyFont="1" applyFill="1" applyBorder="1" applyAlignment="1" applyProtection="1">
      <alignment horizontal="center"/>
    </xf>
    <xf numFmtId="0" fontId="32" fillId="36" borderId="30" xfId="0" applyFont="1" applyFill="1" applyBorder="1" applyAlignment="1" applyProtection="1">
      <alignment horizontal="center"/>
    </xf>
    <xf numFmtId="0" fontId="32" fillId="36" borderId="34" xfId="0" applyFont="1" applyFill="1" applyBorder="1" applyAlignment="1" applyProtection="1">
      <alignment horizontal="center"/>
    </xf>
    <xf numFmtId="0" fontId="32" fillId="36" borderId="40" xfId="0" applyFont="1" applyFill="1" applyBorder="1" applyAlignment="1" applyProtection="1">
      <alignment horizontal="center"/>
    </xf>
    <xf numFmtId="0" fontId="32" fillId="36" borderId="41" xfId="0" applyFont="1" applyFill="1" applyBorder="1" applyAlignment="1" applyProtection="1">
      <alignment horizontal="center"/>
    </xf>
    <xf numFmtId="0" fontId="32" fillId="36" borderId="42" xfId="0" applyFont="1" applyFill="1" applyBorder="1" applyAlignment="1" applyProtection="1">
      <alignment horizontal="center"/>
    </xf>
    <xf numFmtId="0" fontId="62" fillId="36" borderId="0" xfId="0" applyFont="1" applyFill="1" applyBorder="1" applyAlignment="1" applyProtection="1">
      <alignment horizontal="center" vertical="center"/>
    </xf>
    <xf numFmtId="0" fontId="62" fillId="36" borderId="33" xfId="0" applyFont="1" applyFill="1" applyBorder="1" applyAlignment="1" applyProtection="1">
      <alignment horizontal="center" vertical="center"/>
    </xf>
    <xf numFmtId="0" fontId="32" fillId="36" borderId="38" xfId="0" applyFont="1" applyFill="1" applyBorder="1" applyAlignment="1">
      <alignment horizontal="left"/>
    </xf>
    <xf numFmtId="0" fontId="32" fillId="36" borderId="39" xfId="0" applyFont="1" applyFill="1" applyBorder="1" applyAlignment="1">
      <alignment horizontal="left"/>
    </xf>
    <xf numFmtId="164" fontId="34" fillId="42" borderId="0" xfId="0" applyNumberFormat="1" applyFont="1" applyFill="1" applyAlignment="1">
      <alignment horizontal="left" vertical="top" wrapText="1"/>
    </xf>
    <xf numFmtId="0" fontId="77" fillId="36" borderId="31" xfId="0" applyFont="1" applyFill="1" applyBorder="1" applyAlignment="1">
      <alignment horizontal="center"/>
    </xf>
    <xf numFmtId="0" fontId="77" fillId="36" borderId="0" xfId="0" applyFont="1" applyFill="1" applyBorder="1" applyAlignment="1">
      <alignment horizontal="center"/>
    </xf>
    <xf numFmtId="0" fontId="77" fillId="36" borderId="35" xfId="0" applyFont="1" applyFill="1" applyBorder="1" applyAlignment="1">
      <alignment horizontal="center"/>
    </xf>
    <xf numFmtId="0" fontId="91" fillId="36" borderId="29" xfId="0" applyFont="1" applyFill="1" applyBorder="1" applyAlignment="1">
      <alignment horizontal="left" vertical="top" wrapText="1"/>
    </xf>
    <xf numFmtId="0" fontId="92" fillId="36" borderId="30" xfId="0" applyFont="1" applyFill="1" applyBorder="1" applyAlignment="1">
      <alignment horizontal="left" vertical="top" wrapText="1"/>
    </xf>
    <xf numFmtId="0" fontId="92" fillId="36" borderId="34" xfId="0" applyFont="1" applyFill="1" applyBorder="1" applyAlignment="1">
      <alignment horizontal="left" vertical="top" wrapText="1"/>
    </xf>
    <xf numFmtId="0" fontId="92" fillId="36" borderId="31" xfId="0" applyFont="1" applyFill="1" applyBorder="1" applyAlignment="1">
      <alignment horizontal="left" vertical="top" wrapText="1"/>
    </xf>
    <xf numFmtId="0" fontId="92" fillId="36" borderId="0" xfId="0" applyFont="1" applyFill="1" applyBorder="1" applyAlignment="1">
      <alignment horizontal="left" vertical="top" wrapText="1"/>
    </xf>
    <xf numFmtId="0" fontId="92" fillId="36" borderId="35" xfId="0" applyFont="1" applyFill="1" applyBorder="1" applyAlignment="1">
      <alignment horizontal="left" vertical="top" wrapText="1"/>
    </xf>
    <xf numFmtId="0" fontId="92" fillId="36" borderId="56" xfId="0" applyFont="1" applyFill="1" applyBorder="1" applyAlignment="1">
      <alignment horizontal="left" vertical="top" wrapText="1"/>
    </xf>
    <xf numFmtId="0" fontId="92" fillId="36" borderId="55" xfId="0" applyFont="1" applyFill="1" applyBorder="1" applyAlignment="1">
      <alignment horizontal="left" vertical="top" wrapText="1"/>
    </xf>
    <xf numFmtId="0" fontId="92" fillId="36" borderId="54" xfId="0" applyFont="1" applyFill="1" applyBorder="1" applyAlignment="1">
      <alignment horizontal="left" vertical="top" wrapText="1"/>
    </xf>
    <xf numFmtId="0" fontId="122" fillId="60" borderId="240" xfId="0" applyFont="1" applyFill="1" applyBorder="1" applyAlignment="1">
      <alignment horizontal="left" vertical="top" wrapText="1"/>
    </xf>
    <xf numFmtId="0" fontId="122" fillId="60" borderId="241" xfId="0" applyFont="1" applyFill="1" applyBorder="1" applyAlignment="1">
      <alignment horizontal="left" vertical="top" wrapText="1"/>
    </xf>
    <xf numFmtId="0" fontId="122" fillId="60" borderId="242" xfId="0" applyFont="1" applyFill="1" applyBorder="1" applyAlignment="1">
      <alignment horizontal="left" vertical="top" wrapText="1"/>
    </xf>
    <xf numFmtId="0" fontId="122" fillId="60" borderId="243" xfId="0" applyFont="1" applyFill="1" applyBorder="1" applyAlignment="1">
      <alignment horizontal="left" vertical="top" wrapText="1"/>
    </xf>
    <xf numFmtId="0" fontId="122" fillId="60" borderId="0" xfId="0" applyFont="1" applyFill="1" applyBorder="1" applyAlignment="1">
      <alignment horizontal="left" vertical="top" wrapText="1"/>
    </xf>
    <xf numFmtId="0" fontId="122" fillId="60" borderId="244" xfId="0" applyFont="1" applyFill="1" applyBorder="1" applyAlignment="1">
      <alignment horizontal="left" vertical="top" wrapText="1"/>
    </xf>
    <xf numFmtId="0" fontId="55" fillId="60" borderId="240" xfId="0" applyFont="1" applyFill="1" applyBorder="1" applyAlignment="1">
      <alignment horizontal="left"/>
    </xf>
    <xf numFmtId="0" fontId="55" fillId="60" borderId="241" xfId="0" applyFont="1" applyFill="1" applyBorder="1" applyAlignment="1">
      <alignment horizontal="left"/>
    </xf>
    <xf numFmtId="0" fontId="127" fillId="60" borderId="243" xfId="0" applyFont="1" applyFill="1" applyBorder="1" applyAlignment="1">
      <alignment horizontal="center"/>
    </xf>
    <xf numFmtId="0" fontId="127" fillId="60" borderId="0" xfId="0" applyFont="1" applyFill="1" applyBorder="1" applyAlignment="1">
      <alignment horizontal="center"/>
    </xf>
    <xf numFmtId="0" fontId="127" fillId="60" borderId="244" xfId="0" applyFont="1" applyFill="1" applyBorder="1" applyAlignment="1">
      <alignment horizontal="center"/>
    </xf>
    <xf numFmtId="0" fontId="133" fillId="60" borderId="240" xfId="0" applyFont="1" applyFill="1" applyBorder="1" applyAlignment="1">
      <alignment horizontal="center" vertical="center"/>
    </xf>
    <xf numFmtId="0" fontId="133" fillId="60" borderId="241" xfId="0" applyFont="1" applyFill="1" applyBorder="1" applyAlignment="1">
      <alignment horizontal="center" vertical="center"/>
    </xf>
    <xf numFmtId="0" fontId="133" fillId="60" borderId="242" xfId="0" applyFont="1" applyFill="1" applyBorder="1" applyAlignment="1">
      <alignment horizontal="center" vertical="center"/>
    </xf>
    <xf numFmtId="0" fontId="133" fillId="60" borderId="245" xfId="0" applyFont="1" applyFill="1" applyBorder="1" applyAlignment="1">
      <alignment horizontal="center" vertical="center"/>
    </xf>
    <xf numFmtId="0" fontId="133" fillId="60" borderId="246" xfId="0" applyFont="1" applyFill="1" applyBorder="1" applyAlignment="1">
      <alignment horizontal="center" vertical="center"/>
    </xf>
    <xf numFmtId="0" fontId="133" fillId="60" borderId="247" xfId="0" applyFont="1" applyFill="1" applyBorder="1" applyAlignment="1">
      <alignment horizontal="center" vertical="center"/>
    </xf>
    <xf numFmtId="0" fontId="134" fillId="60" borderId="240" xfId="0" applyFont="1" applyFill="1" applyBorder="1" applyAlignment="1">
      <alignment horizontal="center" vertical="center"/>
    </xf>
    <xf numFmtId="0" fontId="134" fillId="60" borderId="241" xfId="0" applyFont="1" applyFill="1" applyBorder="1" applyAlignment="1">
      <alignment horizontal="center" vertical="center"/>
    </xf>
    <xf numFmtId="0" fontId="134" fillId="60" borderId="242" xfId="0" applyFont="1" applyFill="1" applyBorder="1" applyAlignment="1">
      <alignment horizontal="center" vertical="center"/>
    </xf>
    <xf numFmtId="0" fontId="134" fillId="60" borderId="245" xfId="0" applyFont="1" applyFill="1" applyBorder="1" applyAlignment="1">
      <alignment horizontal="center" vertical="center"/>
    </xf>
    <xf numFmtId="0" fontId="134" fillId="60" borderId="246" xfId="0" applyFont="1" applyFill="1" applyBorder="1" applyAlignment="1">
      <alignment horizontal="center" vertical="center"/>
    </xf>
    <xf numFmtId="0" fontId="134" fillId="60" borderId="247" xfId="0" applyFont="1" applyFill="1" applyBorder="1" applyAlignment="1">
      <alignment horizontal="center" vertical="center"/>
    </xf>
    <xf numFmtId="164" fontId="57" fillId="36" borderId="0" xfId="0" applyNumberFormat="1" applyFont="1" applyFill="1" applyAlignment="1">
      <alignment horizontal="left" vertical="top" wrapText="1"/>
    </xf>
    <xf numFmtId="164" fontId="30" fillId="33" borderId="0" xfId="0" applyNumberFormat="1" applyFont="1" applyFill="1" applyAlignment="1">
      <alignment horizontal="left"/>
    </xf>
    <xf numFmtId="0" fontId="47" fillId="36" borderId="0" xfId="0" applyFont="1" applyFill="1" applyAlignment="1">
      <alignment horizontal="center"/>
    </xf>
    <xf numFmtId="164" fontId="47" fillId="36" borderId="0" xfId="0" applyNumberFormat="1" applyFont="1" applyFill="1" applyAlignment="1">
      <alignment horizontal="center"/>
    </xf>
    <xf numFmtId="164" fontId="57" fillId="36" borderId="0" xfId="0" applyNumberFormat="1" applyFont="1" applyFill="1" applyAlignment="1">
      <alignment horizontal="center"/>
    </xf>
    <xf numFmtId="0" fontId="0" fillId="70" borderId="15" xfId="0" applyFill="1" applyBorder="1" applyAlignment="1">
      <alignment horizontal="center" wrapText="1"/>
    </xf>
    <xf numFmtId="0" fontId="0" fillId="70" borderId="263" xfId="0" applyFill="1" applyBorder="1" applyAlignment="1">
      <alignment horizontal="center" wrapText="1"/>
    </xf>
    <xf numFmtId="0" fontId="141" fillId="60" borderId="23" xfId="0" applyFont="1" applyFill="1" applyBorder="1" applyAlignment="1">
      <alignment horizontal="center"/>
    </xf>
    <xf numFmtId="0" fontId="141" fillId="59" borderId="17" xfId="0" applyFont="1" applyFill="1" applyBorder="1" applyAlignment="1">
      <alignment horizontal="center"/>
    </xf>
    <xf numFmtId="0" fontId="141" fillId="59" borderId="23" xfId="0" applyFont="1" applyFill="1" applyBorder="1" applyAlignment="1">
      <alignment horizontal="center"/>
    </xf>
    <xf numFmtId="0" fontId="0" fillId="37" borderId="22" xfId="0" applyFill="1" applyBorder="1" applyAlignment="1">
      <alignment horizontal="center"/>
    </xf>
    <xf numFmtId="0" fontId="0" fillId="37" borderId="16" xfId="0" applyFill="1" applyBorder="1" applyAlignment="1">
      <alignment horizontal="center"/>
    </xf>
    <xf numFmtId="0" fontId="0" fillId="53" borderId="17" xfId="0" applyFill="1" applyBorder="1" applyAlignment="1">
      <alignment horizontal="center"/>
    </xf>
    <xf numFmtId="0" fontId="0" fillId="53" borderId="23" xfId="0" applyFill="1" applyBorder="1" applyAlignment="1">
      <alignment horizontal="center"/>
    </xf>
    <xf numFmtId="0" fontId="0" fillId="60" borderId="10" xfId="0" applyFill="1" applyBorder="1" applyAlignment="1">
      <alignment horizontal="center" wrapText="1"/>
    </xf>
    <xf numFmtId="0" fontId="0" fillId="60" borderId="20" xfId="0" applyFill="1" applyBorder="1" applyAlignment="1">
      <alignment horizontal="center" wrapText="1"/>
    </xf>
    <xf numFmtId="0" fontId="0" fillId="60" borderId="17" xfId="0" applyFill="1" applyBorder="1" applyAlignment="1">
      <alignment horizontal="center" wrapText="1"/>
    </xf>
    <xf numFmtId="0" fontId="0" fillId="59" borderId="10" xfId="0" applyFill="1" applyBorder="1" applyAlignment="1">
      <alignment horizontal="center" wrapText="1"/>
    </xf>
    <xf numFmtId="0" fontId="0" fillId="59" borderId="20" xfId="0" applyFill="1" applyBorder="1" applyAlignment="1">
      <alignment horizontal="center" wrapText="1"/>
    </xf>
    <xf numFmtId="0" fontId="0" fillId="59" borderId="17" xfId="0" applyFill="1" applyBorder="1" applyAlignment="1">
      <alignment horizontal="center" wrapText="1"/>
    </xf>
    <xf numFmtId="0" fontId="0" fillId="60" borderId="266" xfId="0" applyFill="1" applyBorder="1" applyAlignment="1">
      <alignment horizontal="center" wrapText="1"/>
    </xf>
    <xf numFmtId="0" fontId="0" fillId="60" borderId="267" xfId="0" applyFill="1" applyBorder="1" applyAlignment="1">
      <alignment horizontal="center" wrapText="1"/>
    </xf>
    <xf numFmtId="0" fontId="141" fillId="59" borderId="265" xfId="0" applyFont="1" applyFill="1" applyBorder="1" applyAlignment="1">
      <alignment horizontal="center" wrapText="1"/>
    </xf>
    <xf numFmtId="0" fontId="141" fillId="59" borderId="266" xfId="0" applyFont="1" applyFill="1" applyBorder="1" applyAlignment="1">
      <alignment horizontal="center" wrapText="1"/>
    </xf>
    <xf numFmtId="0" fontId="61" fillId="50" borderId="33" xfId="0" applyFont="1" applyFill="1" applyBorder="1" applyAlignment="1">
      <alignment horizontal="center" vertical="center"/>
    </xf>
    <xf numFmtId="0" fontId="55" fillId="60" borderId="32" xfId="0" applyFont="1" applyFill="1" applyBorder="1" applyAlignment="1">
      <alignment horizontal="left"/>
    </xf>
    <xf numFmtId="0" fontId="55" fillId="60" borderId="36" xfId="0" applyFont="1" applyFill="1" applyBorder="1" applyAlignment="1">
      <alignment horizontal="left"/>
    </xf>
    <xf numFmtId="164" fontId="55" fillId="50" borderId="30" xfId="0" applyNumberFormat="1" applyFont="1" applyFill="1" applyBorder="1" applyAlignment="1">
      <alignment horizontal="center"/>
    </xf>
    <xf numFmtId="0" fontId="55" fillId="60" borderId="31" xfId="0" applyFont="1" applyFill="1" applyBorder="1" applyAlignment="1">
      <alignment horizontal="left"/>
    </xf>
    <xf numFmtId="0" fontId="55" fillId="60" borderId="35" xfId="0" applyFont="1" applyFill="1" applyBorder="1" applyAlignment="1">
      <alignment horizontal="left"/>
    </xf>
    <xf numFmtId="0" fontId="55" fillId="60" borderId="0" xfId="0" applyFont="1" applyFill="1" applyBorder="1" applyAlignment="1">
      <alignment horizontal="left"/>
    </xf>
    <xf numFmtId="0" fontId="55" fillId="60" borderId="34" xfId="0" applyFont="1" applyFill="1" applyBorder="1" applyAlignment="1">
      <alignment horizontal="left"/>
    </xf>
    <xf numFmtId="0" fontId="55" fillId="60" borderId="33" xfId="0" applyFont="1" applyFill="1" applyBorder="1" applyAlignment="1">
      <alignment horizontal="left"/>
    </xf>
    <xf numFmtId="0" fontId="120" fillId="60" borderId="0" xfId="0" applyFont="1" applyFill="1" applyBorder="1"/>
    <xf numFmtId="0" fontId="32" fillId="36" borderId="0" xfId="0" applyFont="1" applyFill="1" applyBorder="1" applyAlignment="1">
      <alignment horizontal="left"/>
    </xf>
    <xf numFmtId="0" fontId="32" fillId="36" borderId="35" xfId="0" applyFont="1" applyFill="1" applyBorder="1" applyAlignment="1">
      <alignment horizontal="left"/>
    </xf>
    <xf numFmtId="0" fontId="32" fillId="36" borderId="31" xfId="0" applyFont="1" applyFill="1" applyBorder="1" applyAlignment="1">
      <alignment horizontal="left"/>
    </xf>
    <xf numFmtId="0" fontId="0" fillId="0" borderId="0" xfId="0"/>
    <xf numFmtId="0" fontId="28" fillId="35" borderId="0" xfId="0" applyFont="1" applyFill="1" applyBorder="1" applyAlignment="1">
      <alignment horizontal="left"/>
    </xf>
    <xf numFmtId="0" fontId="28" fillId="35" borderId="35" xfId="0" applyFont="1" applyFill="1" applyBorder="1" applyAlignment="1">
      <alignment horizontal="left"/>
    </xf>
    <xf numFmtId="0" fontId="32" fillId="36" borderId="32" xfId="0" applyFont="1" applyFill="1" applyBorder="1" applyAlignment="1">
      <alignment horizontal="left"/>
    </xf>
    <xf numFmtId="0" fontId="32" fillId="36" borderId="33" xfId="0" applyFont="1" applyFill="1" applyBorder="1" applyAlignment="1">
      <alignment horizontal="left"/>
    </xf>
    <xf numFmtId="0" fontId="32" fillId="36" borderId="38" xfId="0" applyFont="1" applyFill="1" applyBorder="1" applyAlignment="1">
      <alignment horizontal="center"/>
    </xf>
    <xf numFmtId="0" fontId="32" fillId="36" borderId="39" xfId="0" applyFont="1" applyFill="1" applyBorder="1" applyAlignment="1">
      <alignment horizontal="center"/>
    </xf>
    <xf numFmtId="0" fontId="32" fillId="36" borderId="37" xfId="0" applyFont="1" applyFill="1" applyBorder="1" applyAlignment="1">
      <alignment horizontal="center"/>
    </xf>
    <xf numFmtId="0" fontId="32" fillId="36" borderId="29" xfId="0" applyFont="1" applyFill="1" applyBorder="1" applyAlignment="1">
      <alignment horizontal="left"/>
    </xf>
    <xf numFmtId="0" fontId="32" fillId="36" borderId="30" xfId="0" applyFont="1" applyFill="1" applyBorder="1" applyAlignment="1">
      <alignment horizontal="left"/>
    </xf>
    <xf numFmtId="0" fontId="28" fillId="36" borderId="0" xfId="0" applyFont="1" applyFill="1" applyBorder="1" applyAlignment="1">
      <alignment horizontal="left"/>
    </xf>
    <xf numFmtId="0" fontId="28" fillId="36" borderId="35" xfId="0" applyFont="1" applyFill="1" applyBorder="1" applyAlignment="1">
      <alignment horizontal="left"/>
    </xf>
    <xf numFmtId="0" fontId="55" fillId="56" borderId="58" xfId="0" applyFont="1" applyFill="1" applyBorder="1" applyAlignment="1">
      <alignment horizontal="center"/>
    </xf>
    <xf numFmtId="0" fontId="55" fillId="56" borderId="59" xfId="0" applyFont="1" applyFill="1" applyBorder="1" applyAlignment="1">
      <alignment horizontal="center"/>
    </xf>
    <xf numFmtId="164" fontId="55" fillId="50" borderId="33" xfId="0" applyNumberFormat="1" applyFont="1" applyFill="1" applyBorder="1" applyAlignment="1">
      <alignment horizontal="center"/>
    </xf>
    <xf numFmtId="0" fontId="123" fillId="50" borderId="0" xfId="0" applyFont="1" applyFill="1" applyAlignment="1">
      <alignment horizontal="center" vertical="center"/>
    </xf>
    <xf numFmtId="0" fontId="87" fillId="38" borderId="0" xfId="0" applyFont="1" applyFill="1" applyAlignment="1">
      <alignment horizontal="left"/>
    </xf>
    <xf numFmtId="0" fontId="87" fillId="38" borderId="35" xfId="0" applyFont="1" applyFill="1" applyBorder="1" applyAlignment="1">
      <alignment horizontal="left"/>
    </xf>
    <xf numFmtId="0" fontId="87" fillId="38" borderId="0" xfId="0" applyFont="1" applyFill="1" applyAlignment="1">
      <alignment horizontal="left" wrapText="1"/>
    </xf>
    <xf numFmtId="0" fontId="87" fillId="38" borderId="35" xfId="0" applyFont="1" applyFill="1" applyBorder="1" applyAlignment="1">
      <alignment horizontal="left" wrapText="1"/>
    </xf>
    <xf numFmtId="0" fontId="87" fillId="50" borderId="0" xfId="0" applyFont="1" applyFill="1" applyAlignment="1">
      <alignment horizontal="left" wrapText="1"/>
    </xf>
    <xf numFmtId="0" fontId="87" fillId="50" borderId="35" xfId="0" applyFont="1" applyFill="1" applyBorder="1" applyAlignment="1">
      <alignment horizontal="left" wrapText="1"/>
    </xf>
    <xf numFmtId="0" fontId="129" fillId="36" borderId="240" xfId="0" applyFont="1" applyFill="1" applyBorder="1" applyAlignment="1">
      <alignment horizontal="left" vertical="top" wrapText="1"/>
    </xf>
    <xf numFmtId="0" fontId="129" fillId="36" borderId="241" xfId="0" applyFont="1" applyFill="1" applyBorder="1" applyAlignment="1">
      <alignment horizontal="left" vertical="top" wrapText="1"/>
    </xf>
    <xf numFmtId="0" fontId="129" fillId="36" borderId="242" xfId="0" applyFont="1" applyFill="1" applyBorder="1" applyAlignment="1">
      <alignment horizontal="left" vertical="top" wrapText="1"/>
    </xf>
    <xf numFmtId="0" fontId="129" fillId="36" borderId="243" xfId="0" applyFont="1" applyFill="1" applyBorder="1" applyAlignment="1">
      <alignment horizontal="left" vertical="top" wrapText="1"/>
    </xf>
    <xf numFmtId="0" fontId="129" fillId="36" borderId="0" xfId="0" applyFont="1" applyFill="1" applyBorder="1" applyAlignment="1">
      <alignment horizontal="left" vertical="top" wrapText="1"/>
    </xf>
    <xf numFmtId="0" fontId="129" fillId="36" borderId="244" xfId="0" applyFont="1" applyFill="1" applyBorder="1" applyAlignment="1">
      <alignment horizontal="left" vertical="top" wrapText="1"/>
    </xf>
    <xf numFmtId="0" fontId="124" fillId="36" borderId="258" xfId="0" applyFont="1" applyFill="1" applyBorder="1" applyAlignment="1">
      <alignment horizontal="center"/>
    </xf>
    <xf numFmtId="0" fontId="124" fillId="36" borderId="39" xfId="0" applyFont="1" applyFill="1" applyBorder="1" applyAlignment="1">
      <alignment horizontal="center"/>
    </xf>
    <xf numFmtId="0" fontId="124" fillId="36" borderId="37" xfId="0" applyFont="1" applyFill="1" applyBorder="1" applyAlignment="1">
      <alignment horizontal="center"/>
    </xf>
    <xf numFmtId="0" fontId="34" fillId="60" borderId="38" xfId="0" applyFont="1" applyFill="1" applyBorder="1" applyAlignment="1">
      <alignment horizontal="center"/>
    </xf>
    <xf numFmtId="0" fontId="34" fillId="60" borderId="37" xfId="0" applyFont="1" applyFill="1" applyBorder="1" applyAlignment="1">
      <alignment horizontal="center"/>
    </xf>
    <xf numFmtId="0" fontId="77" fillId="36" borderId="251" xfId="0" applyFont="1" applyFill="1" applyBorder="1" applyAlignment="1">
      <alignment horizontal="left" wrapText="1"/>
    </xf>
    <xf numFmtId="0" fontId="77" fillId="36" borderId="252" xfId="0" applyFont="1" applyFill="1" applyBorder="1" applyAlignment="1">
      <alignment horizontal="left" wrapText="1"/>
    </xf>
    <xf numFmtId="0" fontId="77" fillId="36" borderId="253" xfId="0" applyFont="1" applyFill="1" applyBorder="1" applyAlignment="1">
      <alignment horizontal="left" wrapText="1"/>
    </xf>
    <xf numFmtId="167" fontId="32" fillId="36" borderId="38" xfId="0" applyNumberFormat="1" applyFont="1" applyFill="1" applyBorder="1" applyAlignment="1">
      <alignment horizontal="center"/>
    </xf>
    <xf numFmtId="167" fontId="32" fillId="36" borderId="37" xfId="0" applyNumberFormat="1" applyFont="1" applyFill="1" applyBorder="1" applyAlignment="1">
      <alignment horizontal="center"/>
    </xf>
    <xf numFmtId="0" fontId="62" fillId="36" borderId="32" xfId="0" applyFont="1" applyFill="1" applyBorder="1" applyAlignment="1">
      <alignment horizontal="center"/>
    </xf>
    <xf numFmtId="0" fontId="62" fillId="36" borderId="36" xfId="0" applyFont="1" applyFill="1" applyBorder="1" applyAlignment="1">
      <alignment horizontal="center"/>
    </xf>
    <xf numFmtId="164" fontId="37" fillId="41" borderId="0" xfId="0" applyNumberFormat="1" applyFont="1" applyFill="1" applyAlignment="1">
      <alignment horizontal="left" vertical="top" wrapText="1"/>
    </xf>
    <xf numFmtId="167" fontId="55" fillId="60" borderId="38" xfId="0" applyNumberFormat="1" applyFont="1" applyFill="1" applyBorder="1" applyAlignment="1">
      <alignment horizontal="center"/>
    </xf>
    <xf numFmtId="167" fontId="55" fillId="60" borderId="37" xfId="0" applyNumberFormat="1" applyFont="1" applyFill="1" applyBorder="1" applyAlignment="1">
      <alignment horizontal="center"/>
    </xf>
    <xf numFmtId="0" fontId="131" fillId="60" borderId="32" xfId="0" applyFont="1" applyFill="1" applyBorder="1" applyAlignment="1">
      <alignment horizontal="center"/>
    </xf>
    <xf numFmtId="0" fontId="131" fillId="60" borderId="36" xfId="0" applyFont="1" applyFill="1" applyBorder="1" applyAlignment="1">
      <alignment horizontal="center"/>
    </xf>
    <xf numFmtId="0" fontId="130" fillId="60" borderId="31" xfId="0" applyFont="1" applyFill="1" applyBorder="1" applyAlignment="1">
      <alignment horizontal="center" vertical="center"/>
    </xf>
    <xf numFmtId="0" fontId="130" fillId="60" borderId="0" xfId="0" applyFont="1" applyFill="1" applyBorder="1" applyAlignment="1">
      <alignment horizontal="center" vertical="center"/>
    </xf>
    <xf numFmtId="0" fontId="130" fillId="60" borderId="35" xfId="0" applyFont="1" applyFill="1" applyBorder="1" applyAlignment="1">
      <alignment horizontal="center" vertical="center"/>
    </xf>
    <xf numFmtId="0" fontId="130" fillId="60" borderId="32" xfId="0" applyFont="1" applyFill="1" applyBorder="1" applyAlignment="1">
      <alignment horizontal="center" vertical="center"/>
    </xf>
    <xf numFmtId="0" fontId="130" fillId="60" borderId="33" xfId="0" applyFont="1" applyFill="1" applyBorder="1" applyAlignment="1">
      <alignment horizontal="center" vertical="center"/>
    </xf>
    <xf numFmtId="0" fontId="130" fillId="60" borderId="36" xfId="0" applyFont="1" applyFill="1" applyBorder="1" applyAlignment="1">
      <alignment horizontal="center" vertical="center"/>
    </xf>
    <xf numFmtId="0" fontId="132" fillId="60" borderId="29" xfId="0" applyFont="1" applyFill="1" applyBorder="1" applyAlignment="1">
      <alignment horizontal="center" vertical="center"/>
    </xf>
    <xf numFmtId="0" fontId="132" fillId="60" borderId="30" xfId="0" applyFont="1" applyFill="1" applyBorder="1" applyAlignment="1">
      <alignment horizontal="center" vertical="center"/>
    </xf>
    <xf numFmtId="0" fontId="132" fillId="60" borderId="34" xfId="0" applyFont="1" applyFill="1" applyBorder="1" applyAlignment="1">
      <alignment horizontal="center" vertical="center"/>
    </xf>
    <xf numFmtId="0" fontId="132" fillId="60" borderId="32" xfId="0" applyFont="1" applyFill="1" applyBorder="1" applyAlignment="1">
      <alignment horizontal="center" vertical="center"/>
    </xf>
    <xf numFmtId="0" fontId="132" fillId="60" borderId="33" xfId="0" applyFont="1" applyFill="1" applyBorder="1" applyAlignment="1">
      <alignment horizontal="center" vertical="center"/>
    </xf>
    <xf numFmtId="0" fontId="132" fillId="60" borderId="36" xfId="0" applyFont="1" applyFill="1" applyBorder="1" applyAlignment="1">
      <alignment horizontal="center" vertical="center"/>
    </xf>
    <xf numFmtId="164" fontId="53" fillId="36" borderId="0" xfId="0" applyNumberFormat="1" applyFont="1" applyFill="1" applyAlignment="1">
      <alignment horizontal="left" vertical="top" wrapText="1"/>
    </xf>
    <xf numFmtId="0" fontId="145" fillId="71" borderId="270" xfId="0" applyFont="1" applyFill="1" applyBorder="1" applyAlignment="1">
      <alignment vertical="top"/>
    </xf>
    <xf numFmtId="0" fontId="0" fillId="71" borderId="275" xfId="0" applyFill="1" applyBorder="1"/>
    <xf numFmtId="174" fontId="0" fillId="0" borderId="0" xfId="0" applyNumberFormat="1" applyFont="1" applyAlignment="1">
      <alignment horizontal="left" vertical="top"/>
    </xf>
    <xf numFmtId="0" fontId="0" fillId="0" borderId="0" xfId="0" applyFont="1" applyAlignment="1">
      <alignment horizontal="center" vertical="top"/>
    </xf>
    <xf numFmtId="19" fontId="0" fillId="0" borderId="0" xfId="0" applyNumberFormat="1" applyFont="1" applyAlignment="1">
      <alignment horizontal="right" vertical="top"/>
    </xf>
    <xf numFmtId="0" fontId="0" fillId="71" borderId="273" xfId="0" applyFill="1" applyBorder="1"/>
    <xf numFmtId="0" fontId="143" fillId="38" borderId="265" xfId="0" applyFont="1" applyFill="1" applyBorder="1" applyAlignment="1">
      <alignment horizontal="center"/>
    </xf>
    <xf numFmtId="0" fontId="143" fillId="38" borderId="266" xfId="0" applyFont="1" applyFill="1" applyBorder="1" applyAlignment="1">
      <alignment horizontal="center"/>
    </xf>
    <xf numFmtId="0" fontId="0" fillId="42" borderId="266" xfId="0" applyFill="1" applyBorder="1" applyAlignment="1">
      <alignment horizontal="center"/>
    </xf>
    <xf numFmtId="0" fontId="144" fillId="0" borderId="268" xfId="0" applyFont="1" applyBorder="1" applyAlignment="1">
      <alignment horizontal="center" vertical="top"/>
    </xf>
    <xf numFmtId="0" fontId="0" fillId="0" borderId="269" xfId="0" applyBorder="1"/>
    <xf numFmtId="0" fontId="0" fillId="0" borderId="278" xfId="0" applyBorder="1"/>
    <xf numFmtId="0" fontId="0" fillId="0" borderId="279" xfId="0" applyBorder="1"/>
    <xf numFmtId="0" fontId="0" fillId="0" borderId="281" xfId="0" applyBorder="1"/>
    <xf numFmtId="0" fontId="0" fillId="0" borderId="282" xfId="0" applyBorder="1"/>
    <xf numFmtId="0" fontId="145" fillId="47" borderId="270" xfId="0" applyFont="1" applyFill="1" applyBorder="1" applyAlignment="1">
      <alignment vertical="top"/>
    </xf>
    <xf numFmtId="0" fontId="0" fillId="47" borderId="275" xfId="0" applyFill="1" applyBorder="1"/>
    <xf numFmtId="0" fontId="141" fillId="47" borderId="12" xfId="0" applyFont="1" applyFill="1" applyBorder="1" applyAlignment="1">
      <alignment horizontal="center"/>
    </xf>
    <xf numFmtId="0" fontId="143" fillId="47" borderId="14" xfId="0" applyFont="1" applyFill="1" applyBorder="1" applyAlignment="1">
      <alignment horizontal="center"/>
    </xf>
    <xf numFmtId="0" fontId="143" fillId="47" borderId="13" xfId="0" applyFont="1" applyFill="1" applyBorder="1" applyAlignment="1">
      <alignment horizontal="center"/>
    </xf>
    <xf numFmtId="0" fontId="149" fillId="0" borderId="0" xfId="0" applyFont="1" applyAlignment="1">
      <alignment horizontal="center" vertical="top"/>
    </xf>
    <xf numFmtId="174" fontId="146" fillId="0" borderId="0" xfId="0" applyNumberFormat="1" applyFont="1" applyAlignment="1">
      <alignment horizontal="left" vertical="top"/>
    </xf>
    <xf numFmtId="3" fontId="146" fillId="0" borderId="0" xfId="0" applyNumberFormat="1" applyFont="1" applyAlignment="1">
      <alignment horizontal="center" vertical="top"/>
    </xf>
    <xf numFmtId="19" fontId="146" fillId="0" borderId="0" xfId="0" applyNumberFormat="1" applyFont="1" applyAlignment="1">
      <alignment horizontal="right" vertical="top"/>
    </xf>
    <xf numFmtId="0" fontId="150" fillId="0" borderId="0" xfId="0" applyFont="1" applyAlignment="1">
      <alignment horizontal="center" vertical="top"/>
    </xf>
    <xf numFmtId="174" fontId="152" fillId="0" borderId="0" xfId="0" applyNumberFormat="1" applyFont="1" applyAlignment="1">
      <alignment horizontal="left" vertical="top"/>
    </xf>
    <xf numFmtId="3" fontId="152" fillId="0" borderId="0" xfId="0" applyNumberFormat="1" applyFont="1" applyAlignment="1">
      <alignment horizontal="center" vertical="top"/>
    </xf>
    <xf numFmtId="19" fontId="152" fillId="0" borderId="0" xfId="0" applyNumberFormat="1" applyFont="1" applyAlignment="1">
      <alignment horizontal="right" vertical="top"/>
    </xf>
  </cellXfs>
  <cellStyles count="151">
    <cellStyle name="20% - Accent1 2" xfId="20"/>
    <cellStyle name="20% - Accent2 2" xfId="24"/>
    <cellStyle name="20% - Accent3 2" xfId="28"/>
    <cellStyle name="20% - Accent4 2" xfId="32"/>
    <cellStyle name="20% - Accent5 2" xfId="36"/>
    <cellStyle name="20% - Accent6 2" xfId="40"/>
    <cellStyle name="40% - Accent1 2" xfId="21"/>
    <cellStyle name="40% - Accent2 2" xfId="25"/>
    <cellStyle name="40% - Accent3 2" xfId="29"/>
    <cellStyle name="40% - Accent4 2" xfId="33"/>
    <cellStyle name="40% - Accent5 2" xfId="37"/>
    <cellStyle name="40% - Accent6 2" xfId="41"/>
    <cellStyle name="60% - Accent1 2" xfId="22"/>
    <cellStyle name="60% - Accent2 2" xfId="26"/>
    <cellStyle name="60% - Accent3 2" xfId="30"/>
    <cellStyle name="60% - Accent4 2" xfId="34"/>
    <cellStyle name="60% - Accent5 2" xfId="38"/>
    <cellStyle name="60% - Accent6 2" xfId="42"/>
    <cellStyle name="Accent1 2" xfId="19"/>
    <cellStyle name="Accent2 2" xfId="23"/>
    <cellStyle name="Accent3 2" xfId="27"/>
    <cellStyle name="Accent4 2" xfId="31"/>
    <cellStyle name="Accent5 2" xfId="35"/>
    <cellStyle name="Accent6 2" xfId="39"/>
    <cellStyle name="Bad 2" xfId="8"/>
    <cellStyle name="Calculation 2" xfId="12"/>
    <cellStyle name="Check Cell 2" xfId="14"/>
    <cellStyle name="Comma" xfId="44" builtinId="3"/>
    <cellStyle name="Currency" xfId="45" builtinId="4"/>
    <cellStyle name="Explanatory Text 2" xfId="17"/>
    <cellStyle name="Followed Hyperlink" xfId="47"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Good 2" xfId="7"/>
    <cellStyle name="Heading 1 2" xfId="3"/>
    <cellStyle name="Heading 2 2" xfId="4"/>
    <cellStyle name="Heading 3 2" xfId="5"/>
    <cellStyle name="Heading 4 2" xfId="6"/>
    <cellStyle name="Hyperlink" xfId="46"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Input 2" xfId="10"/>
    <cellStyle name="Linked Cell 2" xfId="13"/>
    <cellStyle name="Neutral 2" xfId="9"/>
    <cellStyle name="Normal" xfId="0" builtinId="0"/>
    <cellStyle name="Normal 2" xfId="2"/>
    <cellStyle name="Normal 3" xfId="43"/>
    <cellStyle name="Normal_Charters" xfId="48"/>
    <cellStyle name="Note 2" xfId="16"/>
    <cellStyle name="Output 2" xfId="11"/>
    <cellStyle name="Title" xfId="1" builtinId="15" customBuiltin="1"/>
    <cellStyle name="Total 2" xfId="18"/>
    <cellStyle name="Warning Text 2" xfId="15"/>
  </cellStyles>
  <dxfs count="120">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ont>
        <color rgb="FFFF0000"/>
      </font>
    </dxf>
    <dxf>
      <font>
        <color rgb="FFFF0000"/>
      </font>
    </dxf>
    <dxf>
      <fill>
        <patternFill>
          <bgColor rgb="FFFF0000"/>
        </patternFill>
      </fill>
    </dxf>
    <dxf>
      <font>
        <color rgb="FFFF0000"/>
      </font>
    </dxf>
    <dxf>
      <font>
        <color rgb="FFFF0000"/>
      </font>
    </dxf>
    <dxf>
      <fill>
        <patternFill>
          <bgColor rgb="FFFF0000"/>
        </patternFill>
      </fill>
    </dxf>
    <dxf>
      <font>
        <color rgb="FFFF0000"/>
      </font>
    </dxf>
    <dxf>
      <font>
        <color rgb="FFFF0000"/>
      </font>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numFmt numFmtId="177" formatCode="&quot;$&quot;0.0&quot; million&quot;\);\(&quot;$&quot;0.0&quot; million&quot;\)"/>
    </dxf>
    <dxf>
      <font>
        <b/>
        <i val="0"/>
        <color theme="0"/>
      </font>
      <fill>
        <patternFill>
          <bgColor theme="1"/>
        </patternFill>
      </fill>
      <border>
        <left style="thin">
          <color theme="2" tint="-0.749961851863155"/>
        </left>
        <right style="thin">
          <color theme="2" tint="-0.749961851863155"/>
        </right>
        <top style="thin">
          <color theme="2" tint="-0.749961851863155"/>
        </top>
        <bottom style="thin">
          <color theme="2" tint="-0.749961851863155"/>
        </bottom>
      </border>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ill>
        <patternFill>
          <bgColor theme="3" tint="-0.24994659260841701"/>
        </patternFill>
      </fill>
      <border>
        <left/>
        <right/>
        <bottom/>
        <vertical/>
        <horizontal/>
      </border>
    </dxf>
    <dxf>
      <fill>
        <patternFill>
          <bgColor theme="3" tint="-0.24994659260841701"/>
        </patternFill>
      </fill>
      <border>
        <left/>
        <right/>
        <bottom/>
        <vertical/>
        <horizontal/>
      </border>
    </dxf>
    <dxf>
      <fill>
        <patternFill>
          <bgColor theme="3" tint="-0.24994659260841701"/>
        </patternFill>
      </fill>
      <border>
        <left/>
        <right/>
        <bottom/>
        <vertical/>
        <horizontal/>
      </border>
    </dxf>
    <dxf>
      <font>
        <color rgb="FFC00000"/>
      </font>
      <fill>
        <patternFill>
          <bgColor theme="0"/>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0"/>
      </font>
      <fill>
        <patternFill>
          <bgColor theme="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right/>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3" tint="-0.24994659260841701"/>
      </font>
      <fill>
        <patternFill>
          <bgColor theme="3" tint="-0.24994659260841701"/>
        </patternFill>
      </fill>
      <border>
        <left style="thin">
          <color theme="3" tint="-0.24994659260841701"/>
        </left>
        <right style="thin">
          <color theme="3" tint="-0.24994659260841701"/>
        </right>
        <bottom style="thin">
          <color theme="3" tint="-0.24994659260841701"/>
        </bottom>
        <vertical/>
        <horizontal/>
      </border>
    </dxf>
    <dxf>
      <font>
        <color theme="0"/>
      </font>
      <fill>
        <patternFill>
          <bgColor theme="1"/>
        </patternFill>
      </fill>
    </dxf>
    <dxf>
      <font>
        <color theme="0"/>
      </font>
      <fill>
        <patternFill>
          <bgColor theme="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rgb="FF7030A0"/>
      </font>
      <fill>
        <patternFill>
          <bgColor rgb="FF7030A0"/>
        </patternFill>
      </fill>
    </dxf>
    <dxf>
      <font>
        <color rgb="FF7030A0"/>
      </font>
      <fill>
        <patternFill>
          <bgColor rgb="FF7030A0"/>
        </patternFill>
      </fill>
    </dxf>
    <dxf>
      <font>
        <color rgb="FF7030A0"/>
      </font>
      <fill>
        <patternFill>
          <bgColor rgb="FF7030A0"/>
        </patternFill>
      </fill>
    </dxf>
    <dxf>
      <font>
        <color rgb="FF7030A0"/>
      </font>
      <fill>
        <patternFill>
          <bgColor rgb="FF7030A0"/>
        </patternFill>
      </fill>
    </dxf>
    <dxf>
      <font>
        <color rgb="FF7030A0"/>
      </font>
      <fill>
        <patternFill>
          <bgColor rgb="FF7030A0"/>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theme="3" tint="-0.24994659260841701"/>
      </font>
      <fill>
        <patternFill>
          <bgColor theme="3" tint="-0.24994659260841701"/>
        </patternFill>
      </fill>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rgb="FF7030A0"/>
      </font>
      <fill>
        <patternFill>
          <bgColor rgb="FF7030A0"/>
        </patternFill>
      </fill>
      <border>
        <left style="thin">
          <color rgb="FF7030A0"/>
        </left>
        <right style="thin">
          <color rgb="FF7030A0"/>
        </right>
        <top style="thin">
          <color rgb="FF7030A0"/>
        </top>
        <bottom style="thin">
          <color rgb="FF7030A0"/>
        </bottom>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font>
        <color theme="3" tint="-0.24994659260841701"/>
      </font>
      <fill>
        <patternFill>
          <bgColor theme="3" tint="-0.24994659260841701"/>
        </patternFill>
      </fill>
      <border>
        <right/>
        <top/>
        <bottom/>
        <vertical/>
        <horizontal/>
      </border>
    </dxf>
    <dxf>
      <numFmt numFmtId="177" formatCode="&quot;$&quot;0.0&quot; million&quot;\);\(&quot;$&quot;0.0&quot; million&quot;\)"/>
    </dxf>
  </dxfs>
  <tableStyles count="0" defaultTableStyle="TableStyleMedium9" defaultPivotStyle="PivotStyleMedium4"/>
  <colors>
    <mruColors>
      <color rgb="FF00FF00"/>
      <color rgb="FF66FF33"/>
      <color rgb="FF66FF99"/>
      <color rgb="FF66FF66"/>
      <color rgb="FF0000FF"/>
      <color rgb="FF00FF99"/>
      <color rgb="FFFFFFFF"/>
      <color rgb="FFFBF997"/>
      <color rgb="FF714E09"/>
      <color rgb="FF686600"/>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63" Type="http://schemas.openxmlformats.org/officeDocument/2006/relationships/worksheet" Target="worksheets/sheet63.xml"/><Relationship Id="rId64" Type="http://schemas.openxmlformats.org/officeDocument/2006/relationships/worksheet" Target="worksheets/sheet64.xml"/><Relationship Id="rId65" Type="http://schemas.openxmlformats.org/officeDocument/2006/relationships/worksheet" Target="worksheets/sheet65.xml"/><Relationship Id="rId66" Type="http://schemas.openxmlformats.org/officeDocument/2006/relationships/worksheet" Target="worksheets/sheet66.xml"/><Relationship Id="rId67" Type="http://schemas.openxmlformats.org/officeDocument/2006/relationships/worksheet" Target="worksheets/sheet67.xml"/><Relationship Id="rId68" Type="http://schemas.openxmlformats.org/officeDocument/2006/relationships/externalLink" Target="externalLinks/externalLink1.xml"/><Relationship Id="rId69" Type="http://schemas.openxmlformats.org/officeDocument/2006/relationships/theme" Target="theme/theme1.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70" Type="http://schemas.openxmlformats.org/officeDocument/2006/relationships/styles" Target="styles.xml"/><Relationship Id="rId71" Type="http://schemas.openxmlformats.org/officeDocument/2006/relationships/sharedStrings" Target="sharedStrings.xml"/><Relationship Id="rId72" Type="http://schemas.openxmlformats.org/officeDocument/2006/relationships/calcChain" Target="calcChain.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worksheet" Target="worksheets/sheet62.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1">
                <a:solidFill>
                  <a:sysClr val="windowText" lastClr="000000"/>
                </a:solidFill>
              </a:rPr>
              <a:t>FY11 Total Statewide Revenue &amp; Disparity</a:t>
            </a:r>
          </a:p>
        </c:rich>
      </c:tx>
      <c:layout>
        <c:manualLayout>
          <c:xMode val="edge"/>
          <c:yMode val="edge"/>
          <c:x val="0.169668621016851"/>
          <c:y val="0.0346317647349051"/>
        </c:manualLayout>
      </c:layout>
      <c:overlay val="0"/>
      <c:spPr>
        <a:noFill/>
        <a:ln>
          <a:noFill/>
        </a:ln>
        <a:effectLst/>
      </c:spPr>
    </c:title>
    <c:autoTitleDeleted val="0"/>
    <c:plotArea>
      <c:layout>
        <c:manualLayout>
          <c:layoutTarget val="inner"/>
          <c:xMode val="edge"/>
          <c:yMode val="edge"/>
          <c:x val="0.073180045202683"/>
          <c:y val="0.211036836541266"/>
          <c:w val="0.724465648391173"/>
          <c:h val="0.536275153105862"/>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chemeClr val="accent2"/>
              </a:solidFill>
              <a:ln w="6350">
                <a:solidFill>
                  <a:schemeClr val="accent2"/>
                </a:solidFill>
              </a:ln>
              <a:effectLst/>
            </c:spPr>
          </c:dPt>
          <c:dPt>
            <c:idx val="1"/>
            <c:invertIfNegative val="0"/>
            <c:bubble3D val="0"/>
            <c:spPr>
              <a:solidFill>
                <a:schemeClr val="accent1"/>
              </a:solidFill>
              <a:ln w="6350">
                <a:solidFill>
                  <a:schemeClr val="accent1"/>
                </a:solidFill>
              </a:ln>
              <a:effectLst/>
            </c:spPr>
          </c:dPt>
          <c:dLbls>
            <c:dLbl>
              <c:idx val="2"/>
              <c:tx>
                <c:rich>
                  <a:bodyPr/>
                  <a:lstStyle/>
                  <a:p>
                    <a:fld id="{32A5F072-C451-4105-868B-E7937696FA0A}" type="CELLRANGE">
                      <a:rPr lang="en-US"/>
                      <a:pPr/>
                      <a:t>[CELLRANGE]</a:t>
                    </a:fld>
                    <a:endParaRPr lang="en-US" baseline="0"/>
                  </a:p>
                  <a:p>
                    <a:fld id="{036A08D2-6837-4D01-8033-0FA50D921E6B}" type="VALUE">
                      <a:rPr lang="en-US"/>
                      <a:pPr/>
                      <a:t>[VALUE]</a:t>
                    </a:fld>
                    <a:endParaRPr lang="en-US"/>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layout/>
                <c15:showLeaderLines val="0"/>
              </c:ext>
            </c:extLst>
          </c:dLbls>
          <c:cat>
            <c:strRef>
              <c:f>'FIG1'!$N$42:$N$43</c:f>
              <c:strCache>
                <c:ptCount val="2"/>
                <c:pt idx="0">
                  <c:v>District</c:v>
                </c:pt>
                <c:pt idx="1">
                  <c:v>Charter</c:v>
                </c:pt>
              </c:strCache>
            </c:strRef>
          </c:cat>
          <c:val>
            <c:numRef>
              <c:f>'FIG1'!$O$42:$O$43</c:f>
              <c:numCache>
                <c:formatCode>"$"#,##0_);\("$"#,##0\)</c:formatCode>
                <c:ptCount val="2"/>
                <c:pt idx="0">
                  <c:v>11373.74017760916</c:v>
                </c:pt>
                <c:pt idx="1">
                  <c:v>8391.566484227131</c:v>
                </c:pt>
              </c:numCache>
            </c:numRef>
          </c:val>
          <c:extLst/>
        </c:ser>
        <c:ser>
          <c:idx val="1"/>
          <c:order val="1"/>
          <c:tx>
            <c:v>Disparity</c:v>
          </c:tx>
          <c:spPr>
            <a:solidFill>
              <a:schemeClr val="accent2"/>
            </a:solidFill>
            <a:ln>
              <a:noFill/>
            </a:ln>
            <a:effectLst/>
          </c:spPr>
          <c:invertIfNegative val="0"/>
          <c:dPt>
            <c:idx val="1"/>
            <c:invertIfNegative val="0"/>
            <c:bubble3D val="0"/>
            <c:spPr>
              <a:pattFill prst="openDmnd">
                <a:fgClr>
                  <a:schemeClr val="tx1"/>
                </a:fgClr>
                <a:bgClr>
                  <a:schemeClr val="bg1"/>
                </a:bgClr>
              </a:pattFill>
              <a:ln w="6350">
                <a:solidFill>
                  <a:schemeClr val="tx1">
                    <a:lumMod val="50000"/>
                    <a:lumOff val="50000"/>
                  </a:schemeClr>
                </a:solidFill>
              </a:ln>
              <a:effectLst/>
            </c:spPr>
          </c:dPt>
          <c:dLbls>
            <c:dLbl>
              <c:idx val="1"/>
              <c:layout>
                <c:manualLayout>
                  <c:x val="0.27391975308642"/>
                  <c:y val="0.0"/>
                </c:manualLayout>
              </c:layout>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C00000"/>
                      </a:solidFill>
                      <a:latin typeface="+mn-lt"/>
                      <a:ea typeface="+mn-ea"/>
                      <a:cs typeface="+mn-cs"/>
                    </a:defRPr>
                  </a:pPr>
                  <a:endParaRPr lang="en-US"/>
                </a:p>
              </c:txPr>
              <c:showLegendKey val="0"/>
              <c:showVal val="1"/>
              <c:showCatName val="0"/>
              <c:showSerName val="1"/>
              <c:showPercent val="0"/>
              <c:showBubbleSize val="0"/>
              <c:separator>
</c:separator>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'FIG1'!$N$42:$N$43</c:f>
              <c:strCache>
                <c:ptCount val="2"/>
                <c:pt idx="0">
                  <c:v>District</c:v>
                </c:pt>
                <c:pt idx="1">
                  <c:v>Charter</c:v>
                </c:pt>
              </c:strCache>
            </c:strRef>
          </c:cat>
          <c:val>
            <c:numRef>
              <c:f>'FIG1'!$P$42:$P$43</c:f>
              <c:numCache>
                <c:formatCode>"$"#,##0_);\("$"#,##0\)</c:formatCode>
                <c:ptCount val="2"/>
                <c:pt idx="1">
                  <c:v>2982.173693382025</c:v>
                </c:pt>
              </c:numCache>
            </c:numRef>
          </c:val>
        </c:ser>
        <c:dLbls>
          <c:showLegendKey val="0"/>
          <c:showVal val="0"/>
          <c:showCatName val="0"/>
          <c:showSerName val="0"/>
          <c:showPercent val="0"/>
          <c:showBubbleSize val="0"/>
        </c:dLbls>
        <c:gapWidth val="45"/>
        <c:overlap val="100"/>
        <c:axId val="2132632296"/>
        <c:axId val="-2091426536"/>
      </c:barChart>
      <c:catAx>
        <c:axId val="2132632296"/>
        <c:scaling>
          <c:orientation val="minMax"/>
        </c:scaling>
        <c:delete val="1"/>
        <c:axPos val="l"/>
        <c:numFmt formatCode="General" sourceLinked="1"/>
        <c:majorTickMark val="none"/>
        <c:minorTickMark val="none"/>
        <c:tickLblPos val="nextTo"/>
        <c:crossAx val="-2091426536"/>
        <c:crosses val="autoZero"/>
        <c:auto val="1"/>
        <c:lblAlgn val="ctr"/>
        <c:lblOffset val="100"/>
        <c:noMultiLvlLbl val="0"/>
      </c:catAx>
      <c:valAx>
        <c:axId val="-2091426536"/>
        <c:scaling>
          <c:orientation val="minMax"/>
          <c:min val="0.0"/>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a:t>
                </a:r>
              </a:p>
            </c:rich>
          </c:tx>
          <c:layout>
            <c:manualLayout>
              <c:xMode val="edge"/>
              <c:yMode val="edge"/>
              <c:x val="0.321476742490522"/>
              <c:y val="0.865711577719452"/>
            </c:manualLayout>
          </c:layout>
          <c:overlay val="0"/>
          <c:spPr>
            <a:noFill/>
            <a:ln>
              <a:noFill/>
            </a:ln>
            <a:effectLst/>
          </c:spPr>
        </c:title>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132632296"/>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1.25" l="1.25" r="1.25" t="1.2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FY 2011 Public Funding, Tax Sources</a:t>
            </a:r>
          </a:p>
        </c:rich>
      </c:tx>
      <c:overlay val="0"/>
    </c:title>
    <c:autoTitleDeleted val="0"/>
    <c:plotArea>
      <c:layout/>
      <c:barChart>
        <c:barDir val="col"/>
        <c:grouping val="clustered"/>
        <c:varyColors val="1"/>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'FIG7'!$AC$4:$AC$7</c:f>
              <c:strCache>
                <c:ptCount val="4"/>
                <c:pt idx="0">
                  <c:v>Statwide District</c:v>
                </c:pt>
                <c:pt idx="1">
                  <c:v>Statewide Charter</c:v>
                </c:pt>
                <c:pt idx="2">
                  <c:v>Little Rock District</c:v>
                </c:pt>
                <c:pt idx="3">
                  <c:v>Little Rock Charter</c:v>
                </c:pt>
              </c:strCache>
            </c:strRef>
          </c:cat>
          <c:val>
            <c:numRef>
              <c:f>'FIG7'!$AD$4:$AD$7</c:f>
              <c:numCache>
                <c:formatCode>_("$"* #,##0_);_("$"* \(#,##0\);_("$"* "-"??_);_(@_)</c:formatCode>
                <c:ptCount val="4"/>
                <c:pt idx="0">
                  <c:v>9250.018239633904</c:v>
                </c:pt>
                <c:pt idx="1">
                  <c:v>6854.457235646689</c:v>
                </c:pt>
                <c:pt idx="2">
                  <c:v>12627.10567961694</c:v>
                </c:pt>
                <c:pt idx="3">
                  <c:v>6838.607752959263</c:v>
                </c:pt>
              </c:numCache>
            </c:numRef>
          </c:val>
        </c:ser>
        <c:dLbls>
          <c:showLegendKey val="0"/>
          <c:showVal val="0"/>
          <c:showCatName val="0"/>
          <c:showSerName val="0"/>
          <c:showPercent val="0"/>
          <c:showBubbleSize val="0"/>
        </c:dLbls>
        <c:gapWidth val="150"/>
        <c:axId val="1685383544"/>
        <c:axId val="2081196984"/>
      </c:barChart>
      <c:catAx>
        <c:axId val="1685383544"/>
        <c:scaling>
          <c:orientation val="minMax"/>
        </c:scaling>
        <c:delete val="0"/>
        <c:axPos val="b"/>
        <c:numFmt formatCode="General" sourceLinked="0"/>
        <c:majorTickMark val="none"/>
        <c:minorTickMark val="none"/>
        <c:tickLblPos val="nextTo"/>
        <c:txPr>
          <a:bodyPr/>
          <a:lstStyle/>
          <a:p>
            <a:pPr>
              <a:defRPr sz="1200"/>
            </a:pPr>
            <a:endParaRPr lang="en-US"/>
          </a:p>
        </c:txPr>
        <c:crossAx val="2081196984"/>
        <c:crosses val="autoZero"/>
        <c:auto val="1"/>
        <c:lblAlgn val="ctr"/>
        <c:lblOffset val="100"/>
        <c:noMultiLvlLbl val="0"/>
      </c:catAx>
      <c:valAx>
        <c:axId val="2081196984"/>
        <c:scaling>
          <c:orientation val="minMax"/>
        </c:scaling>
        <c:delete val="0"/>
        <c:axPos val="l"/>
        <c:majorGridlines/>
        <c:numFmt formatCode="_(&quot;$&quot;* #,##0_);_(&quot;$&quot;* \(#,##0\);_(&quot;$&quot;* &quot;-&quot;??_);_(@_)" sourceLinked="1"/>
        <c:majorTickMark val="none"/>
        <c:minorTickMark val="none"/>
        <c:tickLblPos val="nextTo"/>
        <c:txPr>
          <a:bodyPr/>
          <a:lstStyle/>
          <a:p>
            <a:pPr>
              <a:defRPr sz="1200"/>
            </a:pPr>
            <a:endParaRPr lang="en-US"/>
          </a:p>
        </c:txPr>
        <c:crossAx val="1685383544"/>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6"/>
    </mc:Choice>
    <mc:Fallback>
      <c:style val="16"/>
    </mc:Fallback>
  </mc:AlternateContent>
  <c:chart>
    <c:title>
      <c:tx>
        <c:rich>
          <a:bodyPr/>
          <a:lstStyle/>
          <a:p>
            <a:pPr>
              <a:defRPr/>
            </a:pPr>
            <a:r>
              <a:rPr lang="en-US"/>
              <a:t>FY2011 Total</a:t>
            </a:r>
            <a:r>
              <a:rPr lang="en-US" baseline="0"/>
              <a:t> Funding Less Other</a:t>
            </a:r>
            <a:endParaRPr lang="en-US"/>
          </a:p>
        </c:rich>
      </c:tx>
      <c:overlay val="0"/>
    </c:title>
    <c:autoTitleDeleted val="0"/>
    <c:plotArea>
      <c:layout/>
      <c:barChart>
        <c:barDir val="col"/>
        <c:grouping val="clustered"/>
        <c:varyColors val="0"/>
        <c:ser>
          <c:idx val="0"/>
          <c:order val="0"/>
          <c:tx>
            <c:strRef>
              <c:f>'FIG7'!$X$3</c:f>
              <c:strCache>
                <c:ptCount val="1"/>
              </c:strCache>
            </c:strRef>
          </c:tx>
          <c:invertIfNegative val="0"/>
          <c:dPt>
            <c:idx val="0"/>
            <c:invertIfNegative val="0"/>
            <c:bubble3D val="0"/>
            <c:spPr>
              <a:solidFill>
                <a:schemeClr val="accent4">
                  <a:lumMod val="75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3">
                  <a:lumMod val="75000"/>
                </a:schemeClr>
              </a:solidFill>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'FIG7'!$W$4:$W$7</c:f>
              <c:strCache>
                <c:ptCount val="4"/>
                <c:pt idx="0">
                  <c:v>Statewide District</c:v>
                </c:pt>
                <c:pt idx="1">
                  <c:v>Statewide Charter</c:v>
                </c:pt>
                <c:pt idx="2">
                  <c:v>Little Rock District</c:v>
                </c:pt>
                <c:pt idx="3">
                  <c:v>Little Rock Charter</c:v>
                </c:pt>
              </c:strCache>
            </c:strRef>
          </c:cat>
          <c:val>
            <c:numRef>
              <c:f>'FIG7'!$X$4:$X$7</c:f>
              <c:numCache>
                <c:formatCode>_("$"* #,##0_);_("$"* \(#,##0\);_("$"* "-"??_);_(@_)</c:formatCode>
                <c:ptCount val="4"/>
                <c:pt idx="0">
                  <c:v>10054.36765177598</c:v>
                </c:pt>
                <c:pt idx="1">
                  <c:v>7450.496995268139</c:v>
                </c:pt>
                <c:pt idx="2">
                  <c:v>13725.11486914885</c:v>
                </c:pt>
                <c:pt idx="3">
                  <c:v>7433.26929669485</c:v>
                </c:pt>
              </c:numCache>
            </c:numRef>
          </c:val>
        </c:ser>
        <c:dLbls>
          <c:showLegendKey val="0"/>
          <c:showVal val="0"/>
          <c:showCatName val="0"/>
          <c:showSerName val="0"/>
          <c:showPercent val="0"/>
          <c:showBubbleSize val="0"/>
        </c:dLbls>
        <c:gapWidth val="150"/>
        <c:axId val="1685245224"/>
        <c:axId val="1685248264"/>
      </c:barChart>
      <c:catAx>
        <c:axId val="1685245224"/>
        <c:scaling>
          <c:orientation val="minMax"/>
        </c:scaling>
        <c:delete val="0"/>
        <c:axPos val="b"/>
        <c:numFmt formatCode="General" sourceLinked="0"/>
        <c:majorTickMark val="none"/>
        <c:minorTickMark val="none"/>
        <c:tickLblPos val="nextTo"/>
        <c:crossAx val="1685248264"/>
        <c:crosses val="autoZero"/>
        <c:auto val="1"/>
        <c:lblAlgn val="ctr"/>
        <c:lblOffset val="100"/>
        <c:noMultiLvlLbl val="0"/>
      </c:catAx>
      <c:valAx>
        <c:axId val="1685248264"/>
        <c:scaling>
          <c:orientation val="minMax"/>
        </c:scaling>
        <c:delete val="0"/>
        <c:axPos val="l"/>
        <c:majorGridlines/>
        <c:numFmt formatCode="_(&quot;$&quot;* #,##0_);_(&quot;$&quot;* \(#,##0\);_(&quot;$&quot;* &quot;-&quot;??_);_(@_)" sourceLinked="1"/>
        <c:majorTickMark val="none"/>
        <c:minorTickMark val="none"/>
        <c:tickLblPos val="nextTo"/>
        <c:crossAx val="1685245224"/>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sz="1300"/>
              <a:t>Other Funding, Non-Tax Sources --</a:t>
            </a:r>
            <a:r>
              <a:rPr lang="en-US" sz="1300" baseline="0"/>
              <a:t> </a:t>
            </a:r>
            <a:r>
              <a:rPr lang="en-US" sz="1300"/>
              <a:t>Inflation Adjusted -- Over Time</a:t>
            </a:r>
          </a:p>
        </c:rich>
      </c:tx>
      <c:overlay val="0"/>
    </c:title>
    <c:autoTitleDeleted val="0"/>
    <c:plotArea>
      <c:layout>
        <c:manualLayout>
          <c:layoutTarget val="inner"/>
          <c:xMode val="edge"/>
          <c:yMode val="edge"/>
          <c:x val="0.134069285643092"/>
          <c:y val="0.133740909038353"/>
          <c:w val="0.844021084319402"/>
          <c:h val="0.632711025625614"/>
        </c:manualLayout>
      </c:layout>
      <c:barChart>
        <c:barDir val="col"/>
        <c:grouping val="clustered"/>
        <c:varyColors val="0"/>
        <c:ser>
          <c:idx val="0"/>
          <c:order val="0"/>
          <c:tx>
            <c:strRef>
              <c:f>'FIG8'!$P$60</c:f>
              <c:strCache>
                <c:ptCount val="1"/>
                <c:pt idx="0">
                  <c:v>FY2003</c:v>
                </c:pt>
              </c:strCache>
            </c:strRef>
          </c:tx>
          <c:spPr>
            <a:pattFill prst="shingle">
              <a:fgClr>
                <a:schemeClr val="accent2"/>
              </a:fgClr>
              <a:bgClr>
                <a:schemeClr val="bg1"/>
              </a:bgClr>
            </a:pattFill>
            <a:ln w="9525">
              <a:solidFill>
                <a:schemeClr val="accent2"/>
              </a:solidFill>
            </a:ln>
          </c:spPr>
          <c:invertIfNegative val="0"/>
          <c:dPt>
            <c:idx val="0"/>
            <c:invertIfNegative val="0"/>
            <c:bubble3D val="0"/>
            <c:spPr>
              <a:pattFill prst="shingle">
                <a:fgClr>
                  <a:schemeClr val="accent2">
                    <a:lumMod val="75000"/>
                  </a:schemeClr>
                </a:fgClr>
                <a:bgClr>
                  <a:schemeClr val="bg1"/>
                </a:bgClr>
              </a:pattFill>
              <a:ln w="9525">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hingle">
                <a:fgClr>
                  <a:schemeClr val="accent1">
                    <a:lumMod val="50000"/>
                  </a:schemeClr>
                </a:fgClr>
                <a:bgClr>
                  <a:schemeClr val="bg1"/>
                </a:bgClr>
              </a:pattFill>
              <a:ln w="9525">
                <a:solidFill>
                  <a:schemeClr val="accent1">
                    <a:lumMod val="50000"/>
                  </a:schemeClr>
                </a:solidFill>
              </a:ln>
              <a:scene3d>
                <a:camera prst="orthographicFront"/>
                <a:lightRig rig="freezing" dir="t"/>
              </a:scene3d>
              <a:sp3d prstMaterial="plastic">
                <a:bevelT h="127000"/>
              </a:sp3d>
            </c:spPr>
          </c:dPt>
          <c:dPt>
            <c:idx val="3"/>
            <c:invertIfNegative val="0"/>
            <c:bubble3D val="0"/>
            <c:spPr>
              <a:pattFill prst="shingle">
                <a:fgClr>
                  <a:schemeClr val="accent1"/>
                </a:fgClr>
                <a:bgClr>
                  <a:schemeClr val="bg1"/>
                </a:bgClr>
              </a:pattFill>
              <a:ln w="9525">
                <a:solidFill>
                  <a:schemeClr val="accent1"/>
                </a:solidFill>
              </a:ln>
            </c:spPr>
          </c:dPt>
          <c:dPt>
            <c:idx val="5"/>
            <c:invertIfNegative val="0"/>
            <c:bubble3D val="0"/>
            <c:spPr>
              <a:pattFill prst="shingle">
                <a:fgClr>
                  <a:schemeClr val="accent1"/>
                </a:fgClr>
                <a:bgClr>
                  <a:schemeClr val="bg1"/>
                </a:bgClr>
              </a:pattFill>
              <a:ln w="9525">
                <a:solidFill>
                  <a:schemeClr val="accent1"/>
                </a:solidFill>
              </a:ln>
            </c:spPr>
          </c:dPt>
          <c:cat>
            <c:strRef>
              <c:f>'FIG8'!$O$61:$O$64</c:f>
              <c:strCache>
                <c:ptCount val="4"/>
                <c:pt idx="0">
                  <c:v>Statewide District (D)</c:v>
                </c:pt>
                <c:pt idx="1">
                  <c:v>Statewide Charter (C)</c:v>
                </c:pt>
                <c:pt idx="2">
                  <c:v>Little Rock School District-D</c:v>
                </c:pt>
                <c:pt idx="3">
                  <c:v>Little Rock School District-C</c:v>
                </c:pt>
              </c:strCache>
            </c:strRef>
          </c:cat>
          <c:val>
            <c:numRef>
              <c:f>'FIG8'!$P$61:$P$64</c:f>
              <c:numCache>
                <c:formatCode>"$"#,##0_);\("$"#,##0\)</c:formatCode>
                <c:ptCount val="4"/>
                <c:pt idx="0">
                  <c:v>0.0</c:v>
                </c:pt>
                <c:pt idx="1">
                  <c:v>0.0</c:v>
                </c:pt>
                <c:pt idx="2">
                  <c:v>0.0</c:v>
                </c:pt>
                <c:pt idx="3">
                  <c:v>0.0</c:v>
                </c:pt>
              </c:numCache>
            </c:numRef>
          </c:val>
        </c:ser>
        <c:ser>
          <c:idx val="1"/>
          <c:order val="1"/>
          <c:tx>
            <c:strRef>
              <c:f>'FIG8'!$Q$60</c:f>
              <c:strCache>
                <c:ptCount val="1"/>
                <c:pt idx="0">
                  <c:v>FY2007</c:v>
                </c:pt>
              </c:strCache>
            </c:strRef>
          </c:tx>
          <c:spPr>
            <a:pattFill prst="smCheck">
              <a:fgClr>
                <a:schemeClr val="accent2"/>
              </a:fgClr>
              <a:bgClr>
                <a:schemeClr val="bg1"/>
              </a:bgClr>
            </a:pattFill>
            <a:ln>
              <a:solidFill>
                <a:schemeClr val="accent2"/>
              </a:solidFill>
            </a:ln>
          </c:spPr>
          <c:invertIfNegative val="0"/>
          <c:dPt>
            <c:idx val="0"/>
            <c:invertIfNegative val="0"/>
            <c:bubble3D val="0"/>
            <c:spPr>
              <a:pattFill prst="smCheck">
                <a:fgClr>
                  <a:schemeClr val="accent2">
                    <a:lumMod val="75000"/>
                  </a:schemeClr>
                </a:fgClr>
                <a:bgClr>
                  <a:schemeClr val="bg1"/>
                </a:bgClr>
              </a:pattFill>
              <a:ln>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mCheck">
                <a:fgClr>
                  <a:schemeClr val="accent1">
                    <a:lumMod val="50000"/>
                  </a:schemeClr>
                </a:fgClr>
                <a:bgClr>
                  <a:schemeClr val="bg1"/>
                </a:bgClr>
              </a:pattFill>
              <a:ln>
                <a:solidFill>
                  <a:schemeClr val="accent1">
                    <a:lumMod val="50000"/>
                  </a:schemeClr>
                </a:solidFill>
              </a:ln>
              <a:scene3d>
                <a:camera prst="orthographicFront"/>
                <a:lightRig rig="freezing" dir="t"/>
              </a:scene3d>
              <a:sp3d prstMaterial="plastic">
                <a:bevelT h="127000"/>
              </a:sp3d>
            </c:spPr>
          </c:dPt>
          <c:dPt>
            <c:idx val="3"/>
            <c:invertIfNegative val="0"/>
            <c:bubble3D val="0"/>
            <c:spPr>
              <a:pattFill prst="smCheck">
                <a:fgClr>
                  <a:schemeClr val="accent1"/>
                </a:fgClr>
                <a:bgClr>
                  <a:schemeClr val="bg1"/>
                </a:bgClr>
              </a:pattFill>
              <a:ln>
                <a:solidFill>
                  <a:schemeClr val="accent1"/>
                </a:solidFill>
              </a:ln>
            </c:spPr>
          </c:dPt>
          <c:dPt>
            <c:idx val="5"/>
            <c:invertIfNegative val="0"/>
            <c:bubble3D val="0"/>
            <c:spPr>
              <a:pattFill prst="smCheck">
                <a:fgClr>
                  <a:schemeClr val="accent1"/>
                </a:fgClr>
                <a:bgClr>
                  <a:schemeClr val="bg1"/>
                </a:bgClr>
              </a:pattFill>
              <a:ln>
                <a:solidFill>
                  <a:schemeClr val="accent1"/>
                </a:solidFill>
              </a:ln>
            </c:spPr>
          </c:dPt>
          <c:cat>
            <c:strRef>
              <c:f>'FIG8'!$O$61:$O$64</c:f>
              <c:strCache>
                <c:ptCount val="4"/>
                <c:pt idx="0">
                  <c:v>Statewide District (D)</c:v>
                </c:pt>
                <c:pt idx="1">
                  <c:v>Statewide Charter (C)</c:v>
                </c:pt>
                <c:pt idx="2">
                  <c:v>Little Rock School District-D</c:v>
                </c:pt>
                <c:pt idx="3">
                  <c:v>Little Rock School District-C</c:v>
                </c:pt>
              </c:strCache>
            </c:strRef>
          </c:cat>
          <c:val>
            <c:numRef>
              <c:f>'FIG8'!$Q$61:$Q$64</c:f>
              <c:numCache>
                <c:formatCode>"$"#,##0_);\("$"#,##0\)</c:formatCode>
                <c:ptCount val="4"/>
                <c:pt idx="0">
                  <c:v>0.0</c:v>
                </c:pt>
                <c:pt idx="1">
                  <c:v>0.0</c:v>
                </c:pt>
                <c:pt idx="2">
                  <c:v>0.0</c:v>
                </c:pt>
                <c:pt idx="3">
                  <c:v>0.0</c:v>
                </c:pt>
              </c:numCache>
            </c:numRef>
          </c:val>
        </c:ser>
        <c:ser>
          <c:idx val="2"/>
          <c:order val="2"/>
          <c:tx>
            <c:strRef>
              <c:f>'FIG8'!$R$60</c:f>
              <c:strCache>
                <c:ptCount val="1"/>
                <c:pt idx="0">
                  <c:v>FY2011</c:v>
                </c:pt>
              </c:strCache>
            </c:strRef>
          </c:tx>
          <c:spPr>
            <a:solidFill>
              <a:schemeClr val="accent2"/>
            </a:solidFill>
            <a:ln>
              <a:solidFill>
                <a:schemeClr val="accent2"/>
              </a:solidFill>
            </a:ln>
          </c:spPr>
          <c:invertIfNegative val="0"/>
          <c:dPt>
            <c:idx val="0"/>
            <c:invertIfNegative val="0"/>
            <c:bubble3D val="0"/>
            <c:spPr>
              <a:solidFill>
                <a:schemeClr val="accent2">
                  <a:lumMod val="75000"/>
                </a:schemeClr>
              </a:solidFill>
              <a:ln>
                <a:solidFill>
                  <a:schemeClr val="accent2">
                    <a:lumMod val="75000"/>
                  </a:schemeClr>
                </a:solidFill>
              </a:ln>
              <a:scene3d>
                <a:camera prst="orthographicFront"/>
                <a:lightRig rig="sunset" dir="t"/>
              </a:scene3d>
              <a:sp3d prstMaterial="plastic">
                <a:bevelT h="127000"/>
              </a:sp3d>
            </c:spPr>
          </c:dPt>
          <c:dPt>
            <c:idx val="1"/>
            <c:invertIfNegative val="0"/>
            <c:bubble3D val="0"/>
            <c:spPr>
              <a:solidFill>
                <a:schemeClr val="accent1">
                  <a:lumMod val="50000"/>
                </a:schemeClr>
              </a:solidFill>
              <a:ln>
                <a:solidFill>
                  <a:schemeClr val="accent1">
                    <a:lumMod val="50000"/>
                  </a:schemeClr>
                </a:solidFill>
              </a:ln>
              <a:scene3d>
                <a:camera prst="orthographicFront"/>
                <a:lightRig rig="freezing" dir="t"/>
              </a:scene3d>
              <a:sp3d prstMaterial="plastic">
                <a:bevelT h="127000"/>
                <a:bevelB/>
              </a:sp3d>
            </c:spPr>
          </c:dPt>
          <c:dPt>
            <c:idx val="3"/>
            <c:invertIfNegative val="0"/>
            <c:bubble3D val="0"/>
            <c:spPr>
              <a:solidFill>
                <a:schemeClr val="accent1"/>
              </a:solidFill>
              <a:ln>
                <a:solidFill>
                  <a:schemeClr val="accent1"/>
                </a:solidFill>
              </a:ln>
            </c:spPr>
          </c:dPt>
          <c:dPt>
            <c:idx val="5"/>
            <c:invertIfNegative val="0"/>
            <c:bubble3D val="0"/>
            <c:spPr>
              <a:solidFill>
                <a:schemeClr val="accent1"/>
              </a:solidFill>
              <a:ln>
                <a:solidFill>
                  <a:schemeClr val="accent1"/>
                </a:solidFill>
              </a:ln>
            </c:spPr>
          </c:dPt>
          <c:cat>
            <c:strRef>
              <c:f>'FIG8'!$O$61:$O$64</c:f>
              <c:strCache>
                <c:ptCount val="4"/>
                <c:pt idx="0">
                  <c:v>Statewide District (D)</c:v>
                </c:pt>
                <c:pt idx="1">
                  <c:v>Statewide Charter (C)</c:v>
                </c:pt>
                <c:pt idx="2">
                  <c:v>Little Rock School District-D</c:v>
                </c:pt>
                <c:pt idx="3">
                  <c:v>Little Rock School District-C</c:v>
                </c:pt>
              </c:strCache>
            </c:strRef>
          </c:cat>
          <c:val>
            <c:numRef>
              <c:f>'FIG8'!$R$61:$R$64</c:f>
              <c:numCache>
                <c:formatCode>"$"#,##0_);\("$"#,##0\)</c:formatCode>
                <c:ptCount val="4"/>
                <c:pt idx="0">
                  <c:v>1319.0</c:v>
                </c:pt>
                <c:pt idx="1">
                  <c:v>941.0</c:v>
                </c:pt>
                <c:pt idx="2">
                  <c:v>686.0</c:v>
                </c:pt>
                <c:pt idx="3">
                  <c:v>718.0</c:v>
                </c:pt>
              </c:numCache>
            </c:numRef>
          </c:val>
        </c:ser>
        <c:dLbls>
          <c:showLegendKey val="0"/>
          <c:showVal val="0"/>
          <c:showCatName val="0"/>
          <c:showSerName val="0"/>
          <c:showPercent val="0"/>
          <c:showBubbleSize val="0"/>
        </c:dLbls>
        <c:gapWidth val="90"/>
        <c:axId val="-2030815304"/>
        <c:axId val="1689614696"/>
      </c:barChart>
      <c:catAx>
        <c:axId val="-2030815304"/>
        <c:scaling>
          <c:orientation val="minMax"/>
        </c:scaling>
        <c:delete val="0"/>
        <c:axPos val="b"/>
        <c:majorGridlines>
          <c:spPr>
            <a:ln>
              <a:solidFill>
                <a:schemeClr val="bg1">
                  <a:lumMod val="50000"/>
                </a:schemeClr>
              </a:solidFill>
              <a:headEnd type="none"/>
            </a:ln>
          </c:spPr>
        </c:majorGridlines>
        <c:title>
          <c:tx>
            <c:rich>
              <a:bodyPr/>
              <a:lstStyle/>
              <a:p>
                <a:pPr>
                  <a:defRPr/>
                </a:pPr>
                <a:r>
                  <a:rPr lang="en-US"/>
                  <a:t>Per</a:t>
                </a:r>
                <a:r>
                  <a:rPr lang="en-US" baseline="0"/>
                  <a:t> Pupil Revenue</a:t>
                </a:r>
                <a:endParaRPr lang="en-US"/>
              </a:p>
            </c:rich>
          </c:tx>
          <c:overlay val="0"/>
        </c:title>
        <c:numFmt formatCode="&quot;$&quot;#,##0.00" sourceLinked="0"/>
        <c:majorTickMark val="cross"/>
        <c:minorTickMark val="none"/>
        <c:tickLblPos val="low"/>
        <c:spPr>
          <a:solidFill>
            <a:schemeClr val="bg1">
              <a:lumMod val="65000"/>
            </a:schemeClr>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689614696"/>
        <c:crosses val="autoZero"/>
        <c:auto val="1"/>
        <c:lblAlgn val="ctr"/>
        <c:lblOffset val="100"/>
        <c:noMultiLvlLbl val="0"/>
      </c:catAx>
      <c:valAx>
        <c:axId val="1689614696"/>
        <c:scaling>
          <c:orientation val="minMax"/>
        </c:scaling>
        <c:delete val="0"/>
        <c:axPos val="l"/>
        <c:majorGridlines>
          <c:spPr>
            <a:ln>
              <a:noFill/>
            </a:ln>
          </c:spPr>
        </c:majorGridlines>
        <c:numFmt formatCode="&quot;$&quot;#,##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030815304"/>
        <c:crosses val="autoZero"/>
        <c:crossBetween val="between"/>
      </c:valAx>
      <c:dTable>
        <c:showHorzBorder val="1"/>
        <c:showVertBorder val="1"/>
        <c:showOutline val="1"/>
        <c:showKeys val="0"/>
        <c:txPr>
          <a:bodyPr/>
          <a:lstStyle/>
          <a:p>
            <a:pPr rtl="0">
              <a:defRPr sz="800" b="0" i="0" u="none" strike="noStrike" baseline="0">
                <a:solidFill>
                  <a:srgbClr val="000000"/>
                </a:solidFill>
                <a:latin typeface="Calibri"/>
                <a:ea typeface="Calibri"/>
                <a:cs typeface="Calibri"/>
              </a:defRPr>
            </a:pPr>
            <a:endParaRPr lang="en-US"/>
          </a:p>
        </c:txPr>
      </c:dTable>
      <c:spPr>
        <a:noFill/>
        <a:ln>
          <a:solidFill>
            <a:schemeClr val="bg1">
              <a:lumMod val="50000"/>
            </a:schemeClr>
          </a:solidFill>
        </a:ln>
      </c:spPr>
    </c:plotArea>
    <c:plotVisOnly val="1"/>
    <c:dispBlanksAs val="gap"/>
    <c:showDLblsOverMax val="0"/>
  </c:chart>
  <c:spPr>
    <a:ln>
      <a:solidFill>
        <a:schemeClr val="tx1">
          <a:lumMod val="50000"/>
          <a:lumOff val="50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25" l="1.25" r="1.25" t="1.25" header="0.3" footer="0.3"/>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a:pPr>
            <a:r>
              <a:rPr lang="en-US" sz="1000"/>
              <a:t>FY 2011 Other Funding, Non Tax Sources</a:t>
            </a:r>
          </a:p>
        </c:rich>
      </c:tx>
      <c:overlay val="0"/>
    </c:title>
    <c:autoTitleDeleted val="0"/>
    <c:plotArea>
      <c:layout/>
      <c:barChart>
        <c:barDir val="col"/>
        <c:grouping val="clustered"/>
        <c:varyColors val="1"/>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'FIG8'!$AB$5:$AB$8</c:f>
              <c:strCache>
                <c:ptCount val="4"/>
                <c:pt idx="0">
                  <c:v>Statewide District </c:v>
                </c:pt>
                <c:pt idx="1">
                  <c:v>Statewide Charter </c:v>
                </c:pt>
                <c:pt idx="2">
                  <c:v>Little Rock District</c:v>
                </c:pt>
                <c:pt idx="3">
                  <c:v>Little Rock Charters</c:v>
                </c:pt>
              </c:strCache>
            </c:strRef>
          </c:cat>
          <c:val>
            <c:numRef>
              <c:f>'FIG8'!$AC$5:$AC$8</c:f>
              <c:numCache>
                <c:formatCode>_("$"* #,##0_);_("$"* \(#,##0\);_("$"* "-"??_);_(@_)</c:formatCode>
                <c:ptCount val="4"/>
                <c:pt idx="0">
                  <c:v>1319.0</c:v>
                </c:pt>
                <c:pt idx="1">
                  <c:v>941.0694889589905</c:v>
                </c:pt>
                <c:pt idx="2">
                  <c:v>686.2935680673656</c:v>
                </c:pt>
                <c:pt idx="3">
                  <c:v>717.6621368178324</c:v>
                </c:pt>
              </c:numCache>
            </c:numRef>
          </c:val>
        </c:ser>
        <c:dLbls>
          <c:showLegendKey val="0"/>
          <c:showVal val="0"/>
          <c:showCatName val="0"/>
          <c:showSerName val="0"/>
          <c:showPercent val="0"/>
          <c:showBubbleSize val="0"/>
        </c:dLbls>
        <c:gapWidth val="150"/>
        <c:axId val="1685634392"/>
        <c:axId val="-2078871720"/>
      </c:barChart>
      <c:catAx>
        <c:axId val="1685634392"/>
        <c:scaling>
          <c:orientation val="minMax"/>
        </c:scaling>
        <c:delete val="0"/>
        <c:axPos val="b"/>
        <c:numFmt formatCode="General" sourceLinked="0"/>
        <c:majorTickMark val="none"/>
        <c:minorTickMark val="none"/>
        <c:tickLblPos val="nextTo"/>
        <c:crossAx val="-2078871720"/>
        <c:crosses val="autoZero"/>
        <c:auto val="1"/>
        <c:lblAlgn val="ctr"/>
        <c:lblOffset val="100"/>
        <c:noMultiLvlLbl val="0"/>
      </c:catAx>
      <c:valAx>
        <c:axId val="-2078871720"/>
        <c:scaling>
          <c:orientation val="minMax"/>
        </c:scaling>
        <c:delete val="0"/>
        <c:axPos val="l"/>
        <c:majorGridlines/>
        <c:numFmt formatCode="_(&quot;$&quot;* #,##0_);_(&quot;$&quot;* \(#,##0\);_(&quot;$&quot;* &quot;-&quot;??_);_(@_)" sourceLinked="1"/>
        <c:majorTickMark val="none"/>
        <c:minorTickMark val="none"/>
        <c:tickLblPos val="nextTo"/>
        <c:crossAx val="1685634392"/>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1">
                <a:solidFill>
                  <a:sysClr val="windowText" lastClr="000000"/>
                </a:solidFill>
              </a:rPr>
              <a:t>Total Statewide Revenue &amp; Disparity</a:t>
            </a:r>
          </a:p>
        </c:rich>
      </c:tx>
      <c:layout>
        <c:manualLayout>
          <c:xMode val="edge"/>
          <c:yMode val="edge"/>
          <c:x val="0.181172839506173"/>
          <c:y val="0.0289351851851852"/>
        </c:manualLayout>
      </c:layout>
      <c:overlay val="0"/>
      <c:spPr>
        <a:noFill/>
        <a:ln>
          <a:noFill/>
        </a:ln>
        <a:effectLst/>
      </c:spPr>
    </c:title>
    <c:autoTitleDeleted val="0"/>
    <c:plotArea>
      <c:layout>
        <c:manualLayout>
          <c:layoutTarget val="inner"/>
          <c:xMode val="edge"/>
          <c:yMode val="edge"/>
          <c:x val="0.073180045202683"/>
          <c:y val="0.211036836541266"/>
          <c:w val="0.724465648391173"/>
          <c:h val="0.536275153105862"/>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chemeClr val="accent2"/>
              </a:solidFill>
              <a:ln w="6350">
                <a:solidFill>
                  <a:schemeClr val="accent2"/>
                </a:solidFill>
              </a:ln>
              <a:effectLst/>
            </c:spPr>
          </c:dPt>
          <c:dPt>
            <c:idx val="1"/>
            <c:invertIfNegative val="0"/>
            <c:bubble3D val="0"/>
            <c:spPr>
              <a:solidFill>
                <a:schemeClr val="accent1"/>
              </a:solidFill>
              <a:ln w="6350">
                <a:solidFill>
                  <a:schemeClr val="accent1"/>
                </a:solidFill>
              </a:ln>
              <a:effectLst/>
            </c:spPr>
          </c:dPt>
          <c:dLbls>
            <c:dLbl>
              <c:idx val="2"/>
              <c:tx>
                <c:rich>
                  <a:bodyPr/>
                  <a:lstStyle/>
                  <a:p>
                    <a:fld id="{32A5F072-C451-4105-868B-E7937696FA0A}" type="CELLRANGE">
                      <a:rPr lang="en-US"/>
                      <a:pPr/>
                      <a:t>[CELLRANGE]</a:t>
                    </a:fld>
                    <a:endParaRPr lang="en-US" baseline="0"/>
                  </a:p>
                  <a:p>
                    <a:fld id="{036A08D2-6837-4D01-8033-0FA50D921E6B}" type="VALUE">
                      <a:rPr lang="en-US"/>
                      <a:pPr/>
                      <a:t>[VALUE]</a:t>
                    </a:fld>
                    <a:endParaRPr lang="en-US"/>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layout/>
                <c15:showLeaderLines val="0"/>
              </c:ext>
            </c:extLst>
          </c:dLbls>
          <c:cat>
            <c:strRef>
              <c:f>'FIG1'!$N$51:$N$52</c:f>
              <c:strCache>
                <c:ptCount val="2"/>
                <c:pt idx="0">
                  <c:v>District</c:v>
                </c:pt>
                <c:pt idx="1">
                  <c:v>Charter</c:v>
                </c:pt>
              </c:strCache>
            </c:strRef>
          </c:cat>
          <c:val>
            <c:numRef>
              <c:f>'FIG1'!$O$51:$O$52</c:f>
              <c:numCache>
                <c:formatCode>"$"#,##0_);\("$"#,##0\)</c:formatCode>
                <c:ptCount val="2"/>
                <c:pt idx="0">
                  <c:v>11373.74017760916</c:v>
                </c:pt>
                <c:pt idx="1">
                  <c:v>8391.566484227131</c:v>
                </c:pt>
              </c:numCache>
            </c:numRef>
          </c:val>
          <c:extLst/>
        </c:ser>
        <c:ser>
          <c:idx val="1"/>
          <c:order val="1"/>
          <c:tx>
            <c:v>Disparity</c:v>
          </c:tx>
          <c:spPr>
            <a:pattFill prst="openDmnd">
              <a:fgClr>
                <a:schemeClr val="tx1"/>
              </a:fgClr>
              <a:bgClr>
                <a:schemeClr val="bg1"/>
              </a:bgClr>
            </a:pattFill>
            <a:ln w="6350">
              <a:solidFill>
                <a:schemeClr val="tx1">
                  <a:lumMod val="50000"/>
                  <a:lumOff val="50000"/>
                </a:schemeClr>
              </a:solidFill>
            </a:ln>
            <a:effectLst/>
          </c:spPr>
          <c:invertIfNegative val="0"/>
          <c:dLbls>
            <c:dLbl>
              <c:idx val="0"/>
              <c:layout>
                <c:manualLayout>
                  <c:x val="0.281635802469136"/>
                  <c:y val="0.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0.27391975308642"/>
                  <c:y val="0.0"/>
                </c:manualLayout>
              </c:layout>
              <c:numFmt formatCode="&quot;$&quot;#,##0;[Red]&quot;$&quot;#,##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1"/>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'FIG1'!$N$51:$N$52</c:f>
              <c:strCache>
                <c:ptCount val="2"/>
                <c:pt idx="0">
                  <c:v>District</c:v>
                </c:pt>
                <c:pt idx="1">
                  <c:v>Charter</c:v>
                </c:pt>
              </c:strCache>
            </c:strRef>
          </c:cat>
          <c:val>
            <c:numRef>
              <c:f>'FIG1'!$P$51:$P$52</c:f>
              <c:numCache>
                <c:formatCode>"$"#,##0_);\("$"#,##0\)</c:formatCode>
                <c:ptCount val="2"/>
                <c:pt idx="0">
                  <c:v>-2982.173693382025</c:v>
                </c:pt>
              </c:numCache>
            </c:numRef>
          </c:val>
        </c:ser>
        <c:dLbls>
          <c:showLegendKey val="0"/>
          <c:showVal val="0"/>
          <c:showCatName val="0"/>
          <c:showSerName val="0"/>
          <c:showPercent val="0"/>
          <c:showBubbleSize val="0"/>
        </c:dLbls>
        <c:gapWidth val="45"/>
        <c:overlap val="100"/>
        <c:axId val="2131828824"/>
        <c:axId val="-2145162040"/>
      </c:barChart>
      <c:catAx>
        <c:axId val="2131828824"/>
        <c:scaling>
          <c:orientation val="minMax"/>
        </c:scaling>
        <c:delete val="1"/>
        <c:axPos val="l"/>
        <c:numFmt formatCode="General" sourceLinked="1"/>
        <c:majorTickMark val="none"/>
        <c:minorTickMark val="none"/>
        <c:tickLblPos val="nextTo"/>
        <c:crossAx val="-2145162040"/>
        <c:crosses val="autoZero"/>
        <c:auto val="1"/>
        <c:lblAlgn val="ctr"/>
        <c:lblOffset val="100"/>
        <c:noMultiLvlLbl val="0"/>
      </c:catAx>
      <c:valAx>
        <c:axId val="-2145162040"/>
        <c:scaling>
          <c:orientation val="minMax"/>
          <c:min val="0.0"/>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a:t>
                </a:r>
              </a:p>
            </c:rich>
          </c:tx>
          <c:layout>
            <c:manualLayout>
              <c:xMode val="edge"/>
              <c:yMode val="edge"/>
              <c:x val="0.321476742490522"/>
              <c:y val="0.865711577719452"/>
            </c:manualLayout>
          </c:layout>
          <c:overlay val="0"/>
          <c:spPr>
            <a:noFill/>
            <a:ln>
              <a:noFill/>
            </a:ln>
            <a:effectLst/>
          </c:spPr>
        </c:title>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131828824"/>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1.25" l="1.25" r="1.25" t="1.2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1">
                <a:solidFill>
                  <a:sysClr val="windowText" lastClr="000000"/>
                </a:solidFill>
              </a:rPr>
              <a:t>Total Statewide Revenue &amp; Disparity</a:t>
            </a:r>
          </a:p>
        </c:rich>
      </c:tx>
      <c:layout>
        <c:manualLayout>
          <c:xMode val="edge"/>
          <c:yMode val="edge"/>
          <c:x val="0.181172839506173"/>
          <c:y val="0.0289351851851852"/>
        </c:manualLayout>
      </c:layout>
      <c:overlay val="0"/>
      <c:spPr>
        <a:noFill/>
        <a:ln>
          <a:noFill/>
        </a:ln>
        <a:effectLst/>
      </c:spPr>
    </c:title>
    <c:autoTitleDeleted val="0"/>
    <c:plotArea>
      <c:layout>
        <c:manualLayout>
          <c:layoutTarget val="inner"/>
          <c:xMode val="edge"/>
          <c:yMode val="edge"/>
          <c:x val="0.073180045202683"/>
          <c:y val="0.211036836541266"/>
          <c:w val="0.724465648391173"/>
          <c:h val="0.536275153105862"/>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chemeClr val="accent2"/>
              </a:solidFill>
              <a:ln w="6350">
                <a:solidFill>
                  <a:schemeClr val="accent2"/>
                </a:solidFill>
              </a:ln>
              <a:effectLst/>
            </c:spPr>
          </c:dPt>
          <c:dPt>
            <c:idx val="1"/>
            <c:invertIfNegative val="0"/>
            <c:bubble3D val="0"/>
            <c:spPr>
              <a:solidFill>
                <a:schemeClr val="accent1"/>
              </a:solidFill>
              <a:ln w="6350">
                <a:solidFill>
                  <a:schemeClr val="accent1"/>
                </a:solidFill>
              </a:ln>
              <a:effectLst/>
            </c:spPr>
          </c:dPt>
          <c:dLbls>
            <c:dLbl>
              <c:idx val="2"/>
              <c:tx>
                <c:rich>
                  <a:bodyPr/>
                  <a:lstStyle/>
                  <a:p>
                    <a:fld id="{32A5F072-C451-4105-868B-E7937696FA0A}" type="CELLRANGE">
                      <a:rPr lang="en-US"/>
                      <a:pPr/>
                      <a:t>[CELLRANGE]</a:t>
                    </a:fld>
                    <a:endParaRPr lang="en-US" baseline="0"/>
                  </a:p>
                  <a:p>
                    <a:fld id="{036A08D2-6837-4D01-8033-0FA50D921E6B}" type="VALUE">
                      <a:rPr lang="en-US"/>
                      <a:pPr/>
                      <a:t>[VALUE]</a:t>
                    </a:fld>
                    <a:endParaRPr lang="en-US"/>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layout/>
                <c15:showLeaderLines val="0"/>
              </c:ext>
            </c:extLst>
          </c:dLbls>
          <c:cat>
            <c:strRef>
              <c:f>'FIG1'!$N$42:$N$43</c:f>
              <c:strCache>
                <c:ptCount val="2"/>
                <c:pt idx="0">
                  <c:v>District</c:v>
                </c:pt>
                <c:pt idx="1">
                  <c:v>Charter</c:v>
                </c:pt>
              </c:strCache>
            </c:strRef>
          </c:cat>
          <c:val>
            <c:numRef>
              <c:f>'FIG1'!$O$42:$O$43</c:f>
              <c:numCache>
                <c:formatCode>"$"#,##0_);\("$"#,##0\)</c:formatCode>
                <c:ptCount val="2"/>
                <c:pt idx="0">
                  <c:v>11373.74017760916</c:v>
                </c:pt>
                <c:pt idx="1">
                  <c:v>8391.566484227131</c:v>
                </c:pt>
              </c:numCache>
            </c:numRef>
          </c:val>
          <c:extLst/>
        </c:ser>
        <c:ser>
          <c:idx val="1"/>
          <c:order val="1"/>
          <c:tx>
            <c:v>Disparity</c:v>
          </c:tx>
          <c:spPr>
            <a:solidFill>
              <a:schemeClr val="accent2"/>
            </a:solidFill>
            <a:ln>
              <a:noFill/>
            </a:ln>
            <a:effectLst/>
          </c:spPr>
          <c:invertIfNegative val="0"/>
          <c:dPt>
            <c:idx val="1"/>
            <c:invertIfNegative val="0"/>
            <c:bubble3D val="0"/>
            <c:spPr>
              <a:pattFill prst="openDmnd">
                <a:fgClr>
                  <a:schemeClr val="tx1"/>
                </a:fgClr>
                <a:bgClr>
                  <a:schemeClr val="bg1"/>
                </a:bgClr>
              </a:pattFill>
              <a:ln w="6350">
                <a:solidFill>
                  <a:schemeClr val="tx1">
                    <a:lumMod val="50000"/>
                    <a:lumOff val="50000"/>
                  </a:schemeClr>
                </a:solidFill>
              </a:ln>
              <a:effectLst/>
            </c:spPr>
          </c:dPt>
          <c:dLbls>
            <c:dLbl>
              <c:idx val="1"/>
              <c:layout>
                <c:manualLayout>
                  <c:x val="0.27391975308642"/>
                  <c:y val="0.0"/>
                </c:manualLayout>
              </c:layout>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C00000"/>
                      </a:solidFill>
                      <a:latin typeface="+mn-lt"/>
                      <a:ea typeface="+mn-ea"/>
                      <a:cs typeface="+mn-cs"/>
                    </a:defRPr>
                  </a:pPr>
                  <a:endParaRPr lang="en-US"/>
                </a:p>
              </c:txPr>
              <c:showLegendKey val="0"/>
              <c:showVal val="1"/>
              <c:showCatName val="0"/>
              <c:showSerName val="1"/>
              <c:showPercent val="0"/>
              <c:showBubbleSize val="0"/>
              <c:separator>
</c:separator>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'FIG1'!$N$42:$N$43</c:f>
              <c:strCache>
                <c:ptCount val="2"/>
                <c:pt idx="0">
                  <c:v>District</c:v>
                </c:pt>
                <c:pt idx="1">
                  <c:v>Charter</c:v>
                </c:pt>
              </c:strCache>
            </c:strRef>
          </c:cat>
          <c:val>
            <c:numRef>
              <c:f>'FIG1'!$P$42:$P$43</c:f>
              <c:numCache>
                <c:formatCode>"$"#,##0_);\("$"#,##0\)</c:formatCode>
                <c:ptCount val="2"/>
                <c:pt idx="1">
                  <c:v>2982.173693382025</c:v>
                </c:pt>
              </c:numCache>
            </c:numRef>
          </c:val>
        </c:ser>
        <c:dLbls>
          <c:showLegendKey val="0"/>
          <c:showVal val="0"/>
          <c:showCatName val="0"/>
          <c:showSerName val="0"/>
          <c:showPercent val="0"/>
          <c:showBubbleSize val="0"/>
        </c:dLbls>
        <c:gapWidth val="45"/>
        <c:overlap val="100"/>
        <c:axId val="1685669464"/>
        <c:axId val="-2090298472"/>
      </c:barChart>
      <c:catAx>
        <c:axId val="1685669464"/>
        <c:scaling>
          <c:orientation val="minMax"/>
        </c:scaling>
        <c:delete val="1"/>
        <c:axPos val="l"/>
        <c:numFmt formatCode="General" sourceLinked="1"/>
        <c:majorTickMark val="none"/>
        <c:minorTickMark val="none"/>
        <c:tickLblPos val="nextTo"/>
        <c:crossAx val="-2090298472"/>
        <c:crosses val="autoZero"/>
        <c:auto val="1"/>
        <c:lblAlgn val="ctr"/>
        <c:lblOffset val="100"/>
        <c:noMultiLvlLbl val="0"/>
      </c:catAx>
      <c:valAx>
        <c:axId val="-2090298472"/>
        <c:scaling>
          <c:orientation val="minMax"/>
          <c:min val="0.0"/>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 Pupil Revenue</a:t>
                </a:r>
              </a:p>
            </c:rich>
          </c:tx>
          <c:layout>
            <c:manualLayout>
              <c:xMode val="edge"/>
              <c:yMode val="edge"/>
              <c:x val="0.321476742490522"/>
              <c:y val="0.865711577719452"/>
            </c:manualLayout>
          </c:layout>
          <c:overlay val="0"/>
          <c:spPr>
            <a:noFill/>
            <a:ln>
              <a:noFill/>
            </a:ln>
            <a:effectLst/>
          </c:spPr>
        </c:title>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685669464"/>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1.25" l="1.25" r="1.25" t="1.2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FY11 Total Statewide Enrollment</a:t>
            </a:r>
          </a:p>
        </c:rich>
      </c:tx>
      <c:layout/>
      <c:overlay val="0"/>
      <c:spPr>
        <a:noFill/>
        <a:ln>
          <a:noFill/>
        </a:ln>
        <a:effectLst/>
      </c:spPr>
    </c:title>
    <c:autoTitleDeleted val="0"/>
    <c:plotArea>
      <c:layout>
        <c:manualLayout>
          <c:layoutTarget val="inner"/>
          <c:xMode val="edge"/>
          <c:yMode val="edge"/>
          <c:x val="0.198511470788374"/>
          <c:y val="0.199490740740741"/>
          <c:w val="0.576844864878001"/>
          <c:h val="0.548642096821231"/>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2"/>
              </a:solidFill>
              <a:ln>
                <a:noFill/>
              </a:ln>
              <a:effectLst/>
            </c:spPr>
          </c:dPt>
          <c:dLbls>
            <c:dLbl>
              <c:idx val="0"/>
              <c:layout/>
              <c:tx>
                <c:rich>
                  <a:bodyPr/>
                  <a:lstStyle/>
                  <a:p>
                    <a:fld id="{4B71C6B7-0FFE-48A5-90A8-FB1884B75692}" type="CELLRANGE">
                      <a:rPr lang="en-US"/>
                      <a:pPr/>
                      <a:t>[CELLRANGE]</a:t>
                    </a:fld>
                    <a:endParaRPr lang="en-US" baseline="0"/>
                  </a:p>
                  <a:p>
                    <a:fld id="{DC2AF504-E3E4-448B-85FD-229004B9E67A}" type="VALUE">
                      <a:rPr lang="en-US"/>
                      <a:pPr/>
                      <a:t>[VALUE]</a:t>
                    </a:fld>
                    <a:endParaRPr lang="en-US"/>
                  </a:p>
                </c:rich>
              </c:tx>
              <c:showLegendKey val="0"/>
              <c:showVal val="1"/>
              <c:showCatName val="0"/>
              <c:showSerName val="0"/>
              <c:showPercent val="0"/>
              <c:showBubbleSize val="0"/>
              <c:separator>
</c:separator>
              <c:extLst>
                <c:ext xmlns:c15="http://schemas.microsoft.com/office/drawing/2012/chart" uri="{CE6537A1-D6FC-4f65-9D91-7224C49458BB}">
                  <c15:layout/>
                  <c15:dlblFieldTable/>
                  <c15:showDataLabelsRange val="1"/>
                </c:ext>
              </c:extLst>
            </c:dLbl>
            <c:dLbl>
              <c:idx val="1"/>
              <c:layout/>
              <c:tx>
                <c:rich>
                  <a:bodyPr/>
                  <a:lstStyle/>
                  <a:p>
                    <a:fld id="{7F67C4CB-4247-4B6B-9D79-12D179464150}" type="CELLRANGE">
                      <a:rPr lang="en-US"/>
                      <a:pPr/>
                      <a:t>[CELLRANGE]</a:t>
                    </a:fld>
                    <a:endParaRPr lang="en-US" baseline="0"/>
                  </a:p>
                  <a:p>
                    <a:fld id="{A710041C-DBC1-4A6C-B590-51E83F44C21C}" type="VALUE">
                      <a:rPr lang="en-US"/>
                      <a:pPr/>
                      <a:t>[VALUE]</a:t>
                    </a:fld>
                    <a:endParaRPr lang="en-US"/>
                  </a:p>
                </c:rich>
              </c:tx>
              <c:showLegendKey val="0"/>
              <c:showVal val="0"/>
              <c:showCatName val="0"/>
              <c:showSerName val="0"/>
              <c:showPercent val="0"/>
              <c:showBubbleSize val="0"/>
              <c:separator>
</c:separator>
              <c:extLst>
                <c:ext xmlns:c15="http://schemas.microsoft.com/office/drawing/2012/chart" uri="{CE6537A1-D6FC-4f65-9D91-7224C49458BB}">
                  <c15:layout/>
                  <c15:dlblFieldTable/>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eparator>
</c:separator>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'FIG2'!$N$42:$N$43</c:f>
              <c:strCache>
                <c:ptCount val="2"/>
                <c:pt idx="0">
                  <c:v>District</c:v>
                </c:pt>
                <c:pt idx="1">
                  <c:v>Charter</c:v>
                </c:pt>
              </c:strCache>
            </c:strRef>
          </c:cat>
          <c:val>
            <c:numRef>
              <c:f>'FIG2'!$O$42:$O$43</c:f>
              <c:numCache>
                <c:formatCode>#,##0_);\(#,##0\)</c:formatCode>
                <c:ptCount val="2"/>
                <c:pt idx="0">
                  <c:v>461519.0</c:v>
                </c:pt>
                <c:pt idx="1">
                  <c:v>6340.0</c:v>
                </c:pt>
              </c:numCache>
            </c:numRef>
          </c:val>
          <c:extLst>
            <c:ext xmlns:c15="http://schemas.microsoft.com/office/drawing/2012/chart" uri="{02D57815-91ED-43cb-92C2-25804820EDAC}">
              <c15:datalabelsRange>
                <c15:f>'FIG2'!$P$42:$P$43</c15:f>
                <c15:dlblRangeCache>
                  <c:ptCount val="2"/>
                  <c:pt idx="0">
                    <c:v>98.6%</c:v>
                  </c:pt>
                  <c:pt idx="1">
                    <c:v>1.4%</c:v>
                  </c:pt>
                </c15:dlblRangeCache>
              </c15:datalabelsRange>
            </c:ext>
          </c:extLst>
        </c:ser>
        <c:ser>
          <c:idx val="1"/>
          <c:order val="1"/>
          <c:invertIfNegative val="0"/>
          <c:cat>
            <c:strRef>
              <c:f>'FIG2'!$N$42:$N$43</c:f>
              <c:strCache>
                <c:ptCount val="2"/>
                <c:pt idx="0">
                  <c:v>District</c:v>
                </c:pt>
                <c:pt idx="1">
                  <c:v>Charter</c:v>
                </c:pt>
              </c:strCache>
            </c:strRef>
          </c:cat>
          <c:val>
            <c:numRef>
              <c:f>'FIG2'!$P$42:$P$43</c:f>
              <c:numCache>
                <c:formatCode>0.0%</c:formatCode>
                <c:ptCount val="2"/>
                <c:pt idx="0">
                  <c:v>0.986448908752423</c:v>
                </c:pt>
                <c:pt idx="1">
                  <c:v>0.0135510912475767</c:v>
                </c:pt>
              </c:numCache>
            </c:numRef>
          </c:val>
        </c:ser>
        <c:dLbls>
          <c:showLegendKey val="0"/>
          <c:showVal val="0"/>
          <c:showCatName val="0"/>
          <c:showSerName val="0"/>
          <c:showPercent val="0"/>
          <c:showBubbleSize val="0"/>
        </c:dLbls>
        <c:gapWidth val="50"/>
        <c:axId val="2132381368"/>
        <c:axId val="-2091468296"/>
      </c:barChart>
      <c:catAx>
        <c:axId val="2132381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091468296"/>
        <c:crosses val="autoZero"/>
        <c:auto val="1"/>
        <c:lblAlgn val="ctr"/>
        <c:lblOffset val="100"/>
        <c:noMultiLvlLbl val="0"/>
      </c:catAx>
      <c:valAx>
        <c:axId val="-2091468296"/>
        <c:scaling>
          <c:orientation val="minMax"/>
          <c:min val="0.0"/>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Enrollment</a:t>
                </a:r>
              </a:p>
            </c:rich>
          </c:tx>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132381368"/>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1.25" l="1.25" r="1.25" t="1.25"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400" b="1">
                <a:solidFill>
                  <a:schemeClr val="tx1"/>
                </a:solidFill>
                <a:latin typeface="+mn-lt"/>
              </a:rPr>
              <a:t>FY11 Funding by Source -- District</a:t>
            </a:r>
          </a:p>
        </c:rich>
      </c:tx>
      <c:layout/>
      <c:overlay val="0"/>
      <c:spPr>
        <a:noFill/>
        <a:ln>
          <a:noFill/>
        </a:ln>
        <a:effectLst/>
      </c:spPr>
    </c:title>
    <c:autoTitleDeleted val="0"/>
    <c:plotArea>
      <c:layout>
        <c:manualLayout>
          <c:layoutTarget val="inner"/>
          <c:xMode val="edge"/>
          <c:yMode val="edge"/>
          <c:x val="0.12037037037037"/>
          <c:y val="0.310845454214057"/>
          <c:w val="0.739969135802469"/>
          <c:h val="0.572609087926509"/>
        </c:manualLayout>
      </c:layout>
      <c:ofPieChart>
        <c:ofPieType val="bar"/>
        <c:varyColors val="1"/>
        <c:ser>
          <c:idx val="0"/>
          <c:order val="0"/>
          <c:explosion val="3"/>
          <c:dPt>
            <c:idx val="0"/>
            <c:bubble3D val="0"/>
            <c:explosion val="15"/>
            <c:spPr>
              <a:solidFill>
                <a:schemeClr val="accent2">
                  <a:lumMod val="50000"/>
                </a:schemeClr>
              </a:solidFill>
              <a:ln w="19050">
                <a:solidFill>
                  <a:schemeClr val="lt1"/>
                </a:solidFill>
              </a:ln>
              <a:effectLst/>
            </c:spPr>
          </c:dPt>
          <c:dPt>
            <c:idx val="1"/>
            <c:bubble3D val="0"/>
            <c:spPr>
              <a:solidFill>
                <a:schemeClr val="bg2">
                  <a:lumMod val="75000"/>
                </a:schemeClr>
              </a:solidFill>
              <a:ln w="19050">
                <a:solidFill>
                  <a:schemeClr val="lt1"/>
                </a:solidFill>
              </a:ln>
              <a:effectLst/>
            </c:spPr>
          </c:dPt>
          <c:dPt>
            <c:idx val="2"/>
            <c:bubble3D val="0"/>
            <c:spPr>
              <a:solidFill>
                <a:schemeClr val="accent6"/>
              </a:solidFill>
              <a:ln w="19050">
                <a:solidFill>
                  <a:schemeClr val="lt1"/>
                </a:solidFill>
              </a:ln>
              <a:effectLst/>
            </c:spPr>
          </c:dPt>
          <c:dPt>
            <c:idx val="3"/>
            <c:bubble3D val="0"/>
            <c:spPr>
              <a:solidFill>
                <a:schemeClr val="accent5"/>
              </a:solidFill>
              <a:ln w="19050">
                <a:solidFill>
                  <a:schemeClr val="lt1"/>
                </a:solidFill>
              </a:ln>
              <a:effectLst/>
            </c:spPr>
          </c:dPt>
          <c:dPt>
            <c:idx val="4"/>
            <c:bubble3D val="0"/>
            <c:spPr>
              <a:solidFill>
                <a:schemeClr val="accent4"/>
              </a:solidFill>
              <a:ln w="19050">
                <a:solidFill>
                  <a:schemeClr val="lt1"/>
                </a:solidFill>
              </a:ln>
              <a:effectLst/>
            </c:spPr>
          </c:dPt>
          <c:dPt>
            <c:idx val="5"/>
            <c:bubble3D val="0"/>
            <c:spPr>
              <a:solidFill>
                <a:schemeClr val="accent2"/>
              </a:solidFill>
              <a:ln w="9525">
                <a:noFill/>
              </a:ln>
              <a:effectLst/>
            </c:spPr>
          </c:dPt>
          <c:dLbls>
            <c:dLbl>
              <c:idx val="0"/>
              <c:layout>
                <c:manualLayout>
                  <c:x val="0.0134453679401186"/>
                  <c:y val="-0.26840232210557"/>
                </c:manualLayout>
              </c:layout>
              <c:showLegendKey val="0"/>
              <c:showVal val="1"/>
              <c:showCatName val="1"/>
              <c:showSerName val="0"/>
              <c:showPercent val="1"/>
              <c:showBubbleSize val="0"/>
              <c:extLst>
                <c:ext xmlns:c15="http://schemas.microsoft.com/office/drawing/2012/chart" uri="{CE6537A1-D6FC-4f65-9D91-7224C49458BB}">
                  <c15:layout/>
                </c:ext>
              </c:extLst>
            </c:dLbl>
            <c:dLbl>
              <c:idx val="1"/>
              <c:layout>
                <c:manualLayout>
                  <c:x val="0.0115740740740741"/>
                  <c:y val="-0.121527777777778"/>
                </c:manualLayout>
              </c:layout>
              <c:showLegendKey val="0"/>
              <c:showVal val="1"/>
              <c:showCatName val="1"/>
              <c:showSerName val="0"/>
              <c:showPercent val="1"/>
              <c:showBubbleSize val="0"/>
              <c:extLst>
                <c:ext xmlns:c15="http://schemas.microsoft.com/office/drawing/2012/chart" uri="{CE6537A1-D6FC-4f65-9D91-7224C49458BB}">
                  <c15:layout/>
                </c:ext>
              </c:extLst>
            </c:dLbl>
            <c:dLbl>
              <c:idx val="2"/>
              <c:layout>
                <c:manualLayout>
                  <c:x val="0.0462962962962963"/>
                  <c:y val="0.0173611111111111"/>
                </c:manualLayout>
              </c:layout>
              <c:showLegendKey val="0"/>
              <c:showVal val="1"/>
              <c:showCatName val="1"/>
              <c:showSerName val="0"/>
              <c:showPercent val="1"/>
              <c:showBubbleSize val="0"/>
              <c:extLst>
                <c:ext xmlns:c15="http://schemas.microsoft.com/office/drawing/2012/chart" uri="{CE6537A1-D6FC-4f65-9D91-7224C49458BB}">
                  <c15:layout/>
                </c:ext>
              </c:extLst>
            </c:dLbl>
            <c:dLbl>
              <c:idx val="3"/>
              <c:layout>
                <c:manualLayout>
                  <c:x val="0.0462962962962963"/>
                  <c:y val="0.0347222222222222"/>
                </c:manualLayout>
              </c:layout>
              <c:showLegendKey val="0"/>
              <c:showVal val="1"/>
              <c:showCatName val="1"/>
              <c:showSerName val="0"/>
              <c:showPercent val="1"/>
              <c:showBubbleSize val="0"/>
              <c:extLst>
                <c:ext xmlns:c15="http://schemas.microsoft.com/office/drawing/2012/chart" uri="{CE6537A1-D6FC-4f65-9D91-7224C49458BB}">
                  <c15:layout/>
                </c:ext>
              </c:extLst>
            </c:dLbl>
            <c:dLbl>
              <c:idx val="4"/>
              <c:layout>
                <c:manualLayout>
                  <c:x val="0.0231481481481481"/>
                  <c:y val="0.109953703703704"/>
                </c:manualLayout>
              </c:layout>
              <c:showLegendKey val="0"/>
              <c:showVal val="1"/>
              <c:showCatName val="1"/>
              <c:showSerName val="0"/>
              <c:showPercent val="1"/>
              <c:showBubbleSize val="0"/>
              <c:extLst>
                <c:ext xmlns:c15="http://schemas.microsoft.com/office/drawing/2012/chart" uri="{CE6537A1-D6FC-4f65-9D91-7224C49458BB}">
                  <c15:layout/>
                </c:ext>
              </c:extLst>
            </c:dLbl>
            <c:dLbl>
              <c:idx val="5"/>
              <c:layout>
                <c:manualLayout>
                  <c:x val="-0.183586687080782"/>
                  <c:y val="0.00154837416156314"/>
                </c:manualLayout>
              </c:layout>
              <c:tx>
                <c:rich>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r>
                      <a:rPr lang="en-US">
                        <a:solidFill>
                          <a:schemeClr val="bg1"/>
                        </a:solidFill>
                      </a:rPr>
                      <a:t>Public Funding</a:t>
                    </a:r>
                    <a:r>
                      <a:rPr lang="en-US" baseline="0">
                        <a:solidFill>
                          <a:schemeClr val="bg1"/>
                        </a:solidFill>
                      </a:rPr>
                      <a:t>
</a:t>
                    </a:r>
                    <a:fld id="{2E2277A9-1AB9-4C56-9132-FC406357CCEB}" type="PERCENTAGE">
                      <a:rPr lang="en-US" baseline="0">
                        <a:solidFill>
                          <a:schemeClr val="bg1"/>
                        </a:solidFill>
                      </a:rPr>
                      <a:pPr>
                        <a:defRPr sz="1000" b="1" i="0" u="none" strike="noStrike" kern="1200" baseline="0">
                          <a:solidFill>
                            <a:schemeClr val="bg1"/>
                          </a:solidFill>
                          <a:latin typeface="+mn-lt"/>
                          <a:ea typeface="+mn-ea"/>
                          <a:cs typeface="+mn-cs"/>
                        </a:defRPr>
                      </a:pPr>
                      <a:t>[PERCENTAGE]</a:t>
                    </a:fld>
                    <a:endParaRPr lang="en-US" baseline="0">
                      <a:solidFill>
                        <a:schemeClr val="bg1"/>
                      </a:solidFill>
                    </a:endParaRPr>
                  </a:p>
                </c:rich>
              </c:tx>
              <c:numFmt formatCode="0.0%" sourceLinked="0"/>
              <c:spPr>
                <a:noFill/>
                <a:ln>
                  <a:noFill/>
                </a:ln>
                <a:effectLst/>
              </c:spPr>
              <c:showLegendKey val="0"/>
              <c:showVal val="1"/>
              <c:showCatName val="1"/>
              <c:showSerName val="0"/>
              <c:showPercent val="1"/>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mn-lt"/>
                    <a:ea typeface="+mn-ea"/>
                    <a:cs typeface="+mn-cs"/>
                  </a:defRPr>
                </a:pPr>
                <a:endParaRPr lang="en-US"/>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'FIG4'!$N$41:$N$45</c:f>
              <c:strCache>
                <c:ptCount val="5"/>
                <c:pt idx="0">
                  <c:v>Non-Public Funding</c:v>
                </c:pt>
                <c:pt idx="1">
                  <c:v>Public-Indeter.</c:v>
                </c:pt>
                <c:pt idx="2">
                  <c:v>Local</c:v>
                </c:pt>
                <c:pt idx="3">
                  <c:v>State</c:v>
                </c:pt>
                <c:pt idx="4">
                  <c:v>Federal</c:v>
                </c:pt>
              </c:strCache>
            </c:strRef>
          </c:cat>
          <c:val>
            <c:numRef>
              <c:f>'FIG4'!$O$41:$O$45</c:f>
              <c:numCache>
                <c:formatCode>"$"#,##0_);\("$"#,##0\)</c:formatCode>
                <c:ptCount val="5"/>
                <c:pt idx="0">
                  <c:v>1319.372525833172</c:v>
                </c:pt>
                <c:pt idx="1">
                  <c:v>6.799043094650492</c:v>
                </c:pt>
                <c:pt idx="2">
                  <c:v>3140.202221013654</c:v>
                </c:pt>
                <c:pt idx="3">
                  <c:v>5140.875957674548</c:v>
                </c:pt>
                <c:pt idx="4">
                  <c:v>1766.490429993132</c:v>
                </c:pt>
              </c:numCache>
            </c:numRef>
          </c:val>
        </c:ser>
        <c:dLbls>
          <c:showLegendKey val="0"/>
          <c:showVal val="0"/>
          <c:showCatName val="0"/>
          <c:showSerName val="0"/>
          <c:showPercent val="0"/>
          <c:showBubbleSize val="0"/>
          <c:showLeaderLines val="1"/>
        </c:dLbls>
        <c:gapWidth val="100"/>
        <c:splitType val="pos"/>
        <c:splitPos val="4.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zero"/>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400" b="1">
                <a:solidFill>
                  <a:schemeClr val="tx1"/>
                </a:solidFill>
                <a:latin typeface="+mn-lt"/>
              </a:rPr>
              <a:t>FY11 Funding by Source -- Charter</a:t>
            </a:r>
          </a:p>
        </c:rich>
      </c:tx>
      <c:layout>
        <c:manualLayout>
          <c:xMode val="edge"/>
          <c:yMode val="edge"/>
          <c:x val="0.254983782531013"/>
          <c:y val="0.0570450656018254"/>
        </c:manualLayout>
      </c:layout>
      <c:overlay val="0"/>
      <c:spPr>
        <a:noFill/>
        <a:ln>
          <a:noFill/>
        </a:ln>
        <a:effectLst/>
      </c:spPr>
    </c:title>
    <c:autoTitleDeleted val="0"/>
    <c:plotArea>
      <c:layout>
        <c:manualLayout>
          <c:layoutTarget val="inner"/>
          <c:xMode val="edge"/>
          <c:yMode val="edge"/>
          <c:x val="0.12037037037037"/>
          <c:y val="0.310845454214057"/>
          <c:w val="0.739969135802469"/>
          <c:h val="0.572609087926509"/>
        </c:manualLayout>
      </c:layout>
      <c:ofPieChart>
        <c:ofPieType val="bar"/>
        <c:varyColors val="1"/>
        <c:ser>
          <c:idx val="0"/>
          <c:order val="0"/>
          <c:explosion val="3"/>
          <c:dPt>
            <c:idx val="0"/>
            <c:bubble3D val="0"/>
            <c:explosion val="15"/>
            <c:spPr>
              <a:solidFill>
                <a:schemeClr val="tx2">
                  <a:lumMod val="75000"/>
                </a:schemeClr>
              </a:solidFill>
              <a:ln w="19050">
                <a:solidFill>
                  <a:schemeClr val="lt1"/>
                </a:solidFill>
              </a:ln>
              <a:effectLst/>
            </c:spPr>
          </c:dPt>
          <c:dPt>
            <c:idx val="1"/>
            <c:bubble3D val="0"/>
            <c:spPr>
              <a:solidFill>
                <a:schemeClr val="bg2">
                  <a:lumMod val="75000"/>
                </a:schemeClr>
              </a:solidFill>
              <a:ln w="19050">
                <a:solidFill>
                  <a:schemeClr val="lt1"/>
                </a:solidFill>
              </a:ln>
              <a:effectLst/>
            </c:spPr>
          </c:dPt>
          <c:dPt>
            <c:idx val="2"/>
            <c:bubble3D val="0"/>
            <c:spPr>
              <a:solidFill>
                <a:schemeClr val="accent6"/>
              </a:solidFill>
              <a:ln w="19050">
                <a:solidFill>
                  <a:schemeClr val="lt1"/>
                </a:solidFill>
              </a:ln>
              <a:effectLst/>
            </c:spPr>
          </c:dPt>
          <c:dPt>
            <c:idx val="3"/>
            <c:bubble3D val="0"/>
            <c:spPr>
              <a:solidFill>
                <a:schemeClr val="accent5"/>
              </a:solidFill>
              <a:ln w="19050">
                <a:solidFill>
                  <a:schemeClr val="lt1"/>
                </a:solidFill>
              </a:ln>
              <a:effectLst/>
            </c:spPr>
          </c:dPt>
          <c:dPt>
            <c:idx val="4"/>
            <c:bubble3D val="0"/>
            <c:spPr>
              <a:solidFill>
                <a:schemeClr val="accent4"/>
              </a:solidFill>
              <a:ln w="19050">
                <a:solidFill>
                  <a:schemeClr val="lt1"/>
                </a:solidFill>
              </a:ln>
              <a:effectLst/>
            </c:spPr>
          </c:dPt>
          <c:dPt>
            <c:idx val="5"/>
            <c:bubble3D val="0"/>
            <c:spPr>
              <a:solidFill>
                <a:schemeClr val="accent1"/>
              </a:solidFill>
              <a:ln w="9525">
                <a:noFill/>
              </a:ln>
              <a:effectLst/>
            </c:spPr>
          </c:dPt>
          <c:dLbls>
            <c:dLbl>
              <c:idx val="0"/>
              <c:layout>
                <c:manualLayout>
                  <c:x val="0.0134453679401186"/>
                  <c:y val="-0.26840232210557"/>
                </c:manualLayout>
              </c:layout>
              <c:showLegendKey val="0"/>
              <c:showVal val="1"/>
              <c:showCatName val="1"/>
              <c:showSerName val="0"/>
              <c:showPercent val="1"/>
              <c:showBubbleSize val="0"/>
              <c:extLst>
                <c:ext xmlns:c15="http://schemas.microsoft.com/office/drawing/2012/chart" uri="{CE6537A1-D6FC-4f65-9D91-7224C49458BB}">
                  <c15:layout/>
                </c:ext>
              </c:extLst>
            </c:dLbl>
            <c:dLbl>
              <c:idx val="1"/>
              <c:layout>
                <c:manualLayout>
                  <c:x val="0.0231481481481481"/>
                  <c:y val="-0.115740740740741"/>
                </c:manualLayout>
              </c:layout>
              <c:showLegendKey val="0"/>
              <c:showVal val="1"/>
              <c:showCatName val="1"/>
              <c:showSerName val="0"/>
              <c:showPercent val="1"/>
              <c:showBubbleSize val="0"/>
              <c:extLst>
                <c:ext xmlns:c15="http://schemas.microsoft.com/office/drawing/2012/chart" uri="{CE6537A1-D6FC-4f65-9D91-7224C49458BB}">
                  <c15:layout/>
                </c:ext>
              </c:extLst>
            </c:dLbl>
            <c:dLbl>
              <c:idx val="2"/>
              <c:layout>
                <c:manualLayout>
                  <c:x val="0.0578703703703704"/>
                  <c:y val="0.109953703703704"/>
                </c:manualLayout>
              </c:layout>
              <c:showLegendKey val="0"/>
              <c:showVal val="1"/>
              <c:showCatName val="1"/>
              <c:showSerName val="0"/>
              <c:showPercent val="1"/>
              <c:showBubbleSize val="0"/>
              <c:extLst>
                <c:ext xmlns:c15="http://schemas.microsoft.com/office/drawing/2012/chart" uri="{CE6537A1-D6FC-4f65-9D91-7224C49458BB}">
                  <c15:layout/>
                </c:ext>
              </c:extLst>
            </c:dLbl>
            <c:dLbl>
              <c:idx val="3"/>
              <c:layout>
                <c:manualLayout>
                  <c:x val="0.0462962962962963"/>
                  <c:y val="0.109953703703704"/>
                </c:manualLayout>
              </c:layout>
              <c:showLegendKey val="0"/>
              <c:showVal val="1"/>
              <c:showCatName val="1"/>
              <c:showSerName val="0"/>
              <c:showPercent val="1"/>
              <c:showBubbleSize val="0"/>
              <c:extLst>
                <c:ext xmlns:c15="http://schemas.microsoft.com/office/drawing/2012/chart" uri="{CE6537A1-D6FC-4f65-9D91-7224C49458BB}">
                  <c15:layout/>
                </c:ext>
              </c:extLst>
            </c:dLbl>
            <c:dLbl>
              <c:idx val="4"/>
              <c:layout>
                <c:manualLayout>
                  <c:x val="0.0231481481481481"/>
                  <c:y val="0.109953703703704"/>
                </c:manualLayout>
              </c:layout>
              <c:showLegendKey val="0"/>
              <c:showVal val="1"/>
              <c:showCatName val="1"/>
              <c:showSerName val="0"/>
              <c:showPercent val="1"/>
              <c:showBubbleSize val="0"/>
              <c:extLst>
                <c:ext xmlns:c15="http://schemas.microsoft.com/office/drawing/2012/chart" uri="{CE6537A1-D6FC-4f65-9D91-7224C49458BB}">
                  <c15:layout/>
                </c:ext>
              </c:extLst>
            </c:dLbl>
            <c:dLbl>
              <c:idx val="5"/>
              <c:layout>
                <c:manualLayout>
                  <c:x val="-0.183586687080782"/>
                  <c:y val="0.00154837416156314"/>
                </c:manualLayout>
              </c:layout>
              <c:tx>
                <c:rich>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r>
                      <a:rPr lang="en-US">
                        <a:solidFill>
                          <a:schemeClr val="bg1"/>
                        </a:solidFill>
                      </a:rPr>
                      <a:t>Public Funding</a:t>
                    </a:r>
                    <a:r>
                      <a:rPr lang="en-US" baseline="0">
                        <a:solidFill>
                          <a:schemeClr val="bg1"/>
                        </a:solidFill>
                      </a:rPr>
                      <a:t>
</a:t>
                    </a:r>
                    <a:fld id="{2E2277A9-1AB9-4C56-9132-FC406357CCEB}" type="PERCENTAGE">
                      <a:rPr lang="en-US" baseline="0">
                        <a:solidFill>
                          <a:schemeClr val="bg1"/>
                        </a:solidFill>
                      </a:rPr>
                      <a:pPr>
                        <a:defRPr sz="1000" b="1" i="0" u="none" strike="noStrike" kern="1200" baseline="0">
                          <a:solidFill>
                            <a:schemeClr val="bg1"/>
                          </a:solidFill>
                          <a:latin typeface="+mn-lt"/>
                          <a:ea typeface="+mn-ea"/>
                          <a:cs typeface="+mn-cs"/>
                        </a:defRPr>
                      </a:pPr>
                      <a:t>[PERCENTAGE]</a:t>
                    </a:fld>
                    <a:endParaRPr lang="en-US" baseline="0">
                      <a:solidFill>
                        <a:schemeClr val="bg1"/>
                      </a:solidFill>
                    </a:endParaRPr>
                  </a:p>
                </c:rich>
              </c:tx>
              <c:numFmt formatCode="0.0%" sourceLinked="0"/>
              <c:spPr>
                <a:noFill/>
                <a:ln>
                  <a:noFill/>
                </a:ln>
                <a:effectLst/>
              </c:spPr>
              <c:showLegendKey val="0"/>
              <c:showVal val="1"/>
              <c:showCatName val="1"/>
              <c:showSerName val="0"/>
              <c:showPercent val="1"/>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mn-lt"/>
                    <a:ea typeface="+mn-ea"/>
                    <a:cs typeface="+mn-cs"/>
                  </a:defRPr>
                </a:pPr>
                <a:endParaRPr lang="en-US"/>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'FIG5'!$N$41:$N$45</c:f>
              <c:strCache>
                <c:ptCount val="5"/>
                <c:pt idx="0">
                  <c:v>Non-Public Funding</c:v>
                </c:pt>
                <c:pt idx="1">
                  <c:v>Public-Indeter.</c:v>
                </c:pt>
                <c:pt idx="2">
                  <c:v>Local</c:v>
                </c:pt>
                <c:pt idx="3">
                  <c:v>State</c:v>
                </c:pt>
                <c:pt idx="4">
                  <c:v>Federal</c:v>
                </c:pt>
              </c:strCache>
            </c:strRef>
          </c:cat>
          <c:val>
            <c:numRef>
              <c:f>'FIG5'!$O$41:$O$45</c:f>
              <c:numCache>
                <c:formatCode>"$"#,##0_);\("$"#,##0\)</c:formatCode>
                <c:ptCount val="5"/>
                <c:pt idx="0">
                  <c:v>941.0694889589905</c:v>
                </c:pt>
                <c:pt idx="1">
                  <c:v>0.0</c:v>
                </c:pt>
                <c:pt idx="2">
                  <c:v>0.0</c:v>
                </c:pt>
                <c:pt idx="3">
                  <c:v>6239.48908675079</c:v>
                </c:pt>
                <c:pt idx="4">
                  <c:v>1211.00790851735</c:v>
                </c:pt>
              </c:numCache>
            </c:numRef>
          </c:val>
        </c:ser>
        <c:dLbls>
          <c:showLegendKey val="0"/>
          <c:showVal val="0"/>
          <c:showCatName val="0"/>
          <c:showSerName val="0"/>
          <c:showPercent val="0"/>
          <c:showBubbleSize val="0"/>
          <c:showLeaderLines val="1"/>
        </c:dLbls>
        <c:gapWidth val="100"/>
        <c:splitType val="pos"/>
        <c:splitPos val="4.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zero"/>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sz="1300"/>
              <a:t>Total Funding, All Sources --</a:t>
            </a:r>
            <a:r>
              <a:rPr lang="en-US" sz="1300" baseline="0"/>
              <a:t> </a:t>
            </a:r>
            <a:r>
              <a:rPr lang="en-US" sz="1300"/>
              <a:t>Inflation Adjusted -- Over Time</a:t>
            </a:r>
          </a:p>
        </c:rich>
      </c:tx>
      <c:layout/>
      <c:overlay val="0"/>
    </c:title>
    <c:autoTitleDeleted val="0"/>
    <c:plotArea>
      <c:layout>
        <c:manualLayout>
          <c:layoutTarget val="inner"/>
          <c:xMode val="edge"/>
          <c:yMode val="edge"/>
          <c:x val="0.134069285643092"/>
          <c:y val="0.133740909038353"/>
          <c:w val="0.844021084319402"/>
          <c:h val="0.632711025625614"/>
        </c:manualLayout>
      </c:layout>
      <c:barChart>
        <c:barDir val="col"/>
        <c:grouping val="clustered"/>
        <c:varyColors val="0"/>
        <c:ser>
          <c:idx val="0"/>
          <c:order val="0"/>
          <c:tx>
            <c:strRef>
              <c:f>'FIG6'!$P$60</c:f>
              <c:strCache>
                <c:ptCount val="1"/>
                <c:pt idx="0">
                  <c:v>FY03</c:v>
                </c:pt>
              </c:strCache>
            </c:strRef>
          </c:tx>
          <c:spPr>
            <a:pattFill prst="shingle">
              <a:fgClr>
                <a:schemeClr val="accent2"/>
              </a:fgClr>
              <a:bgClr>
                <a:schemeClr val="bg1"/>
              </a:bgClr>
            </a:pattFill>
            <a:ln w="9525">
              <a:solidFill>
                <a:schemeClr val="accent2"/>
              </a:solidFill>
            </a:ln>
          </c:spPr>
          <c:invertIfNegative val="0"/>
          <c:dPt>
            <c:idx val="0"/>
            <c:invertIfNegative val="0"/>
            <c:bubble3D val="0"/>
            <c:spPr>
              <a:pattFill prst="shingle">
                <a:fgClr>
                  <a:schemeClr val="accent2">
                    <a:lumMod val="75000"/>
                  </a:schemeClr>
                </a:fgClr>
                <a:bgClr>
                  <a:schemeClr val="bg1"/>
                </a:bgClr>
              </a:pattFill>
              <a:ln w="9525">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hingle">
                <a:fgClr>
                  <a:schemeClr val="accent1">
                    <a:lumMod val="50000"/>
                  </a:schemeClr>
                </a:fgClr>
                <a:bgClr>
                  <a:schemeClr val="bg1"/>
                </a:bgClr>
              </a:pattFill>
              <a:ln w="9525">
                <a:solidFill>
                  <a:schemeClr val="accent1">
                    <a:lumMod val="50000"/>
                  </a:schemeClr>
                </a:solidFill>
              </a:ln>
              <a:scene3d>
                <a:camera prst="orthographicFront"/>
                <a:lightRig rig="freezing" dir="t"/>
              </a:scene3d>
              <a:sp3d prstMaterial="plastic">
                <a:bevelT h="127000"/>
              </a:sp3d>
            </c:spPr>
          </c:dPt>
          <c:dPt>
            <c:idx val="3"/>
            <c:invertIfNegative val="0"/>
            <c:bubble3D val="0"/>
            <c:spPr>
              <a:pattFill prst="shingle">
                <a:fgClr>
                  <a:schemeClr val="accent1"/>
                </a:fgClr>
                <a:bgClr>
                  <a:schemeClr val="bg1"/>
                </a:bgClr>
              </a:pattFill>
              <a:ln w="9525">
                <a:solidFill>
                  <a:schemeClr val="accent1"/>
                </a:solidFill>
              </a:ln>
            </c:spPr>
          </c:dPt>
          <c:cat>
            <c:strRef>
              <c:f>'FIG6'!$O$61:$O$64</c:f>
              <c:strCache>
                <c:ptCount val="4"/>
                <c:pt idx="0">
                  <c:v>Statewide District (D)</c:v>
                </c:pt>
                <c:pt idx="1">
                  <c:v>Statewide Charter (C)</c:v>
                </c:pt>
                <c:pt idx="2">
                  <c:v>Little Rock School District-D</c:v>
                </c:pt>
                <c:pt idx="3">
                  <c:v>Little Rock School District-C</c:v>
                </c:pt>
              </c:strCache>
            </c:strRef>
          </c:cat>
          <c:val>
            <c:numRef>
              <c:f>'FIG6'!$P$61:$P$64</c:f>
              <c:numCache>
                <c:formatCode>"$"#,##0_);\("$"#,##0\)</c:formatCode>
                <c:ptCount val="4"/>
                <c:pt idx="0">
                  <c:v>0.0</c:v>
                </c:pt>
                <c:pt idx="1">
                  <c:v>0.0</c:v>
                </c:pt>
                <c:pt idx="2">
                  <c:v>0.0</c:v>
                </c:pt>
                <c:pt idx="3">
                  <c:v>0.0</c:v>
                </c:pt>
              </c:numCache>
            </c:numRef>
          </c:val>
        </c:ser>
        <c:ser>
          <c:idx val="1"/>
          <c:order val="1"/>
          <c:tx>
            <c:strRef>
              <c:f>'FIG6'!$Q$60</c:f>
              <c:strCache>
                <c:ptCount val="1"/>
                <c:pt idx="0">
                  <c:v>FY07</c:v>
                </c:pt>
              </c:strCache>
            </c:strRef>
          </c:tx>
          <c:spPr>
            <a:pattFill prst="smCheck">
              <a:fgClr>
                <a:schemeClr val="accent2"/>
              </a:fgClr>
              <a:bgClr>
                <a:schemeClr val="bg1"/>
              </a:bgClr>
            </a:pattFill>
            <a:ln>
              <a:solidFill>
                <a:schemeClr val="accent2"/>
              </a:solidFill>
            </a:ln>
          </c:spPr>
          <c:invertIfNegative val="0"/>
          <c:dPt>
            <c:idx val="0"/>
            <c:invertIfNegative val="0"/>
            <c:bubble3D val="0"/>
            <c:spPr>
              <a:pattFill prst="smCheck">
                <a:fgClr>
                  <a:schemeClr val="accent2">
                    <a:lumMod val="75000"/>
                  </a:schemeClr>
                </a:fgClr>
                <a:bgClr>
                  <a:schemeClr val="bg1"/>
                </a:bgClr>
              </a:pattFill>
              <a:ln>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mCheck">
                <a:fgClr>
                  <a:schemeClr val="accent1">
                    <a:lumMod val="50000"/>
                  </a:schemeClr>
                </a:fgClr>
                <a:bgClr>
                  <a:schemeClr val="bg1"/>
                </a:bgClr>
              </a:pattFill>
              <a:ln>
                <a:solidFill>
                  <a:schemeClr val="accent1">
                    <a:lumMod val="50000"/>
                  </a:schemeClr>
                </a:solidFill>
              </a:ln>
              <a:scene3d>
                <a:camera prst="orthographicFront"/>
                <a:lightRig rig="freezing" dir="t"/>
              </a:scene3d>
              <a:sp3d prstMaterial="plastic">
                <a:bevelT h="127000"/>
              </a:sp3d>
            </c:spPr>
          </c:dPt>
          <c:dPt>
            <c:idx val="3"/>
            <c:invertIfNegative val="0"/>
            <c:bubble3D val="0"/>
            <c:spPr>
              <a:pattFill prst="smCheck">
                <a:fgClr>
                  <a:schemeClr val="accent1"/>
                </a:fgClr>
                <a:bgClr>
                  <a:schemeClr val="bg1"/>
                </a:bgClr>
              </a:pattFill>
              <a:ln>
                <a:solidFill>
                  <a:schemeClr val="accent1"/>
                </a:solidFill>
              </a:ln>
            </c:spPr>
          </c:dPt>
          <c:cat>
            <c:strRef>
              <c:f>'FIG6'!$O$61:$O$64</c:f>
              <c:strCache>
                <c:ptCount val="4"/>
                <c:pt idx="0">
                  <c:v>Statewide District (D)</c:v>
                </c:pt>
                <c:pt idx="1">
                  <c:v>Statewide Charter (C)</c:v>
                </c:pt>
                <c:pt idx="2">
                  <c:v>Little Rock School District-D</c:v>
                </c:pt>
                <c:pt idx="3">
                  <c:v>Little Rock School District-C</c:v>
                </c:pt>
              </c:strCache>
            </c:strRef>
          </c:cat>
          <c:val>
            <c:numRef>
              <c:f>'FIG6'!$Q$61:$Q$64</c:f>
              <c:numCache>
                <c:formatCode>"$"#,##0_);\("$"#,##0\)</c:formatCode>
                <c:ptCount val="4"/>
                <c:pt idx="0">
                  <c:v>0.0</c:v>
                </c:pt>
                <c:pt idx="1">
                  <c:v>0.0</c:v>
                </c:pt>
                <c:pt idx="2">
                  <c:v>0.0</c:v>
                </c:pt>
                <c:pt idx="3">
                  <c:v>0.0</c:v>
                </c:pt>
              </c:numCache>
            </c:numRef>
          </c:val>
        </c:ser>
        <c:ser>
          <c:idx val="2"/>
          <c:order val="2"/>
          <c:tx>
            <c:strRef>
              <c:f>'FIG6'!$R$60</c:f>
              <c:strCache>
                <c:ptCount val="1"/>
                <c:pt idx="0">
                  <c:v>FY11</c:v>
                </c:pt>
              </c:strCache>
            </c:strRef>
          </c:tx>
          <c:spPr>
            <a:solidFill>
              <a:schemeClr val="accent2"/>
            </a:solidFill>
            <a:ln>
              <a:solidFill>
                <a:schemeClr val="accent2"/>
              </a:solidFill>
            </a:ln>
          </c:spPr>
          <c:invertIfNegative val="0"/>
          <c:dPt>
            <c:idx val="0"/>
            <c:invertIfNegative val="0"/>
            <c:bubble3D val="0"/>
            <c:spPr>
              <a:solidFill>
                <a:schemeClr val="accent2">
                  <a:lumMod val="75000"/>
                </a:schemeClr>
              </a:solidFill>
              <a:ln>
                <a:solidFill>
                  <a:schemeClr val="accent2">
                    <a:lumMod val="75000"/>
                  </a:schemeClr>
                </a:solidFill>
              </a:ln>
              <a:scene3d>
                <a:camera prst="orthographicFront"/>
                <a:lightRig rig="sunset" dir="t"/>
              </a:scene3d>
              <a:sp3d prstMaterial="plastic">
                <a:bevelT h="127000"/>
              </a:sp3d>
            </c:spPr>
          </c:dPt>
          <c:dPt>
            <c:idx val="1"/>
            <c:invertIfNegative val="0"/>
            <c:bubble3D val="0"/>
            <c:spPr>
              <a:solidFill>
                <a:schemeClr val="accent1">
                  <a:lumMod val="50000"/>
                </a:schemeClr>
              </a:solidFill>
              <a:ln>
                <a:solidFill>
                  <a:schemeClr val="accent1">
                    <a:lumMod val="50000"/>
                  </a:schemeClr>
                </a:solidFill>
              </a:ln>
              <a:scene3d>
                <a:camera prst="orthographicFront"/>
                <a:lightRig rig="freezing" dir="t"/>
              </a:scene3d>
              <a:sp3d prstMaterial="plastic">
                <a:bevelT h="127000"/>
                <a:bevelB/>
              </a:sp3d>
            </c:spPr>
          </c:dPt>
          <c:dPt>
            <c:idx val="3"/>
            <c:invertIfNegative val="0"/>
            <c:bubble3D val="0"/>
            <c:spPr>
              <a:solidFill>
                <a:schemeClr val="accent1"/>
              </a:solidFill>
              <a:ln>
                <a:solidFill>
                  <a:schemeClr val="accent1"/>
                </a:solidFill>
              </a:ln>
            </c:spPr>
          </c:dPt>
          <c:cat>
            <c:strRef>
              <c:f>'FIG6'!$O$61:$O$64</c:f>
              <c:strCache>
                <c:ptCount val="4"/>
                <c:pt idx="0">
                  <c:v>Statewide District (D)</c:v>
                </c:pt>
                <c:pt idx="1">
                  <c:v>Statewide Charter (C)</c:v>
                </c:pt>
                <c:pt idx="2">
                  <c:v>Little Rock School District-D</c:v>
                </c:pt>
                <c:pt idx="3">
                  <c:v>Little Rock School District-C</c:v>
                </c:pt>
              </c:strCache>
            </c:strRef>
          </c:cat>
          <c:val>
            <c:numRef>
              <c:f>'FIG6'!$R$61:$R$64</c:f>
              <c:numCache>
                <c:formatCode>"$"#,##0_);\("$"#,##0\)</c:formatCode>
                <c:ptCount val="4"/>
                <c:pt idx="0">
                  <c:v>10463.84096340042</c:v>
                </c:pt>
                <c:pt idx="1">
                  <c:v>7720.24116548896</c:v>
                </c:pt>
                <c:pt idx="2">
                  <c:v>13258.49576223892</c:v>
                </c:pt>
                <c:pt idx="3">
                  <c:v>7498.856918831668</c:v>
                </c:pt>
              </c:numCache>
            </c:numRef>
          </c:val>
        </c:ser>
        <c:dLbls>
          <c:showLegendKey val="0"/>
          <c:showVal val="0"/>
          <c:showCatName val="0"/>
          <c:showSerName val="0"/>
          <c:showPercent val="0"/>
          <c:showBubbleSize val="0"/>
        </c:dLbls>
        <c:gapWidth val="90"/>
        <c:axId val="-2108075752"/>
        <c:axId val="-2077830792"/>
      </c:barChart>
      <c:catAx>
        <c:axId val="-2108075752"/>
        <c:scaling>
          <c:orientation val="minMax"/>
        </c:scaling>
        <c:delete val="0"/>
        <c:axPos val="b"/>
        <c:majorGridlines>
          <c:spPr>
            <a:ln>
              <a:solidFill>
                <a:schemeClr val="bg1">
                  <a:lumMod val="50000"/>
                </a:schemeClr>
              </a:solidFill>
              <a:headEnd type="none"/>
            </a:ln>
          </c:spPr>
        </c:majorGridlines>
        <c:title>
          <c:tx>
            <c:rich>
              <a:bodyPr/>
              <a:lstStyle/>
              <a:p>
                <a:pPr>
                  <a:defRPr/>
                </a:pPr>
                <a:r>
                  <a:rPr lang="en-US"/>
                  <a:t>Per</a:t>
                </a:r>
                <a:r>
                  <a:rPr lang="en-US" baseline="0"/>
                  <a:t> Pupil Revenue</a:t>
                </a:r>
                <a:endParaRPr lang="en-US"/>
              </a:p>
            </c:rich>
          </c:tx>
          <c:layout/>
          <c:overlay val="0"/>
        </c:title>
        <c:numFmt formatCode="&quot;$&quot;#,##0.00" sourceLinked="0"/>
        <c:majorTickMark val="cross"/>
        <c:minorTickMark val="none"/>
        <c:tickLblPos val="low"/>
        <c:spPr>
          <a:solidFill>
            <a:schemeClr val="bg1">
              <a:lumMod val="65000"/>
            </a:schemeClr>
          </a:solidFill>
          <a:ln/>
        </c:spPr>
        <c:txPr>
          <a:bodyPr rot="0" vert="horz"/>
          <a:lstStyle/>
          <a:p>
            <a:pPr>
              <a:defRPr sz="1000" b="0" i="0" u="none" strike="noStrike" baseline="0">
                <a:solidFill>
                  <a:srgbClr val="000000"/>
                </a:solidFill>
                <a:latin typeface="Calibri"/>
                <a:ea typeface="Calibri"/>
                <a:cs typeface="Calibri"/>
              </a:defRPr>
            </a:pPr>
            <a:endParaRPr lang="en-US"/>
          </a:p>
        </c:txPr>
        <c:crossAx val="-2077830792"/>
        <c:crosses val="autoZero"/>
        <c:auto val="1"/>
        <c:lblAlgn val="ctr"/>
        <c:lblOffset val="100"/>
        <c:noMultiLvlLbl val="0"/>
      </c:catAx>
      <c:valAx>
        <c:axId val="-2077830792"/>
        <c:scaling>
          <c:orientation val="minMax"/>
        </c:scaling>
        <c:delete val="0"/>
        <c:axPos val="l"/>
        <c:majorGridlines>
          <c:spPr>
            <a:ln>
              <a:noFill/>
            </a:ln>
          </c:spPr>
        </c:majorGridlines>
        <c:numFmt formatCode="&quot;$&quot;#,##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2108075752"/>
        <c:crosses val="autoZero"/>
        <c:crossBetween val="between"/>
      </c:valAx>
      <c:dTable>
        <c:showHorzBorder val="1"/>
        <c:showVertBorder val="1"/>
        <c:showOutline val="1"/>
        <c:showKeys val="0"/>
        <c:txPr>
          <a:bodyPr/>
          <a:lstStyle/>
          <a:p>
            <a:pPr rtl="0">
              <a:defRPr sz="800" b="0" i="0" u="none" strike="noStrike" baseline="0">
                <a:solidFill>
                  <a:srgbClr val="000000"/>
                </a:solidFill>
                <a:latin typeface="Calibri"/>
                <a:ea typeface="Calibri"/>
                <a:cs typeface="Calibri"/>
              </a:defRPr>
            </a:pPr>
            <a:endParaRPr lang="en-US"/>
          </a:p>
        </c:txPr>
      </c:dTable>
      <c:spPr>
        <a:noFill/>
        <a:ln>
          <a:solidFill>
            <a:schemeClr val="bg1">
              <a:lumMod val="50000"/>
            </a:schemeClr>
          </a:solidFill>
        </a:ln>
      </c:spPr>
    </c:plotArea>
    <c:plotVisOnly val="1"/>
    <c:dispBlanksAs val="gap"/>
    <c:showDLblsOverMax val="0"/>
  </c:chart>
  <c:spPr>
    <a:ln>
      <a:solidFill>
        <a:schemeClr val="tx1">
          <a:lumMod val="50000"/>
          <a:lumOff val="50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25" l="1.25" r="1.25" t="1.25" header="0.3" footer="0.3"/>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FY11 Total Funding, All Sources</a:t>
            </a:r>
          </a:p>
        </c:rich>
      </c:tx>
      <c:layout/>
      <c:overlay val="0"/>
    </c:title>
    <c:autoTitleDeleted val="0"/>
    <c:plotArea>
      <c:layout/>
      <c:barChart>
        <c:barDir val="col"/>
        <c:grouping val="clustered"/>
        <c:varyColors val="0"/>
        <c:ser>
          <c:idx val="0"/>
          <c:order val="0"/>
          <c:invertIfNegative val="0"/>
          <c:dPt>
            <c:idx val="0"/>
            <c:invertIfNegative val="0"/>
            <c:bubble3D val="0"/>
            <c:spPr>
              <a:solidFill>
                <a:schemeClr val="accent4">
                  <a:lumMod val="75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3">
                  <a:lumMod val="75000"/>
                </a:schemeClr>
              </a:solidFill>
            </c:spPr>
          </c:dPt>
          <c:dPt>
            <c:idx val="3"/>
            <c:invertIfNegative val="0"/>
            <c:bubble3D val="0"/>
            <c:spPr>
              <a:solidFill>
                <a:schemeClr val="accent6">
                  <a:lumMod val="75000"/>
                </a:schemeClr>
              </a:solidFill>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'FIG6'!$X$5:$X$8</c:f>
              <c:strCache>
                <c:ptCount val="4"/>
                <c:pt idx="0">
                  <c:v>Statewide District</c:v>
                </c:pt>
                <c:pt idx="1">
                  <c:v>Statewide Charter</c:v>
                </c:pt>
                <c:pt idx="2">
                  <c:v>Little Rock District</c:v>
                </c:pt>
                <c:pt idx="3">
                  <c:v>Little Rock Charter</c:v>
                </c:pt>
              </c:strCache>
            </c:strRef>
          </c:cat>
          <c:val>
            <c:numRef>
              <c:f>'FIG6'!$Y$5:$Y$8</c:f>
              <c:numCache>
                <c:formatCode>_("$"* #,##0_);_("$"* \(#,##0\);_("$"* "-"??_);_(@_)</c:formatCode>
                <c:ptCount val="4"/>
                <c:pt idx="0">
                  <c:v>11373.74017760916</c:v>
                </c:pt>
                <c:pt idx="1">
                  <c:v>8391.566484227131</c:v>
                </c:pt>
                <c:pt idx="2">
                  <c:v>14411.40843721621</c:v>
                </c:pt>
                <c:pt idx="3">
                  <c:v>8150.931433512683</c:v>
                </c:pt>
              </c:numCache>
            </c:numRef>
          </c:val>
        </c:ser>
        <c:dLbls>
          <c:showLegendKey val="0"/>
          <c:showVal val="0"/>
          <c:showCatName val="0"/>
          <c:showSerName val="0"/>
          <c:showPercent val="0"/>
          <c:showBubbleSize val="0"/>
        </c:dLbls>
        <c:gapWidth val="150"/>
        <c:axId val="-2108236424"/>
        <c:axId val="1689226264"/>
      </c:barChart>
      <c:catAx>
        <c:axId val="-2108236424"/>
        <c:scaling>
          <c:orientation val="minMax"/>
        </c:scaling>
        <c:delete val="0"/>
        <c:axPos val="b"/>
        <c:numFmt formatCode="General" sourceLinked="0"/>
        <c:majorTickMark val="out"/>
        <c:minorTickMark val="none"/>
        <c:tickLblPos val="nextTo"/>
        <c:crossAx val="1689226264"/>
        <c:crosses val="autoZero"/>
        <c:auto val="1"/>
        <c:lblAlgn val="ctr"/>
        <c:lblOffset val="100"/>
        <c:noMultiLvlLbl val="0"/>
      </c:catAx>
      <c:valAx>
        <c:axId val="1689226264"/>
        <c:scaling>
          <c:orientation val="minMax"/>
        </c:scaling>
        <c:delete val="0"/>
        <c:axPos val="l"/>
        <c:majorGridlines/>
        <c:numFmt formatCode="_(&quot;$&quot;* #,##0_);_(&quot;$&quot;* \(#,##0\);_(&quot;$&quot;* &quot;-&quot;??_);_(@_)" sourceLinked="1"/>
        <c:majorTickMark val="out"/>
        <c:minorTickMark val="none"/>
        <c:tickLblPos val="nextTo"/>
        <c:crossAx val="-2108236424"/>
        <c:crosses val="autoZero"/>
        <c:crossBetween val="between"/>
      </c:valAx>
    </c:plotArea>
    <c:legend>
      <c:legendPos val="r"/>
      <c:layout/>
      <c:overlay val="0"/>
    </c:legend>
    <c:plotVisOnly val="1"/>
    <c:dispBlanksAs val="gap"/>
    <c:showDLblsOverMax val="0"/>
  </c:chart>
  <c:printSettings>
    <c:headerFooter/>
    <c:pageMargins b="1.0" l="0.75" r="0.75" t="1.0"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sz="1300"/>
              <a:t>Public Funding, Tax Sources --</a:t>
            </a:r>
            <a:r>
              <a:rPr lang="en-US" sz="1300" baseline="0"/>
              <a:t> </a:t>
            </a:r>
            <a:r>
              <a:rPr lang="en-US" sz="1300"/>
              <a:t>Inflation Adjusted -- Over Time</a:t>
            </a:r>
          </a:p>
        </c:rich>
      </c:tx>
      <c:overlay val="0"/>
    </c:title>
    <c:autoTitleDeleted val="0"/>
    <c:plotArea>
      <c:layout>
        <c:manualLayout>
          <c:layoutTarget val="inner"/>
          <c:xMode val="edge"/>
          <c:yMode val="edge"/>
          <c:x val="0.134069285643092"/>
          <c:y val="0.133740909038353"/>
          <c:w val="0.844021084319402"/>
          <c:h val="0.632711025625614"/>
        </c:manualLayout>
      </c:layout>
      <c:barChart>
        <c:barDir val="col"/>
        <c:grouping val="stacked"/>
        <c:varyColors val="0"/>
        <c:ser>
          <c:idx val="0"/>
          <c:order val="0"/>
          <c:tx>
            <c:strRef>
              <c:f>'FIG7'!$P$60</c:f>
              <c:strCache>
                <c:ptCount val="1"/>
                <c:pt idx="0">
                  <c:v>FY03</c:v>
                </c:pt>
              </c:strCache>
            </c:strRef>
          </c:tx>
          <c:spPr>
            <a:pattFill prst="shingle">
              <a:fgClr>
                <a:schemeClr val="accent2"/>
              </a:fgClr>
              <a:bgClr>
                <a:schemeClr val="bg1"/>
              </a:bgClr>
            </a:pattFill>
            <a:ln w="9525">
              <a:solidFill>
                <a:schemeClr val="accent2"/>
              </a:solidFill>
            </a:ln>
          </c:spPr>
          <c:invertIfNegative val="0"/>
          <c:dPt>
            <c:idx val="0"/>
            <c:invertIfNegative val="0"/>
            <c:bubble3D val="0"/>
            <c:spPr>
              <a:pattFill prst="shingle">
                <a:fgClr>
                  <a:schemeClr val="accent2">
                    <a:lumMod val="75000"/>
                  </a:schemeClr>
                </a:fgClr>
                <a:bgClr>
                  <a:schemeClr val="bg1"/>
                </a:bgClr>
              </a:pattFill>
              <a:ln w="9525">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hingle">
                <a:fgClr>
                  <a:schemeClr val="accent1">
                    <a:lumMod val="50000"/>
                  </a:schemeClr>
                </a:fgClr>
                <a:bgClr>
                  <a:schemeClr val="bg1"/>
                </a:bgClr>
              </a:pattFill>
              <a:ln w="9525">
                <a:solidFill>
                  <a:schemeClr val="accent1">
                    <a:lumMod val="50000"/>
                  </a:schemeClr>
                </a:solidFill>
              </a:ln>
              <a:scene3d>
                <a:camera prst="orthographicFront"/>
                <a:lightRig rig="freezing" dir="t"/>
              </a:scene3d>
              <a:sp3d prstMaterial="plastic">
                <a:bevelT h="127000"/>
              </a:sp3d>
            </c:spPr>
          </c:dPt>
          <c:dPt>
            <c:idx val="3"/>
            <c:invertIfNegative val="0"/>
            <c:bubble3D val="0"/>
            <c:spPr>
              <a:pattFill prst="shingle">
                <a:fgClr>
                  <a:schemeClr val="accent1"/>
                </a:fgClr>
                <a:bgClr>
                  <a:schemeClr val="bg1"/>
                </a:bgClr>
              </a:pattFill>
              <a:ln w="9525">
                <a:solidFill>
                  <a:schemeClr val="accent1"/>
                </a:solidFill>
              </a:ln>
            </c:spPr>
          </c:dPt>
          <c:dPt>
            <c:idx val="5"/>
            <c:invertIfNegative val="0"/>
            <c:bubble3D val="0"/>
            <c:spPr>
              <a:pattFill prst="shingle">
                <a:fgClr>
                  <a:schemeClr val="accent1"/>
                </a:fgClr>
                <a:bgClr>
                  <a:schemeClr val="bg1"/>
                </a:bgClr>
              </a:pattFill>
              <a:ln w="9525">
                <a:solidFill>
                  <a:schemeClr val="accent1"/>
                </a:solidFill>
              </a:ln>
            </c:spPr>
          </c:dPt>
          <c:cat>
            <c:strRef>
              <c:f>'FIG7'!$O$61:$O$64</c:f>
              <c:strCache>
                <c:ptCount val="4"/>
                <c:pt idx="0">
                  <c:v>Statewide District (D)</c:v>
                </c:pt>
                <c:pt idx="1">
                  <c:v>Statewide Charter (C)</c:v>
                </c:pt>
                <c:pt idx="2">
                  <c:v>Little Rock School District-D</c:v>
                </c:pt>
                <c:pt idx="3">
                  <c:v>Little Rock School District-C</c:v>
                </c:pt>
              </c:strCache>
            </c:strRef>
          </c:cat>
          <c:val>
            <c:numRef>
              <c:f>'FIG7'!$P$61:$P$64</c:f>
              <c:numCache>
                <c:formatCode>"$"#,##0_);\("$"#,##0\)</c:formatCode>
                <c:ptCount val="4"/>
                <c:pt idx="0">
                  <c:v>0.0</c:v>
                </c:pt>
                <c:pt idx="1">
                  <c:v>0.0</c:v>
                </c:pt>
                <c:pt idx="2">
                  <c:v>0.0</c:v>
                </c:pt>
                <c:pt idx="3">
                  <c:v>0.0</c:v>
                </c:pt>
              </c:numCache>
            </c:numRef>
          </c:val>
        </c:ser>
        <c:ser>
          <c:idx val="1"/>
          <c:order val="1"/>
          <c:tx>
            <c:strRef>
              <c:f>'FIG7'!$Q$60</c:f>
              <c:strCache>
                <c:ptCount val="1"/>
                <c:pt idx="0">
                  <c:v>FY07</c:v>
                </c:pt>
              </c:strCache>
            </c:strRef>
          </c:tx>
          <c:spPr>
            <a:pattFill prst="smCheck">
              <a:fgClr>
                <a:schemeClr val="accent2"/>
              </a:fgClr>
              <a:bgClr>
                <a:schemeClr val="bg1"/>
              </a:bgClr>
            </a:pattFill>
            <a:ln>
              <a:solidFill>
                <a:schemeClr val="accent2"/>
              </a:solidFill>
            </a:ln>
          </c:spPr>
          <c:invertIfNegative val="0"/>
          <c:dPt>
            <c:idx val="0"/>
            <c:invertIfNegative val="0"/>
            <c:bubble3D val="0"/>
            <c:spPr>
              <a:pattFill prst="smCheck">
                <a:fgClr>
                  <a:schemeClr val="accent2">
                    <a:lumMod val="75000"/>
                  </a:schemeClr>
                </a:fgClr>
                <a:bgClr>
                  <a:schemeClr val="bg1"/>
                </a:bgClr>
              </a:pattFill>
              <a:ln>
                <a:solidFill>
                  <a:schemeClr val="accent2">
                    <a:lumMod val="75000"/>
                  </a:schemeClr>
                </a:solidFill>
              </a:ln>
              <a:scene3d>
                <a:camera prst="orthographicFront"/>
                <a:lightRig rig="sunset" dir="t"/>
              </a:scene3d>
              <a:sp3d prstMaterial="plastic">
                <a:bevelT h="127000"/>
              </a:sp3d>
            </c:spPr>
          </c:dPt>
          <c:dPt>
            <c:idx val="1"/>
            <c:invertIfNegative val="0"/>
            <c:bubble3D val="0"/>
            <c:spPr>
              <a:pattFill prst="smCheck">
                <a:fgClr>
                  <a:schemeClr val="accent1">
                    <a:lumMod val="50000"/>
                  </a:schemeClr>
                </a:fgClr>
                <a:bgClr>
                  <a:schemeClr val="bg1"/>
                </a:bgClr>
              </a:pattFill>
              <a:ln>
                <a:solidFill>
                  <a:schemeClr val="accent1">
                    <a:lumMod val="50000"/>
                  </a:schemeClr>
                </a:solidFill>
              </a:ln>
              <a:scene3d>
                <a:camera prst="orthographicFront"/>
                <a:lightRig rig="freezing" dir="t"/>
              </a:scene3d>
              <a:sp3d prstMaterial="plastic">
                <a:bevelT h="127000"/>
              </a:sp3d>
            </c:spPr>
          </c:dPt>
          <c:dPt>
            <c:idx val="3"/>
            <c:invertIfNegative val="0"/>
            <c:bubble3D val="0"/>
            <c:spPr>
              <a:pattFill prst="smCheck">
                <a:fgClr>
                  <a:schemeClr val="accent1"/>
                </a:fgClr>
                <a:bgClr>
                  <a:schemeClr val="bg1"/>
                </a:bgClr>
              </a:pattFill>
              <a:ln>
                <a:solidFill>
                  <a:schemeClr val="accent1"/>
                </a:solidFill>
              </a:ln>
            </c:spPr>
          </c:dPt>
          <c:dPt>
            <c:idx val="5"/>
            <c:invertIfNegative val="0"/>
            <c:bubble3D val="0"/>
            <c:spPr>
              <a:pattFill prst="smCheck">
                <a:fgClr>
                  <a:schemeClr val="accent1"/>
                </a:fgClr>
                <a:bgClr>
                  <a:schemeClr val="bg1"/>
                </a:bgClr>
              </a:pattFill>
              <a:ln>
                <a:solidFill>
                  <a:schemeClr val="accent1"/>
                </a:solidFill>
              </a:ln>
            </c:spPr>
          </c:dPt>
          <c:cat>
            <c:strRef>
              <c:f>'FIG7'!$O$61:$O$64</c:f>
              <c:strCache>
                <c:ptCount val="4"/>
                <c:pt idx="0">
                  <c:v>Statewide District (D)</c:v>
                </c:pt>
                <c:pt idx="1">
                  <c:v>Statewide Charter (C)</c:v>
                </c:pt>
                <c:pt idx="2">
                  <c:v>Little Rock School District-D</c:v>
                </c:pt>
                <c:pt idx="3">
                  <c:v>Little Rock School District-C</c:v>
                </c:pt>
              </c:strCache>
            </c:strRef>
          </c:cat>
          <c:val>
            <c:numRef>
              <c:f>'FIG7'!$Q$61:$Q$64</c:f>
              <c:numCache>
                <c:formatCode>"$"#,##0_);\("$"#,##0\)</c:formatCode>
                <c:ptCount val="4"/>
                <c:pt idx="0">
                  <c:v>0.0</c:v>
                </c:pt>
                <c:pt idx="1">
                  <c:v>0.0</c:v>
                </c:pt>
                <c:pt idx="2">
                  <c:v>0.0</c:v>
                </c:pt>
                <c:pt idx="3">
                  <c:v>0.0</c:v>
                </c:pt>
              </c:numCache>
            </c:numRef>
          </c:val>
        </c:ser>
        <c:ser>
          <c:idx val="2"/>
          <c:order val="2"/>
          <c:tx>
            <c:strRef>
              <c:f>'FIG7'!$R$60</c:f>
              <c:strCache>
                <c:ptCount val="1"/>
                <c:pt idx="0">
                  <c:v>FY11</c:v>
                </c:pt>
              </c:strCache>
            </c:strRef>
          </c:tx>
          <c:spPr>
            <a:solidFill>
              <a:schemeClr val="accent2"/>
            </a:solidFill>
            <a:ln>
              <a:solidFill>
                <a:schemeClr val="accent2"/>
              </a:solidFill>
            </a:ln>
          </c:spPr>
          <c:invertIfNegative val="0"/>
          <c:dPt>
            <c:idx val="0"/>
            <c:invertIfNegative val="0"/>
            <c:bubble3D val="0"/>
            <c:spPr>
              <a:solidFill>
                <a:schemeClr val="accent2">
                  <a:lumMod val="75000"/>
                </a:schemeClr>
              </a:solidFill>
              <a:ln>
                <a:solidFill>
                  <a:schemeClr val="accent2">
                    <a:lumMod val="75000"/>
                  </a:schemeClr>
                </a:solidFill>
              </a:ln>
              <a:scene3d>
                <a:camera prst="orthographicFront"/>
                <a:lightRig rig="sunset" dir="t"/>
              </a:scene3d>
              <a:sp3d prstMaterial="plastic">
                <a:bevelT h="127000"/>
              </a:sp3d>
            </c:spPr>
          </c:dPt>
          <c:dPt>
            <c:idx val="1"/>
            <c:invertIfNegative val="0"/>
            <c:bubble3D val="0"/>
            <c:spPr>
              <a:solidFill>
                <a:schemeClr val="accent1">
                  <a:lumMod val="50000"/>
                </a:schemeClr>
              </a:solidFill>
              <a:ln>
                <a:solidFill>
                  <a:schemeClr val="accent1">
                    <a:lumMod val="50000"/>
                  </a:schemeClr>
                </a:solidFill>
              </a:ln>
              <a:scene3d>
                <a:camera prst="orthographicFront"/>
                <a:lightRig rig="freezing" dir="t"/>
              </a:scene3d>
              <a:sp3d prstMaterial="plastic">
                <a:bevelT h="127000"/>
                <a:bevelB/>
              </a:sp3d>
            </c:spPr>
          </c:dPt>
          <c:dPt>
            <c:idx val="3"/>
            <c:invertIfNegative val="0"/>
            <c:bubble3D val="0"/>
            <c:spPr>
              <a:solidFill>
                <a:schemeClr val="accent1"/>
              </a:solidFill>
              <a:ln>
                <a:solidFill>
                  <a:schemeClr val="accent1"/>
                </a:solidFill>
              </a:ln>
            </c:spPr>
          </c:dPt>
          <c:dPt>
            <c:idx val="5"/>
            <c:invertIfNegative val="0"/>
            <c:bubble3D val="0"/>
            <c:spPr>
              <a:solidFill>
                <a:schemeClr val="accent1"/>
              </a:solidFill>
              <a:ln>
                <a:solidFill>
                  <a:schemeClr val="accent1"/>
                </a:solidFill>
              </a:ln>
            </c:spPr>
          </c:dPt>
          <c:cat>
            <c:strRef>
              <c:f>'FIG7'!$O$61:$O$64</c:f>
              <c:strCache>
                <c:ptCount val="4"/>
                <c:pt idx="0">
                  <c:v>Statewide District (D)</c:v>
                </c:pt>
                <c:pt idx="1">
                  <c:v>Statewide Charter (C)</c:v>
                </c:pt>
                <c:pt idx="2">
                  <c:v>Little Rock School District-D</c:v>
                </c:pt>
                <c:pt idx="3">
                  <c:v>Little Rock School District-C</c:v>
                </c:pt>
              </c:strCache>
            </c:strRef>
          </c:cat>
          <c:val>
            <c:numRef>
              <c:f>'FIG7'!$R$61:$R$64</c:f>
              <c:numCache>
                <c:formatCode>"$"#,##0_);\("$"#,##0\)</c:formatCode>
                <c:ptCount val="4"/>
                <c:pt idx="0">
                  <c:v>10054.36765177598</c:v>
                </c:pt>
                <c:pt idx="1">
                  <c:v>7450.496995268139</c:v>
                </c:pt>
                <c:pt idx="2">
                  <c:v>13725.0</c:v>
                </c:pt>
                <c:pt idx="3">
                  <c:v>7433.0</c:v>
                </c:pt>
              </c:numCache>
            </c:numRef>
          </c:val>
        </c:ser>
        <c:dLbls>
          <c:showLegendKey val="0"/>
          <c:showVal val="0"/>
          <c:showCatName val="0"/>
          <c:showSerName val="0"/>
          <c:showPercent val="0"/>
          <c:showBubbleSize val="0"/>
        </c:dLbls>
        <c:gapWidth val="90"/>
        <c:overlap val="100"/>
        <c:axId val="1689823560"/>
        <c:axId val="1685353544"/>
      </c:barChart>
      <c:catAx>
        <c:axId val="1689823560"/>
        <c:scaling>
          <c:orientation val="minMax"/>
        </c:scaling>
        <c:delete val="0"/>
        <c:axPos val="b"/>
        <c:majorGridlines>
          <c:spPr>
            <a:ln>
              <a:solidFill>
                <a:schemeClr val="bg1">
                  <a:lumMod val="50000"/>
                </a:schemeClr>
              </a:solidFill>
              <a:headEnd type="none"/>
            </a:ln>
          </c:spPr>
        </c:majorGridlines>
        <c:title>
          <c:tx>
            <c:rich>
              <a:bodyPr/>
              <a:lstStyle/>
              <a:p>
                <a:pPr>
                  <a:defRPr/>
                </a:pPr>
                <a:r>
                  <a:rPr lang="en-US"/>
                  <a:t>Per</a:t>
                </a:r>
                <a:r>
                  <a:rPr lang="en-US" baseline="0"/>
                  <a:t> Pupil Revenue</a:t>
                </a:r>
                <a:endParaRPr lang="en-US"/>
              </a:p>
            </c:rich>
          </c:tx>
          <c:overlay val="0"/>
        </c:title>
        <c:numFmt formatCode="&quot;$&quot;#,##0.00" sourceLinked="0"/>
        <c:majorTickMark val="cross"/>
        <c:minorTickMark val="none"/>
        <c:tickLblPos val="low"/>
        <c:spPr>
          <a:solidFill>
            <a:schemeClr val="bg1">
              <a:lumMod val="65000"/>
            </a:schemeClr>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685353544"/>
        <c:crosses val="autoZero"/>
        <c:auto val="1"/>
        <c:lblAlgn val="ctr"/>
        <c:lblOffset val="100"/>
        <c:noMultiLvlLbl val="0"/>
      </c:catAx>
      <c:valAx>
        <c:axId val="1685353544"/>
        <c:scaling>
          <c:orientation val="minMax"/>
        </c:scaling>
        <c:delete val="0"/>
        <c:axPos val="l"/>
        <c:majorGridlines>
          <c:spPr>
            <a:ln>
              <a:noFill/>
            </a:ln>
          </c:spPr>
        </c:majorGridlines>
        <c:numFmt formatCode="&quot;$&quot;#,##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en-US"/>
          </a:p>
        </c:txPr>
        <c:crossAx val="1689823560"/>
        <c:crosses val="autoZero"/>
        <c:crossBetween val="between"/>
      </c:valAx>
      <c:dTable>
        <c:showHorzBorder val="1"/>
        <c:showVertBorder val="1"/>
        <c:showOutline val="1"/>
        <c:showKeys val="0"/>
        <c:txPr>
          <a:bodyPr/>
          <a:lstStyle/>
          <a:p>
            <a:pPr rtl="0">
              <a:defRPr sz="800" b="0" i="0" u="none" strike="noStrike" baseline="0">
                <a:solidFill>
                  <a:srgbClr val="000000"/>
                </a:solidFill>
                <a:latin typeface="Calibri"/>
                <a:ea typeface="Calibri"/>
                <a:cs typeface="Calibri"/>
              </a:defRPr>
            </a:pPr>
            <a:endParaRPr lang="en-US"/>
          </a:p>
        </c:txPr>
      </c:dTable>
      <c:spPr>
        <a:noFill/>
        <a:ln>
          <a:solidFill>
            <a:schemeClr val="bg1">
              <a:lumMod val="50000"/>
            </a:schemeClr>
          </a:solidFill>
        </a:ln>
      </c:spPr>
    </c:plotArea>
    <c:plotVisOnly val="1"/>
    <c:dispBlanksAs val="gap"/>
    <c:showDLblsOverMax val="0"/>
  </c:chart>
  <c:spPr>
    <a:ln>
      <a:solidFill>
        <a:schemeClr val="tx1">
          <a:lumMod val="50000"/>
          <a:lumOff val="50000"/>
        </a:schemeClr>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1.25" l="1.25" r="1.25" t="1.25"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 Id="rId2" Type="http://schemas.openxmlformats.org/officeDocument/2006/relationships/chart" Target="../charts/chart10.xml"/><Relationship Id="rId3"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 Id="rId2"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absolute">
    <xdr:from>
      <xdr:col>1</xdr:col>
      <xdr:colOff>528637</xdr:colOff>
      <xdr:row>5</xdr:row>
      <xdr:rowOff>180975</xdr:rowOff>
    </xdr:from>
    <xdr:to>
      <xdr:col>7</xdr:col>
      <xdr:colOff>448627</xdr:colOff>
      <xdr:row>16</xdr:row>
      <xdr:rowOff>175260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absolute">
    <xdr:from>
      <xdr:col>1</xdr:col>
      <xdr:colOff>466725</xdr:colOff>
      <xdr:row>22</xdr:row>
      <xdr:rowOff>190500</xdr:rowOff>
    </xdr:from>
    <xdr:to>
      <xdr:col>7</xdr:col>
      <xdr:colOff>386715</xdr:colOff>
      <xdr:row>33</xdr:row>
      <xdr:rowOff>184785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absolute">
    <xdr:from>
      <xdr:col>29</xdr:col>
      <xdr:colOff>0</xdr:colOff>
      <xdr:row>1</xdr:row>
      <xdr:rowOff>0</xdr:rowOff>
    </xdr:from>
    <xdr:to>
      <xdr:col>34</xdr:col>
      <xdr:colOff>415290</xdr:colOff>
      <xdr:row>11</xdr:row>
      <xdr:rowOff>146685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wsDr>
</file>

<file path=xl/drawings/drawing10.xml><?xml version="1.0" encoding="utf-8"?>
<c:userShapes xmlns:c="http://schemas.openxmlformats.org/drawingml/2006/chart">
  <cdr:relSizeAnchor xmlns:cdr="http://schemas.openxmlformats.org/drawingml/2006/chartDrawing">
    <cdr:from>
      <cdr:x>0.0246</cdr:x>
      <cdr:y>0.04123</cdr:y>
    </cdr:from>
    <cdr:to>
      <cdr:x>0.07957</cdr:x>
      <cdr:y>0.11936</cdr:y>
    </cdr:to>
    <cdr:sp macro="" textlink="">
      <cdr:nvSpPr>
        <cdr:cNvPr id="2" name="TextBox 1"/>
        <cdr:cNvSpPr txBox="1"/>
      </cdr:nvSpPr>
      <cdr:spPr>
        <a:xfrm xmlns:a="http://schemas.openxmlformats.org/drawingml/2006/main">
          <a:off x="80963" y="90488"/>
          <a:ext cx="180975" cy="171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cdr:y>
    </cdr:from>
    <cdr:to>
      <cdr:x>0.08333</cdr:x>
      <cdr:y>0.125</cdr:y>
    </cdr:to>
    <cdr:sp macro="" textlink="'FIG5'!$N$40">
      <cdr:nvSpPr>
        <cdr:cNvPr id="3" name="TextBox 2"/>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vertOverflow="clip" wrap="square" lIns="18288" tIns="18288" rIns="18288" bIns="18288" rtlCol="0" anchor="ctr"/>
        <a:lstStyle xmlns:a="http://schemas.openxmlformats.org/drawingml/2006/main"/>
        <a:p xmlns:a="http://schemas.openxmlformats.org/drawingml/2006/main">
          <a:pPr algn="ctr"/>
          <a:fld id="{E0E57D87-B9EE-4C1D-AA0B-04DD754B4F18}" type="TxLink">
            <a:rPr lang="en-US" sz="800" b="1" i="0" u="none" strike="noStrike">
              <a:solidFill>
                <a:srgbClr val="FFFFFF"/>
              </a:solidFill>
              <a:latin typeface="Arial"/>
              <a:cs typeface="Arial"/>
            </a:rPr>
            <a:pPr algn="ctr"/>
            <a:t>AR</a:t>
          </a:fld>
          <a:endParaRPr lang="en-US" sz="800">
            <a:solidFill>
              <a:schemeClr val="bg1"/>
            </a:solidFill>
          </a:endParaRPr>
        </a:p>
      </cdr:txBody>
    </cdr:sp>
  </cdr:relSizeAnchor>
</c:userShapes>
</file>

<file path=xl/drawings/drawing11.xml><?xml version="1.0" encoding="utf-8"?>
<xdr:wsDr xmlns:xdr="http://schemas.openxmlformats.org/drawingml/2006/spreadsheetDrawing" xmlns:a="http://schemas.openxmlformats.org/drawingml/2006/main">
  <xdr:twoCellAnchor editAs="absolute">
    <xdr:from>
      <xdr:col>2</xdr:col>
      <xdr:colOff>209550</xdr:colOff>
      <xdr:row>3</xdr:row>
      <xdr:rowOff>152400</xdr:rowOff>
    </xdr:from>
    <xdr:to>
      <xdr:col>10</xdr:col>
      <xdr:colOff>736599</xdr:colOff>
      <xdr:row>28</xdr:row>
      <xdr:rowOff>142875</xdr:rowOff>
    </xdr:to>
    <xdr:graphicFrame macro="">
      <xdr:nvGraphicFramePr>
        <xdr:cNvPr id="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22</xdr:col>
      <xdr:colOff>184150</xdr:colOff>
      <xdr:row>11</xdr:row>
      <xdr:rowOff>107950</xdr:rowOff>
    </xdr:from>
    <xdr:to>
      <xdr:col>26</xdr:col>
      <xdr:colOff>660400</xdr:colOff>
      <xdr:row>27</xdr:row>
      <xdr:rowOff>127000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cdr:y>
    </cdr:from>
    <cdr:to>
      <cdr:x>0.0467</cdr:x>
      <cdr:y>0.05589</cdr:y>
    </cdr:to>
    <cdr:sp macro="" textlink="'FIG6'!$O$39">
      <cdr:nvSpPr>
        <cdr:cNvPr id="3"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wrap="square" lIns="18288" tIns="36576" rIns="18288" bIns="36576"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149923C-7B2D-4369-A0BD-8B540262846B}" type="TxLink">
            <a:rPr lang="en-US" sz="800" b="1" i="0" u="none" strike="noStrike">
              <a:solidFill>
                <a:srgbClr val="FFFFFF"/>
              </a:solidFill>
              <a:latin typeface="Arial"/>
              <a:cs typeface="Arial"/>
            </a:rPr>
            <a:pPr algn="ctr"/>
            <a:t>AR</a:t>
          </a:fld>
          <a:endParaRPr lang="en-US" sz="800" b="1">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0.36709</cdr:x>
      <cdr:y>0.0863</cdr:y>
    </cdr:from>
    <cdr:to>
      <cdr:x>0.46085</cdr:x>
      <cdr:y>0.11927</cdr:y>
    </cdr:to>
    <cdr:sp macro="" textlink="">
      <cdr:nvSpPr>
        <cdr:cNvPr id="2" name="TextBox 1"/>
        <cdr:cNvSpPr txBox="1"/>
      </cdr:nvSpPr>
      <cdr:spPr>
        <a:xfrm xmlns:a="http://schemas.openxmlformats.org/drawingml/2006/main">
          <a:off x="2148045" y="430720"/>
          <a:ext cx="548640" cy="164592"/>
        </a:xfrm>
        <a:prstGeom xmlns:a="http://schemas.openxmlformats.org/drawingml/2006/main" prst="rect">
          <a:avLst/>
        </a:prstGeom>
        <a:pattFill xmlns:a="http://schemas.openxmlformats.org/drawingml/2006/main" prst="shingle">
          <a:fgClr>
            <a:schemeClr val="bg1">
              <a:lumMod val="50000"/>
            </a:schemeClr>
          </a:fgClr>
          <a:bgClr>
            <a:schemeClr val="bg1"/>
          </a:bgClr>
        </a:pattFill>
        <a:ln xmlns:a="http://schemas.openxmlformats.org/drawingml/2006/main">
          <a:solidFill>
            <a:schemeClr val="bg1">
              <a:lumMod val="50000"/>
            </a:schemeClr>
          </a:solidFill>
        </a:ln>
      </cdr:spPr>
      <cdr:txBody>
        <a:bodyPr xmlns:a="http://schemas.openxmlformats.org/drawingml/2006/main" vertOverflow="clip" wrap="square" lIns="9144" tIns="9144" rIns="9144" bIns="9144" rtlCol="0" anchor="ctr"/>
        <a:lstStyle xmlns:a="http://schemas.openxmlformats.org/drawingml/2006/main"/>
        <a:p xmlns:a="http://schemas.openxmlformats.org/drawingml/2006/main">
          <a:pPr algn="ctr"/>
          <a:r>
            <a:rPr lang="en-US" sz="1000" b="1">
              <a:solidFill>
                <a:schemeClr val="tx1"/>
              </a:solidFill>
            </a:rPr>
            <a:t>FY03</a:t>
          </a:r>
        </a:p>
      </cdr:txBody>
    </cdr:sp>
  </cdr:relSizeAnchor>
  <cdr:relSizeAnchor xmlns:cdr="http://schemas.openxmlformats.org/drawingml/2006/chartDrawing">
    <cdr:from>
      <cdr:x>0.468</cdr:x>
      <cdr:y>0.0863</cdr:y>
    </cdr:from>
    <cdr:to>
      <cdr:x>0.56176</cdr:x>
      <cdr:y>0.11927</cdr:y>
    </cdr:to>
    <cdr:sp macro="" textlink="">
      <cdr:nvSpPr>
        <cdr:cNvPr id="4" name="TextBox 1"/>
        <cdr:cNvSpPr txBox="1"/>
      </cdr:nvSpPr>
      <cdr:spPr>
        <a:xfrm xmlns:a="http://schemas.openxmlformats.org/drawingml/2006/main">
          <a:off x="2738515" y="430720"/>
          <a:ext cx="548640" cy="164592"/>
        </a:xfrm>
        <a:prstGeom xmlns:a="http://schemas.openxmlformats.org/drawingml/2006/main" prst="rect">
          <a:avLst/>
        </a:prstGeom>
        <a:pattFill xmlns:a="http://schemas.openxmlformats.org/drawingml/2006/main" prst="smCheck">
          <a:fgClr>
            <a:schemeClr val="bg1">
              <a:lumMod val="65000"/>
            </a:schemeClr>
          </a:fgClr>
          <a:bgClr>
            <a:schemeClr val="bg1"/>
          </a:bgClr>
        </a:patt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FY07</a:t>
          </a:r>
        </a:p>
      </cdr:txBody>
    </cdr:sp>
  </cdr:relSizeAnchor>
  <cdr:relSizeAnchor xmlns:cdr="http://schemas.openxmlformats.org/drawingml/2006/chartDrawing">
    <cdr:from>
      <cdr:x>0.56891</cdr:x>
      <cdr:y>0.08556</cdr:y>
    </cdr:from>
    <cdr:to>
      <cdr:x>0.66267</cdr:x>
      <cdr:y>0.11927</cdr:y>
    </cdr:to>
    <cdr:sp macro="" textlink="">
      <cdr:nvSpPr>
        <cdr:cNvPr id="6" name="TextBox 1"/>
        <cdr:cNvSpPr txBox="1"/>
      </cdr:nvSpPr>
      <cdr:spPr>
        <a:xfrm xmlns:a="http://schemas.openxmlformats.org/drawingml/2006/main">
          <a:off x="3328986" y="427037"/>
          <a:ext cx="548640" cy="168275"/>
        </a:xfrm>
        <a:prstGeom xmlns:a="http://schemas.openxmlformats.org/drawingml/2006/main" prst="rect">
          <a:avLst/>
        </a:prstGeom>
        <a:solidFill xmlns:a="http://schemas.openxmlformats.org/drawingml/2006/main">
          <a:schemeClr val="bg1">
            <a:lumMod val="65000"/>
          </a:schemeClr>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FY11</a:t>
          </a:r>
        </a:p>
      </cdr:txBody>
    </cdr:sp>
  </cdr:relSizeAnchor>
  <cdr:relSizeAnchor xmlns:cdr="http://schemas.openxmlformats.org/drawingml/2006/chartDrawing">
    <cdr:from>
      <cdr:x>0.13402</cdr:x>
      <cdr:y>0.08556</cdr:y>
    </cdr:from>
    <cdr:to>
      <cdr:x>0.24341</cdr:x>
      <cdr:y>0.11927</cdr:y>
    </cdr:to>
    <cdr:sp macro="" textlink="">
      <cdr:nvSpPr>
        <cdr:cNvPr id="9" name="TextBox 1"/>
        <cdr:cNvSpPr txBox="1"/>
      </cdr:nvSpPr>
      <cdr:spPr>
        <a:xfrm xmlns:a="http://schemas.openxmlformats.org/drawingml/2006/main">
          <a:off x="784225" y="427037"/>
          <a:ext cx="640080" cy="168275"/>
        </a:xfrm>
        <a:prstGeom xmlns:a="http://schemas.openxmlformats.org/drawingml/2006/main" prst="rect">
          <a:avLst/>
        </a:prstGeom>
        <a:solidFill xmlns:a="http://schemas.openxmlformats.org/drawingml/2006/main">
          <a:schemeClr val="accent2"/>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DISTRICT</a:t>
          </a:r>
        </a:p>
      </cdr:txBody>
    </cdr:sp>
  </cdr:relSizeAnchor>
  <cdr:relSizeAnchor xmlns:cdr="http://schemas.openxmlformats.org/drawingml/2006/chartDrawing">
    <cdr:from>
      <cdr:x>0.25056</cdr:x>
      <cdr:y>0.08556</cdr:y>
    </cdr:from>
    <cdr:to>
      <cdr:x>0.35994</cdr:x>
      <cdr:y>0.11927</cdr:y>
    </cdr:to>
    <cdr:sp macro="" textlink="">
      <cdr:nvSpPr>
        <cdr:cNvPr id="11" name="TextBox 1"/>
        <cdr:cNvSpPr txBox="1"/>
      </cdr:nvSpPr>
      <cdr:spPr>
        <a:xfrm xmlns:a="http://schemas.openxmlformats.org/drawingml/2006/main">
          <a:off x="1466135" y="427037"/>
          <a:ext cx="640080" cy="168275"/>
        </a:xfrm>
        <a:prstGeom xmlns:a="http://schemas.openxmlformats.org/drawingml/2006/main" prst="rect">
          <a:avLst/>
        </a:prstGeom>
        <a:solidFill xmlns:a="http://schemas.openxmlformats.org/drawingml/2006/main">
          <a:schemeClr val="accent1"/>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CHARTER</a:t>
          </a: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2</xdr:col>
      <xdr:colOff>190500</xdr:colOff>
      <xdr:row>3</xdr:row>
      <xdr:rowOff>114300</xdr:rowOff>
    </xdr:from>
    <xdr:to>
      <xdr:col>10</xdr:col>
      <xdr:colOff>717549</xdr:colOff>
      <xdr:row>28</xdr:row>
      <xdr:rowOff>104775</xdr:rowOff>
    </xdr:to>
    <xdr:graphicFrame macro="">
      <xdr:nvGraphicFramePr>
        <xdr:cNvPr id="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31</xdr:col>
      <xdr:colOff>146050</xdr:colOff>
      <xdr:row>6</xdr:row>
      <xdr:rowOff>69850</xdr:rowOff>
    </xdr:from>
    <xdr:to>
      <xdr:col>38</xdr:col>
      <xdr:colOff>647700</xdr:colOff>
      <xdr:row>22</xdr:row>
      <xdr:rowOff>88900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95250</xdr:colOff>
      <xdr:row>11</xdr:row>
      <xdr:rowOff>95250</xdr:rowOff>
    </xdr:from>
    <xdr:to>
      <xdr:col>30</xdr:col>
      <xdr:colOff>406400</xdr:colOff>
      <xdr:row>32</xdr:row>
      <xdr:rowOff>101600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0.0467</cdr:x>
      <cdr:y>0.05589</cdr:y>
    </cdr:to>
    <cdr:sp macro="" textlink="'FIG7'!$O$39">
      <cdr:nvSpPr>
        <cdr:cNvPr id="3"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wrap="square" lIns="18288" tIns="36576" rIns="18288" bIns="36576"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B5AF799-9F49-44D1-AFBF-219D492F19B2}" type="TxLink">
            <a:rPr lang="en-US" sz="800" b="1" i="0" u="none" strike="noStrike">
              <a:solidFill>
                <a:srgbClr val="FFFFFF"/>
              </a:solidFill>
              <a:latin typeface="Arial"/>
              <a:cs typeface="Arial"/>
            </a:rPr>
            <a:pPr algn="ctr"/>
            <a:t>AR</a:t>
          </a:fld>
          <a:endParaRPr lang="en-US" sz="800" b="1">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0.36709</cdr:x>
      <cdr:y>0.0863</cdr:y>
    </cdr:from>
    <cdr:to>
      <cdr:x>0.46085</cdr:x>
      <cdr:y>0.11927</cdr:y>
    </cdr:to>
    <cdr:sp macro="" textlink="">
      <cdr:nvSpPr>
        <cdr:cNvPr id="2" name="TextBox 1"/>
        <cdr:cNvSpPr txBox="1"/>
      </cdr:nvSpPr>
      <cdr:spPr>
        <a:xfrm xmlns:a="http://schemas.openxmlformats.org/drawingml/2006/main">
          <a:off x="2148045" y="430720"/>
          <a:ext cx="548640" cy="164592"/>
        </a:xfrm>
        <a:prstGeom xmlns:a="http://schemas.openxmlformats.org/drawingml/2006/main" prst="rect">
          <a:avLst/>
        </a:prstGeom>
        <a:pattFill xmlns:a="http://schemas.openxmlformats.org/drawingml/2006/main" prst="shingle">
          <a:fgClr>
            <a:schemeClr val="bg1">
              <a:lumMod val="50000"/>
            </a:schemeClr>
          </a:fgClr>
          <a:bgClr>
            <a:schemeClr val="bg1"/>
          </a:bgClr>
        </a:pattFill>
        <a:ln xmlns:a="http://schemas.openxmlformats.org/drawingml/2006/main">
          <a:solidFill>
            <a:schemeClr val="bg1">
              <a:lumMod val="50000"/>
            </a:schemeClr>
          </a:solidFill>
        </a:ln>
      </cdr:spPr>
      <cdr:txBody>
        <a:bodyPr xmlns:a="http://schemas.openxmlformats.org/drawingml/2006/main" vertOverflow="clip" wrap="square" lIns="9144" tIns="9144" rIns="9144" bIns="9144" rtlCol="0" anchor="ctr"/>
        <a:lstStyle xmlns:a="http://schemas.openxmlformats.org/drawingml/2006/main"/>
        <a:p xmlns:a="http://schemas.openxmlformats.org/drawingml/2006/main">
          <a:pPr algn="ctr"/>
          <a:r>
            <a:rPr lang="en-US" sz="1000" b="1">
              <a:solidFill>
                <a:schemeClr val="tx1"/>
              </a:solidFill>
            </a:rPr>
            <a:t>FY03</a:t>
          </a:r>
        </a:p>
      </cdr:txBody>
    </cdr:sp>
  </cdr:relSizeAnchor>
  <cdr:relSizeAnchor xmlns:cdr="http://schemas.openxmlformats.org/drawingml/2006/chartDrawing">
    <cdr:from>
      <cdr:x>0.468</cdr:x>
      <cdr:y>0.0863</cdr:y>
    </cdr:from>
    <cdr:to>
      <cdr:x>0.56176</cdr:x>
      <cdr:y>0.11927</cdr:y>
    </cdr:to>
    <cdr:sp macro="" textlink="">
      <cdr:nvSpPr>
        <cdr:cNvPr id="4" name="TextBox 1"/>
        <cdr:cNvSpPr txBox="1"/>
      </cdr:nvSpPr>
      <cdr:spPr>
        <a:xfrm xmlns:a="http://schemas.openxmlformats.org/drawingml/2006/main">
          <a:off x="2738515" y="430720"/>
          <a:ext cx="548640" cy="164592"/>
        </a:xfrm>
        <a:prstGeom xmlns:a="http://schemas.openxmlformats.org/drawingml/2006/main" prst="rect">
          <a:avLst/>
        </a:prstGeom>
        <a:pattFill xmlns:a="http://schemas.openxmlformats.org/drawingml/2006/main" prst="smCheck">
          <a:fgClr>
            <a:schemeClr val="bg1">
              <a:lumMod val="65000"/>
            </a:schemeClr>
          </a:fgClr>
          <a:bgClr>
            <a:schemeClr val="bg1"/>
          </a:bgClr>
        </a:patt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FY07</a:t>
          </a:r>
        </a:p>
      </cdr:txBody>
    </cdr:sp>
  </cdr:relSizeAnchor>
  <cdr:relSizeAnchor xmlns:cdr="http://schemas.openxmlformats.org/drawingml/2006/chartDrawing">
    <cdr:from>
      <cdr:x>0.56891</cdr:x>
      <cdr:y>0.08556</cdr:y>
    </cdr:from>
    <cdr:to>
      <cdr:x>0.66267</cdr:x>
      <cdr:y>0.11927</cdr:y>
    </cdr:to>
    <cdr:sp macro="" textlink="">
      <cdr:nvSpPr>
        <cdr:cNvPr id="6" name="TextBox 1"/>
        <cdr:cNvSpPr txBox="1"/>
      </cdr:nvSpPr>
      <cdr:spPr>
        <a:xfrm xmlns:a="http://schemas.openxmlformats.org/drawingml/2006/main">
          <a:off x="3328986" y="427037"/>
          <a:ext cx="548640" cy="168275"/>
        </a:xfrm>
        <a:prstGeom xmlns:a="http://schemas.openxmlformats.org/drawingml/2006/main" prst="rect">
          <a:avLst/>
        </a:prstGeom>
        <a:solidFill xmlns:a="http://schemas.openxmlformats.org/drawingml/2006/main">
          <a:schemeClr val="bg1">
            <a:lumMod val="65000"/>
          </a:schemeClr>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FY11</a:t>
          </a:r>
        </a:p>
      </cdr:txBody>
    </cdr:sp>
  </cdr:relSizeAnchor>
  <cdr:relSizeAnchor xmlns:cdr="http://schemas.openxmlformats.org/drawingml/2006/chartDrawing">
    <cdr:from>
      <cdr:x>0.13402</cdr:x>
      <cdr:y>0.08556</cdr:y>
    </cdr:from>
    <cdr:to>
      <cdr:x>0.24341</cdr:x>
      <cdr:y>0.11927</cdr:y>
    </cdr:to>
    <cdr:sp macro="" textlink="">
      <cdr:nvSpPr>
        <cdr:cNvPr id="9" name="TextBox 1"/>
        <cdr:cNvSpPr txBox="1"/>
      </cdr:nvSpPr>
      <cdr:spPr>
        <a:xfrm xmlns:a="http://schemas.openxmlformats.org/drawingml/2006/main">
          <a:off x="784225" y="427037"/>
          <a:ext cx="640080" cy="168275"/>
        </a:xfrm>
        <a:prstGeom xmlns:a="http://schemas.openxmlformats.org/drawingml/2006/main" prst="rect">
          <a:avLst/>
        </a:prstGeom>
        <a:solidFill xmlns:a="http://schemas.openxmlformats.org/drawingml/2006/main">
          <a:schemeClr val="accent2"/>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DISTRICT</a:t>
          </a:r>
        </a:p>
      </cdr:txBody>
    </cdr:sp>
  </cdr:relSizeAnchor>
  <cdr:relSizeAnchor xmlns:cdr="http://schemas.openxmlformats.org/drawingml/2006/chartDrawing">
    <cdr:from>
      <cdr:x>0.25056</cdr:x>
      <cdr:y>0.08556</cdr:y>
    </cdr:from>
    <cdr:to>
      <cdr:x>0.35994</cdr:x>
      <cdr:y>0.11927</cdr:y>
    </cdr:to>
    <cdr:sp macro="" textlink="">
      <cdr:nvSpPr>
        <cdr:cNvPr id="11" name="TextBox 1"/>
        <cdr:cNvSpPr txBox="1"/>
      </cdr:nvSpPr>
      <cdr:spPr>
        <a:xfrm xmlns:a="http://schemas.openxmlformats.org/drawingml/2006/main">
          <a:off x="1466135" y="427037"/>
          <a:ext cx="640080" cy="168275"/>
        </a:xfrm>
        <a:prstGeom xmlns:a="http://schemas.openxmlformats.org/drawingml/2006/main" prst="rect">
          <a:avLst/>
        </a:prstGeom>
        <a:solidFill xmlns:a="http://schemas.openxmlformats.org/drawingml/2006/main">
          <a:schemeClr val="accent1"/>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CHARTER</a:t>
          </a:r>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2</xdr:col>
      <xdr:colOff>0</xdr:colOff>
      <xdr:row>3</xdr:row>
      <xdr:rowOff>0</xdr:rowOff>
    </xdr:from>
    <xdr:to>
      <xdr:col>10</xdr:col>
      <xdr:colOff>527049</xdr:colOff>
      <xdr:row>27</xdr:row>
      <xdr:rowOff>190500</xdr:rowOff>
    </xdr:to>
    <xdr:graphicFrame macro="">
      <xdr:nvGraphicFramePr>
        <xdr:cNvPr id="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25</xdr:col>
      <xdr:colOff>177800</xdr:colOff>
      <xdr:row>10</xdr:row>
      <xdr:rowOff>158750</xdr:rowOff>
    </xdr:from>
    <xdr:to>
      <xdr:col>31</xdr:col>
      <xdr:colOff>25400</xdr:colOff>
      <xdr:row>24</xdr:row>
      <xdr:rowOff>57150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cdr:x>
      <cdr:y>0</cdr:y>
    </cdr:from>
    <cdr:to>
      <cdr:x>0.0467</cdr:x>
      <cdr:y>0.05589</cdr:y>
    </cdr:to>
    <cdr:sp macro="" textlink="'FIG6'!$O$39">
      <cdr:nvSpPr>
        <cdr:cNvPr id="3"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wrap="square" lIns="18288" tIns="36576" rIns="18288" bIns="36576"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149923C-7B2D-4369-A0BD-8B540262846B}" type="TxLink">
            <a:rPr lang="en-US" sz="800" b="1" i="0" u="none" strike="noStrike">
              <a:solidFill>
                <a:srgbClr val="FFFFFF"/>
              </a:solidFill>
              <a:latin typeface="Arial"/>
              <a:cs typeface="Arial"/>
            </a:rPr>
            <a:pPr algn="ctr"/>
            <a:t>AR</a:t>
          </a:fld>
          <a:endParaRPr lang="en-US" sz="800" b="1">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0.36709</cdr:x>
      <cdr:y>0.0863</cdr:y>
    </cdr:from>
    <cdr:to>
      <cdr:x>0.46085</cdr:x>
      <cdr:y>0.11927</cdr:y>
    </cdr:to>
    <cdr:sp macro="" textlink="">
      <cdr:nvSpPr>
        <cdr:cNvPr id="2" name="TextBox 1"/>
        <cdr:cNvSpPr txBox="1"/>
      </cdr:nvSpPr>
      <cdr:spPr>
        <a:xfrm xmlns:a="http://schemas.openxmlformats.org/drawingml/2006/main">
          <a:off x="2148045" y="430720"/>
          <a:ext cx="548640" cy="164592"/>
        </a:xfrm>
        <a:prstGeom xmlns:a="http://schemas.openxmlformats.org/drawingml/2006/main" prst="rect">
          <a:avLst/>
        </a:prstGeom>
        <a:pattFill xmlns:a="http://schemas.openxmlformats.org/drawingml/2006/main" prst="shingle">
          <a:fgClr>
            <a:schemeClr val="bg1">
              <a:lumMod val="50000"/>
            </a:schemeClr>
          </a:fgClr>
          <a:bgClr>
            <a:schemeClr val="bg1"/>
          </a:bgClr>
        </a:pattFill>
        <a:ln xmlns:a="http://schemas.openxmlformats.org/drawingml/2006/main">
          <a:solidFill>
            <a:schemeClr val="bg1">
              <a:lumMod val="50000"/>
            </a:schemeClr>
          </a:solidFill>
        </a:ln>
      </cdr:spPr>
      <cdr:txBody>
        <a:bodyPr xmlns:a="http://schemas.openxmlformats.org/drawingml/2006/main" vertOverflow="clip" wrap="square" lIns="9144" tIns="9144" rIns="9144" bIns="9144" rtlCol="0" anchor="ctr"/>
        <a:lstStyle xmlns:a="http://schemas.openxmlformats.org/drawingml/2006/main"/>
        <a:p xmlns:a="http://schemas.openxmlformats.org/drawingml/2006/main">
          <a:pPr algn="ctr"/>
          <a:r>
            <a:rPr lang="en-US" sz="1000" b="1">
              <a:solidFill>
                <a:schemeClr val="tx1"/>
              </a:solidFill>
            </a:rPr>
            <a:t>FY03</a:t>
          </a:r>
        </a:p>
      </cdr:txBody>
    </cdr:sp>
  </cdr:relSizeAnchor>
  <cdr:relSizeAnchor xmlns:cdr="http://schemas.openxmlformats.org/drawingml/2006/chartDrawing">
    <cdr:from>
      <cdr:x>0.468</cdr:x>
      <cdr:y>0.0863</cdr:y>
    </cdr:from>
    <cdr:to>
      <cdr:x>0.56176</cdr:x>
      <cdr:y>0.11927</cdr:y>
    </cdr:to>
    <cdr:sp macro="" textlink="">
      <cdr:nvSpPr>
        <cdr:cNvPr id="4" name="TextBox 1"/>
        <cdr:cNvSpPr txBox="1"/>
      </cdr:nvSpPr>
      <cdr:spPr>
        <a:xfrm xmlns:a="http://schemas.openxmlformats.org/drawingml/2006/main">
          <a:off x="2738515" y="430720"/>
          <a:ext cx="548640" cy="164592"/>
        </a:xfrm>
        <a:prstGeom xmlns:a="http://schemas.openxmlformats.org/drawingml/2006/main" prst="rect">
          <a:avLst/>
        </a:prstGeom>
        <a:pattFill xmlns:a="http://schemas.openxmlformats.org/drawingml/2006/main" prst="smCheck">
          <a:fgClr>
            <a:schemeClr val="bg1">
              <a:lumMod val="65000"/>
            </a:schemeClr>
          </a:fgClr>
          <a:bgClr>
            <a:schemeClr val="bg1"/>
          </a:bgClr>
        </a:patt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FY07</a:t>
          </a:r>
        </a:p>
      </cdr:txBody>
    </cdr:sp>
  </cdr:relSizeAnchor>
  <cdr:relSizeAnchor xmlns:cdr="http://schemas.openxmlformats.org/drawingml/2006/chartDrawing">
    <cdr:from>
      <cdr:x>0.56891</cdr:x>
      <cdr:y>0.08556</cdr:y>
    </cdr:from>
    <cdr:to>
      <cdr:x>0.66267</cdr:x>
      <cdr:y>0.11927</cdr:y>
    </cdr:to>
    <cdr:sp macro="" textlink="">
      <cdr:nvSpPr>
        <cdr:cNvPr id="6" name="TextBox 1"/>
        <cdr:cNvSpPr txBox="1"/>
      </cdr:nvSpPr>
      <cdr:spPr>
        <a:xfrm xmlns:a="http://schemas.openxmlformats.org/drawingml/2006/main">
          <a:off x="3328986" y="427037"/>
          <a:ext cx="548640" cy="168275"/>
        </a:xfrm>
        <a:prstGeom xmlns:a="http://schemas.openxmlformats.org/drawingml/2006/main" prst="rect">
          <a:avLst/>
        </a:prstGeom>
        <a:solidFill xmlns:a="http://schemas.openxmlformats.org/drawingml/2006/main">
          <a:schemeClr val="bg1">
            <a:lumMod val="65000"/>
          </a:schemeClr>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tx1"/>
              </a:solidFill>
            </a:rPr>
            <a:t>FY11</a:t>
          </a:r>
        </a:p>
      </cdr:txBody>
    </cdr:sp>
  </cdr:relSizeAnchor>
  <cdr:relSizeAnchor xmlns:cdr="http://schemas.openxmlformats.org/drawingml/2006/chartDrawing">
    <cdr:from>
      <cdr:x>0.13402</cdr:x>
      <cdr:y>0.08556</cdr:y>
    </cdr:from>
    <cdr:to>
      <cdr:x>0.24341</cdr:x>
      <cdr:y>0.11927</cdr:y>
    </cdr:to>
    <cdr:sp macro="" textlink="">
      <cdr:nvSpPr>
        <cdr:cNvPr id="9" name="TextBox 1"/>
        <cdr:cNvSpPr txBox="1"/>
      </cdr:nvSpPr>
      <cdr:spPr>
        <a:xfrm xmlns:a="http://schemas.openxmlformats.org/drawingml/2006/main">
          <a:off x="784225" y="427037"/>
          <a:ext cx="640080" cy="168275"/>
        </a:xfrm>
        <a:prstGeom xmlns:a="http://schemas.openxmlformats.org/drawingml/2006/main" prst="rect">
          <a:avLst/>
        </a:prstGeom>
        <a:solidFill xmlns:a="http://schemas.openxmlformats.org/drawingml/2006/main">
          <a:schemeClr val="accent2"/>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DISTRICT</a:t>
          </a:r>
        </a:p>
      </cdr:txBody>
    </cdr:sp>
  </cdr:relSizeAnchor>
  <cdr:relSizeAnchor xmlns:cdr="http://schemas.openxmlformats.org/drawingml/2006/chartDrawing">
    <cdr:from>
      <cdr:x>0.25056</cdr:x>
      <cdr:y>0.08556</cdr:y>
    </cdr:from>
    <cdr:to>
      <cdr:x>0.35994</cdr:x>
      <cdr:y>0.11927</cdr:y>
    </cdr:to>
    <cdr:sp macro="" textlink="">
      <cdr:nvSpPr>
        <cdr:cNvPr id="11" name="TextBox 1"/>
        <cdr:cNvSpPr txBox="1"/>
      </cdr:nvSpPr>
      <cdr:spPr>
        <a:xfrm xmlns:a="http://schemas.openxmlformats.org/drawingml/2006/main">
          <a:off x="1466135" y="427037"/>
          <a:ext cx="640080" cy="168275"/>
        </a:xfrm>
        <a:prstGeom xmlns:a="http://schemas.openxmlformats.org/drawingml/2006/main" prst="rect">
          <a:avLst/>
        </a:prstGeom>
        <a:solidFill xmlns:a="http://schemas.openxmlformats.org/drawingml/2006/main">
          <a:schemeClr val="accent1"/>
        </a:solidFill>
        <a:ln xmlns:a="http://schemas.openxmlformats.org/drawingml/2006/main">
          <a:solidFill>
            <a:schemeClr val="bg1">
              <a:lumMod val="50000"/>
            </a:schemeClr>
          </a:solidFill>
        </a:ln>
      </cdr:spPr>
      <cdr:txBody>
        <a:bodyPr xmlns:a="http://schemas.openxmlformats.org/drawingml/2006/main" wrap="square" lIns="9144" tIns="9144" rIns="9144" bIns="9144"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chemeClr val="bg1"/>
              </a:solidFill>
            </a:rPr>
            <a:t>CHARTER</a:t>
          </a:r>
        </a:p>
      </cdr:txBody>
    </cdr:sp>
  </cdr:relSizeAnchor>
</c:userShapes>
</file>

<file path=xl/drawings/drawing2.xml><?xml version="1.0" encoding="utf-8"?>
<c:userShapes xmlns:c="http://schemas.openxmlformats.org/drawingml/2006/chart">
  <cdr:relSizeAnchor xmlns:cdr="http://schemas.openxmlformats.org/drawingml/2006/chartDrawing">
    <cdr:from>
      <cdr:x>0</cdr:x>
      <cdr:y>0</cdr:y>
    </cdr:from>
    <cdr:to>
      <cdr:x>0.08333</cdr:x>
      <cdr:y>0.125</cdr:y>
    </cdr:to>
    <cdr:sp macro="" textlink="'FIG1'!$N$40">
      <cdr:nvSpPr>
        <cdr:cNvPr id="2"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vertOverflow="clip" wrap="square" lIns="18288" tIns="36576" rIns="18288" bIns="36576" rtlCol="0" anchor="ctr"/>
        <a:lstStyle xmlns:a="http://schemas.openxmlformats.org/drawingml/2006/main"/>
        <a:p xmlns:a="http://schemas.openxmlformats.org/drawingml/2006/main">
          <a:pPr algn="ctr"/>
          <a:fld id="{9A714297-575E-427B-BE96-8E754DF1D095}" type="TxLink">
            <a:rPr lang="en-US" sz="800" b="1" i="0" u="none" strike="noStrike">
              <a:solidFill>
                <a:srgbClr val="FFFFFF"/>
              </a:solidFill>
              <a:latin typeface="Arial"/>
              <a:cs typeface="Arial"/>
            </a:rPr>
            <a:pPr algn="ctr"/>
            <a:t>AR</a:t>
          </a:fld>
          <a:endParaRPr lang="en-US" sz="800" b="1">
            <a:solidFill>
              <a:schemeClr val="bg1"/>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cdr:x>
      <cdr:y>0</cdr:y>
    </cdr:from>
    <cdr:to>
      <cdr:x>0.08333</cdr:x>
      <cdr:y>0.125</cdr:y>
    </cdr:to>
    <cdr:sp macro="" textlink="'FIG1'!$N$40">
      <cdr:nvSpPr>
        <cdr:cNvPr id="2"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vertOverflow="clip" wrap="square" lIns="18288" tIns="36576" rIns="18288" bIns="36576" rtlCol="0" anchor="ctr"/>
        <a:lstStyle xmlns:a="http://schemas.openxmlformats.org/drawingml/2006/main"/>
        <a:p xmlns:a="http://schemas.openxmlformats.org/drawingml/2006/main">
          <a:pPr algn="ctr"/>
          <a:fld id="{9A714297-575E-427B-BE96-8E754DF1D095}" type="TxLink">
            <a:rPr lang="en-US" sz="800" b="1" i="0" u="none" strike="noStrike">
              <a:solidFill>
                <a:srgbClr val="FFFFFF"/>
              </a:solidFill>
              <a:latin typeface="Arial"/>
              <a:cs typeface="Arial"/>
            </a:rPr>
            <a:pPr algn="ctr"/>
            <a:t>AR</a:t>
          </a:fld>
          <a:endParaRPr lang="en-US" sz="800" b="1">
            <a:solidFill>
              <a:schemeClr val="bg1"/>
            </a:solidFill>
            <a:latin typeface="Arial" panose="020B0604020202020204" pitchFamily="34" charset="0"/>
            <a:cs typeface="Arial" panose="020B06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0.08333</cdr:x>
      <cdr:y>0.125</cdr:y>
    </cdr:to>
    <cdr:sp macro="" textlink="'FIG1'!$N$40">
      <cdr:nvSpPr>
        <cdr:cNvPr id="2"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vertOverflow="clip" wrap="square" lIns="18288" tIns="36576" rIns="18288" bIns="36576" rtlCol="0" anchor="ctr"/>
        <a:lstStyle xmlns:a="http://schemas.openxmlformats.org/drawingml/2006/main"/>
        <a:p xmlns:a="http://schemas.openxmlformats.org/drawingml/2006/main">
          <a:pPr algn="ctr"/>
          <a:fld id="{9A714297-575E-427B-BE96-8E754DF1D095}" type="TxLink">
            <a:rPr lang="en-US" sz="800" b="1" i="0" u="none" strike="noStrike">
              <a:solidFill>
                <a:srgbClr val="FFFFFF"/>
              </a:solidFill>
              <a:latin typeface="Arial"/>
              <a:cs typeface="Arial"/>
            </a:rPr>
            <a:pPr algn="ctr"/>
            <a:t>AR</a:t>
          </a:fld>
          <a:endParaRPr lang="en-US" sz="800" b="1">
            <a:solidFill>
              <a:schemeClr val="bg1"/>
            </a:solidFill>
            <a:latin typeface="Arial" panose="020B0604020202020204" pitchFamily="34" charset="0"/>
            <a:cs typeface="Arial" panose="020B060402020202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1</xdr:col>
      <xdr:colOff>523875</xdr:colOff>
      <xdr:row>4</xdr:row>
      <xdr:rowOff>95250</xdr:rowOff>
    </xdr:from>
    <xdr:to>
      <xdr:col>7</xdr:col>
      <xdr:colOff>443865</xdr:colOff>
      <xdr:row>15</xdr:row>
      <xdr:rowOff>89535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c:userShapes xmlns:c="http://schemas.openxmlformats.org/drawingml/2006/chart">
  <cdr:relSizeAnchor xmlns:cdr="http://schemas.openxmlformats.org/drawingml/2006/chartDrawing">
    <cdr:from>
      <cdr:x>0</cdr:x>
      <cdr:y>0</cdr:y>
    </cdr:from>
    <cdr:to>
      <cdr:x>0.08333</cdr:x>
      <cdr:y>0.125</cdr:y>
    </cdr:to>
    <cdr:sp macro="" textlink="'FIG2'!$N$40">
      <cdr:nvSpPr>
        <cdr:cNvPr id="3" name="TextBox 1"/>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wrap="square" lIns="18288" tIns="18288" rIns="18288" bIns="18288"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4909949-393D-4C05-997A-1150BEA5FF05}" type="TxLink">
            <a:rPr lang="en-US" sz="800" b="1" i="0" u="none" strike="noStrike">
              <a:solidFill>
                <a:srgbClr val="FFFFFF"/>
              </a:solidFill>
              <a:latin typeface="Arial"/>
              <a:cs typeface="Arial"/>
            </a:rPr>
            <a:pPr algn="ctr"/>
            <a:t>AR</a:t>
          </a:fld>
          <a:endParaRPr lang="en-US" sz="800" b="1">
            <a:solidFill>
              <a:schemeClr val="bg1"/>
            </a:solidFill>
            <a:latin typeface="Arial" panose="020B0604020202020204" pitchFamily="34" charset="0"/>
            <a:cs typeface="Arial" panose="020B060402020202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absolute">
    <xdr:from>
      <xdr:col>1</xdr:col>
      <xdr:colOff>490537</xdr:colOff>
      <xdr:row>5</xdr:row>
      <xdr:rowOff>66675</xdr:rowOff>
    </xdr:from>
    <xdr:to>
      <xdr:col>7</xdr:col>
      <xdr:colOff>410527</xdr:colOff>
      <xdr:row>16</xdr:row>
      <xdr:rowOff>60960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c:userShapes xmlns:c="http://schemas.openxmlformats.org/drawingml/2006/chart">
  <cdr:relSizeAnchor xmlns:cdr="http://schemas.openxmlformats.org/drawingml/2006/chartDrawing">
    <cdr:from>
      <cdr:x>0.0246</cdr:x>
      <cdr:y>0.04123</cdr:y>
    </cdr:from>
    <cdr:to>
      <cdr:x>0.07957</cdr:x>
      <cdr:y>0.11936</cdr:y>
    </cdr:to>
    <cdr:sp macro="" textlink="">
      <cdr:nvSpPr>
        <cdr:cNvPr id="2" name="TextBox 1"/>
        <cdr:cNvSpPr txBox="1"/>
      </cdr:nvSpPr>
      <cdr:spPr>
        <a:xfrm xmlns:a="http://schemas.openxmlformats.org/drawingml/2006/main">
          <a:off x="80963" y="90488"/>
          <a:ext cx="180975" cy="171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cdr:y>
    </cdr:from>
    <cdr:to>
      <cdr:x>0.08333</cdr:x>
      <cdr:y>0.125</cdr:y>
    </cdr:to>
    <cdr:sp macro="" textlink="'FIG4'!$N$40">
      <cdr:nvSpPr>
        <cdr:cNvPr id="3" name="TextBox 2"/>
        <cdr:cNvSpPr txBox="1"/>
      </cdr:nvSpPr>
      <cdr:spPr>
        <a:xfrm xmlns:a="http://schemas.openxmlformats.org/drawingml/2006/main">
          <a:off x="0" y="0"/>
          <a:ext cx="274320" cy="274320"/>
        </a:xfrm>
        <a:prstGeom xmlns:a="http://schemas.openxmlformats.org/drawingml/2006/main" prst="rect">
          <a:avLst/>
        </a:prstGeom>
        <a:solidFill xmlns:a="http://schemas.openxmlformats.org/drawingml/2006/main">
          <a:schemeClr val="tx1"/>
        </a:solidFill>
      </cdr:spPr>
      <cdr:txBody>
        <a:bodyPr xmlns:a="http://schemas.openxmlformats.org/drawingml/2006/main" vertOverflow="clip" wrap="square" lIns="18288" tIns="18288" rIns="18288" bIns="18288" rtlCol="0" anchor="ctr"/>
        <a:lstStyle xmlns:a="http://schemas.openxmlformats.org/drawingml/2006/main"/>
        <a:p xmlns:a="http://schemas.openxmlformats.org/drawingml/2006/main">
          <a:pPr algn="ctr"/>
          <a:fld id="{E0750F81-9984-488F-90D3-DED794412F0E}" type="TxLink">
            <a:rPr lang="en-US" sz="800" b="1" i="0" u="none" strike="noStrike">
              <a:solidFill>
                <a:schemeClr val="bg1"/>
              </a:solidFill>
              <a:latin typeface="Arial"/>
              <a:cs typeface="Arial"/>
            </a:rPr>
            <a:pPr algn="ctr"/>
            <a:t>AR</a:t>
          </a:fld>
          <a:endParaRPr lang="en-US" sz="800">
            <a:solidFill>
              <a:schemeClr val="bg1"/>
            </a:solidFill>
          </a:endParaRP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2</xdr:col>
      <xdr:colOff>0</xdr:colOff>
      <xdr:row>5</xdr:row>
      <xdr:rowOff>0</xdr:rowOff>
    </xdr:from>
    <xdr:to>
      <xdr:col>7</xdr:col>
      <xdr:colOff>481965</xdr:colOff>
      <xdr:row>15</xdr:row>
      <xdr:rowOff>194310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VENUE%20STUDY_TEMPLATE_FY11_20130715_v130_AZ-DEMONSTRATION.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FIG1"/>
      <sheetName val="FIG2"/>
      <sheetName val="FIG3"/>
      <sheetName val="FIG4"/>
      <sheetName val="FIG5"/>
      <sheetName val="FIG6"/>
      <sheetName val="FIG7"/>
      <sheetName val="FIG8"/>
      <sheetName val="FIG9"/>
      <sheetName val="FIG10"/>
      <sheetName val="FIG11"/>
      <sheetName val="FIG12"/>
      <sheetName val="CONVERSIONS-CONV"/>
      <sheetName val="$REV-DB"/>
      <sheetName val="$REV-DSUM"/>
      <sheetName val="$REV-DSUM-CONV"/>
      <sheetName val="$REV-PROOF"/>
      <sheetName val="$REV-HEADINGS"/>
      <sheetName val="$REV-NOTES"/>
      <sheetName val="1$REV-DATA-"/>
      <sheetName val="2$REV-DATA-"/>
      <sheetName val="3$REV-DATA-"/>
      <sheetName val="4$REV-DATA-"/>
      <sheetName val="5$REV-DATA-"/>
      <sheetName val="6$REV-DATA-"/>
      <sheetName val="7$REV-DATA-"/>
      <sheetName val="8$REV-DATA-"/>
      <sheetName val="9$REV-DATA-"/>
      <sheetName val="10$REV-DATA-"/>
      <sheetName val="$REV-DATA-END"/>
      <sheetName val="1$REV-ARCHIVE-"/>
      <sheetName val="2$REV-ARCHIVE-"/>
      <sheetName val="3$REV-ARCHIVE-"/>
      <sheetName val="4$REV-ARCHIVE-"/>
      <sheetName val="5$REV-ARCHIVE-"/>
      <sheetName val="6$REV-ARCHIVE-"/>
      <sheetName val="7$REV-ARCHIVE-"/>
      <sheetName val="8$REV-ARCHIVE-"/>
      <sheetName val="$REV-ARCHIVE-END"/>
      <sheetName val="ENR#-DB"/>
      <sheetName val="ENR#-DSUM"/>
      <sheetName val="ENR#-DSUM-CONV"/>
      <sheetName val="ENR#-PROOF"/>
      <sheetName val="ENR#-HEADINGS"/>
      <sheetName val="ENR#-NOTES"/>
      <sheetName val="1ENR#DATA-"/>
      <sheetName val="2ENR#DATA-"/>
      <sheetName val="3ENR#DATA-"/>
      <sheetName val="4ENR#DATA-"/>
      <sheetName val="5ENR#DATA-"/>
      <sheetName val="6ENR#DATA-"/>
      <sheetName val="7ENR#DATA-"/>
      <sheetName val="8ENR#DATA-"/>
      <sheetName val="9ENR#DATA-"/>
      <sheetName val="10ENR#DATA-"/>
      <sheetName val="ENR#DATA-END"/>
      <sheetName val="1ENR#ARCHIVE-"/>
      <sheetName val="2ENR#ARCHIVE-"/>
      <sheetName val="3ENR#ARCHIVE-"/>
      <sheetName val="4ENR#ARCHIVE-"/>
      <sheetName val="5ENR#ARCHIVE-"/>
      <sheetName val="6ENR#ARCHIVE-"/>
      <sheetName val="7ENR#ARCHIVE-"/>
      <sheetName val="8ENR#ARCHIVE-"/>
      <sheetName val="ENR#ARCHIVE-END"/>
      <sheetName val="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4">
          <cell r="T34" t="str">
            <v>UD1</v>
          </cell>
          <cell r="U34" t="str">
            <v>UD2</v>
          </cell>
          <cell r="V34" t="str">
            <v>UD3</v>
          </cell>
          <cell r="W34" t="str">
            <v>UD4</v>
          </cell>
          <cell r="X34" t="str">
            <v>UD5</v>
          </cell>
          <cell r="Y34" t="str">
            <v>UD6</v>
          </cell>
          <cell r="Z34" t="str">
            <v>UD7</v>
          </cell>
          <cell r="AA34" t="str">
            <v>UD8</v>
          </cell>
          <cell r="AB34" t="str">
            <v>UD9</v>
          </cell>
          <cell r="AC34" t="str">
            <v>UD10</v>
          </cell>
          <cell r="AD34" t="str">
            <v>UD11</v>
          </cell>
          <cell r="AE34" t="str">
            <v>UD12</v>
          </cell>
          <cell r="AF34" t="str">
            <v>UD13</v>
          </cell>
          <cell r="AG34" t="str">
            <v>UD14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4">
          <cell r="S34" t="str">
            <v>UD1</v>
          </cell>
          <cell r="T34" t="str">
            <v>UD2</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5.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0"/>
  <sheetViews>
    <sheetView workbookViewId="0"/>
  </sheetViews>
  <sheetFormatPr baseColWidth="10" defaultColWidth="8.83203125" defaultRowHeight="11" x14ac:dyDescent="0"/>
  <cols>
    <col min="1" max="1" width="3.83203125" customWidth="1"/>
    <col min="2" max="14" width="6.83203125" customWidth="1"/>
    <col min="15" max="15" width="3.83203125" customWidth="1"/>
    <col min="16" max="17" width="6.83203125" customWidth="1"/>
    <col min="18" max="18" width="5.1640625" customWidth="1"/>
    <col min="19" max="20" width="6.83203125" customWidth="1"/>
    <col min="21" max="21" width="76.1640625" customWidth="1"/>
    <col min="22" max="29" width="6.83203125" customWidth="1"/>
  </cols>
  <sheetData>
    <row r="1" spans="1:21" ht="16" customHeight="1">
      <c r="A1" s="824"/>
      <c r="B1" s="824"/>
      <c r="C1" s="824"/>
      <c r="D1" s="824"/>
      <c r="E1" s="824"/>
      <c r="F1" s="824"/>
      <c r="G1" s="824"/>
      <c r="H1" s="824"/>
      <c r="I1" s="824"/>
      <c r="J1" s="824"/>
      <c r="K1" s="824"/>
      <c r="L1" s="824"/>
      <c r="M1" s="824"/>
      <c r="N1" s="824"/>
      <c r="O1" s="824"/>
      <c r="R1" s="389"/>
      <c r="S1" s="389"/>
      <c r="T1" s="389"/>
      <c r="U1" s="389"/>
    </row>
    <row r="2" spans="1:21" ht="16" customHeight="1">
      <c r="A2" s="824"/>
      <c r="B2" s="825" t="s">
        <v>954</v>
      </c>
      <c r="C2" s="824"/>
      <c r="D2" s="824"/>
      <c r="E2" s="824"/>
      <c r="F2" s="824"/>
      <c r="G2" s="824"/>
      <c r="H2" s="824"/>
      <c r="I2" s="824"/>
      <c r="J2" s="824"/>
      <c r="K2" s="824"/>
      <c r="L2" s="824"/>
      <c r="M2" s="824"/>
      <c r="N2" s="824"/>
      <c r="O2" s="824"/>
      <c r="R2" s="825" t="s">
        <v>847</v>
      </c>
      <c r="S2" s="389"/>
      <c r="T2" s="389"/>
      <c r="U2" s="389"/>
    </row>
    <row r="3" spans="1:21" ht="16" customHeight="1">
      <c r="A3" s="824"/>
      <c r="B3" s="824"/>
      <c r="C3" s="824"/>
      <c r="D3" s="824"/>
      <c r="E3" s="824"/>
      <c r="F3" s="824"/>
      <c r="G3" s="824"/>
      <c r="H3" s="824"/>
      <c r="I3" s="824"/>
      <c r="J3" s="824"/>
      <c r="K3" s="824"/>
      <c r="L3" s="824"/>
      <c r="M3" s="824"/>
      <c r="N3" s="824"/>
      <c r="O3" s="824"/>
      <c r="R3" s="389"/>
      <c r="S3" s="389"/>
      <c r="T3" s="389"/>
      <c r="U3" s="389"/>
    </row>
    <row r="4" spans="1:21" ht="16" customHeight="1">
      <c r="A4" s="824"/>
      <c r="B4" s="824" t="s">
        <v>955</v>
      </c>
      <c r="C4" s="824"/>
      <c r="D4" s="824"/>
      <c r="E4" s="824"/>
      <c r="F4" s="824"/>
      <c r="G4" s="824"/>
      <c r="H4" s="824"/>
      <c r="I4" s="824"/>
      <c r="J4" s="824"/>
      <c r="K4" s="824"/>
      <c r="L4" s="824"/>
      <c r="M4" s="824"/>
      <c r="N4" s="824"/>
      <c r="O4" s="824"/>
      <c r="R4" s="824" t="s">
        <v>848</v>
      </c>
      <c r="S4" s="389"/>
      <c r="T4" s="389"/>
      <c r="U4" s="389"/>
    </row>
    <row r="5" spans="1:21" ht="16" customHeight="1">
      <c r="A5" s="824"/>
      <c r="B5" s="826"/>
      <c r="C5" s="827" t="s">
        <v>956</v>
      </c>
      <c r="D5" s="824"/>
      <c r="E5" s="824"/>
      <c r="F5" s="824"/>
      <c r="G5" s="824"/>
      <c r="H5" s="824"/>
      <c r="I5" s="824"/>
      <c r="J5" s="824"/>
      <c r="K5" s="824"/>
      <c r="L5" s="824"/>
      <c r="M5" s="824"/>
      <c r="N5" s="824"/>
      <c r="O5" s="824"/>
      <c r="R5" s="389"/>
      <c r="S5" s="389" t="s">
        <v>849</v>
      </c>
      <c r="T5" s="389"/>
      <c r="U5" s="389"/>
    </row>
    <row r="6" spans="1:21" ht="16" customHeight="1">
      <c r="A6" s="824"/>
      <c r="B6" s="826"/>
      <c r="C6" s="824" t="s">
        <v>964</v>
      </c>
      <c r="D6" s="824"/>
      <c r="E6" s="824"/>
      <c r="F6" s="824"/>
      <c r="G6" s="824"/>
      <c r="H6" s="824"/>
      <c r="I6" s="824"/>
      <c r="J6" s="824"/>
      <c r="K6" s="824"/>
      <c r="L6" s="824"/>
      <c r="M6" s="824"/>
      <c r="N6" s="824"/>
      <c r="O6" s="824"/>
      <c r="R6" s="389"/>
      <c r="S6" s="389" t="s">
        <v>850</v>
      </c>
      <c r="T6" s="389"/>
      <c r="U6" s="389"/>
    </row>
    <row r="7" spans="1:21" ht="16" customHeight="1">
      <c r="A7" s="824"/>
      <c r="B7" s="826"/>
      <c r="C7" s="824" t="s">
        <v>965</v>
      </c>
      <c r="D7" s="824"/>
      <c r="E7" s="824"/>
      <c r="F7" s="824"/>
      <c r="G7" s="824"/>
      <c r="H7" s="824"/>
      <c r="I7" s="824"/>
      <c r="J7" s="824"/>
      <c r="K7" s="824"/>
      <c r="L7" s="824"/>
      <c r="M7" s="824"/>
      <c r="N7" s="824"/>
      <c r="O7" s="824"/>
      <c r="R7" s="389"/>
      <c r="S7" s="389" t="s">
        <v>857</v>
      </c>
      <c r="T7" s="389"/>
      <c r="U7" s="389"/>
    </row>
    <row r="8" spans="1:21" ht="16" customHeight="1">
      <c r="A8" s="824"/>
      <c r="B8" s="824"/>
      <c r="C8" s="824" t="s">
        <v>966</v>
      </c>
      <c r="D8" s="824"/>
      <c r="E8" s="824"/>
      <c r="F8" s="824"/>
      <c r="G8" s="824"/>
      <c r="H8" s="824"/>
      <c r="I8" s="824"/>
      <c r="J8" s="824"/>
      <c r="K8" s="824"/>
      <c r="L8" s="824"/>
      <c r="M8" s="824"/>
      <c r="N8" s="824"/>
      <c r="O8" s="824"/>
      <c r="R8" s="389"/>
      <c r="S8" s="389"/>
      <c r="T8" s="389" t="s">
        <v>856</v>
      </c>
      <c r="U8" s="389"/>
    </row>
    <row r="9" spans="1:21" ht="16" customHeight="1">
      <c r="A9" s="824"/>
      <c r="B9" s="824"/>
      <c r="C9" s="824" t="s">
        <v>967</v>
      </c>
      <c r="D9" s="824"/>
      <c r="E9" s="824"/>
      <c r="F9" s="824"/>
      <c r="G9" s="824"/>
      <c r="H9" s="824"/>
      <c r="I9" s="824"/>
      <c r="J9" s="824"/>
      <c r="K9" s="824"/>
      <c r="L9" s="824"/>
      <c r="M9" s="824"/>
      <c r="N9" s="824"/>
      <c r="O9" s="824"/>
      <c r="R9" s="389"/>
      <c r="S9" s="389" t="s">
        <v>851</v>
      </c>
      <c r="T9" s="389"/>
      <c r="U9" s="389"/>
    </row>
    <row r="10" spans="1:21" ht="16" customHeight="1">
      <c r="A10" s="824"/>
      <c r="B10" s="824"/>
      <c r="C10" s="824" t="s">
        <v>899</v>
      </c>
      <c r="D10" s="824"/>
      <c r="E10" s="824"/>
      <c r="F10" s="824"/>
      <c r="G10" s="824"/>
      <c r="H10" s="824"/>
      <c r="I10" s="824"/>
      <c r="J10" s="824"/>
      <c r="K10" s="824"/>
      <c r="L10" s="824"/>
      <c r="M10" s="824"/>
      <c r="N10" s="824"/>
      <c r="O10" s="824"/>
      <c r="R10" s="389"/>
      <c r="S10" s="389" t="s">
        <v>859</v>
      </c>
      <c r="T10" s="389"/>
      <c r="U10" s="389"/>
    </row>
    <row r="11" spans="1:21" ht="16" customHeight="1">
      <c r="A11" s="824"/>
      <c r="B11" s="824"/>
      <c r="C11" s="824" t="s">
        <v>900</v>
      </c>
      <c r="D11" s="824"/>
      <c r="E11" s="824"/>
      <c r="F11" s="824"/>
      <c r="G11" s="824"/>
      <c r="H11" s="824"/>
      <c r="I11" s="824"/>
      <c r="J11" s="824"/>
      <c r="K11" s="824"/>
      <c r="L11" s="824"/>
      <c r="M11" s="824"/>
      <c r="N11" s="824"/>
      <c r="O11" s="824"/>
      <c r="R11" s="389"/>
      <c r="S11" s="389"/>
      <c r="T11" s="389" t="s">
        <v>858</v>
      </c>
      <c r="U11" s="389"/>
    </row>
    <row r="12" spans="1:21" ht="16" customHeight="1">
      <c r="A12" s="824"/>
      <c r="B12" s="824"/>
      <c r="C12" s="824" t="s">
        <v>901</v>
      </c>
      <c r="D12" s="824"/>
      <c r="E12" s="824"/>
      <c r="F12" s="824"/>
      <c r="G12" s="824"/>
      <c r="H12" s="824"/>
      <c r="I12" s="824"/>
      <c r="J12" s="824"/>
      <c r="K12" s="824"/>
      <c r="L12" s="824"/>
      <c r="M12" s="824"/>
      <c r="N12" s="824"/>
      <c r="O12" s="824"/>
      <c r="R12" s="389"/>
      <c r="S12" s="389"/>
      <c r="T12" s="389"/>
      <c r="U12" s="389"/>
    </row>
    <row r="13" spans="1:21" ht="16" customHeight="1">
      <c r="A13" s="824"/>
      <c r="B13" s="824"/>
      <c r="C13" s="824"/>
      <c r="D13" s="824"/>
      <c r="E13" s="824"/>
      <c r="F13" s="824"/>
      <c r="G13" s="824"/>
      <c r="H13" s="824"/>
      <c r="I13" s="824"/>
      <c r="J13" s="824"/>
      <c r="K13" s="824"/>
      <c r="L13" s="824"/>
      <c r="M13" s="824"/>
      <c r="N13" s="824"/>
      <c r="O13" s="824"/>
      <c r="R13" s="389" t="s">
        <v>852</v>
      </c>
      <c r="S13" s="389"/>
      <c r="T13" s="389"/>
      <c r="U13" s="389"/>
    </row>
    <row r="14" spans="1:21" ht="16" customHeight="1">
      <c r="A14" s="824"/>
      <c r="B14" s="824"/>
      <c r="C14" s="827" t="s">
        <v>957</v>
      </c>
      <c r="D14" s="824"/>
      <c r="E14" s="824"/>
      <c r="F14" s="824"/>
      <c r="G14" s="824"/>
      <c r="H14" s="824"/>
      <c r="I14" s="824"/>
      <c r="J14" s="824"/>
      <c r="K14" s="824"/>
      <c r="L14" s="824"/>
      <c r="M14" s="824"/>
      <c r="N14" s="824"/>
      <c r="O14" s="824"/>
      <c r="R14" s="389"/>
      <c r="S14" s="389" t="s">
        <v>853</v>
      </c>
      <c r="T14" s="389"/>
      <c r="U14" s="389"/>
    </row>
    <row r="15" spans="1:21" ht="16" customHeight="1">
      <c r="A15" s="824"/>
      <c r="B15" s="824"/>
      <c r="C15" s="826">
        <v>1</v>
      </c>
      <c r="D15" s="824" t="s">
        <v>958</v>
      </c>
      <c r="E15" s="824"/>
      <c r="F15" s="824"/>
      <c r="G15" s="824"/>
      <c r="H15" s="824"/>
      <c r="I15" s="824"/>
      <c r="J15" s="824"/>
      <c r="K15" s="824"/>
      <c r="L15" s="824"/>
      <c r="M15" s="824"/>
      <c r="N15" s="824"/>
      <c r="O15" s="824"/>
      <c r="R15" s="389"/>
      <c r="S15" s="389"/>
      <c r="T15" s="389" t="s">
        <v>854</v>
      </c>
      <c r="U15" s="389"/>
    </row>
    <row r="16" spans="1:21" ht="16" customHeight="1">
      <c r="A16" s="824"/>
      <c r="B16" s="824"/>
      <c r="C16" s="826">
        <v>2</v>
      </c>
      <c r="D16" s="824" t="s">
        <v>959</v>
      </c>
      <c r="E16" s="824"/>
      <c r="F16" s="824"/>
      <c r="G16" s="824"/>
      <c r="H16" s="824"/>
      <c r="I16" s="824"/>
      <c r="J16" s="824"/>
      <c r="K16" s="824"/>
      <c r="L16" s="824"/>
      <c r="M16" s="824"/>
      <c r="N16" s="824"/>
      <c r="O16" s="824"/>
      <c r="R16" s="389"/>
      <c r="S16" s="389"/>
      <c r="T16" s="389" t="s">
        <v>862</v>
      </c>
      <c r="U16" s="389"/>
    </row>
    <row r="17" spans="1:21" ht="16" customHeight="1">
      <c r="A17" s="824"/>
      <c r="B17" s="824"/>
      <c r="C17" s="826">
        <v>3</v>
      </c>
      <c r="D17" s="824" t="s">
        <v>960</v>
      </c>
      <c r="E17" s="824"/>
      <c r="F17" s="824"/>
      <c r="G17" s="824"/>
      <c r="H17" s="824"/>
      <c r="I17" s="824"/>
      <c r="J17" s="824"/>
      <c r="K17" s="824"/>
      <c r="L17" s="824"/>
      <c r="M17" s="824"/>
      <c r="N17" s="824"/>
      <c r="O17" s="824"/>
      <c r="R17" s="389"/>
      <c r="S17" s="389"/>
      <c r="T17" s="389" t="s">
        <v>860</v>
      </c>
      <c r="U17" s="389"/>
    </row>
    <row r="18" spans="1:21" ht="16" customHeight="1">
      <c r="A18" s="824"/>
      <c r="B18" s="824"/>
      <c r="C18" s="826">
        <v>4</v>
      </c>
      <c r="D18" s="824" t="s">
        <v>961</v>
      </c>
      <c r="E18" s="824"/>
      <c r="F18" s="824"/>
      <c r="G18" s="824"/>
      <c r="H18" s="824"/>
      <c r="I18" s="824"/>
      <c r="J18" s="824"/>
      <c r="K18" s="824"/>
      <c r="L18" s="824"/>
      <c r="M18" s="824"/>
      <c r="N18" s="824"/>
      <c r="O18" s="824"/>
      <c r="R18" s="389"/>
      <c r="S18" s="389"/>
      <c r="T18" s="389" t="s">
        <v>861</v>
      </c>
      <c r="U18" s="389"/>
    </row>
    <row r="19" spans="1:21" ht="16" customHeight="1">
      <c r="A19" s="824"/>
      <c r="B19" s="824"/>
      <c r="C19" s="826">
        <v>5</v>
      </c>
      <c r="D19" s="824" t="s">
        <v>962</v>
      </c>
      <c r="E19" s="824"/>
      <c r="F19" s="824"/>
      <c r="G19" s="824"/>
      <c r="H19" s="824"/>
      <c r="I19" s="824"/>
      <c r="J19" s="824"/>
      <c r="K19" s="824"/>
      <c r="L19" s="824"/>
      <c r="M19" s="824"/>
      <c r="N19" s="824"/>
      <c r="O19" s="824"/>
      <c r="R19" s="389"/>
      <c r="S19" s="389"/>
      <c r="T19" s="389"/>
      <c r="U19" s="389"/>
    </row>
    <row r="20" spans="1:21" ht="16" customHeight="1">
      <c r="A20" s="824"/>
      <c r="B20" s="824"/>
      <c r="C20" s="826">
        <v>6</v>
      </c>
      <c r="D20" s="824" t="s">
        <v>963</v>
      </c>
      <c r="E20" s="824"/>
      <c r="F20" s="824"/>
      <c r="G20" s="824"/>
      <c r="H20" s="824"/>
      <c r="I20" s="824"/>
      <c r="J20" s="824"/>
      <c r="K20" s="824"/>
      <c r="L20" s="824"/>
      <c r="M20" s="824"/>
      <c r="N20" s="824"/>
      <c r="O20" s="824"/>
      <c r="R20" s="389" t="s">
        <v>855</v>
      </c>
      <c r="S20" s="389"/>
      <c r="T20" s="389"/>
      <c r="U20" s="389"/>
    </row>
    <row r="21" spans="1:21" ht="16" customHeight="1">
      <c r="A21" s="824"/>
      <c r="B21" s="824"/>
      <c r="C21" s="826">
        <v>7</v>
      </c>
      <c r="D21" s="824" t="s">
        <v>913</v>
      </c>
      <c r="E21" s="824"/>
      <c r="F21" s="824"/>
      <c r="G21" s="824"/>
      <c r="H21" s="824"/>
      <c r="I21" s="824"/>
      <c r="J21" s="824"/>
      <c r="K21" s="824"/>
      <c r="L21" s="824"/>
      <c r="M21" s="824"/>
      <c r="N21" s="824"/>
      <c r="O21" s="824"/>
      <c r="R21" s="389"/>
      <c r="S21" s="389"/>
      <c r="T21" s="389"/>
      <c r="U21" s="389"/>
    </row>
    <row r="22" spans="1:21" ht="16" customHeight="1">
      <c r="A22" s="824"/>
      <c r="B22" s="824"/>
      <c r="C22" s="824"/>
      <c r="D22" s="824"/>
      <c r="E22" s="824"/>
      <c r="F22" s="824"/>
      <c r="G22" s="824"/>
      <c r="H22" s="824"/>
      <c r="I22" s="824"/>
      <c r="J22" s="824"/>
      <c r="K22" s="824"/>
      <c r="L22" s="824"/>
      <c r="M22" s="824"/>
      <c r="N22" s="824"/>
      <c r="O22" s="824"/>
      <c r="R22" s="389" t="s">
        <v>746</v>
      </c>
      <c r="S22" s="389"/>
      <c r="T22" s="389"/>
      <c r="U22" s="389"/>
    </row>
    <row r="23" spans="1:21" ht="16" customHeight="1">
      <c r="A23" s="824"/>
      <c r="B23" s="824"/>
      <c r="C23" s="824"/>
      <c r="D23" s="828" t="s">
        <v>903</v>
      </c>
      <c r="E23" s="829"/>
      <c r="F23" s="829"/>
      <c r="G23" s="829"/>
      <c r="H23" s="829"/>
      <c r="I23" s="829"/>
      <c r="J23" s="829"/>
      <c r="K23" s="829"/>
      <c r="L23" s="829"/>
      <c r="M23" s="829"/>
      <c r="N23" s="829"/>
      <c r="O23" s="830"/>
      <c r="R23" s="389"/>
      <c r="S23" s="389"/>
      <c r="T23" s="389" t="s">
        <v>747</v>
      </c>
      <c r="U23" s="389"/>
    </row>
    <row r="24" spans="1:21" ht="16" customHeight="1">
      <c r="A24" s="824"/>
      <c r="B24" s="824"/>
      <c r="C24" s="824"/>
      <c r="D24" s="831" t="s">
        <v>902</v>
      </c>
      <c r="E24" s="833" t="s">
        <v>904</v>
      </c>
      <c r="F24" s="834"/>
      <c r="G24" s="834"/>
      <c r="H24" s="834"/>
      <c r="I24" s="834"/>
      <c r="J24" s="834"/>
      <c r="K24" s="834"/>
      <c r="L24" s="834"/>
      <c r="M24" s="834"/>
      <c r="N24" s="834"/>
      <c r="O24" s="835"/>
      <c r="R24" s="389"/>
      <c r="S24" s="389"/>
      <c r="T24" s="389"/>
      <c r="U24" s="389"/>
    </row>
    <row r="25" spans="1:21" ht="16" customHeight="1">
      <c r="A25" s="824"/>
      <c r="B25" s="824"/>
      <c r="C25" s="824"/>
      <c r="D25" s="831" t="s">
        <v>905</v>
      </c>
      <c r="E25" s="833" t="s">
        <v>904</v>
      </c>
      <c r="F25" s="834"/>
      <c r="G25" s="834"/>
      <c r="H25" s="834"/>
      <c r="I25" s="834"/>
      <c r="J25" s="834"/>
      <c r="K25" s="834"/>
      <c r="L25" s="834"/>
      <c r="M25" s="834"/>
      <c r="N25" s="834"/>
      <c r="O25" s="835"/>
      <c r="R25" s="389"/>
      <c r="S25" s="389"/>
      <c r="T25" s="389"/>
      <c r="U25" s="389"/>
    </row>
    <row r="26" spans="1:21" ht="16" customHeight="1">
      <c r="A26" s="824"/>
      <c r="B26" s="824"/>
      <c r="C26" s="824"/>
      <c r="D26" s="831" t="s">
        <v>906</v>
      </c>
      <c r="E26" s="833" t="s">
        <v>907</v>
      </c>
      <c r="F26" s="834"/>
      <c r="G26" s="834"/>
      <c r="H26" s="834"/>
      <c r="I26" s="834"/>
      <c r="J26" s="834"/>
      <c r="K26" s="834"/>
      <c r="L26" s="834"/>
      <c r="M26" s="834"/>
      <c r="N26" s="834"/>
      <c r="O26" s="835"/>
      <c r="R26" s="389"/>
      <c r="S26" s="389"/>
      <c r="T26" s="389"/>
      <c r="U26" s="389"/>
    </row>
    <row r="27" spans="1:21" ht="16" customHeight="1">
      <c r="A27" s="824"/>
      <c r="B27" s="824"/>
      <c r="C27" s="824"/>
      <c r="D27" s="831" t="s">
        <v>908</v>
      </c>
      <c r="E27" s="833" t="s">
        <v>904</v>
      </c>
      <c r="F27" s="834"/>
      <c r="G27" s="834"/>
      <c r="H27" s="834"/>
      <c r="I27" s="834"/>
      <c r="J27" s="834"/>
      <c r="K27" s="834"/>
      <c r="L27" s="834"/>
      <c r="M27" s="834"/>
      <c r="N27" s="834"/>
      <c r="O27" s="835"/>
      <c r="R27" s="389"/>
      <c r="S27" s="389"/>
      <c r="T27" s="389"/>
      <c r="U27" s="389"/>
    </row>
    <row r="28" spans="1:21" ht="16" customHeight="1">
      <c r="A28" s="824"/>
      <c r="B28" s="824"/>
      <c r="C28" s="824"/>
      <c r="D28" s="831" t="s">
        <v>909</v>
      </c>
      <c r="E28" s="833" t="s">
        <v>904</v>
      </c>
      <c r="F28" s="834"/>
      <c r="G28" s="834"/>
      <c r="H28" s="834"/>
      <c r="I28" s="834"/>
      <c r="J28" s="834"/>
      <c r="K28" s="834"/>
      <c r="L28" s="834"/>
      <c r="M28" s="834"/>
      <c r="N28" s="834"/>
      <c r="O28" s="835"/>
      <c r="R28" s="389"/>
      <c r="S28" s="389"/>
      <c r="T28" s="389"/>
      <c r="U28" s="389"/>
    </row>
    <row r="29" spans="1:21" ht="16" customHeight="1">
      <c r="A29" s="824"/>
      <c r="B29" s="824"/>
      <c r="C29" s="824"/>
      <c r="D29" s="831" t="s">
        <v>910</v>
      </c>
      <c r="E29" s="833" t="s">
        <v>911</v>
      </c>
      <c r="F29" s="834"/>
      <c r="G29" s="834"/>
      <c r="H29" s="834"/>
      <c r="I29" s="834"/>
      <c r="J29" s="834"/>
      <c r="K29" s="834"/>
      <c r="L29" s="834"/>
      <c r="M29" s="834"/>
      <c r="N29" s="834"/>
      <c r="O29" s="835"/>
      <c r="R29" s="389"/>
      <c r="S29" s="389"/>
      <c r="T29" s="389"/>
      <c r="U29" s="389"/>
    </row>
    <row r="30" spans="1:21" ht="16" customHeight="1">
      <c r="A30" s="824"/>
      <c r="B30" s="824"/>
      <c r="C30" s="824"/>
      <c r="D30" s="831" t="s">
        <v>914</v>
      </c>
      <c r="E30" s="833" t="s">
        <v>911</v>
      </c>
      <c r="F30" s="834"/>
      <c r="G30" s="834"/>
      <c r="H30" s="834"/>
      <c r="I30" s="834"/>
      <c r="J30" s="834"/>
      <c r="K30" s="834"/>
      <c r="L30" s="834"/>
      <c r="M30" s="834"/>
      <c r="N30" s="834"/>
      <c r="O30" s="835"/>
      <c r="R30" s="389"/>
      <c r="S30" s="389"/>
      <c r="T30" s="389"/>
      <c r="U30" s="389"/>
    </row>
    <row r="31" spans="1:21" ht="16" customHeight="1">
      <c r="A31" s="824"/>
      <c r="B31" s="824"/>
      <c r="C31" s="824"/>
      <c r="D31" s="831" t="s">
        <v>915</v>
      </c>
      <c r="E31" s="833" t="s">
        <v>911</v>
      </c>
      <c r="F31" s="834"/>
      <c r="G31" s="834"/>
      <c r="H31" s="834"/>
      <c r="I31" s="834"/>
      <c r="J31" s="834"/>
      <c r="K31" s="834"/>
      <c r="L31" s="834"/>
      <c r="M31" s="834"/>
      <c r="N31" s="834"/>
      <c r="O31" s="835"/>
      <c r="R31" s="389"/>
      <c r="S31" s="389"/>
      <c r="T31" s="389"/>
      <c r="U31" s="389"/>
    </row>
    <row r="32" spans="1:21" ht="16" customHeight="1">
      <c r="A32" s="824"/>
      <c r="B32" s="824"/>
      <c r="C32" s="824"/>
      <c r="D32" s="831" t="s">
        <v>916</v>
      </c>
      <c r="E32" s="833" t="s">
        <v>918</v>
      </c>
      <c r="F32" s="834"/>
      <c r="G32" s="834"/>
      <c r="H32" s="834"/>
      <c r="I32" s="834"/>
      <c r="J32" s="834"/>
      <c r="K32" s="834"/>
      <c r="L32" s="834"/>
      <c r="M32" s="834"/>
      <c r="N32" s="834"/>
      <c r="O32" s="835"/>
      <c r="R32" s="389"/>
      <c r="S32" s="389"/>
      <c r="T32" s="389"/>
      <c r="U32" s="389"/>
    </row>
    <row r="33" spans="1:21" ht="16" customHeight="1">
      <c r="A33" s="824"/>
      <c r="B33" s="824"/>
      <c r="C33" s="824"/>
      <c r="D33" s="831" t="s">
        <v>919</v>
      </c>
      <c r="E33" s="833" t="s">
        <v>920</v>
      </c>
      <c r="F33" s="834"/>
      <c r="G33" s="834"/>
      <c r="H33" s="834"/>
      <c r="I33" s="834"/>
      <c r="J33" s="834"/>
      <c r="K33" s="834"/>
      <c r="L33" s="834"/>
      <c r="M33" s="834"/>
      <c r="N33" s="834"/>
      <c r="O33" s="835"/>
      <c r="R33" s="389"/>
      <c r="S33" s="389"/>
      <c r="T33" s="389"/>
      <c r="U33" s="389"/>
    </row>
    <row r="34" spans="1:21" ht="16" customHeight="1">
      <c r="A34" s="824"/>
      <c r="B34" s="824"/>
      <c r="C34" s="824"/>
      <c r="D34" s="831" t="s">
        <v>921</v>
      </c>
      <c r="E34" s="833" t="s">
        <v>922</v>
      </c>
      <c r="F34" s="834"/>
      <c r="G34" s="834"/>
      <c r="H34" s="834"/>
      <c r="I34" s="834"/>
      <c r="J34" s="834"/>
      <c r="K34" s="834"/>
      <c r="L34" s="834"/>
      <c r="M34" s="834"/>
      <c r="N34" s="834"/>
      <c r="O34" s="835"/>
      <c r="R34" s="389"/>
      <c r="S34" s="389"/>
      <c r="T34" s="389"/>
      <c r="U34" s="389"/>
    </row>
    <row r="35" spans="1:21" ht="16" customHeight="1">
      <c r="A35" s="824"/>
      <c r="B35" s="824"/>
      <c r="C35" s="824"/>
      <c r="D35" s="832" t="s">
        <v>923</v>
      </c>
      <c r="E35" s="836" t="s">
        <v>924</v>
      </c>
      <c r="F35" s="837"/>
      <c r="G35" s="837"/>
      <c r="H35" s="837"/>
      <c r="I35" s="837"/>
      <c r="J35" s="837"/>
      <c r="K35" s="837"/>
      <c r="L35" s="837"/>
      <c r="M35" s="837"/>
      <c r="N35" s="837"/>
      <c r="O35" s="838"/>
      <c r="R35" s="389"/>
      <c r="S35" s="389"/>
      <c r="T35" s="389"/>
      <c r="U35" s="389"/>
    </row>
    <row r="36" spans="1:21" ht="16" customHeight="1">
      <c r="A36" s="824"/>
      <c r="B36" s="824"/>
      <c r="C36" s="824"/>
      <c r="D36" s="824"/>
      <c r="E36" s="824"/>
      <c r="F36" s="824"/>
      <c r="G36" s="824"/>
      <c r="H36" s="824"/>
      <c r="I36" s="824"/>
      <c r="J36" s="824"/>
      <c r="K36" s="824"/>
      <c r="L36" s="824"/>
      <c r="M36" s="824"/>
      <c r="N36" s="824"/>
      <c r="O36" s="824"/>
      <c r="R36" s="389"/>
      <c r="S36" s="389"/>
      <c r="T36" s="389"/>
      <c r="U36" s="389"/>
    </row>
    <row r="37" spans="1:21" ht="16" customHeight="1">
      <c r="A37" s="824"/>
      <c r="B37" s="824" t="s">
        <v>925</v>
      </c>
      <c r="C37" s="824"/>
      <c r="D37" s="824"/>
      <c r="E37" s="824"/>
      <c r="F37" s="824"/>
      <c r="G37" s="824"/>
      <c r="H37" s="824"/>
      <c r="I37" s="824"/>
      <c r="J37" s="824"/>
      <c r="K37" s="824"/>
      <c r="L37" s="824"/>
      <c r="M37" s="824"/>
      <c r="N37" s="824"/>
      <c r="O37" s="824"/>
      <c r="R37" s="389"/>
      <c r="S37" s="389"/>
      <c r="T37" s="389"/>
      <c r="U37" s="389"/>
    </row>
    <row r="38" spans="1:21" ht="16" customHeight="1">
      <c r="A38" s="824"/>
      <c r="B38" s="824"/>
      <c r="C38" s="824" t="s">
        <v>748</v>
      </c>
      <c r="D38" s="824"/>
      <c r="E38" s="824"/>
      <c r="F38" s="824"/>
      <c r="G38" s="824"/>
      <c r="H38" s="824"/>
      <c r="I38" s="824"/>
      <c r="J38" s="824"/>
      <c r="K38" s="824"/>
      <c r="L38" s="824"/>
      <c r="M38" s="824"/>
      <c r="N38" s="824"/>
      <c r="O38" s="824"/>
      <c r="R38" s="389"/>
      <c r="S38" s="389"/>
      <c r="T38" s="389"/>
      <c r="U38" s="389"/>
    </row>
    <row r="39" spans="1:21" ht="16" customHeight="1">
      <c r="A39" s="824"/>
      <c r="B39" s="824"/>
      <c r="C39" s="824" t="s">
        <v>926</v>
      </c>
      <c r="D39" s="824"/>
      <c r="E39" s="824"/>
      <c r="F39" s="824"/>
      <c r="G39" s="824"/>
      <c r="H39" s="824"/>
      <c r="I39" s="824"/>
      <c r="J39" s="824"/>
      <c r="K39" s="824"/>
      <c r="L39" s="824"/>
      <c r="M39" s="824"/>
      <c r="N39" s="824"/>
      <c r="O39" s="824"/>
      <c r="R39" s="389"/>
      <c r="S39" s="389"/>
      <c r="T39" s="389"/>
      <c r="U39" s="389"/>
    </row>
    <row r="40" spans="1:21" ht="16" customHeight="1">
      <c r="A40" s="824"/>
      <c r="B40" s="824"/>
      <c r="C40" s="824" t="s">
        <v>927</v>
      </c>
      <c r="D40" s="824"/>
      <c r="E40" s="824"/>
      <c r="F40" s="824"/>
      <c r="G40" s="824"/>
      <c r="H40" s="824"/>
      <c r="I40" s="824"/>
      <c r="J40" s="824"/>
      <c r="K40" s="824"/>
      <c r="L40" s="824"/>
      <c r="M40" s="824"/>
      <c r="N40" s="824"/>
      <c r="O40" s="824"/>
      <c r="R40" s="389"/>
      <c r="S40" s="389"/>
      <c r="T40" s="389"/>
      <c r="U40" s="389"/>
    </row>
    <row r="41" spans="1:21" ht="16" customHeight="1">
      <c r="A41" s="824"/>
      <c r="B41" s="824"/>
      <c r="C41" s="824" t="s">
        <v>928</v>
      </c>
      <c r="D41" s="824"/>
      <c r="E41" s="824"/>
      <c r="F41" s="824"/>
      <c r="G41" s="824"/>
      <c r="H41" s="824"/>
      <c r="I41" s="824"/>
      <c r="J41" s="824"/>
      <c r="K41" s="824"/>
      <c r="L41" s="824"/>
      <c r="M41" s="824"/>
      <c r="N41" s="824"/>
      <c r="O41" s="824"/>
      <c r="R41" s="389"/>
      <c r="S41" s="389"/>
      <c r="T41" s="389"/>
      <c r="U41" s="389"/>
    </row>
    <row r="42" spans="1:21" ht="16" customHeight="1">
      <c r="A42" s="389"/>
      <c r="B42" s="389"/>
      <c r="C42" s="389"/>
      <c r="D42" s="389"/>
      <c r="E42" s="389"/>
      <c r="F42" s="389"/>
      <c r="G42" s="389"/>
      <c r="H42" s="389"/>
      <c r="I42" s="389"/>
      <c r="J42" s="389"/>
      <c r="K42" s="389"/>
      <c r="L42" s="389"/>
      <c r="M42" s="389"/>
      <c r="N42" s="389"/>
      <c r="O42" s="389"/>
      <c r="R42" s="389"/>
      <c r="S42" s="389"/>
      <c r="T42" s="389"/>
      <c r="U42" s="389"/>
    </row>
    <row r="43" spans="1:21" ht="16" customHeight="1">
      <c r="A43" s="389"/>
      <c r="B43" s="389"/>
      <c r="C43" s="389"/>
      <c r="D43" s="389"/>
      <c r="E43" s="389"/>
      <c r="F43" s="389"/>
      <c r="G43" s="389"/>
      <c r="H43" s="389"/>
      <c r="I43" s="389"/>
      <c r="J43" s="389"/>
      <c r="K43" s="389"/>
      <c r="L43" s="389"/>
      <c r="M43" s="389"/>
      <c r="N43" s="389"/>
      <c r="O43" s="389"/>
      <c r="R43" s="389"/>
      <c r="S43" s="389"/>
      <c r="T43" s="389"/>
      <c r="U43" s="389"/>
    </row>
    <row r="44" spans="1:21" ht="16" customHeight="1">
      <c r="A44" s="389"/>
      <c r="B44" s="389"/>
      <c r="C44" s="389"/>
      <c r="D44" s="389"/>
      <c r="E44" s="389"/>
      <c r="F44" s="389"/>
      <c r="G44" s="389"/>
      <c r="H44" s="389"/>
      <c r="I44" s="389"/>
      <c r="J44" s="389"/>
      <c r="K44" s="389"/>
      <c r="L44" s="389"/>
      <c r="M44" s="389"/>
      <c r="N44" s="389"/>
      <c r="O44" s="389"/>
      <c r="R44" s="389"/>
      <c r="S44" s="389"/>
      <c r="T44" s="389"/>
      <c r="U44" s="389"/>
    </row>
    <row r="45" spans="1:21" ht="16" customHeight="1">
      <c r="A45" s="389"/>
      <c r="B45" s="389"/>
      <c r="C45" s="389"/>
      <c r="D45" s="389"/>
      <c r="E45" s="389"/>
      <c r="F45" s="389"/>
      <c r="G45" s="389"/>
      <c r="H45" s="389"/>
      <c r="I45" s="389"/>
      <c r="J45" s="389"/>
      <c r="K45" s="389"/>
      <c r="L45" s="389"/>
      <c r="M45" s="389"/>
      <c r="N45" s="389"/>
      <c r="O45" s="389"/>
      <c r="R45" s="389"/>
      <c r="S45" s="389"/>
      <c r="T45" s="389"/>
      <c r="U45" s="389"/>
    </row>
    <row r="46" spans="1:21" ht="16" customHeight="1">
      <c r="A46" s="389"/>
      <c r="B46" s="389"/>
      <c r="C46" s="389"/>
      <c r="D46" s="389"/>
      <c r="E46" s="389"/>
      <c r="F46" s="389"/>
      <c r="G46" s="389"/>
      <c r="H46" s="389"/>
      <c r="I46" s="389"/>
      <c r="J46" s="389"/>
      <c r="K46" s="389"/>
      <c r="L46" s="389"/>
      <c r="M46" s="389"/>
      <c r="N46" s="389"/>
      <c r="O46" s="389"/>
      <c r="R46" s="389"/>
      <c r="S46" s="389"/>
      <c r="T46" s="389"/>
      <c r="U46" s="389"/>
    </row>
    <row r="47" spans="1:21" ht="16" customHeight="1">
      <c r="A47" s="389"/>
      <c r="B47" s="389"/>
      <c r="C47" s="389"/>
      <c r="D47" s="389"/>
      <c r="E47" s="389"/>
      <c r="F47" s="389"/>
      <c r="G47" s="389"/>
      <c r="H47" s="389"/>
      <c r="I47" s="389"/>
      <c r="J47" s="389"/>
      <c r="K47" s="389"/>
      <c r="L47" s="389"/>
      <c r="M47" s="389"/>
      <c r="N47" s="389"/>
      <c r="O47" s="389"/>
      <c r="R47" s="389"/>
      <c r="S47" s="389"/>
      <c r="T47" s="389"/>
      <c r="U47" s="389"/>
    </row>
    <row r="48" spans="1:21" ht="16" customHeight="1">
      <c r="A48" s="389"/>
      <c r="B48" s="389"/>
      <c r="C48" s="389"/>
      <c r="D48" s="389"/>
      <c r="E48" s="389"/>
      <c r="F48" s="389"/>
      <c r="G48" s="389"/>
      <c r="H48" s="389"/>
      <c r="I48" s="389"/>
      <c r="J48" s="389"/>
      <c r="K48" s="389"/>
      <c r="L48" s="389"/>
      <c r="M48" s="389"/>
      <c r="N48" s="389"/>
      <c r="O48" s="389"/>
      <c r="R48" s="389"/>
      <c r="S48" s="389"/>
      <c r="T48" s="389"/>
      <c r="U48" s="389"/>
    </row>
    <row r="49" spans="1:21" ht="16" customHeight="1">
      <c r="A49" s="389"/>
      <c r="B49" s="389"/>
      <c r="C49" s="389"/>
      <c r="D49" s="389"/>
      <c r="E49" s="389"/>
      <c r="F49" s="389"/>
      <c r="G49" s="389"/>
      <c r="H49" s="389"/>
      <c r="I49" s="389"/>
      <c r="J49" s="389"/>
      <c r="K49" s="389"/>
      <c r="L49" s="389"/>
      <c r="M49" s="389"/>
      <c r="N49" s="389"/>
      <c r="O49" s="389"/>
      <c r="R49" s="389"/>
      <c r="S49" s="389"/>
      <c r="T49" s="389"/>
      <c r="U49" s="389"/>
    </row>
    <row r="50" spans="1:21" ht="16" customHeight="1">
      <c r="A50" s="389"/>
      <c r="B50" s="389"/>
      <c r="C50" s="389"/>
      <c r="D50" s="389"/>
      <c r="E50" s="389"/>
      <c r="F50" s="389"/>
      <c r="G50" s="389"/>
      <c r="H50" s="389"/>
      <c r="I50" s="389"/>
      <c r="J50" s="389"/>
      <c r="K50" s="389"/>
      <c r="L50" s="389"/>
      <c r="M50" s="389"/>
      <c r="N50" s="389"/>
      <c r="O50" s="389"/>
      <c r="R50" s="389"/>
      <c r="S50" s="389"/>
      <c r="T50" s="389"/>
      <c r="U50" s="389"/>
    </row>
    <row r="51" spans="1:21" ht="16" customHeight="1">
      <c r="A51" s="389"/>
      <c r="B51" s="389"/>
      <c r="C51" s="389"/>
      <c r="D51" s="389"/>
      <c r="E51" s="389"/>
      <c r="F51" s="389"/>
      <c r="G51" s="389"/>
      <c r="H51" s="389"/>
      <c r="I51" s="389"/>
      <c r="J51" s="389"/>
      <c r="K51" s="389"/>
      <c r="L51" s="389"/>
      <c r="M51" s="389"/>
      <c r="N51" s="389"/>
      <c r="O51" s="389"/>
      <c r="R51" s="389"/>
      <c r="S51" s="389"/>
      <c r="T51" s="389"/>
      <c r="U51" s="389"/>
    </row>
    <row r="52" spans="1:21" ht="16" customHeight="1">
      <c r="A52" s="389"/>
      <c r="B52" s="389"/>
      <c r="C52" s="389"/>
      <c r="D52" s="389"/>
      <c r="E52" s="389"/>
      <c r="F52" s="389"/>
      <c r="G52" s="389"/>
      <c r="H52" s="389"/>
      <c r="I52" s="389"/>
      <c r="J52" s="389"/>
      <c r="K52" s="389"/>
      <c r="L52" s="389"/>
      <c r="M52" s="389"/>
      <c r="N52" s="389"/>
      <c r="O52" s="389"/>
      <c r="R52" s="389"/>
      <c r="S52" s="389"/>
      <c r="T52" s="389"/>
      <c r="U52" s="389"/>
    </row>
    <row r="53" spans="1:21" ht="16" customHeight="1">
      <c r="A53" s="389"/>
      <c r="B53" s="389"/>
      <c r="C53" s="389"/>
      <c r="D53" s="389"/>
      <c r="E53" s="389"/>
      <c r="F53" s="389"/>
      <c r="G53" s="389"/>
      <c r="H53" s="389"/>
      <c r="I53" s="389"/>
      <c r="J53" s="389"/>
      <c r="K53" s="389"/>
      <c r="L53" s="389"/>
      <c r="M53" s="389"/>
      <c r="N53" s="389"/>
      <c r="O53" s="389"/>
      <c r="R53" s="389"/>
      <c r="S53" s="389"/>
      <c r="T53" s="389"/>
      <c r="U53" s="389"/>
    </row>
    <row r="54" spans="1:21" ht="16" customHeight="1">
      <c r="A54" s="389"/>
      <c r="B54" s="389"/>
      <c r="C54" s="389"/>
      <c r="D54" s="389"/>
      <c r="E54" s="389"/>
      <c r="F54" s="389"/>
      <c r="G54" s="389"/>
      <c r="H54" s="389"/>
      <c r="I54" s="389"/>
      <c r="J54" s="389"/>
      <c r="K54" s="389"/>
      <c r="L54" s="389"/>
      <c r="M54" s="389"/>
      <c r="N54" s="389"/>
      <c r="O54" s="389"/>
      <c r="R54" s="389"/>
      <c r="S54" s="389"/>
      <c r="T54" s="389"/>
      <c r="U54" s="389"/>
    </row>
    <row r="55" spans="1:21" ht="16" customHeight="1">
      <c r="A55" s="389"/>
      <c r="B55" s="389"/>
      <c r="C55" s="389"/>
      <c r="D55" s="389"/>
      <c r="E55" s="389"/>
      <c r="F55" s="389"/>
      <c r="G55" s="389"/>
      <c r="H55" s="389"/>
      <c r="I55" s="389"/>
      <c r="J55" s="389"/>
      <c r="K55" s="389"/>
      <c r="L55" s="389"/>
      <c r="M55" s="389"/>
      <c r="N55" s="389"/>
      <c r="O55" s="389"/>
      <c r="R55" s="389"/>
      <c r="S55" s="389"/>
      <c r="T55" s="389"/>
      <c r="U55" s="389"/>
    </row>
    <row r="56" spans="1:21" ht="16" customHeight="1">
      <c r="A56" s="389"/>
      <c r="B56" s="389"/>
      <c r="C56" s="389"/>
      <c r="D56" s="389"/>
      <c r="E56" s="389"/>
      <c r="F56" s="389"/>
      <c r="G56" s="389"/>
      <c r="H56" s="389"/>
      <c r="I56" s="389"/>
      <c r="J56" s="389"/>
      <c r="K56" s="389"/>
      <c r="L56" s="389"/>
      <c r="M56" s="389"/>
      <c r="N56" s="389"/>
      <c r="O56" s="389"/>
      <c r="R56" s="389"/>
      <c r="S56" s="389"/>
      <c r="T56" s="389"/>
      <c r="U56" s="389"/>
    </row>
    <row r="57" spans="1:21" ht="16" customHeight="1">
      <c r="A57" s="389"/>
      <c r="B57" s="389"/>
      <c r="C57" s="389"/>
      <c r="D57" s="389"/>
      <c r="E57" s="389"/>
      <c r="F57" s="389"/>
      <c r="G57" s="389"/>
      <c r="H57" s="389"/>
      <c r="I57" s="389"/>
      <c r="J57" s="389"/>
      <c r="K57" s="389"/>
      <c r="L57" s="389"/>
      <c r="M57" s="389"/>
      <c r="N57" s="389"/>
      <c r="O57" s="389"/>
      <c r="R57" s="389"/>
      <c r="S57" s="389"/>
      <c r="T57" s="389"/>
      <c r="U57" s="389"/>
    </row>
    <row r="58" spans="1:21" ht="16" customHeight="1">
      <c r="A58" s="389"/>
      <c r="B58" s="389"/>
      <c r="C58" s="389"/>
      <c r="D58" s="389"/>
      <c r="E58" s="389"/>
      <c r="F58" s="389"/>
      <c r="G58" s="389"/>
      <c r="H58" s="389"/>
      <c r="I58" s="389"/>
      <c r="J58" s="389"/>
      <c r="K58" s="389"/>
      <c r="L58" s="389"/>
      <c r="M58" s="389"/>
      <c r="N58" s="389"/>
      <c r="O58" s="389"/>
      <c r="R58" s="389"/>
      <c r="S58" s="389"/>
      <c r="T58" s="389"/>
      <c r="U58" s="389"/>
    </row>
    <row r="59" spans="1:21" ht="16" customHeight="1">
      <c r="A59" s="389"/>
      <c r="B59" s="389"/>
      <c r="C59" s="389"/>
      <c r="D59" s="389"/>
      <c r="E59" s="389"/>
      <c r="F59" s="389"/>
      <c r="G59" s="389"/>
      <c r="H59" s="389"/>
      <c r="I59" s="389"/>
      <c r="J59" s="389"/>
      <c r="K59" s="389"/>
      <c r="L59" s="389"/>
      <c r="M59" s="389"/>
      <c r="N59" s="389"/>
      <c r="O59" s="389"/>
      <c r="R59" s="389"/>
      <c r="S59" s="389"/>
      <c r="T59" s="389"/>
      <c r="U59" s="389"/>
    </row>
    <row r="60" spans="1:21" ht="16" customHeight="1">
      <c r="A60" s="389"/>
      <c r="B60" s="389"/>
      <c r="C60" s="389"/>
      <c r="D60" s="389"/>
      <c r="E60" s="389"/>
      <c r="F60" s="389"/>
      <c r="G60" s="389"/>
      <c r="H60" s="389"/>
      <c r="I60" s="389"/>
      <c r="J60" s="389"/>
      <c r="K60" s="389"/>
      <c r="L60" s="389"/>
      <c r="M60" s="389"/>
      <c r="N60" s="389"/>
      <c r="O60" s="389"/>
      <c r="R60" s="389"/>
      <c r="S60" s="389"/>
      <c r="T60" s="389"/>
      <c r="U60" s="389"/>
    </row>
    <row r="61" spans="1:21" ht="16" customHeight="1">
      <c r="A61" s="389"/>
      <c r="B61" s="389"/>
      <c r="C61" s="389"/>
      <c r="D61" s="389"/>
      <c r="E61" s="389"/>
      <c r="F61" s="389"/>
      <c r="G61" s="389"/>
      <c r="H61" s="389"/>
      <c r="I61" s="389"/>
      <c r="J61" s="389"/>
      <c r="K61" s="389"/>
      <c r="L61" s="389"/>
      <c r="M61" s="389"/>
      <c r="N61" s="389"/>
      <c r="O61" s="389"/>
    </row>
    <row r="62" spans="1:21" ht="16" customHeight="1">
      <c r="A62" s="389"/>
      <c r="B62" s="389"/>
      <c r="C62" s="389"/>
      <c r="D62" s="389"/>
      <c r="E62" s="389"/>
      <c r="F62" s="389"/>
      <c r="G62" s="389"/>
      <c r="H62" s="389"/>
      <c r="I62" s="389"/>
      <c r="J62" s="389"/>
      <c r="K62" s="389"/>
      <c r="L62" s="389"/>
      <c r="M62" s="389"/>
      <c r="N62" s="389"/>
      <c r="O62" s="389"/>
    </row>
    <row r="63" spans="1:21" ht="16" customHeight="1">
      <c r="A63" s="389"/>
      <c r="B63" s="389"/>
      <c r="C63" s="389"/>
      <c r="D63" s="389"/>
      <c r="E63" s="389"/>
      <c r="F63" s="389"/>
      <c r="G63" s="389"/>
      <c r="H63" s="389"/>
      <c r="I63" s="389"/>
      <c r="J63" s="389"/>
      <c r="K63" s="389"/>
      <c r="L63" s="389"/>
      <c r="M63" s="389"/>
      <c r="N63" s="389"/>
      <c r="O63" s="389"/>
    </row>
    <row r="64" spans="1:21" ht="16" customHeight="1">
      <c r="A64" s="389"/>
      <c r="B64" s="389"/>
      <c r="C64" s="389"/>
      <c r="D64" s="389"/>
      <c r="E64" s="389"/>
      <c r="F64" s="389"/>
      <c r="G64" s="389"/>
      <c r="H64" s="389"/>
      <c r="I64" s="389"/>
      <c r="J64" s="389"/>
      <c r="K64" s="389"/>
      <c r="L64" s="389"/>
      <c r="M64" s="389"/>
      <c r="N64" s="389"/>
      <c r="O64" s="389"/>
    </row>
    <row r="65" spans="1:15" ht="16" customHeight="1">
      <c r="A65" s="389"/>
      <c r="B65" s="389"/>
      <c r="C65" s="389"/>
      <c r="D65" s="389"/>
      <c r="E65" s="389"/>
      <c r="F65" s="389"/>
      <c r="G65" s="389"/>
      <c r="H65" s="389"/>
      <c r="I65" s="389"/>
      <c r="J65" s="389"/>
      <c r="K65" s="389"/>
      <c r="L65" s="389"/>
      <c r="M65" s="389"/>
      <c r="N65" s="389"/>
      <c r="O65" s="389"/>
    </row>
    <row r="66" spans="1:15" ht="16" customHeight="1">
      <c r="A66" s="389"/>
      <c r="B66" s="389"/>
      <c r="C66" s="389"/>
      <c r="D66" s="389"/>
      <c r="E66" s="389"/>
      <c r="F66" s="389"/>
      <c r="G66" s="389"/>
      <c r="H66" s="389"/>
      <c r="I66" s="389"/>
      <c r="J66" s="389"/>
      <c r="K66" s="389"/>
      <c r="L66" s="389"/>
      <c r="M66" s="389"/>
      <c r="N66" s="389"/>
      <c r="O66" s="389"/>
    </row>
    <row r="67" spans="1:15" ht="16" customHeight="1">
      <c r="A67" s="389"/>
      <c r="B67" s="389"/>
      <c r="C67" s="389"/>
      <c r="D67" s="389"/>
      <c r="E67" s="389"/>
      <c r="F67" s="389"/>
      <c r="G67" s="389"/>
      <c r="H67" s="389"/>
      <c r="I67" s="389"/>
      <c r="J67" s="389"/>
      <c r="K67" s="389"/>
      <c r="L67" s="389"/>
      <c r="M67" s="389"/>
      <c r="N67" s="389"/>
      <c r="O67" s="389"/>
    </row>
    <row r="68" spans="1:15" ht="16" customHeight="1">
      <c r="A68" s="389"/>
      <c r="B68" s="389"/>
      <c r="C68" s="389"/>
      <c r="D68" s="389"/>
      <c r="E68" s="389"/>
      <c r="F68" s="389"/>
      <c r="G68" s="389"/>
      <c r="H68" s="389"/>
      <c r="I68" s="389"/>
      <c r="J68" s="389"/>
      <c r="K68" s="389"/>
      <c r="L68" s="389"/>
      <c r="M68" s="389"/>
      <c r="N68" s="389"/>
      <c r="O68" s="389"/>
    </row>
    <row r="69" spans="1:15" ht="16" customHeight="1">
      <c r="A69" s="389"/>
      <c r="B69" s="389"/>
      <c r="C69" s="389"/>
      <c r="D69" s="389"/>
      <c r="E69" s="389"/>
      <c r="F69" s="389"/>
      <c r="G69" s="389"/>
      <c r="H69" s="389"/>
      <c r="I69" s="389"/>
      <c r="J69" s="389"/>
      <c r="K69" s="389"/>
      <c r="L69" s="389"/>
      <c r="M69" s="389"/>
      <c r="N69" s="389"/>
      <c r="O69" s="389"/>
    </row>
    <row r="70" spans="1:15" ht="16" customHeight="1">
      <c r="A70" s="389"/>
      <c r="B70" s="389"/>
      <c r="C70" s="389"/>
      <c r="D70" s="389"/>
      <c r="E70" s="389"/>
      <c r="F70" s="389"/>
      <c r="G70" s="389"/>
      <c r="H70" s="389"/>
      <c r="I70" s="389"/>
      <c r="J70" s="389"/>
      <c r="K70" s="389"/>
      <c r="L70" s="389"/>
      <c r="M70" s="389"/>
      <c r="N70" s="389"/>
      <c r="O70" s="389"/>
    </row>
    <row r="71" spans="1:15" ht="16" customHeight="1">
      <c r="A71" s="389"/>
      <c r="B71" s="389"/>
      <c r="C71" s="389"/>
      <c r="D71" s="389"/>
      <c r="E71" s="389"/>
      <c r="F71" s="389"/>
      <c r="G71" s="389"/>
      <c r="H71" s="389"/>
      <c r="I71" s="389"/>
      <c r="J71" s="389"/>
      <c r="K71" s="389"/>
      <c r="L71" s="389"/>
      <c r="M71" s="389"/>
      <c r="N71" s="389"/>
      <c r="O71" s="389"/>
    </row>
    <row r="72" spans="1:15" ht="16" customHeight="1">
      <c r="A72" s="389"/>
      <c r="B72" s="389"/>
      <c r="C72" s="389"/>
      <c r="D72" s="389"/>
      <c r="E72" s="389"/>
      <c r="F72" s="389"/>
      <c r="G72" s="389"/>
      <c r="H72" s="389"/>
      <c r="I72" s="389"/>
      <c r="J72" s="389"/>
      <c r="K72" s="389"/>
      <c r="L72" s="389"/>
      <c r="M72" s="389"/>
      <c r="N72" s="389"/>
      <c r="O72" s="389"/>
    </row>
    <row r="73" spans="1:15" ht="16" customHeight="1">
      <c r="A73" s="389"/>
      <c r="B73" s="389"/>
      <c r="C73" s="389"/>
      <c r="D73" s="389"/>
      <c r="E73" s="389"/>
      <c r="F73" s="389"/>
      <c r="G73" s="389"/>
      <c r="H73" s="389"/>
      <c r="I73" s="389"/>
      <c r="J73" s="389"/>
      <c r="K73" s="389"/>
      <c r="L73" s="389"/>
      <c r="M73" s="389"/>
      <c r="N73" s="389"/>
      <c r="O73" s="389"/>
    </row>
    <row r="74" spans="1:15" ht="16" customHeight="1">
      <c r="A74" s="389"/>
      <c r="B74" s="389"/>
      <c r="C74" s="389"/>
      <c r="D74" s="389"/>
      <c r="E74" s="389"/>
      <c r="F74" s="389"/>
      <c r="G74" s="389"/>
      <c r="H74" s="389"/>
      <c r="I74" s="389"/>
      <c r="J74" s="389"/>
      <c r="K74" s="389"/>
      <c r="L74" s="389"/>
      <c r="M74" s="389"/>
      <c r="N74" s="389"/>
      <c r="O74" s="389"/>
    </row>
    <row r="75" spans="1:15" ht="16" customHeight="1">
      <c r="A75" s="389"/>
      <c r="B75" s="389"/>
      <c r="C75" s="389"/>
      <c r="D75" s="389"/>
      <c r="E75" s="389"/>
      <c r="F75" s="389"/>
      <c r="G75" s="389"/>
      <c r="H75" s="389"/>
      <c r="I75" s="389"/>
      <c r="J75" s="389"/>
      <c r="K75" s="389"/>
      <c r="L75" s="389"/>
      <c r="M75" s="389"/>
      <c r="N75" s="389"/>
      <c r="O75" s="389"/>
    </row>
    <row r="76" spans="1:15" ht="16" customHeight="1">
      <c r="A76" s="389"/>
      <c r="B76" s="389"/>
      <c r="C76" s="389"/>
      <c r="D76" s="389"/>
      <c r="E76" s="389"/>
      <c r="F76" s="389"/>
      <c r="G76" s="389"/>
      <c r="H76" s="389"/>
      <c r="I76" s="389"/>
      <c r="J76" s="389"/>
      <c r="K76" s="389"/>
      <c r="L76" s="389"/>
      <c r="M76" s="389"/>
      <c r="N76" s="389"/>
      <c r="O76" s="389"/>
    </row>
    <row r="77" spans="1:15" ht="16" customHeight="1">
      <c r="A77" s="389"/>
      <c r="B77" s="389"/>
      <c r="C77" s="389"/>
      <c r="D77" s="389"/>
      <c r="E77" s="389"/>
      <c r="F77" s="389"/>
      <c r="G77" s="389"/>
      <c r="H77" s="389"/>
      <c r="I77" s="389"/>
      <c r="J77" s="389"/>
      <c r="K77" s="389"/>
      <c r="L77" s="389"/>
      <c r="M77" s="389"/>
      <c r="N77" s="389"/>
      <c r="O77" s="389"/>
    </row>
    <row r="78" spans="1:15" ht="16" customHeight="1">
      <c r="A78" s="389"/>
      <c r="B78" s="389"/>
      <c r="C78" s="389"/>
      <c r="D78" s="389"/>
      <c r="E78" s="389"/>
      <c r="F78" s="389"/>
      <c r="G78" s="389"/>
      <c r="H78" s="389"/>
      <c r="I78" s="389"/>
      <c r="J78" s="389"/>
      <c r="K78" s="389"/>
      <c r="L78" s="389"/>
      <c r="M78" s="389"/>
      <c r="N78" s="389"/>
      <c r="O78" s="389"/>
    </row>
    <row r="79" spans="1:15" ht="16" customHeight="1"/>
    <row r="80" spans="1:15" ht="16" customHeight="1"/>
    <row r="81" ht="16" customHeight="1"/>
    <row r="82" ht="16" customHeight="1"/>
    <row r="83" ht="16" customHeight="1"/>
    <row r="84" ht="16" customHeight="1"/>
    <row r="85" ht="16" customHeight="1"/>
    <row r="86" ht="16" customHeight="1"/>
    <row r="87" ht="16" customHeight="1"/>
    <row r="88" ht="16" customHeight="1"/>
    <row r="89" ht="16" customHeight="1"/>
    <row r="90" ht="16" customHeight="1"/>
    <row r="91" ht="16" customHeight="1"/>
    <row r="92" ht="16" customHeight="1"/>
    <row r="93" ht="16" customHeight="1"/>
    <row r="94" ht="16" customHeight="1"/>
    <row r="95" ht="16" customHeight="1"/>
    <row r="96" ht="16" customHeight="1"/>
    <row r="97" ht="16" customHeight="1"/>
    <row r="98" ht="16" customHeight="1"/>
    <row r="99" ht="16" customHeight="1"/>
    <row r="100" ht="16" customHeight="1"/>
    <row r="101" ht="16" customHeight="1"/>
    <row r="102" ht="16" customHeight="1"/>
    <row r="103" ht="16" customHeight="1"/>
    <row r="104" ht="16" customHeight="1"/>
    <row r="105" ht="16" customHeight="1"/>
    <row r="106" ht="16" customHeight="1"/>
    <row r="107" ht="16" customHeight="1"/>
    <row r="108" ht="16" customHeight="1"/>
    <row r="109" ht="16" customHeight="1"/>
    <row r="110" ht="16" customHeight="1"/>
    <row r="111" ht="16" customHeight="1"/>
    <row r="112" ht="16" customHeight="1"/>
    <row r="113" ht="16" customHeight="1"/>
    <row r="114" ht="16" customHeight="1"/>
    <row r="115" ht="16" customHeight="1"/>
    <row r="116" ht="16" customHeight="1"/>
    <row r="117" ht="16" customHeight="1"/>
    <row r="118" ht="16" customHeight="1"/>
    <row r="119" ht="16" customHeight="1"/>
    <row r="120" ht="16" customHeight="1"/>
  </sheetData>
  <pageMargins left="1.25" right="1.25" top="1.25" bottom="1.2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S86"/>
  <sheetViews>
    <sheetView workbookViewId="0"/>
  </sheetViews>
  <sheetFormatPr baseColWidth="10" defaultColWidth="8.83203125" defaultRowHeight="11" x14ac:dyDescent="0"/>
  <cols>
    <col min="1" max="1" width="4.83203125" style="373" customWidth="1"/>
    <col min="2" max="2" width="9.83203125" style="373" customWidth="1"/>
    <col min="3" max="3" width="4.83203125" style="373" customWidth="1"/>
    <col min="4" max="4" width="6.83203125" style="387" customWidth="1"/>
    <col min="5" max="5" width="8.83203125" style="373" customWidth="1"/>
    <col min="6" max="12" width="9.83203125" style="373" customWidth="1"/>
    <col min="13" max="16" width="9.83203125" style="387" customWidth="1"/>
    <col min="17" max="17" width="4.83203125" style="373" customWidth="1"/>
    <col min="18" max="18" width="5.83203125" style="373" customWidth="1"/>
    <col min="19" max="19" width="28.83203125" style="373" customWidth="1"/>
    <col min="20" max="24" width="9.83203125" style="373" customWidth="1"/>
    <col min="25" max="25" width="6.5" style="373" customWidth="1"/>
    <col min="26" max="26" width="5.83203125" style="373" customWidth="1"/>
    <col min="27" max="29" width="9.83203125" style="373" customWidth="1"/>
    <col min="30" max="30" width="28.83203125" style="373" customWidth="1"/>
    <col min="31" max="31" width="12.83203125" style="373" customWidth="1"/>
    <col min="32" max="32" width="15.5" style="373" customWidth="1"/>
    <col min="33" max="33" width="9.83203125" style="625" customWidth="1"/>
    <col min="34" max="46" width="9.83203125" style="373" customWidth="1"/>
    <col min="47" max="16384" width="8.83203125" style="373"/>
  </cols>
  <sheetData>
    <row r="1" spans="1:38" ht="18" customHeight="1">
      <c r="A1" s="310"/>
      <c r="B1" s="1672" t="s">
        <v>1066</v>
      </c>
      <c r="C1" s="1672"/>
      <c r="D1" s="1672"/>
      <c r="E1" s="1672"/>
      <c r="F1" s="1672"/>
      <c r="G1" s="1672"/>
      <c r="H1" s="1672"/>
      <c r="I1" s="1672"/>
      <c r="J1" s="1672"/>
      <c r="K1" s="1672"/>
      <c r="L1" s="1672"/>
      <c r="M1" s="1672"/>
      <c r="N1" s="1672"/>
      <c r="O1" s="1672"/>
      <c r="P1" s="1672"/>
      <c r="Q1" s="310"/>
      <c r="R1" s="309"/>
      <c r="S1" s="309"/>
      <c r="T1" s="309"/>
      <c r="U1" s="309"/>
      <c r="V1" s="309"/>
      <c r="W1" s="309"/>
      <c r="X1" s="309"/>
      <c r="Y1" s="309"/>
      <c r="Z1" s="309"/>
      <c r="AA1" s="359"/>
      <c r="AB1" s="359"/>
      <c r="AC1" s="359"/>
      <c r="AD1" s="625"/>
      <c r="AE1" s="625"/>
      <c r="AF1" s="625"/>
      <c r="AH1" s="625"/>
      <c r="AI1" s="625"/>
      <c r="AJ1" s="625"/>
      <c r="AK1" s="625"/>
      <c r="AL1" s="625"/>
    </row>
    <row r="2" spans="1:38" ht="20" customHeight="1">
      <c r="A2" s="1673" t="s">
        <v>1066</v>
      </c>
      <c r="B2" s="1674" t="s">
        <v>1082</v>
      </c>
      <c r="C2" s="1674"/>
      <c r="D2" s="1674"/>
      <c r="E2" s="1674"/>
      <c r="F2" s="1674"/>
      <c r="G2" s="1674"/>
      <c r="H2" s="1674"/>
      <c r="I2" s="1674"/>
      <c r="J2" s="1674"/>
      <c r="K2" s="1674"/>
      <c r="L2" s="1674"/>
      <c r="M2" s="1674"/>
      <c r="N2" s="1674"/>
      <c r="O2" s="1674"/>
      <c r="P2" s="1674"/>
      <c r="Q2" s="1673" t="s">
        <v>1066</v>
      </c>
      <c r="R2" s="433" t="str">
        <f>S62</f>
        <v>AR</v>
      </c>
      <c r="S2" s="1675" t="s">
        <v>1083</v>
      </c>
      <c r="T2" s="1675"/>
      <c r="U2" s="1675"/>
      <c r="V2" s="1675"/>
      <c r="W2" s="1675"/>
      <c r="X2" s="1675"/>
      <c r="Y2" s="1675"/>
      <c r="Z2" s="434"/>
      <c r="AA2" s="436"/>
      <c r="AB2" s="436"/>
      <c r="AC2" s="436"/>
      <c r="AD2" s="625"/>
      <c r="AE2" s="625"/>
      <c r="AF2" s="625"/>
      <c r="AH2" s="625"/>
      <c r="AI2" s="625"/>
      <c r="AJ2" s="625"/>
      <c r="AK2" s="625"/>
      <c r="AL2" s="625"/>
    </row>
    <row r="3" spans="1:38" ht="16" customHeight="1">
      <c r="A3" s="1673"/>
      <c r="B3" s="308"/>
      <c r="C3" s="308"/>
      <c r="D3" s="308"/>
      <c r="E3" s="308"/>
      <c r="F3" s="308"/>
      <c r="G3" s="308"/>
      <c r="H3" s="308"/>
      <c r="I3" s="308"/>
      <c r="J3" s="308"/>
      <c r="K3" s="308"/>
      <c r="L3" s="308"/>
      <c r="M3" s="308"/>
      <c r="N3" s="308"/>
      <c r="O3" s="308"/>
      <c r="P3" s="308"/>
      <c r="Q3" s="1673"/>
      <c r="R3" s="1525" t="s">
        <v>1195</v>
      </c>
      <c r="S3" s="1526"/>
      <c r="T3" s="1526"/>
      <c r="U3" s="1526"/>
      <c r="V3" s="1526"/>
      <c r="W3" s="1526"/>
      <c r="X3" s="1526"/>
      <c r="Y3" s="1526"/>
      <c r="Z3" s="1527"/>
      <c r="AA3" s="359"/>
      <c r="AB3" s="359"/>
      <c r="AC3" s="359"/>
      <c r="AD3" s="625"/>
      <c r="AE3" s="625"/>
      <c r="AF3" s="625"/>
      <c r="AH3" s="625"/>
      <c r="AI3" s="625"/>
      <c r="AJ3" s="625"/>
      <c r="AK3" s="625"/>
      <c r="AL3" s="625"/>
    </row>
    <row r="4" spans="1:38" ht="16" customHeight="1" thickBot="1">
      <c r="A4" s="1673"/>
      <c r="B4" s="308"/>
      <c r="C4" s="308"/>
      <c r="D4" s="308"/>
      <c r="E4" s="313"/>
      <c r="F4" s="313"/>
      <c r="G4" s="313"/>
      <c r="H4" s="313"/>
      <c r="I4" s="313"/>
      <c r="J4" s="308"/>
      <c r="K4" s="308"/>
      <c r="L4" s="308"/>
      <c r="M4" s="308"/>
      <c r="N4" s="308"/>
      <c r="O4" s="308"/>
      <c r="P4" s="308"/>
      <c r="Q4" s="1673"/>
      <c r="R4" s="1525"/>
      <c r="S4" s="1526"/>
      <c r="T4" s="1526"/>
      <c r="U4" s="1526"/>
      <c r="V4" s="1526"/>
      <c r="W4" s="1526"/>
      <c r="X4" s="1526"/>
      <c r="Y4" s="1526"/>
      <c r="Z4" s="1527"/>
      <c r="AA4" s="359"/>
      <c r="AB4" s="359"/>
      <c r="AC4" s="359"/>
      <c r="AD4" s="625"/>
      <c r="AE4" s="625"/>
      <c r="AF4" s="625"/>
      <c r="AH4" s="625"/>
      <c r="AI4" s="625"/>
      <c r="AJ4" s="625"/>
      <c r="AK4" s="625"/>
      <c r="AL4" s="625"/>
    </row>
    <row r="5" spans="1:38" ht="22" customHeight="1">
      <c r="A5" s="1673"/>
      <c r="B5" s="308"/>
      <c r="C5" s="638" t="str">
        <f>'FIG9'!$S$62</f>
        <v>AR</v>
      </c>
      <c r="D5" s="1700" t="s">
        <v>1017</v>
      </c>
      <c r="E5" s="1700"/>
      <c r="F5" s="1700"/>
      <c r="G5" s="1700"/>
      <c r="H5" s="1700"/>
      <c r="I5" s="1700"/>
      <c r="J5" s="1700"/>
      <c r="K5" s="1701"/>
      <c r="L5" s="308"/>
      <c r="M5" s="308"/>
      <c r="N5" s="308"/>
      <c r="O5" s="308"/>
      <c r="P5" s="308"/>
      <c r="Q5" s="1673"/>
      <c r="R5" s="1525"/>
      <c r="S5" s="1526"/>
      <c r="T5" s="1526"/>
      <c r="U5" s="1526"/>
      <c r="V5" s="1526"/>
      <c r="W5" s="1526"/>
      <c r="X5" s="1526"/>
      <c r="Y5" s="1526"/>
      <c r="Z5" s="1527"/>
      <c r="AA5" s="359"/>
      <c r="AB5" s="359"/>
      <c r="AC5" s="359"/>
      <c r="AD5" s="625"/>
      <c r="AE5" s="625"/>
      <c r="AF5" s="625"/>
      <c r="AH5" s="625"/>
      <c r="AI5" s="625"/>
      <c r="AJ5" s="625"/>
      <c r="AK5" s="625"/>
      <c r="AL5" s="625"/>
    </row>
    <row r="6" spans="1:38" ht="22" customHeight="1" thickBot="1">
      <c r="A6" s="1673"/>
      <c r="B6" s="308"/>
      <c r="C6" s="639"/>
      <c r="D6" s="1704" t="s">
        <v>1010</v>
      </c>
      <c r="E6" s="1704"/>
      <c r="F6" s="1704"/>
      <c r="G6" s="1704"/>
      <c r="H6" s="1704"/>
      <c r="I6" s="1704"/>
      <c r="J6" s="1704"/>
      <c r="K6" s="1705"/>
      <c r="L6" s="308"/>
      <c r="M6" s="308"/>
      <c r="N6" s="308"/>
      <c r="O6" s="308"/>
      <c r="P6" s="308"/>
      <c r="Q6" s="1673"/>
      <c r="R6" s="1528"/>
      <c r="S6" s="1529"/>
      <c r="T6" s="1529"/>
      <c r="U6" s="1529"/>
      <c r="V6" s="1529"/>
      <c r="W6" s="1529"/>
      <c r="X6" s="1529"/>
      <c r="Y6" s="1529"/>
      <c r="Z6" s="1530"/>
      <c r="AA6" s="359"/>
      <c r="AB6" s="359"/>
      <c r="AC6" s="359"/>
      <c r="AD6" s="625"/>
      <c r="AE6" s="625"/>
      <c r="AF6" s="625"/>
      <c r="AH6" s="625"/>
      <c r="AI6" s="625"/>
      <c r="AJ6" s="625"/>
      <c r="AK6" s="625"/>
      <c r="AL6" s="625"/>
    </row>
    <row r="7" spans="1:38" ht="18" customHeight="1" thickBot="1">
      <c r="A7" s="1673"/>
      <c r="B7" s="308"/>
      <c r="C7" s="633" t="s">
        <v>1086</v>
      </c>
      <c r="D7" s="634"/>
      <c r="E7" s="635" t="str">
        <f>T42</f>
        <v>FY2003</v>
      </c>
      <c r="F7" s="636" t="s">
        <v>1089</v>
      </c>
      <c r="G7" s="637" t="s">
        <v>1345</v>
      </c>
      <c r="H7" s="637" t="s">
        <v>1344</v>
      </c>
      <c r="I7" s="637" t="s">
        <v>1343</v>
      </c>
      <c r="J7" s="645" t="s">
        <v>1349</v>
      </c>
      <c r="K7" s="646" t="s">
        <v>1346</v>
      </c>
      <c r="L7" s="308"/>
      <c r="M7" s="308"/>
      <c r="N7" s="308"/>
      <c r="O7" s="308"/>
      <c r="P7" s="308"/>
      <c r="Q7" s="1673"/>
      <c r="R7" s="1522"/>
      <c r="S7" s="1523"/>
      <c r="T7" s="1523"/>
      <c r="U7" s="1523"/>
      <c r="V7" s="1523"/>
      <c r="W7" s="1523"/>
      <c r="X7" s="1523"/>
      <c r="Y7" s="1523"/>
      <c r="Z7" s="1524"/>
      <c r="AA7" s="359"/>
      <c r="AB7" s="359"/>
      <c r="AC7" s="359"/>
      <c r="AD7" s="625"/>
      <c r="AE7" s="625"/>
      <c r="AF7" s="625"/>
      <c r="AH7" s="625"/>
      <c r="AI7" s="625"/>
      <c r="AJ7" s="625"/>
      <c r="AK7" s="625"/>
      <c r="AL7" s="625"/>
    </row>
    <row r="8" spans="1:38" ht="18" customHeight="1">
      <c r="A8" s="1673"/>
      <c r="B8" s="308"/>
      <c r="C8" s="648" t="str">
        <f>S44</f>
        <v>Statewide District (D)</v>
      </c>
      <c r="D8" s="649"/>
      <c r="E8" s="649"/>
      <c r="F8" s="650"/>
      <c r="G8" s="660" t="e">
        <f t="shared" ref="G8:G17" si="0">((T66*$X$63)-(T44*$U$63))/(T44*$U$63)</f>
        <v>#DIV/0!</v>
      </c>
      <c r="H8" s="660" t="e">
        <f t="shared" ref="H8:H17" si="1">((U66*$X$63)-(U44*$U$63))/(U44*$U$63)</f>
        <v>#DIV/0!</v>
      </c>
      <c r="I8" s="660" t="e">
        <f t="shared" ref="I8:I17" si="2">((V66*$X$63)-(V44*$U$63))/(V44*$U$63)</f>
        <v>#DIV/0!</v>
      </c>
      <c r="J8" s="664" t="e">
        <f t="shared" ref="J8:J17" si="3">((W66*$X$63)-(W44*$U$63))/(W44*$U$63)</f>
        <v>#DIV/0!</v>
      </c>
      <c r="K8" s="668" t="e">
        <f t="shared" ref="K8:K17" si="4">((X66*$X$63)-(X44*$U$63))/(X44*$U$63)</f>
        <v>#DIV/0!</v>
      </c>
      <c r="L8" s="308"/>
      <c r="M8" s="308"/>
      <c r="N8" s="308"/>
      <c r="O8" s="308"/>
      <c r="P8" s="308"/>
      <c r="Q8" s="1673"/>
      <c r="R8" s="1525"/>
      <c r="S8" s="1526"/>
      <c r="T8" s="1526"/>
      <c r="U8" s="1526"/>
      <c r="V8" s="1526"/>
      <c r="W8" s="1526"/>
      <c r="X8" s="1526"/>
      <c r="Y8" s="1526"/>
      <c r="Z8" s="1527"/>
      <c r="AA8" s="359"/>
      <c r="AB8" s="452"/>
      <c r="AC8" s="359"/>
      <c r="AD8" s="625"/>
      <c r="AE8" s="625"/>
      <c r="AF8" s="625"/>
      <c r="AH8" s="625"/>
      <c r="AI8" s="625"/>
      <c r="AJ8" s="625"/>
      <c r="AK8" s="625"/>
      <c r="AL8" s="625"/>
    </row>
    <row r="9" spans="1:38" ht="18" customHeight="1" thickBot="1">
      <c r="A9" s="1673"/>
      <c r="B9" s="308"/>
      <c r="C9" s="658" t="str">
        <f>S45</f>
        <v>Statewide Charter (C)</v>
      </c>
      <c r="D9" s="659"/>
      <c r="E9" s="659"/>
      <c r="F9" s="659"/>
      <c r="G9" s="661" t="e">
        <f t="shared" si="0"/>
        <v>#DIV/0!</v>
      </c>
      <c r="H9" s="661" t="e">
        <f t="shared" si="1"/>
        <v>#DIV/0!</v>
      </c>
      <c r="I9" s="661" t="e">
        <f t="shared" si="2"/>
        <v>#DIV/0!</v>
      </c>
      <c r="J9" s="665" t="e">
        <f t="shared" si="3"/>
        <v>#DIV/0!</v>
      </c>
      <c r="K9" s="669" t="e">
        <f t="shared" si="4"/>
        <v>#DIV/0!</v>
      </c>
      <c r="L9" s="308"/>
      <c r="M9" s="308"/>
      <c r="N9" s="308"/>
      <c r="O9" s="308"/>
      <c r="P9" s="308"/>
      <c r="Q9" s="1673"/>
      <c r="R9" s="1525"/>
      <c r="S9" s="1526"/>
      <c r="T9" s="1526"/>
      <c r="U9" s="1526"/>
      <c r="V9" s="1526"/>
      <c r="W9" s="1526"/>
      <c r="X9" s="1526"/>
      <c r="Y9" s="1526"/>
      <c r="Z9" s="1527"/>
      <c r="AA9" s="359"/>
      <c r="AB9" s="359"/>
      <c r="AC9" s="359"/>
      <c r="AD9" s="625"/>
      <c r="AE9" s="625"/>
      <c r="AF9" s="625"/>
      <c r="AH9" s="625"/>
      <c r="AI9" s="625"/>
      <c r="AJ9" s="625"/>
      <c r="AK9" s="625"/>
      <c r="AL9" s="625"/>
    </row>
    <row r="10" spans="1:38" ht="18" customHeight="1" thickTop="1">
      <c r="A10" s="1673"/>
      <c r="B10" s="308"/>
      <c r="C10" s="640" t="str">
        <f>IF($S$46="FA1L1 District","",S46)</f>
        <v>Little Rock School District-D</v>
      </c>
      <c r="D10" s="631"/>
      <c r="E10" s="631"/>
      <c r="F10" s="631"/>
      <c r="G10" s="662" t="e">
        <f t="shared" si="0"/>
        <v>#DIV/0!</v>
      </c>
      <c r="H10" s="662" t="e">
        <f t="shared" si="1"/>
        <v>#DIV/0!</v>
      </c>
      <c r="I10" s="662" t="e">
        <f t="shared" si="2"/>
        <v>#DIV/0!</v>
      </c>
      <c r="J10" s="666" t="e">
        <f t="shared" si="3"/>
        <v>#DIV/0!</v>
      </c>
      <c r="K10" s="670" t="e">
        <f t="shared" si="4"/>
        <v>#DIV/0!</v>
      </c>
      <c r="L10" s="308"/>
      <c r="M10" s="308"/>
      <c r="N10" s="308"/>
      <c r="O10" s="308"/>
      <c r="P10" s="308"/>
      <c r="Q10" s="1673"/>
      <c r="R10" s="1528"/>
      <c r="S10" s="1529"/>
      <c r="T10" s="1529"/>
      <c r="U10" s="1529"/>
      <c r="V10" s="1529"/>
      <c r="W10" s="1529"/>
      <c r="X10" s="1529"/>
      <c r="Y10" s="1529"/>
      <c r="Z10" s="1530"/>
      <c r="AA10" s="359"/>
      <c r="AB10" s="359"/>
      <c r="AC10" s="359"/>
      <c r="AD10" s="625"/>
      <c r="AE10" s="625"/>
      <c r="AF10" s="625"/>
      <c r="AH10" s="625"/>
      <c r="AI10" s="625"/>
      <c r="AJ10" s="625"/>
      <c r="AK10" s="625"/>
      <c r="AL10" s="625"/>
    </row>
    <row r="11" spans="1:38" ht="18" customHeight="1" thickBot="1">
      <c r="A11" s="1673"/>
      <c r="B11" s="308"/>
      <c r="C11" s="651" t="str">
        <f>IF($S$46="FA1L1 District","",S47)</f>
        <v>Little Rock School District-C</v>
      </c>
      <c r="D11" s="652"/>
      <c r="E11" s="652"/>
      <c r="F11" s="652"/>
      <c r="G11" s="663" t="e">
        <f t="shared" si="0"/>
        <v>#DIV/0!</v>
      </c>
      <c r="H11" s="663" t="e">
        <f t="shared" si="1"/>
        <v>#DIV/0!</v>
      </c>
      <c r="I11" s="663" t="e">
        <f t="shared" si="2"/>
        <v>#DIV/0!</v>
      </c>
      <c r="J11" s="667" t="e">
        <f t="shared" si="3"/>
        <v>#DIV/0!</v>
      </c>
      <c r="K11" s="671" t="e">
        <f t="shared" si="4"/>
        <v>#DIV/0!</v>
      </c>
      <c r="L11" s="308"/>
      <c r="M11" s="308"/>
      <c r="N11" s="308"/>
      <c r="O11" s="308"/>
      <c r="P11" s="308"/>
      <c r="Q11" s="1673"/>
      <c r="R11" s="1522"/>
      <c r="S11" s="1523"/>
      <c r="T11" s="1523"/>
      <c r="U11" s="1523"/>
      <c r="V11" s="1523"/>
      <c r="W11" s="1523"/>
      <c r="X11" s="1523"/>
      <c r="Y11" s="1523"/>
      <c r="Z11" s="1524"/>
      <c r="AA11" s="359"/>
      <c r="AB11" s="359"/>
      <c r="AC11" s="359"/>
      <c r="AD11" s="625"/>
      <c r="AE11" s="625"/>
      <c r="AF11" s="625"/>
      <c r="AH11" s="625"/>
      <c r="AI11" s="625"/>
      <c r="AJ11" s="625"/>
      <c r="AK11" s="625"/>
      <c r="AL11" s="625"/>
    </row>
    <row r="12" spans="1:38" ht="18" customHeight="1">
      <c r="A12" s="1673"/>
      <c r="B12" s="308"/>
      <c r="C12" s="655" t="str">
        <f>IF($S$48="FA3L1 District","",S48)</f>
        <v>FA2L1 FA2L2-D</v>
      </c>
      <c r="D12" s="656"/>
      <c r="E12" s="656"/>
      <c r="F12" s="656"/>
      <c r="G12" s="660" t="e">
        <f t="shared" si="0"/>
        <v>#DIV/0!</v>
      </c>
      <c r="H12" s="660" t="e">
        <f t="shared" si="1"/>
        <v>#DIV/0!</v>
      </c>
      <c r="I12" s="660" t="e">
        <f t="shared" si="2"/>
        <v>#DIV/0!</v>
      </c>
      <c r="J12" s="664" t="e">
        <f t="shared" si="3"/>
        <v>#DIV/0!</v>
      </c>
      <c r="K12" s="668" t="e">
        <f t="shared" si="4"/>
        <v>#DIV/0!</v>
      </c>
      <c r="L12" s="308"/>
      <c r="M12" s="308"/>
      <c r="N12" s="308"/>
      <c r="O12" s="308"/>
      <c r="P12" s="308"/>
      <c r="Q12" s="1673"/>
      <c r="R12" s="1525"/>
      <c r="S12" s="1526"/>
      <c r="T12" s="1526"/>
      <c r="U12" s="1526"/>
      <c r="V12" s="1526"/>
      <c r="W12" s="1526"/>
      <c r="X12" s="1526"/>
      <c r="Y12" s="1526"/>
      <c r="Z12" s="1527"/>
      <c r="AA12" s="359"/>
      <c r="AB12" s="359"/>
      <c r="AC12" s="359"/>
      <c r="AD12" s="625"/>
      <c r="AE12" s="625"/>
      <c r="AF12" s="625"/>
      <c r="AH12" s="625"/>
      <c r="AI12" s="625"/>
      <c r="AJ12" s="625"/>
      <c r="AK12" s="625"/>
      <c r="AL12" s="625"/>
    </row>
    <row r="13" spans="1:38" ht="18" customHeight="1" thickBot="1">
      <c r="A13" s="1673"/>
      <c r="B13" s="308"/>
      <c r="C13" s="641" t="str">
        <f>IF($S$48="FA3L1 District","",S49)</f>
        <v>FA2L1 FA2L2-C</v>
      </c>
      <c r="D13" s="642"/>
      <c r="E13" s="642"/>
      <c r="F13" s="642"/>
      <c r="G13" s="663" t="e">
        <f t="shared" si="0"/>
        <v>#DIV/0!</v>
      </c>
      <c r="H13" s="663" t="e">
        <f t="shared" si="1"/>
        <v>#DIV/0!</v>
      </c>
      <c r="I13" s="663" t="e">
        <f t="shared" si="2"/>
        <v>#DIV/0!</v>
      </c>
      <c r="J13" s="667" t="e">
        <f t="shared" si="3"/>
        <v>#DIV/0!</v>
      </c>
      <c r="K13" s="671" t="e">
        <f t="shared" si="4"/>
        <v>#DIV/0!</v>
      </c>
      <c r="L13" s="308"/>
      <c r="M13" s="308"/>
      <c r="N13" s="308"/>
      <c r="O13" s="308"/>
      <c r="P13" s="308"/>
      <c r="Q13" s="1673"/>
      <c r="R13" s="1525"/>
      <c r="S13" s="1526"/>
      <c r="T13" s="1526"/>
      <c r="U13" s="1526"/>
      <c r="V13" s="1526"/>
      <c r="W13" s="1526"/>
      <c r="X13" s="1526"/>
      <c r="Y13" s="1526"/>
      <c r="Z13" s="1527"/>
      <c r="AA13" s="359"/>
      <c r="AB13" s="359"/>
      <c r="AC13" s="359"/>
      <c r="AD13" s="625"/>
      <c r="AE13" s="625"/>
      <c r="AF13" s="625"/>
      <c r="AH13" s="625"/>
      <c r="AI13" s="625"/>
      <c r="AJ13" s="625"/>
      <c r="AK13" s="625"/>
      <c r="AL13" s="625"/>
    </row>
    <row r="14" spans="1:38" ht="18" customHeight="1">
      <c r="A14" s="1673"/>
      <c r="B14" s="308"/>
      <c r="C14" s="655" t="str">
        <f>IF($S$50="FA3L1 District","",S50)</f>
        <v>FA3L1 FA3L2-D</v>
      </c>
      <c r="D14" s="656"/>
      <c r="E14" s="656"/>
      <c r="F14" s="656"/>
      <c r="G14" s="660" t="e">
        <f t="shared" si="0"/>
        <v>#DIV/0!</v>
      </c>
      <c r="H14" s="660" t="e">
        <f t="shared" si="1"/>
        <v>#DIV/0!</v>
      </c>
      <c r="I14" s="660" t="e">
        <f t="shared" si="2"/>
        <v>#DIV/0!</v>
      </c>
      <c r="J14" s="664" t="e">
        <f t="shared" si="3"/>
        <v>#DIV/0!</v>
      </c>
      <c r="K14" s="668" t="e">
        <f t="shared" si="4"/>
        <v>#DIV/0!</v>
      </c>
      <c r="L14" s="308"/>
      <c r="M14" s="308"/>
      <c r="N14" s="308"/>
      <c r="O14" s="308"/>
      <c r="P14" s="308"/>
      <c r="Q14" s="1673"/>
      <c r="R14" s="1525"/>
      <c r="S14" s="1526"/>
      <c r="T14" s="1526"/>
      <c r="U14" s="1526"/>
      <c r="V14" s="1526"/>
      <c r="W14" s="1526"/>
      <c r="X14" s="1526"/>
      <c r="Y14" s="1526"/>
      <c r="Z14" s="1527"/>
      <c r="AA14" s="359"/>
      <c r="AB14" s="359"/>
      <c r="AC14" s="359"/>
      <c r="AD14" s="625"/>
      <c r="AE14" s="625"/>
      <c r="AF14" s="625"/>
      <c r="AH14" s="625"/>
      <c r="AI14" s="625"/>
      <c r="AJ14" s="625"/>
      <c r="AK14" s="625"/>
      <c r="AL14" s="625"/>
    </row>
    <row r="15" spans="1:38" ht="18" customHeight="1" thickBot="1">
      <c r="A15" s="1673"/>
      <c r="B15" s="308"/>
      <c r="C15" s="641" t="str">
        <f>IF($S$50="FA3L1 District","",S51)</f>
        <v>FA3L1 FA3L2-C</v>
      </c>
      <c r="D15" s="642"/>
      <c r="E15" s="642"/>
      <c r="F15" s="642"/>
      <c r="G15" s="663" t="e">
        <f t="shared" si="0"/>
        <v>#DIV/0!</v>
      </c>
      <c r="H15" s="663" t="e">
        <f t="shared" si="1"/>
        <v>#DIV/0!</v>
      </c>
      <c r="I15" s="663" t="e">
        <f t="shared" si="2"/>
        <v>#DIV/0!</v>
      </c>
      <c r="J15" s="667" t="e">
        <f t="shared" si="3"/>
        <v>#DIV/0!</v>
      </c>
      <c r="K15" s="671" t="e">
        <f t="shared" si="4"/>
        <v>#DIV/0!</v>
      </c>
      <c r="L15" s="308"/>
      <c r="M15" s="308"/>
      <c r="N15" s="308"/>
      <c r="O15" s="308"/>
      <c r="P15" s="308"/>
      <c r="Q15" s="1673"/>
      <c r="R15" s="1525"/>
      <c r="S15" s="1526"/>
      <c r="T15" s="1526"/>
      <c r="U15" s="1526"/>
      <c r="V15" s="1526"/>
      <c r="W15" s="1526"/>
      <c r="X15" s="1526"/>
      <c r="Y15" s="1526"/>
      <c r="Z15" s="1527"/>
      <c r="AA15" s="359"/>
      <c r="AB15" s="359"/>
      <c r="AC15" s="359"/>
      <c r="AD15" s="625"/>
      <c r="AE15" s="625"/>
      <c r="AF15" s="625"/>
      <c r="AH15" s="625"/>
      <c r="AI15" s="625"/>
      <c r="AJ15" s="625"/>
      <c r="AK15" s="625"/>
      <c r="AL15" s="625"/>
    </row>
    <row r="16" spans="1:38" ht="18" customHeight="1">
      <c r="A16" s="1673"/>
      <c r="B16" s="308"/>
      <c r="C16" s="655" t="str">
        <f>IF(S52="FA4L1 District","",S52)</f>
        <v>FA4L1 FA4L2-D</v>
      </c>
      <c r="D16" s="656"/>
      <c r="E16" s="656"/>
      <c r="F16" s="656"/>
      <c r="G16" s="660" t="e">
        <f t="shared" si="0"/>
        <v>#DIV/0!</v>
      </c>
      <c r="H16" s="660" t="e">
        <f t="shared" si="1"/>
        <v>#DIV/0!</v>
      </c>
      <c r="I16" s="660" t="e">
        <f t="shared" si="2"/>
        <v>#DIV/0!</v>
      </c>
      <c r="J16" s="664" t="e">
        <f t="shared" si="3"/>
        <v>#DIV/0!</v>
      </c>
      <c r="K16" s="668" t="e">
        <f t="shared" si="4"/>
        <v>#DIV/0!</v>
      </c>
      <c r="L16" s="308"/>
      <c r="M16" s="308"/>
      <c r="N16" s="308"/>
      <c r="O16" s="308"/>
      <c r="P16" s="308"/>
      <c r="Q16" s="1673"/>
      <c r="R16" s="1528"/>
      <c r="S16" s="1529"/>
      <c r="T16" s="1529"/>
      <c r="U16" s="1529"/>
      <c r="V16" s="1529"/>
      <c r="W16" s="1529"/>
      <c r="X16" s="1529"/>
      <c r="Y16" s="1529"/>
      <c r="Z16" s="1530"/>
      <c r="AA16" s="359"/>
      <c r="AB16" s="359"/>
      <c r="AC16" s="359"/>
      <c r="AD16" s="625"/>
      <c r="AE16" s="625"/>
      <c r="AF16" s="625"/>
      <c r="AH16" s="625"/>
      <c r="AI16" s="625"/>
      <c r="AJ16" s="625"/>
      <c r="AK16" s="625"/>
      <c r="AL16" s="625"/>
    </row>
    <row r="17" spans="1:38" ht="18" customHeight="1" thickBot="1">
      <c r="A17" s="1673"/>
      <c r="B17" s="308"/>
      <c r="C17" s="641" t="str">
        <f>IF(S52="FA4L1 District","",S53)</f>
        <v>FA4L1 FA4L2-C</v>
      </c>
      <c r="D17" s="642"/>
      <c r="E17" s="642"/>
      <c r="F17" s="642"/>
      <c r="G17" s="663" t="e">
        <f t="shared" si="0"/>
        <v>#DIV/0!</v>
      </c>
      <c r="H17" s="663" t="e">
        <f t="shared" si="1"/>
        <v>#DIV/0!</v>
      </c>
      <c r="I17" s="663" t="e">
        <f t="shared" si="2"/>
        <v>#DIV/0!</v>
      </c>
      <c r="J17" s="667" t="e">
        <f t="shared" si="3"/>
        <v>#DIV/0!</v>
      </c>
      <c r="K17" s="671" t="e">
        <f t="shared" si="4"/>
        <v>#DIV/0!</v>
      </c>
      <c r="L17" s="308"/>
      <c r="M17" s="308"/>
      <c r="N17" s="308"/>
      <c r="O17" s="308"/>
      <c r="P17" s="308"/>
      <c r="Q17" s="1673"/>
      <c r="R17" s="1522"/>
      <c r="S17" s="1523"/>
      <c r="T17" s="1523"/>
      <c r="U17" s="1523"/>
      <c r="V17" s="1523"/>
      <c r="W17" s="1523"/>
      <c r="X17" s="1523"/>
      <c r="Y17" s="1523"/>
      <c r="Z17" s="1524"/>
      <c r="AA17" s="359"/>
      <c r="AB17" s="359"/>
      <c r="AC17" s="359"/>
      <c r="AD17" s="625"/>
      <c r="AE17" s="625"/>
      <c r="AF17" s="625"/>
      <c r="AH17" s="625"/>
      <c r="AI17" s="625"/>
      <c r="AJ17" s="625"/>
      <c r="AK17" s="625"/>
      <c r="AL17" s="625"/>
    </row>
    <row r="18" spans="1:38" ht="18" customHeight="1">
      <c r="A18" s="1673"/>
      <c r="B18" s="308"/>
      <c r="C18" s="655" t="str">
        <f>IF(S54="FA5L1 District","",S54)</f>
        <v>FA5L1 FA5L2-D</v>
      </c>
      <c r="D18" s="656"/>
      <c r="E18" s="656"/>
      <c r="F18" s="656"/>
      <c r="G18" s="660" t="e">
        <f t="shared" ref="G18:K19" si="5">((T76*$X$63)-(T54*$U$63))/(T54*$U$63)</f>
        <v>#DIV/0!</v>
      </c>
      <c r="H18" s="660" t="e">
        <f t="shared" si="5"/>
        <v>#DIV/0!</v>
      </c>
      <c r="I18" s="660" t="e">
        <f t="shared" si="5"/>
        <v>#DIV/0!</v>
      </c>
      <c r="J18" s="664" t="e">
        <f t="shared" si="5"/>
        <v>#DIV/0!</v>
      </c>
      <c r="K18" s="668" t="e">
        <f t="shared" si="5"/>
        <v>#DIV/0!</v>
      </c>
      <c r="L18" s="308"/>
      <c r="M18" s="308"/>
      <c r="N18" s="308"/>
      <c r="O18" s="308"/>
      <c r="P18" s="308"/>
      <c r="Q18" s="1673"/>
      <c r="R18" s="1525"/>
      <c r="S18" s="1526"/>
      <c r="T18" s="1526"/>
      <c r="U18" s="1526"/>
      <c r="V18" s="1526"/>
      <c r="W18" s="1526"/>
      <c r="X18" s="1526"/>
      <c r="Y18" s="1526"/>
      <c r="Z18" s="1527"/>
      <c r="AA18" s="359"/>
      <c r="AB18" s="359"/>
      <c r="AC18" s="359"/>
      <c r="AD18" s="625"/>
      <c r="AE18" s="625"/>
      <c r="AF18" s="625"/>
      <c r="AH18" s="625"/>
      <c r="AI18" s="625"/>
      <c r="AJ18" s="625"/>
      <c r="AK18" s="625"/>
      <c r="AL18" s="625"/>
    </row>
    <row r="19" spans="1:38" ht="18" customHeight="1" thickBot="1">
      <c r="A19" s="1673"/>
      <c r="B19" s="308"/>
      <c r="C19" s="641" t="str">
        <f>IF(S54="FA5L1 District","",S55)</f>
        <v>FA5L1 FA5L2-C</v>
      </c>
      <c r="D19" s="642"/>
      <c r="E19" s="642"/>
      <c r="F19" s="642"/>
      <c r="G19" s="663" t="e">
        <f t="shared" si="5"/>
        <v>#DIV/0!</v>
      </c>
      <c r="H19" s="663" t="e">
        <f t="shared" si="5"/>
        <v>#DIV/0!</v>
      </c>
      <c r="I19" s="663" t="e">
        <f t="shared" si="5"/>
        <v>#DIV/0!</v>
      </c>
      <c r="J19" s="667" t="e">
        <f t="shared" si="5"/>
        <v>#DIV/0!</v>
      </c>
      <c r="K19" s="671" t="e">
        <f t="shared" si="5"/>
        <v>#DIV/0!</v>
      </c>
      <c r="L19" s="308"/>
      <c r="M19" s="308"/>
      <c r="N19" s="308"/>
      <c r="O19" s="308"/>
      <c r="P19" s="308"/>
      <c r="Q19" s="1673"/>
      <c r="R19" s="1525"/>
      <c r="S19" s="1526"/>
      <c r="T19" s="1526"/>
      <c r="U19" s="1526"/>
      <c r="V19" s="1526"/>
      <c r="W19" s="1526"/>
      <c r="X19" s="1526"/>
      <c r="Y19" s="1526"/>
      <c r="Z19" s="1527"/>
      <c r="AA19" s="359"/>
      <c r="AB19" s="359"/>
      <c r="AC19" s="359"/>
      <c r="AD19" s="625"/>
      <c r="AE19" s="625"/>
      <c r="AF19" s="625"/>
      <c r="AH19" s="625"/>
      <c r="AI19" s="625"/>
      <c r="AJ19" s="625"/>
      <c r="AK19" s="625"/>
      <c r="AL19" s="625"/>
    </row>
    <row r="20" spans="1:38" ht="16" customHeight="1">
      <c r="A20" s="1673"/>
      <c r="B20" s="308"/>
      <c r="C20" s="308"/>
      <c r="D20" s="308"/>
      <c r="E20" s="308"/>
      <c r="F20" s="308"/>
      <c r="G20" s="308"/>
      <c r="H20" s="308"/>
      <c r="I20" s="308"/>
      <c r="J20" s="308"/>
      <c r="K20" s="308"/>
      <c r="L20" s="308"/>
      <c r="M20" s="308"/>
      <c r="N20" s="308"/>
      <c r="O20" s="308"/>
      <c r="P20" s="308"/>
      <c r="Q20" s="1673"/>
      <c r="R20" s="1525"/>
      <c r="S20" s="1526"/>
      <c r="T20" s="1526"/>
      <c r="U20" s="1526"/>
      <c r="V20" s="1526"/>
      <c r="W20" s="1526"/>
      <c r="X20" s="1526"/>
      <c r="Y20" s="1526"/>
      <c r="Z20" s="1527"/>
      <c r="AA20" s="359"/>
      <c r="AB20" s="359"/>
      <c r="AC20" s="359"/>
      <c r="AD20" s="625"/>
      <c r="AE20" s="625"/>
      <c r="AF20" s="625"/>
      <c r="AH20" s="625"/>
      <c r="AI20" s="625"/>
      <c r="AJ20" s="625"/>
      <c r="AK20" s="625"/>
      <c r="AL20" s="625"/>
    </row>
    <row r="21" spans="1:38" ht="16" customHeight="1">
      <c r="A21" s="1673"/>
      <c r="B21" s="308"/>
      <c r="C21" s="308"/>
      <c r="D21" s="308"/>
      <c r="E21" s="308"/>
      <c r="F21" s="308"/>
      <c r="G21" s="308"/>
      <c r="H21" s="308"/>
      <c r="I21" s="308"/>
      <c r="J21" s="308"/>
      <c r="K21" s="308"/>
      <c r="L21" s="308"/>
      <c r="M21" s="308"/>
      <c r="N21" s="308"/>
      <c r="O21" s="308"/>
      <c r="P21" s="308"/>
      <c r="Q21" s="1673"/>
      <c r="R21" s="1525"/>
      <c r="S21" s="1526"/>
      <c r="T21" s="1526"/>
      <c r="U21" s="1526"/>
      <c r="V21" s="1526"/>
      <c r="W21" s="1526"/>
      <c r="X21" s="1526"/>
      <c r="Y21" s="1526"/>
      <c r="Z21" s="1527"/>
      <c r="AA21" s="359"/>
      <c r="AB21" s="359"/>
      <c r="AC21" s="359"/>
      <c r="AD21" s="625"/>
      <c r="AE21" s="625"/>
      <c r="AF21" s="625"/>
      <c r="AH21" s="625"/>
      <c r="AI21" s="625"/>
      <c r="AJ21" s="625"/>
      <c r="AK21" s="625"/>
      <c r="AL21" s="625"/>
    </row>
    <row r="22" spans="1:38" ht="16" customHeight="1">
      <c r="A22" s="1673"/>
      <c r="B22" s="308"/>
      <c r="C22" s="308"/>
      <c r="D22" s="308"/>
      <c r="E22" s="308"/>
      <c r="F22" s="308"/>
      <c r="G22" s="308"/>
      <c r="H22" s="308"/>
      <c r="I22" s="308"/>
      <c r="J22" s="308"/>
      <c r="K22" s="308"/>
      <c r="L22" s="308"/>
      <c r="M22" s="308"/>
      <c r="N22" s="308"/>
      <c r="O22" s="308"/>
      <c r="P22" s="308"/>
      <c r="Q22" s="1673"/>
      <c r="R22" s="1525"/>
      <c r="S22" s="1526"/>
      <c r="T22" s="1526"/>
      <c r="U22" s="1526"/>
      <c r="V22" s="1526"/>
      <c r="W22" s="1526"/>
      <c r="X22" s="1526"/>
      <c r="Y22" s="1526"/>
      <c r="Z22" s="1527"/>
      <c r="AA22" s="359"/>
      <c r="AB22" s="359"/>
      <c r="AC22" s="359"/>
      <c r="AD22" s="625"/>
      <c r="AE22" s="625"/>
      <c r="AF22" s="625"/>
      <c r="AH22" s="625"/>
      <c r="AI22" s="625"/>
      <c r="AJ22" s="625"/>
      <c r="AK22" s="625"/>
      <c r="AL22" s="625"/>
    </row>
    <row r="23" spans="1:38" ht="16" customHeight="1">
      <c r="A23" s="1673"/>
      <c r="B23" s="308"/>
      <c r="C23" s="308"/>
      <c r="D23" s="308"/>
      <c r="E23" s="308"/>
      <c r="F23" s="308"/>
      <c r="G23" s="308"/>
      <c r="H23" s="308"/>
      <c r="I23" s="308"/>
      <c r="J23" s="308"/>
      <c r="K23" s="308"/>
      <c r="L23" s="308"/>
      <c r="M23" s="308"/>
      <c r="N23" s="308"/>
      <c r="O23" s="308"/>
      <c r="P23" s="308"/>
      <c r="Q23" s="1673"/>
      <c r="R23" s="1525"/>
      <c r="S23" s="1526"/>
      <c r="T23" s="1526"/>
      <c r="U23" s="1526"/>
      <c r="V23" s="1526"/>
      <c r="W23" s="1526"/>
      <c r="X23" s="1526"/>
      <c r="Y23" s="1526"/>
      <c r="Z23" s="1527"/>
      <c r="AA23" s="359"/>
      <c r="AB23" s="359"/>
      <c r="AC23" s="359"/>
      <c r="AD23" s="625"/>
      <c r="AE23" s="625"/>
      <c r="AF23" s="625"/>
      <c r="AH23" s="625"/>
      <c r="AI23" s="625"/>
      <c r="AJ23" s="625"/>
      <c r="AK23" s="625"/>
      <c r="AL23" s="625"/>
    </row>
    <row r="24" spans="1:38" ht="16" customHeight="1">
      <c r="A24" s="1673"/>
      <c r="B24" s="308"/>
      <c r="C24" s="308"/>
      <c r="D24" s="308"/>
      <c r="E24" s="308"/>
      <c r="F24" s="308"/>
      <c r="G24" s="308"/>
      <c r="H24" s="308"/>
      <c r="I24" s="308"/>
      <c r="J24" s="308"/>
      <c r="K24" s="308"/>
      <c r="L24" s="308"/>
      <c r="M24" s="308"/>
      <c r="N24" s="308"/>
      <c r="O24" s="308"/>
      <c r="P24" s="308"/>
      <c r="Q24" s="1673"/>
      <c r="R24" s="1525"/>
      <c r="S24" s="1526"/>
      <c r="T24" s="1526"/>
      <c r="U24" s="1526"/>
      <c r="V24" s="1526"/>
      <c r="W24" s="1526"/>
      <c r="X24" s="1526"/>
      <c r="Y24" s="1526"/>
      <c r="Z24" s="1527"/>
      <c r="AA24" s="359"/>
      <c r="AB24" s="359"/>
      <c r="AC24" s="359"/>
      <c r="AD24" s="625"/>
      <c r="AE24" s="625"/>
      <c r="AF24" s="625"/>
      <c r="AH24" s="625"/>
      <c r="AI24" s="625"/>
      <c r="AJ24" s="625"/>
      <c r="AK24" s="625"/>
      <c r="AL24" s="625"/>
    </row>
    <row r="25" spans="1:38" ht="16" customHeight="1">
      <c r="A25" s="1673"/>
      <c r="B25" s="308"/>
      <c r="C25" s="308"/>
      <c r="D25" s="308"/>
      <c r="E25" s="308"/>
      <c r="F25" s="308"/>
      <c r="G25" s="308"/>
      <c r="H25" s="308"/>
      <c r="I25" s="308"/>
      <c r="J25" s="308"/>
      <c r="K25" s="308"/>
      <c r="L25" s="308"/>
      <c r="M25" s="308"/>
      <c r="N25" s="308"/>
      <c r="O25" s="308"/>
      <c r="P25" s="308"/>
      <c r="Q25" s="1673"/>
      <c r="R25" s="1525"/>
      <c r="S25" s="1526"/>
      <c r="T25" s="1526"/>
      <c r="U25" s="1526"/>
      <c r="V25" s="1526"/>
      <c r="W25" s="1526"/>
      <c r="X25" s="1526"/>
      <c r="Y25" s="1526"/>
      <c r="Z25" s="1527"/>
      <c r="AA25" s="359"/>
      <c r="AB25" s="359"/>
      <c r="AC25" s="359"/>
      <c r="AD25" s="625"/>
      <c r="AE25" s="625"/>
      <c r="AF25" s="625"/>
      <c r="AH25" s="625"/>
      <c r="AI25" s="625"/>
      <c r="AJ25" s="625"/>
      <c r="AK25" s="625"/>
      <c r="AL25" s="625"/>
    </row>
    <row r="26" spans="1:38" ht="16" customHeight="1">
      <c r="A26" s="1673"/>
      <c r="B26" s="308"/>
      <c r="C26" s="308"/>
      <c r="D26" s="308"/>
      <c r="E26" s="308"/>
      <c r="F26" s="308"/>
      <c r="G26" s="308"/>
      <c r="H26" s="308"/>
      <c r="I26" s="308"/>
      <c r="J26" s="308"/>
      <c r="K26" s="308"/>
      <c r="L26" s="308"/>
      <c r="M26" s="308"/>
      <c r="N26" s="308"/>
      <c r="O26" s="308"/>
      <c r="P26" s="308"/>
      <c r="Q26" s="1673"/>
      <c r="R26" s="1525"/>
      <c r="S26" s="1526"/>
      <c r="T26" s="1526"/>
      <c r="U26" s="1526"/>
      <c r="V26" s="1526"/>
      <c r="W26" s="1526"/>
      <c r="X26" s="1526"/>
      <c r="Y26" s="1526"/>
      <c r="Z26" s="1527"/>
      <c r="AA26" s="359"/>
      <c r="AB26" s="359"/>
      <c r="AC26" s="359"/>
      <c r="AD26" s="625"/>
      <c r="AE26" s="625"/>
      <c r="AF26" s="625"/>
      <c r="AH26" s="625"/>
      <c r="AI26" s="625"/>
      <c r="AJ26" s="625"/>
      <c r="AK26" s="625"/>
      <c r="AL26" s="625"/>
    </row>
    <row r="27" spans="1:38" ht="16" customHeight="1">
      <c r="A27" s="1673"/>
      <c r="B27" s="308"/>
      <c r="C27" s="308"/>
      <c r="D27" s="308"/>
      <c r="E27" s="308"/>
      <c r="F27" s="308"/>
      <c r="G27" s="308"/>
      <c r="H27" s="308"/>
      <c r="I27" s="308"/>
      <c r="J27" s="308"/>
      <c r="K27" s="308"/>
      <c r="L27" s="308"/>
      <c r="M27" s="308"/>
      <c r="N27" s="308"/>
      <c r="O27" s="308"/>
      <c r="P27" s="308"/>
      <c r="Q27" s="1673"/>
      <c r="R27" s="1525"/>
      <c r="S27" s="1526"/>
      <c r="T27" s="1526"/>
      <c r="U27" s="1526"/>
      <c r="V27" s="1526"/>
      <c r="W27" s="1526"/>
      <c r="X27" s="1526"/>
      <c r="Y27" s="1526"/>
      <c r="Z27" s="1527"/>
      <c r="AA27" s="359"/>
      <c r="AB27" s="359"/>
      <c r="AC27" s="359"/>
      <c r="AD27" s="625"/>
      <c r="AE27" s="625"/>
      <c r="AF27" s="625"/>
      <c r="AH27" s="625"/>
      <c r="AI27" s="625"/>
      <c r="AJ27" s="625"/>
      <c r="AK27" s="625"/>
      <c r="AL27" s="625"/>
    </row>
    <row r="28" spans="1:38" ht="16" customHeight="1">
      <c r="A28" s="1673"/>
      <c r="B28" s="308"/>
      <c r="C28" s="308"/>
      <c r="D28" s="308"/>
      <c r="E28" s="308"/>
      <c r="F28" s="308"/>
      <c r="G28" s="308"/>
      <c r="H28" s="308"/>
      <c r="I28" s="308"/>
      <c r="J28" s="308"/>
      <c r="K28" s="308"/>
      <c r="L28" s="308"/>
      <c r="M28" s="308"/>
      <c r="N28" s="308"/>
      <c r="O28" s="308"/>
      <c r="P28" s="308"/>
      <c r="Q28" s="1673"/>
      <c r="R28" s="1525"/>
      <c r="S28" s="1526"/>
      <c r="T28" s="1526"/>
      <c r="U28" s="1526"/>
      <c r="V28" s="1526"/>
      <c r="W28" s="1526"/>
      <c r="X28" s="1526"/>
      <c r="Y28" s="1526"/>
      <c r="Z28" s="1527"/>
      <c r="AA28" s="359"/>
      <c r="AB28" s="359"/>
      <c r="AC28" s="359"/>
      <c r="AD28" s="625"/>
      <c r="AE28" s="625"/>
      <c r="AF28" s="625"/>
      <c r="AH28" s="625"/>
      <c r="AI28" s="625"/>
      <c r="AJ28" s="625"/>
      <c r="AK28" s="625"/>
      <c r="AL28" s="625"/>
    </row>
    <row r="29" spans="1:38" ht="16" customHeight="1">
      <c r="A29" s="1673"/>
      <c r="B29" s="308"/>
      <c r="C29" s="308"/>
      <c r="D29" s="308"/>
      <c r="E29" s="308"/>
      <c r="F29" s="308"/>
      <c r="G29" s="308"/>
      <c r="H29" s="308"/>
      <c r="I29" s="308"/>
      <c r="J29" s="308"/>
      <c r="K29" s="308"/>
      <c r="L29" s="308"/>
      <c r="M29" s="308"/>
      <c r="N29" s="308"/>
      <c r="O29" s="308"/>
      <c r="P29" s="308"/>
      <c r="Q29" s="1673"/>
      <c r="R29" s="1528"/>
      <c r="S29" s="1529"/>
      <c r="T29" s="1529"/>
      <c r="U29" s="1529"/>
      <c r="V29" s="1529"/>
      <c r="W29" s="1529"/>
      <c r="X29" s="1529"/>
      <c r="Y29" s="1529"/>
      <c r="Z29" s="1530"/>
      <c r="AA29" s="359"/>
      <c r="AB29" s="359"/>
      <c r="AC29" s="359"/>
      <c r="AD29" s="625"/>
      <c r="AE29" s="625"/>
      <c r="AF29" s="625"/>
      <c r="AH29" s="625"/>
      <c r="AI29" s="625"/>
      <c r="AJ29" s="625"/>
      <c r="AK29" s="625"/>
      <c r="AL29" s="625"/>
    </row>
    <row r="30" spans="1:38" ht="16" customHeight="1">
      <c r="A30" s="1673"/>
      <c r="B30" s="308"/>
      <c r="C30" s="308"/>
      <c r="D30" s="308"/>
      <c r="E30" s="308"/>
      <c r="F30" s="308"/>
      <c r="G30" s="308"/>
      <c r="H30" s="308"/>
      <c r="I30" s="308"/>
      <c r="J30" s="308"/>
      <c r="K30" s="308"/>
      <c r="L30" s="308"/>
      <c r="M30" s="308"/>
      <c r="N30" s="308"/>
      <c r="O30" s="308"/>
      <c r="P30" s="308"/>
      <c r="Q30" s="1673"/>
      <c r="R30" s="1571" t="s">
        <v>989</v>
      </c>
      <c r="S30" s="1572"/>
      <c r="T30" s="1572"/>
      <c r="U30" s="1572"/>
      <c r="V30" s="1572"/>
      <c r="W30" s="1572"/>
      <c r="X30" s="1572"/>
      <c r="Y30" s="1572"/>
      <c r="Z30" s="1573"/>
      <c r="AA30" s="359"/>
      <c r="AB30" s="359"/>
      <c r="AC30" s="359"/>
      <c r="AD30" s="625"/>
      <c r="AE30" s="625"/>
      <c r="AF30" s="625"/>
      <c r="AH30" s="625"/>
      <c r="AI30" s="625"/>
      <c r="AJ30" s="625"/>
      <c r="AK30" s="625"/>
      <c r="AL30" s="625"/>
    </row>
    <row r="31" spans="1:38" ht="16" customHeight="1">
      <c r="A31" s="1673"/>
      <c r="B31" s="308"/>
      <c r="C31" s="1702"/>
      <c r="D31" s="1702"/>
      <c r="E31" s="1703"/>
      <c r="F31" s="1703"/>
      <c r="G31" s="1703"/>
      <c r="H31" s="1703"/>
      <c r="I31" s="1703"/>
      <c r="J31" s="1703"/>
      <c r="K31" s="1703"/>
      <c r="L31" s="308"/>
      <c r="M31" s="308"/>
      <c r="N31" s="308"/>
      <c r="O31" s="308"/>
      <c r="P31" s="308"/>
      <c r="Q31" s="1673"/>
      <c r="R31" s="1571"/>
      <c r="S31" s="1572"/>
      <c r="T31" s="1572"/>
      <c r="U31" s="1572"/>
      <c r="V31" s="1572"/>
      <c r="W31" s="1572"/>
      <c r="X31" s="1572"/>
      <c r="Y31" s="1572"/>
      <c r="Z31" s="1573"/>
      <c r="AA31" s="359"/>
      <c r="AB31" s="359"/>
      <c r="AC31" s="359"/>
      <c r="AD31" s="625"/>
      <c r="AE31" s="625"/>
      <c r="AF31" s="625"/>
      <c r="AH31" s="625"/>
      <c r="AI31" s="625"/>
      <c r="AJ31" s="625"/>
      <c r="AK31" s="625"/>
      <c r="AL31" s="625"/>
    </row>
    <row r="32" spans="1:38" ht="16" customHeight="1">
      <c r="A32" s="1673"/>
      <c r="B32" s="308"/>
      <c r="C32" s="1703"/>
      <c r="D32" s="1703"/>
      <c r="E32" s="1703"/>
      <c r="F32" s="1703"/>
      <c r="G32" s="1703"/>
      <c r="H32" s="1703"/>
      <c r="I32" s="1703"/>
      <c r="J32" s="1703"/>
      <c r="K32" s="1703"/>
      <c r="L32" s="308"/>
      <c r="M32" s="308"/>
      <c r="N32" s="308"/>
      <c r="O32" s="308"/>
      <c r="P32" s="308"/>
      <c r="Q32" s="1673"/>
      <c r="R32" s="1571"/>
      <c r="S32" s="1572"/>
      <c r="T32" s="1572"/>
      <c r="U32" s="1572"/>
      <c r="V32" s="1572"/>
      <c r="W32" s="1572"/>
      <c r="X32" s="1572"/>
      <c r="Y32" s="1572"/>
      <c r="Z32" s="1573"/>
      <c r="AA32" s="359"/>
      <c r="AB32" s="359"/>
      <c r="AC32" s="359"/>
      <c r="AD32" s="625"/>
      <c r="AE32" s="625"/>
      <c r="AF32" s="625"/>
      <c r="AH32" s="625"/>
      <c r="AI32" s="625"/>
      <c r="AJ32" s="625"/>
      <c r="AK32" s="625"/>
      <c r="AL32" s="625"/>
    </row>
    <row r="33" spans="1:38" ht="16" customHeight="1">
      <c r="A33" s="1673"/>
      <c r="B33" s="308"/>
      <c r="C33" s="1703"/>
      <c r="D33" s="1703"/>
      <c r="E33" s="1703"/>
      <c r="F33" s="1703"/>
      <c r="G33" s="1703"/>
      <c r="H33" s="1703"/>
      <c r="I33" s="1703"/>
      <c r="J33" s="1703"/>
      <c r="K33" s="1703"/>
      <c r="L33" s="308"/>
      <c r="M33" s="308"/>
      <c r="N33" s="308"/>
      <c r="O33" s="308"/>
      <c r="P33" s="308"/>
      <c r="Q33" s="1673"/>
      <c r="R33" s="1571"/>
      <c r="S33" s="1572"/>
      <c r="T33" s="1572"/>
      <c r="U33" s="1572"/>
      <c r="V33" s="1572"/>
      <c r="W33" s="1572"/>
      <c r="X33" s="1572"/>
      <c r="Y33" s="1572"/>
      <c r="Z33" s="1573"/>
      <c r="AA33" s="359"/>
      <c r="AB33" s="359"/>
      <c r="AC33" s="359"/>
      <c r="AD33" s="625"/>
      <c r="AE33" s="625"/>
      <c r="AF33" s="625"/>
      <c r="AH33" s="625"/>
      <c r="AI33" s="625"/>
      <c r="AJ33" s="625"/>
      <c r="AK33" s="625"/>
      <c r="AL33" s="625"/>
    </row>
    <row r="34" spans="1:38" ht="16" customHeight="1">
      <c r="A34" s="1673"/>
      <c r="B34" s="308"/>
      <c r="C34" s="308"/>
      <c r="D34" s="308"/>
      <c r="E34" s="308"/>
      <c r="F34" s="308"/>
      <c r="G34" s="308"/>
      <c r="H34" s="308"/>
      <c r="I34" s="308"/>
      <c r="J34" s="308"/>
      <c r="K34" s="308"/>
      <c r="L34" s="308"/>
      <c r="M34" s="308"/>
      <c r="N34" s="308"/>
      <c r="O34" s="308"/>
      <c r="P34" s="308"/>
      <c r="Q34" s="1673"/>
      <c r="R34" s="1708"/>
      <c r="S34" s="1709"/>
      <c r="T34" s="1709"/>
      <c r="U34" s="1709"/>
      <c r="V34" s="1709"/>
      <c r="W34" s="1709"/>
      <c r="X34" s="1709"/>
      <c r="Y34" s="1709"/>
      <c r="Z34" s="1710"/>
      <c r="AA34" s="359"/>
      <c r="AB34" s="359"/>
      <c r="AC34" s="359"/>
      <c r="AD34" s="625"/>
      <c r="AE34" s="625"/>
      <c r="AF34" s="625"/>
      <c r="AH34" s="625"/>
      <c r="AI34" s="625"/>
      <c r="AJ34" s="625"/>
      <c r="AK34" s="625"/>
      <c r="AL34" s="625"/>
    </row>
    <row r="35" spans="1:38" ht="16" customHeight="1">
      <c r="A35" s="1673"/>
      <c r="B35" s="308"/>
      <c r="C35" s="308"/>
      <c r="D35" s="308"/>
      <c r="E35" s="308"/>
      <c r="F35" s="308"/>
      <c r="G35" s="308"/>
      <c r="H35" s="308"/>
      <c r="I35" s="308"/>
      <c r="J35" s="308"/>
      <c r="K35" s="308"/>
      <c r="L35" s="308"/>
      <c r="M35" s="308"/>
      <c r="N35" s="308"/>
      <c r="O35" s="308"/>
      <c r="P35" s="308"/>
      <c r="Q35" s="1673"/>
      <c r="R35" s="1553"/>
      <c r="S35" s="1554"/>
      <c r="T35" s="1554"/>
      <c r="U35" s="1554"/>
      <c r="V35" s="1554"/>
      <c r="W35" s="1554"/>
      <c r="X35" s="1554"/>
      <c r="Y35" s="1554"/>
      <c r="Z35" s="1555"/>
      <c r="AA35" s="359"/>
      <c r="AB35" s="359"/>
      <c r="AC35" s="359"/>
      <c r="AD35" s="625"/>
      <c r="AE35" s="625"/>
      <c r="AF35" s="625"/>
      <c r="AH35" s="625"/>
      <c r="AI35" s="625"/>
      <c r="AJ35" s="625"/>
      <c r="AK35" s="625"/>
      <c r="AL35" s="625"/>
    </row>
    <row r="36" spans="1:38" ht="20" customHeight="1">
      <c r="A36" s="1673"/>
      <c r="B36" s="1674" t="s">
        <v>1082</v>
      </c>
      <c r="C36" s="1674"/>
      <c r="D36" s="1674"/>
      <c r="E36" s="1674"/>
      <c r="F36" s="1674"/>
      <c r="G36" s="1674"/>
      <c r="H36" s="1674"/>
      <c r="I36" s="1674"/>
      <c r="J36" s="1674"/>
      <c r="K36" s="1674"/>
      <c r="L36" s="1674"/>
      <c r="M36" s="1674"/>
      <c r="N36" s="1674"/>
      <c r="O36" s="1674"/>
      <c r="P36" s="1674"/>
      <c r="Q36" s="1673"/>
      <c r="R36" s="435" t="str">
        <f>S62</f>
        <v>AR</v>
      </c>
      <c r="S36" s="1675" t="s">
        <v>1084</v>
      </c>
      <c r="T36" s="1675"/>
      <c r="U36" s="1675"/>
      <c r="V36" s="1675"/>
      <c r="W36" s="1675"/>
      <c r="X36" s="1675"/>
      <c r="Y36" s="1675"/>
      <c r="Z36" s="435"/>
      <c r="AA36" s="436"/>
      <c r="AB36" s="436"/>
      <c r="AC36" s="436"/>
      <c r="AD36" s="625"/>
      <c r="AE36" s="625"/>
      <c r="AF36" s="625"/>
      <c r="AH36" s="625"/>
      <c r="AI36" s="625"/>
      <c r="AJ36" s="625"/>
      <c r="AK36" s="625"/>
      <c r="AL36" s="625"/>
    </row>
    <row r="37" spans="1:38" ht="18" customHeight="1">
      <c r="A37" s="310"/>
      <c r="B37" s="1672" t="s">
        <v>1066</v>
      </c>
      <c r="C37" s="1672"/>
      <c r="D37" s="1672"/>
      <c r="E37" s="1672"/>
      <c r="F37" s="1672"/>
      <c r="G37" s="1672"/>
      <c r="H37" s="1672"/>
      <c r="I37" s="1672"/>
      <c r="J37" s="1672"/>
      <c r="K37" s="1672"/>
      <c r="L37" s="1672"/>
      <c r="M37" s="1672"/>
      <c r="N37" s="1672"/>
      <c r="O37" s="1672"/>
      <c r="P37" s="1672"/>
      <c r="Q37" s="310"/>
      <c r="R37" s="1706" t="s">
        <v>1009</v>
      </c>
      <c r="S37" s="1706"/>
      <c r="T37" s="1706"/>
      <c r="U37" s="1706"/>
      <c r="V37" s="1706"/>
      <c r="W37" s="1706"/>
      <c r="X37" s="1706"/>
      <c r="Y37" s="1706"/>
      <c r="Z37" s="1706"/>
      <c r="AA37" s="443"/>
      <c r="AB37" s="443"/>
      <c r="AC37" s="443"/>
      <c r="AD37" s="625"/>
      <c r="AE37" s="625"/>
      <c r="AF37" s="625"/>
      <c r="AH37" s="625"/>
      <c r="AI37" s="625"/>
      <c r="AJ37" s="625"/>
      <c r="AK37" s="625"/>
      <c r="AL37" s="625"/>
    </row>
    <row r="38" spans="1:38" ht="16" customHeight="1">
      <c r="A38" s="447"/>
      <c r="B38" s="447"/>
      <c r="C38" s="447"/>
      <c r="D38" s="447"/>
      <c r="E38" s="447"/>
      <c r="F38" s="447"/>
      <c r="G38" s="447"/>
      <c r="H38" s="447"/>
      <c r="I38" s="447"/>
      <c r="J38" s="447"/>
      <c r="K38" s="447"/>
      <c r="L38" s="447"/>
      <c r="M38" s="447"/>
      <c r="N38" s="447"/>
      <c r="O38" s="447"/>
      <c r="P38" s="447"/>
      <c r="Q38" s="309"/>
      <c r="R38" s="388"/>
      <c r="S38" s="388"/>
      <c r="T38" s="388"/>
      <c r="U38" s="388"/>
      <c r="V38" s="388"/>
      <c r="W38" s="388"/>
      <c r="X38" s="388"/>
      <c r="Y38" s="388"/>
      <c r="Z38" s="388"/>
      <c r="AA38" s="625"/>
      <c r="AB38" s="625"/>
      <c r="AC38" s="625"/>
      <c r="AD38" s="625"/>
      <c r="AE38" s="625"/>
      <c r="AF38" s="625"/>
      <c r="AH38" s="625"/>
      <c r="AI38" s="625"/>
      <c r="AJ38" s="625"/>
      <c r="AK38" s="625"/>
      <c r="AL38" s="625"/>
    </row>
    <row r="39" spans="1:38" ht="16" customHeight="1">
      <c r="A39" s="447"/>
      <c r="B39" s="447"/>
      <c r="C39" s="1532" t="s">
        <v>952</v>
      </c>
      <c r="D39" s="1532"/>
      <c r="E39" s="1532"/>
      <c r="F39" s="1532"/>
      <c r="G39" s="1532"/>
      <c r="H39" s="1532"/>
      <c r="I39" s="1532"/>
      <c r="J39" s="1532"/>
      <c r="K39" s="1532"/>
      <c r="L39" s="1532"/>
      <c r="M39" s="1532"/>
      <c r="N39" s="447"/>
      <c r="O39" s="447"/>
      <c r="P39" s="447"/>
      <c r="Q39" s="309"/>
      <c r="R39" s="388"/>
      <c r="S39" s="1695" t="s">
        <v>977</v>
      </c>
      <c r="T39" s="1695"/>
      <c r="U39" s="1695"/>
      <c r="V39" s="1695"/>
      <c r="W39" s="1695"/>
      <c r="X39" s="1695"/>
      <c r="Y39" s="1695"/>
      <c r="Z39" s="1695"/>
      <c r="AA39" s="625"/>
      <c r="AB39" s="625"/>
      <c r="AC39" s="625"/>
      <c r="AD39" s="1707" t="s">
        <v>1035</v>
      </c>
      <c r="AE39" s="625"/>
      <c r="AF39" s="625"/>
      <c r="AH39" s="625"/>
      <c r="AI39" s="625"/>
      <c r="AJ39" s="625"/>
      <c r="AK39" s="625"/>
      <c r="AL39" s="625"/>
    </row>
    <row r="40" spans="1:38" ht="16" customHeight="1">
      <c r="A40" s="447"/>
      <c r="B40" s="447"/>
      <c r="C40" s="1532"/>
      <c r="D40" s="1532"/>
      <c r="E40" s="1532"/>
      <c r="F40" s="1532"/>
      <c r="G40" s="1532"/>
      <c r="H40" s="1532"/>
      <c r="I40" s="1532"/>
      <c r="J40" s="1532"/>
      <c r="K40" s="1532"/>
      <c r="L40" s="1532"/>
      <c r="M40" s="1532"/>
      <c r="N40" s="447"/>
      <c r="O40" s="447"/>
      <c r="P40" s="447"/>
      <c r="Q40" s="309"/>
      <c r="R40" s="388"/>
      <c r="S40" s="1695"/>
      <c r="T40" s="1695"/>
      <c r="U40" s="1695"/>
      <c r="V40" s="1695"/>
      <c r="W40" s="1695"/>
      <c r="X40" s="1695"/>
      <c r="Y40" s="1695"/>
      <c r="Z40" s="1695"/>
      <c r="AA40" s="625"/>
      <c r="AB40" s="625"/>
      <c r="AC40" s="625"/>
      <c r="AD40" s="1707"/>
      <c r="AE40" s="625"/>
      <c r="AF40" s="625"/>
      <c r="AH40" s="625"/>
      <c r="AI40" s="625"/>
      <c r="AJ40" s="625"/>
      <c r="AK40" s="625"/>
      <c r="AL40" s="625"/>
    </row>
    <row r="41" spans="1:38" ht="16" customHeight="1">
      <c r="A41" s="447"/>
      <c r="B41" s="447"/>
      <c r="C41" s="1532"/>
      <c r="D41" s="1532"/>
      <c r="E41" s="1532"/>
      <c r="F41" s="1532"/>
      <c r="G41" s="1532"/>
      <c r="H41" s="1532"/>
      <c r="I41" s="1532"/>
      <c r="J41" s="1532"/>
      <c r="K41" s="1532"/>
      <c r="L41" s="1532"/>
      <c r="M41" s="1532"/>
      <c r="N41" s="447"/>
      <c r="O41" s="447"/>
      <c r="P41" s="447"/>
      <c r="Q41" s="309"/>
      <c r="R41" s="388"/>
      <c r="S41" s="441" t="s">
        <v>1091</v>
      </c>
      <c r="T41" s="1699" t="s">
        <v>1085</v>
      </c>
      <c r="U41" s="1699"/>
      <c r="V41" s="1699"/>
      <c r="W41" s="1699"/>
      <c r="X41" s="1699"/>
      <c r="Y41" s="389"/>
      <c r="Z41" s="389"/>
      <c r="AA41" s="625"/>
      <c r="AB41" s="625"/>
      <c r="AC41" s="625"/>
      <c r="AD41" s="1707"/>
      <c r="AE41" s="625"/>
      <c r="AF41" s="625"/>
      <c r="AH41" s="625"/>
      <c r="AI41" s="625"/>
      <c r="AJ41" s="625"/>
      <c r="AK41" s="625"/>
      <c r="AL41" s="625"/>
    </row>
    <row r="42" spans="1:38" ht="16" customHeight="1">
      <c r="A42" s="447"/>
      <c r="B42" s="447"/>
      <c r="C42" s="1532"/>
      <c r="D42" s="1532"/>
      <c r="E42" s="1532"/>
      <c r="F42" s="1532"/>
      <c r="G42" s="1532"/>
      <c r="H42" s="1532"/>
      <c r="I42" s="1532"/>
      <c r="J42" s="1532"/>
      <c r="K42" s="1532"/>
      <c r="L42" s="1532"/>
      <c r="M42" s="1532"/>
      <c r="N42" s="447"/>
      <c r="O42" s="447"/>
      <c r="P42" s="447"/>
      <c r="Q42" s="309"/>
      <c r="R42" s="388"/>
      <c r="S42" s="441" t="s">
        <v>1022</v>
      </c>
      <c r="T42" s="1712" t="s">
        <v>1087</v>
      </c>
      <c r="U42" s="1712"/>
      <c r="V42" s="1712"/>
      <c r="W42" s="1712"/>
      <c r="X42" s="1712"/>
      <c r="Y42" s="389"/>
      <c r="Z42" s="389"/>
      <c r="AA42" s="625"/>
      <c r="AB42" s="625"/>
      <c r="AC42" s="625"/>
      <c r="AD42" s="1707"/>
      <c r="AE42" s="625"/>
      <c r="AF42" s="1692" t="s">
        <v>980</v>
      </c>
      <c r="AG42" s="1693"/>
      <c r="AH42" s="1693"/>
      <c r="AI42" s="1693"/>
      <c r="AJ42" s="1693"/>
      <c r="AK42" s="1693"/>
      <c r="AL42" s="1694"/>
    </row>
    <row r="43" spans="1:38" ht="16" customHeight="1">
      <c r="A43" s="447"/>
      <c r="B43" s="447"/>
      <c r="C43" s="1532"/>
      <c r="D43" s="1532"/>
      <c r="E43" s="1532"/>
      <c r="F43" s="1532"/>
      <c r="G43" s="1532"/>
      <c r="H43" s="1532"/>
      <c r="I43" s="1532"/>
      <c r="J43" s="1532"/>
      <c r="K43" s="1532"/>
      <c r="L43" s="1532"/>
      <c r="M43" s="1532"/>
      <c r="N43" s="447"/>
      <c r="O43" s="447"/>
      <c r="P43" s="447"/>
      <c r="Q43" s="309"/>
      <c r="R43" s="388"/>
      <c r="S43" s="441"/>
      <c r="T43" s="500" t="s">
        <v>1345</v>
      </c>
      <c r="U43" s="619" t="s">
        <v>1344</v>
      </c>
      <c r="V43" s="500" t="s">
        <v>1343</v>
      </c>
      <c r="W43" s="619" t="s">
        <v>1349</v>
      </c>
      <c r="X43" s="619" t="s">
        <v>1346</v>
      </c>
      <c r="Y43" s="389"/>
      <c r="Z43" s="389"/>
      <c r="AA43" s="625"/>
      <c r="AB43" s="625"/>
      <c r="AC43" s="625"/>
      <c r="AD43" s="428"/>
      <c r="AE43" s="625"/>
      <c r="AF43" s="760"/>
      <c r="AG43" s="760"/>
      <c r="AH43" s="760"/>
      <c r="AI43" s="760"/>
      <c r="AJ43" s="760"/>
      <c r="AK43" s="760"/>
      <c r="AL43" s="760"/>
    </row>
    <row r="44" spans="1:38" ht="16" customHeight="1">
      <c r="A44" s="447"/>
      <c r="B44" s="447"/>
      <c r="C44" s="1532"/>
      <c r="D44" s="1532"/>
      <c r="E44" s="1532"/>
      <c r="F44" s="1532"/>
      <c r="G44" s="1532"/>
      <c r="H44" s="1532"/>
      <c r="I44" s="1532"/>
      <c r="J44" s="1532"/>
      <c r="K44" s="1532"/>
      <c r="L44" s="1532"/>
      <c r="M44" s="1532"/>
      <c r="N44" s="447"/>
      <c r="O44" s="447"/>
      <c r="P44" s="447"/>
      <c r="Q44" s="309"/>
      <c r="R44" s="388"/>
      <c r="S44" s="441" t="s">
        <v>1072</v>
      </c>
      <c r="T44" s="757">
        <v>0</v>
      </c>
      <c r="U44" s="757">
        <v>0</v>
      </c>
      <c r="V44" s="757">
        <v>0</v>
      </c>
      <c r="W44" s="757">
        <v>0</v>
      </c>
      <c r="X44" s="757">
        <v>0</v>
      </c>
      <c r="Y44" s="389"/>
      <c r="Z44" s="389"/>
      <c r="AA44" s="625"/>
      <c r="AB44" s="625"/>
      <c r="AC44" s="628"/>
      <c r="AD44" s="758" t="s">
        <v>1072</v>
      </c>
      <c r="AE44" s="615"/>
      <c r="AF44" s="760"/>
      <c r="AG44" s="760"/>
      <c r="AH44" s="760">
        <v>2400</v>
      </c>
      <c r="AI44" s="760">
        <v>4000</v>
      </c>
      <c r="AJ44" s="760">
        <v>3200</v>
      </c>
      <c r="AK44" s="760">
        <v>2000</v>
      </c>
      <c r="AL44" s="760">
        <v>12800</v>
      </c>
    </row>
    <row r="45" spans="1:38" ht="16" customHeight="1">
      <c r="A45" s="447"/>
      <c r="B45" s="447"/>
      <c r="C45" s="1532"/>
      <c r="D45" s="1532"/>
      <c r="E45" s="1532"/>
      <c r="F45" s="1532"/>
      <c r="G45" s="1532"/>
      <c r="H45" s="1532"/>
      <c r="I45" s="1532"/>
      <c r="J45" s="1532"/>
      <c r="K45" s="1532"/>
      <c r="L45" s="1532"/>
      <c r="M45" s="1532"/>
      <c r="N45" s="447"/>
      <c r="O45" s="447"/>
      <c r="P45" s="447"/>
      <c r="Q45" s="309"/>
      <c r="R45" s="388"/>
      <c r="S45" s="441" t="s">
        <v>1073</v>
      </c>
      <c r="T45" s="757">
        <v>0</v>
      </c>
      <c r="U45" s="757">
        <v>0</v>
      </c>
      <c r="V45" s="757">
        <v>0</v>
      </c>
      <c r="W45" s="757">
        <v>0</v>
      </c>
      <c r="X45" s="757">
        <v>0</v>
      </c>
      <c r="Y45" s="389"/>
      <c r="Z45" s="389"/>
      <c r="AA45" s="625"/>
      <c r="AB45" s="628"/>
      <c r="AC45" s="628"/>
      <c r="AD45" s="759" t="s">
        <v>1073</v>
      </c>
      <c r="AE45" s="615"/>
      <c r="AF45" s="760"/>
      <c r="AG45" s="760"/>
      <c r="AH45" s="760">
        <v>2160</v>
      </c>
      <c r="AI45" s="760">
        <v>3600</v>
      </c>
      <c r="AJ45" s="760">
        <v>2880</v>
      </c>
      <c r="AK45" s="760">
        <v>1800</v>
      </c>
      <c r="AL45" s="760">
        <v>11520</v>
      </c>
    </row>
    <row r="46" spans="1:38" ht="16" customHeight="1">
      <c r="A46" s="447"/>
      <c r="B46" s="447"/>
      <c r="C46" s="1532"/>
      <c r="D46" s="1532"/>
      <c r="E46" s="1532"/>
      <c r="F46" s="1532"/>
      <c r="G46" s="1532"/>
      <c r="H46" s="1532"/>
      <c r="I46" s="1532"/>
      <c r="J46" s="1532"/>
      <c r="K46" s="1532"/>
      <c r="L46" s="1532"/>
      <c r="M46" s="1532"/>
      <c r="N46" s="447"/>
      <c r="O46" s="447"/>
      <c r="P46" s="447"/>
      <c r="Q46" s="309"/>
      <c r="R46" s="388"/>
      <c r="S46" s="438" t="str">
        <f>'FIG3'!$W$52&amp;" "&amp;'FIG3'!$X$52&amp;"-D"</f>
        <v>Little Rock School District-D</v>
      </c>
      <c r="T46" s="757">
        <v>0</v>
      </c>
      <c r="U46" s="757">
        <v>0</v>
      </c>
      <c r="V46" s="757">
        <v>0</v>
      </c>
      <c r="W46" s="757">
        <v>0</v>
      </c>
      <c r="X46" s="757">
        <v>0</v>
      </c>
      <c r="Y46" s="389"/>
      <c r="Z46" s="389"/>
      <c r="AA46" s="625"/>
      <c r="AB46" s="628"/>
      <c r="AC46" s="628"/>
      <c r="AD46" s="751" t="str">
        <f>'FIG3'!$W$52&amp;" "&amp;'FIG3'!$X$52&amp;"-D"</f>
        <v>Little Rock School District-D</v>
      </c>
      <c r="AE46" s="615"/>
      <c r="AF46" s="760" t="s">
        <v>1033</v>
      </c>
      <c r="AG46" s="760"/>
      <c r="AH46" s="760">
        <v>1920</v>
      </c>
      <c r="AI46" s="760">
        <v>3200</v>
      </c>
      <c r="AJ46" s="760">
        <v>2560</v>
      </c>
      <c r="AK46" s="760">
        <v>1600</v>
      </c>
      <c r="AL46" s="760">
        <v>10240</v>
      </c>
    </row>
    <row r="47" spans="1:38" ht="16" customHeight="1">
      <c r="A47" s="447"/>
      <c r="B47" s="447"/>
      <c r="C47" s="1532"/>
      <c r="D47" s="1532"/>
      <c r="E47" s="1532"/>
      <c r="F47" s="1532"/>
      <c r="G47" s="1532"/>
      <c r="H47" s="1532"/>
      <c r="I47" s="1532"/>
      <c r="J47" s="1532"/>
      <c r="K47" s="1532"/>
      <c r="L47" s="1532"/>
      <c r="M47" s="1532"/>
      <c r="N47" s="447"/>
      <c r="O47" s="447"/>
      <c r="P47" s="447"/>
      <c r="Q47" s="309"/>
      <c r="R47" s="388"/>
      <c r="S47" s="438" t="str">
        <f>'FIG3'!$W$52&amp;" "&amp;'FIG3'!$X$52&amp;"-C"</f>
        <v>Little Rock School District-C</v>
      </c>
      <c r="T47" s="757">
        <v>0</v>
      </c>
      <c r="U47" s="757">
        <v>0</v>
      </c>
      <c r="V47" s="757">
        <v>0</v>
      </c>
      <c r="W47" s="757">
        <v>0</v>
      </c>
      <c r="X47" s="757">
        <v>0</v>
      </c>
      <c r="Y47" s="389"/>
      <c r="Z47" s="389"/>
      <c r="AA47" s="625"/>
      <c r="AB47" s="628"/>
      <c r="AC47" s="628"/>
      <c r="AD47" s="751" t="str">
        <f>'FIG3'!$W$52&amp;" "&amp;'FIG3'!$X$52&amp;"-C"</f>
        <v>Little Rock School District-C</v>
      </c>
      <c r="AE47" s="615"/>
      <c r="AF47" s="760" t="s">
        <v>1034</v>
      </c>
      <c r="AG47" s="760"/>
      <c r="AH47" s="760">
        <v>1728</v>
      </c>
      <c r="AI47" s="760">
        <v>2880</v>
      </c>
      <c r="AJ47" s="760">
        <v>2304</v>
      </c>
      <c r="AK47" s="760">
        <v>1440</v>
      </c>
      <c r="AL47" s="760">
        <v>9216</v>
      </c>
    </row>
    <row r="48" spans="1:38" ht="16" customHeight="1">
      <c r="A48" s="447"/>
      <c r="B48" s="447"/>
      <c r="C48" s="447"/>
      <c r="D48" s="447"/>
      <c r="E48" s="447"/>
      <c r="F48" s="447"/>
      <c r="G48" s="447"/>
      <c r="H48" s="447"/>
      <c r="I48" s="447"/>
      <c r="J48" s="447"/>
      <c r="K48" s="447"/>
      <c r="L48" s="447"/>
      <c r="M48" s="447"/>
      <c r="N48" s="447"/>
      <c r="O48" s="447"/>
      <c r="P48" s="447"/>
      <c r="Q48" s="309"/>
      <c r="R48" s="388"/>
      <c r="S48" s="438" t="str">
        <f>'FIG3'!$W$53&amp;" "&amp;'FIG3'!$X$53&amp;"-D"</f>
        <v>FA2L1 FA2L2-D</v>
      </c>
      <c r="T48" s="757">
        <v>0</v>
      </c>
      <c r="U48" s="757">
        <v>0</v>
      </c>
      <c r="V48" s="757">
        <v>0</v>
      </c>
      <c r="W48" s="757">
        <v>0</v>
      </c>
      <c r="X48" s="757">
        <v>0</v>
      </c>
      <c r="Y48" s="389"/>
      <c r="Z48" s="389"/>
      <c r="AA48" s="625"/>
      <c r="AB48" s="628"/>
      <c r="AC48" s="628"/>
      <c r="AD48" s="751" t="str">
        <f>'FIG3'!$W$53&amp;" "&amp;'FIG3'!$X$53&amp;"-D"</f>
        <v>FA2L1 FA2L2-D</v>
      </c>
      <c r="AE48" s="615"/>
      <c r="AF48" s="760" t="s">
        <v>1075</v>
      </c>
      <c r="AG48" s="760"/>
      <c r="AH48" s="760">
        <v>1440</v>
      </c>
      <c r="AI48" s="760">
        <v>2400</v>
      </c>
      <c r="AJ48" s="760">
        <v>1920</v>
      </c>
      <c r="AK48" s="760">
        <v>1200</v>
      </c>
      <c r="AL48" s="760">
        <v>7680</v>
      </c>
    </row>
    <row r="49" spans="1:38" ht="16" customHeight="1">
      <c r="A49" s="447"/>
      <c r="B49" s="447"/>
      <c r="C49" s="447"/>
      <c r="D49" s="447"/>
      <c r="E49" s="447"/>
      <c r="F49" s="447"/>
      <c r="G49" s="447"/>
      <c r="H49" s="447"/>
      <c r="I49" s="447"/>
      <c r="J49" s="447"/>
      <c r="K49" s="447"/>
      <c r="L49" s="447"/>
      <c r="M49" s="447"/>
      <c r="N49" s="447"/>
      <c r="O49" s="447"/>
      <c r="P49" s="447"/>
      <c r="Q49" s="309"/>
      <c r="R49" s="388"/>
      <c r="S49" s="438" t="str">
        <f>'FIG3'!$W$53&amp;" "&amp;'FIG3'!$X$53&amp;"-C"</f>
        <v>FA2L1 FA2L2-C</v>
      </c>
      <c r="T49" s="757">
        <v>0</v>
      </c>
      <c r="U49" s="757">
        <v>0</v>
      </c>
      <c r="V49" s="757">
        <v>0</v>
      </c>
      <c r="W49" s="757">
        <v>0</v>
      </c>
      <c r="X49" s="757">
        <v>0</v>
      </c>
      <c r="Y49" s="389"/>
      <c r="Z49" s="389"/>
      <c r="AA49" s="625"/>
      <c r="AB49" s="628"/>
      <c r="AC49" s="628"/>
      <c r="AD49" s="751" t="str">
        <f>'FIG3'!$W$53&amp;" "&amp;'FIG3'!$X$53&amp;"-C"</f>
        <v>FA2L1 FA2L2-C</v>
      </c>
      <c r="AE49" s="615"/>
      <c r="AF49" s="760" t="s">
        <v>1076</v>
      </c>
      <c r="AG49" s="760"/>
      <c r="AH49" s="760">
        <v>1296</v>
      </c>
      <c r="AI49" s="760">
        <v>2160</v>
      </c>
      <c r="AJ49" s="760">
        <v>1728</v>
      </c>
      <c r="AK49" s="760">
        <v>1080</v>
      </c>
      <c r="AL49" s="760">
        <v>6912</v>
      </c>
    </row>
    <row r="50" spans="1:38" ht="16" customHeight="1">
      <c r="A50" s="447"/>
      <c r="B50" s="447"/>
      <c r="C50" s="447"/>
      <c r="D50" s="447"/>
      <c r="E50" s="447"/>
      <c r="F50" s="447"/>
      <c r="G50" s="447"/>
      <c r="H50" s="447"/>
      <c r="I50" s="447"/>
      <c r="J50" s="447"/>
      <c r="K50" s="447"/>
      <c r="L50" s="447"/>
      <c r="M50" s="447"/>
      <c r="N50" s="447"/>
      <c r="O50" s="447"/>
      <c r="P50" s="447"/>
      <c r="Q50" s="309"/>
      <c r="R50" s="388"/>
      <c r="S50" s="438" t="str">
        <f>'FIG3'!$W$54&amp;" "&amp;'FIG3'!$X$54&amp;"-D"</f>
        <v>FA3L1 FA3L2-D</v>
      </c>
      <c r="T50" s="757">
        <v>0</v>
      </c>
      <c r="U50" s="757">
        <v>0</v>
      </c>
      <c r="V50" s="757">
        <v>0</v>
      </c>
      <c r="W50" s="757">
        <v>0</v>
      </c>
      <c r="X50" s="757">
        <v>0</v>
      </c>
      <c r="Y50" s="389"/>
      <c r="Z50" s="389"/>
      <c r="AA50" s="625"/>
      <c r="AB50" s="628"/>
      <c r="AC50" s="628"/>
      <c r="AD50" s="751" t="str">
        <f>'FIG3'!$W$54&amp;" "&amp;'FIG3'!$X$54&amp;"-D"</f>
        <v>FA3L1 FA3L2-D</v>
      </c>
      <c r="AE50" s="615"/>
      <c r="AF50" s="760" t="s">
        <v>1077</v>
      </c>
      <c r="AG50" s="760"/>
      <c r="AH50" s="760">
        <v>2400</v>
      </c>
      <c r="AI50" s="760">
        <v>4000</v>
      </c>
      <c r="AJ50" s="760">
        <v>3200</v>
      </c>
      <c r="AK50" s="760">
        <v>2000</v>
      </c>
      <c r="AL50" s="760">
        <v>12800</v>
      </c>
    </row>
    <row r="51" spans="1:38" ht="16" customHeight="1">
      <c r="A51" s="447"/>
      <c r="B51" s="447"/>
      <c r="C51" s="447"/>
      <c r="D51" s="447"/>
      <c r="E51" s="447"/>
      <c r="F51" s="447"/>
      <c r="G51" s="447"/>
      <c r="H51" s="447"/>
      <c r="I51" s="447"/>
      <c r="J51" s="447"/>
      <c r="K51" s="447"/>
      <c r="L51" s="447"/>
      <c r="M51" s="447"/>
      <c r="N51" s="447"/>
      <c r="O51" s="447"/>
      <c r="P51" s="447"/>
      <c r="Q51" s="309"/>
      <c r="R51" s="388"/>
      <c r="S51" s="438" t="str">
        <f>'FIG3'!$W$54&amp;" "&amp;'FIG3'!$X$54&amp;"-C"</f>
        <v>FA3L1 FA3L2-C</v>
      </c>
      <c r="T51" s="757">
        <v>0</v>
      </c>
      <c r="U51" s="757">
        <v>0</v>
      </c>
      <c r="V51" s="757">
        <v>0</v>
      </c>
      <c r="W51" s="757">
        <v>0</v>
      </c>
      <c r="X51" s="757">
        <v>0</v>
      </c>
      <c r="Y51" s="389"/>
      <c r="Z51" s="389"/>
      <c r="AA51" s="625"/>
      <c r="AB51" s="628"/>
      <c r="AC51" s="628"/>
      <c r="AD51" s="751" t="str">
        <f>'FIG3'!$W$54&amp;" "&amp;'FIG3'!$X$54&amp;"-C"</f>
        <v>FA3L1 FA3L2-C</v>
      </c>
      <c r="AE51" s="615"/>
      <c r="AF51" s="760" t="s">
        <v>1028</v>
      </c>
      <c r="AG51" s="760"/>
      <c r="AH51" s="760">
        <v>2160</v>
      </c>
      <c r="AI51" s="760">
        <v>3600</v>
      </c>
      <c r="AJ51" s="760">
        <v>2880</v>
      </c>
      <c r="AK51" s="760">
        <v>1800</v>
      </c>
      <c r="AL51" s="760">
        <v>11520</v>
      </c>
    </row>
    <row r="52" spans="1:38" ht="16" customHeight="1">
      <c r="A52" s="447"/>
      <c r="B52" s="447"/>
      <c r="C52" s="447"/>
      <c r="D52" s="447"/>
      <c r="E52" s="447"/>
      <c r="F52" s="447"/>
      <c r="G52" s="447"/>
      <c r="H52" s="447"/>
      <c r="I52" s="447"/>
      <c r="J52" s="447"/>
      <c r="K52" s="447"/>
      <c r="L52" s="447"/>
      <c r="M52" s="447"/>
      <c r="N52" s="447"/>
      <c r="O52" s="447"/>
      <c r="P52" s="447"/>
      <c r="Q52" s="309"/>
      <c r="R52" s="388"/>
      <c r="S52" s="438" t="str">
        <f>'FIG3'!$W$55&amp;" "&amp;'FIG3'!$X$55&amp;"-D"</f>
        <v>FA4L1 FA4L2-D</v>
      </c>
      <c r="T52" s="757">
        <v>0</v>
      </c>
      <c r="U52" s="757">
        <v>0</v>
      </c>
      <c r="V52" s="757">
        <v>0</v>
      </c>
      <c r="W52" s="757">
        <v>0</v>
      </c>
      <c r="X52" s="757">
        <v>0</v>
      </c>
      <c r="Y52" s="389"/>
      <c r="Z52" s="389"/>
      <c r="AA52" s="625"/>
      <c r="AB52" s="625"/>
      <c r="AC52" s="625"/>
      <c r="AD52" s="751" t="str">
        <f>'FIG3'!$W$55&amp;" "&amp;'FIG3'!$X$55&amp;"-D"</f>
        <v>FA4L1 FA4L2-D</v>
      </c>
      <c r="AE52" s="615"/>
      <c r="AF52" s="760" t="s">
        <v>1029</v>
      </c>
      <c r="AG52" s="760"/>
      <c r="AH52" s="760">
        <v>2880</v>
      </c>
      <c r="AI52" s="760">
        <v>4800</v>
      </c>
      <c r="AJ52" s="760">
        <v>3840</v>
      </c>
      <c r="AK52" s="760">
        <v>2400</v>
      </c>
      <c r="AL52" s="760">
        <v>15360</v>
      </c>
    </row>
    <row r="53" spans="1:38" ht="16" customHeight="1">
      <c r="A53" s="447"/>
      <c r="B53" s="447"/>
      <c r="C53" s="447"/>
      <c r="D53" s="447"/>
      <c r="E53" s="447"/>
      <c r="F53" s="447"/>
      <c r="G53" s="447"/>
      <c r="H53" s="447"/>
      <c r="I53" s="447"/>
      <c r="J53" s="447"/>
      <c r="K53" s="447"/>
      <c r="L53" s="447"/>
      <c r="M53" s="447"/>
      <c r="N53" s="447"/>
      <c r="O53" s="447"/>
      <c r="P53" s="447"/>
      <c r="Q53" s="309"/>
      <c r="R53" s="388"/>
      <c r="S53" s="438" t="str">
        <f>'FIG3'!$W$55&amp;" "&amp;'FIG3'!$X$55&amp;"-C"</f>
        <v>FA4L1 FA4L2-C</v>
      </c>
      <c r="T53" s="757">
        <v>0</v>
      </c>
      <c r="U53" s="757">
        <v>0</v>
      </c>
      <c r="V53" s="757">
        <v>0</v>
      </c>
      <c r="W53" s="757">
        <v>0</v>
      </c>
      <c r="X53" s="757">
        <v>0</v>
      </c>
      <c r="Y53" s="389"/>
      <c r="Z53" s="389"/>
      <c r="AA53" s="625"/>
      <c r="AB53" s="625"/>
      <c r="AC53" s="625"/>
      <c r="AD53" s="751" t="str">
        <f>'FIG3'!$W$55&amp;" "&amp;'FIG3'!$X$55&amp;"-C"</f>
        <v>FA4L1 FA4L2-C</v>
      </c>
      <c r="AE53" s="615"/>
      <c r="AF53" s="760" t="s">
        <v>1030</v>
      </c>
      <c r="AG53" s="760"/>
      <c r="AH53" s="760">
        <v>2592</v>
      </c>
      <c r="AI53" s="760">
        <v>4320</v>
      </c>
      <c r="AJ53" s="760">
        <v>3456</v>
      </c>
      <c r="AK53" s="760">
        <v>2160</v>
      </c>
      <c r="AL53" s="760">
        <v>13824</v>
      </c>
    </row>
    <row r="54" spans="1:38" ht="16" customHeight="1">
      <c r="A54" s="447"/>
      <c r="B54" s="447"/>
      <c r="C54" s="447"/>
      <c r="D54" s="447"/>
      <c r="E54" s="447"/>
      <c r="F54" s="447"/>
      <c r="G54" s="447"/>
      <c r="H54" s="447"/>
      <c r="I54" s="447"/>
      <c r="J54" s="447"/>
      <c r="K54" s="447"/>
      <c r="L54" s="447"/>
      <c r="M54" s="447"/>
      <c r="N54" s="447"/>
      <c r="O54" s="447"/>
      <c r="P54" s="447"/>
      <c r="Q54" s="309"/>
      <c r="R54" s="388"/>
      <c r="S54" s="438" t="str">
        <f>'FIG3'!$W$56&amp;" "&amp;'FIG3'!$X$56&amp;"-D"</f>
        <v>FA5L1 FA5L2-D</v>
      </c>
      <c r="T54" s="757">
        <v>0</v>
      </c>
      <c r="U54" s="757">
        <v>0</v>
      </c>
      <c r="V54" s="757">
        <v>0</v>
      </c>
      <c r="W54" s="757">
        <v>0</v>
      </c>
      <c r="X54" s="757">
        <v>0</v>
      </c>
      <c r="Y54" s="389"/>
      <c r="Z54" s="389"/>
      <c r="AA54" s="625"/>
      <c r="AB54" s="625"/>
      <c r="AC54" s="625"/>
      <c r="AD54" s="751" t="str">
        <f>'FIG3'!$W$56&amp;" "&amp;'FIG3'!$X$56&amp;"-D"</f>
        <v>FA5L1 FA5L2-D</v>
      </c>
      <c r="AE54" s="615"/>
      <c r="AF54" s="760" t="s">
        <v>1031</v>
      </c>
      <c r="AG54" s="760"/>
      <c r="AH54" s="760">
        <v>3360</v>
      </c>
      <c r="AI54" s="760">
        <v>5600</v>
      </c>
      <c r="AJ54" s="760">
        <v>4480</v>
      </c>
      <c r="AK54" s="760">
        <v>2800</v>
      </c>
      <c r="AL54" s="760">
        <v>17920</v>
      </c>
    </row>
    <row r="55" spans="1:38" ht="16" customHeight="1">
      <c r="A55" s="447"/>
      <c r="B55" s="447"/>
      <c r="C55" s="447"/>
      <c r="D55" s="447"/>
      <c r="E55" s="447"/>
      <c r="F55" s="447"/>
      <c r="G55" s="447"/>
      <c r="H55" s="447"/>
      <c r="I55" s="447"/>
      <c r="J55" s="447"/>
      <c r="K55" s="447"/>
      <c r="L55" s="447"/>
      <c r="M55" s="447"/>
      <c r="N55" s="447"/>
      <c r="O55" s="447"/>
      <c r="P55" s="447"/>
      <c r="Q55" s="309"/>
      <c r="R55" s="389"/>
      <c r="S55" s="438" t="str">
        <f>'FIG3'!$W$56&amp;" "&amp;'FIG3'!$X$56&amp;"-C"</f>
        <v>FA5L1 FA5L2-C</v>
      </c>
      <c r="T55" s="757">
        <v>0</v>
      </c>
      <c r="U55" s="757">
        <v>0</v>
      </c>
      <c r="V55" s="757">
        <v>0</v>
      </c>
      <c r="W55" s="757">
        <v>0</v>
      </c>
      <c r="X55" s="757">
        <v>0</v>
      </c>
      <c r="Y55" s="388"/>
      <c r="Z55" s="388"/>
      <c r="AA55" s="625"/>
      <c r="AB55" s="625"/>
      <c r="AC55" s="625"/>
      <c r="AD55" s="751" t="str">
        <f>'FIG3'!$W$56&amp;" "&amp;'FIG3'!$X$56&amp;"-C"</f>
        <v>FA5L1 FA5L2-C</v>
      </c>
      <c r="AE55" s="615"/>
      <c r="AF55" s="760" t="s">
        <v>1032</v>
      </c>
      <c r="AG55" s="760"/>
      <c r="AH55" s="760">
        <v>3024</v>
      </c>
      <c r="AI55" s="760">
        <v>5040</v>
      </c>
      <c r="AJ55" s="760">
        <v>4032</v>
      </c>
      <c r="AK55" s="760">
        <v>2520</v>
      </c>
      <c r="AL55" s="760">
        <v>16128</v>
      </c>
    </row>
    <row r="56" spans="1:38" ht="16" customHeight="1">
      <c r="A56" s="447"/>
      <c r="B56" s="447"/>
      <c r="C56" s="447"/>
      <c r="D56" s="447"/>
      <c r="E56" s="447"/>
      <c r="F56" s="447"/>
      <c r="G56" s="447"/>
      <c r="H56" s="447"/>
      <c r="I56" s="447"/>
      <c r="J56" s="447"/>
      <c r="K56" s="447"/>
      <c r="L56" s="447"/>
      <c r="M56" s="447"/>
      <c r="N56" s="447"/>
      <c r="O56" s="447"/>
      <c r="P56" s="447"/>
      <c r="Q56" s="309"/>
      <c r="R56" s="389"/>
      <c r="S56" s="1695" t="s">
        <v>978</v>
      </c>
      <c r="T56" s="1695"/>
      <c r="U56" s="1695"/>
      <c r="V56" s="1695"/>
      <c r="W56" s="1695"/>
      <c r="X56" s="1695"/>
      <c r="Y56" s="1695"/>
      <c r="Z56" s="1695"/>
      <c r="AA56" s="625"/>
      <c r="AB56" s="625"/>
      <c r="AC56" s="625"/>
      <c r="AD56" s="625"/>
      <c r="AE56" s="625"/>
      <c r="AF56" s="625"/>
      <c r="AH56" s="625"/>
      <c r="AI56" s="625"/>
      <c r="AJ56" s="625"/>
      <c r="AK56" s="625"/>
      <c r="AL56" s="625"/>
    </row>
    <row r="57" spans="1:38" ht="16" customHeight="1">
      <c r="A57" s="447"/>
      <c r="B57" s="447"/>
      <c r="C57" s="1548" t="s">
        <v>1008</v>
      </c>
      <c r="D57" s="1548"/>
      <c r="E57" s="1548"/>
      <c r="F57" s="1548"/>
      <c r="G57" s="1548"/>
      <c r="H57" s="1548"/>
      <c r="I57" s="1548"/>
      <c r="J57" s="1548"/>
      <c r="K57" s="1548"/>
      <c r="L57" s="1548"/>
      <c r="M57" s="1548"/>
      <c r="N57" s="447"/>
      <c r="O57" s="447"/>
      <c r="P57" s="447"/>
      <c r="Q57" s="309"/>
      <c r="R57" s="389"/>
      <c r="S57" s="1695"/>
      <c r="T57" s="1695"/>
      <c r="U57" s="1695"/>
      <c r="V57" s="1695"/>
      <c r="W57" s="1695"/>
      <c r="X57" s="1695"/>
      <c r="Y57" s="1695"/>
      <c r="Z57" s="1695"/>
      <c r="AA57" s="625"/>
      <c r="AB57" s="1697" t="s">
        <v>917</v>
      </c>
      <c r="AC57" s="1698"/>
      <c r="AD57" s="1698"/>
      <c r="AE57" s="1698"/>
      <c r="AF57" s="625"/>
      <c r="AH57" s="625"/>
      <c r="AI57" s="625"/>
      <c r="AJ57" s="625"/>
      <c r="AK57" s="625"/>
      <c r="AL57" s="625"/>
    </row>
    <row r="58" spans="1:38" ht="16" customHeight="1">
      <c r="A58" s="447"/>
      <c r="B58" s="447"/>
      <c r="C58" s="1548"/>
      <c r="D58" s="1548"/>
      <c r="E58" s="1548"/>
      <c r="F58" s="1548"/>
      <c r="G58" s="1548"/>
      <c r="H58" s="1548"/>
      <c r="I58" s="1548"/>
      <c r="J58" s="1548"/>
      <c r="K58" s="1548"/>
      <c r="L58" s="1548"/>
      <c r="M58" s="1548"/>
      <c r="N58" s="447"/>
      <c r="O58" s="447"/>
      <c r="P58" s="447"/>
      <c r="Q58" s="309"/>
      <c r="R58" s="389"/>
      <c r="S58" s="1696" t="s">
        <v>953</v>
      </c>
      <c r="T58" s="1696"/>
      <c r="U58" s="1696"/>
      <c r="V58" s="1696"/>
      <c r="W58" s="1696"/>
      <c r="X58" s="1696"/>
      <c r="Y58" s="1696"/>
      <c r="Z58" s="1696"/>
      <c r="AA58" s="625"/>
      <c r="AB58" s="1698"/>
      <c r="AC58" s="1698"/>
      <c r="AD58" s="1698"/>
      <c r="AE58" s="1698"/>
      <c r="AF58" s="625"/>
      <c r="AH58" s="625"/>
      <c r="AI58" s="625"/>
      <c r="AJ58" s="625"/>
      <c r="AK58" s="625"/>
      <c r="AL58" s="625"/>
    </row>
    <row r="59" spans="1:38" ht="16" customHeight="1">
      <c r="A59" s="447"/>
      <c r="B59" s="447"/>
      <c r="C59" s="1548"/>
      <c r="D59" s="1548"/>
      <c r="E59" s="1548"/>
      <c r="F59" s="1548"/>
      <c r="G59" s="1548"/>
      <c r="H59" s="1548"/>
      <c r="I59" s="1548"/>
      <c r="J59" s="1548"/>
      <c r="K59" s="1548"/>
      <c r="L59" s="1548"/>
      <c r="M59" s="1548"/>
      <c r="N59" s="447"/>
      <c r="O59" s="447"/>
      <c r="P59" s="447"/>
      <c r="Q59" s="309"/>
      <c r="R59" s="389"/>
      <c r="S59" s="1696"/>
      <c r="T59" s="1696"/>
      <c r="U59" s="1696"/>
      <c r="V59" s="1696"/>
      <c r="W59" s="1696"/>
      <c r="X59" s="1696"/>
      <c r="Y59" s="1696"/>
      <c r="Z59" s="1696"/>
      <c r="AA59" s="625"/>
      <c r="AB59" s="1698"/>
      <c r="AC59" s="1698"/>
      <c r="AD59" s="1698"/>
      <c r="AE59" s="1698"/>
      <c r="AF59" s="625"/>
      <c r="AH59" s="625"/>
      <c r="AI59" s="625"/>
      <c r="AJ59" s="625"/>
      <c r="AK59" s="625"/>
      <c r="AL59" s="625"/>
    </row>
    <row r="60" spans="1:38" ht="16" customHeight="1">
      <c r="A60" s="447"/>
      <c r="B60" s="447"/>
      <c r="C60" s="1548"/>
      <c r="D60" s="1548"/>
      <c r="E60" s="1548"/>
      <c r="F60" s="1548"/>
      <c r="G60" s="1548"/>
      <c r="H60" s="1548"/>
      <c r="I60" s="1548"/>
      <c r="J60" s="1548"/>
      <c r="K60" s="1548"/>
      <c r="L60" s="1548"/>
      <c r="M60" s="1548"/>
      <c r="N60" s="447"/>
      <c r="O60" s="447"/>
      <c r="P60" s="447"/>
      <c r="Q60" s="309"/>
      <c r="R60" s="389"/>
      <c r="S60" s="1695" t="s">
        <v>981</v>
      </c>
      <c r="T60" s="1695"/>
      <c r="U60" s="1695"/>
      <c r="V60" s="1695"/>
      <c r="W60" s="1695"/>
      <c r="X60" s="1695"/>
      <c r="Y60" s="1695"/>
      <c r="Z60" s="1695"/>
      <c r="AA60" s="625"/>
      <c r="AB60" s="1698"/>
      <c r="AC60" s="1698"/>
      <c r="AD60" s="1698"/>
      <c r="AE60" s="1698"/>
      <c r="AF60" s="625"/>
      <c r="AH60" s="625"/>
      <c r="AI60" s="625"/>
      <c r="AJ60" s="625"/>
      <c r="AK60" s="625"/>
      <c r="AL60" s="625"/>
    </row>
    <row r="61" spans="1:38" ht="16" customHeight="1">
      <c r="A61" s="447"/>
      <c r="B61" s="447"/>
      <c r="C61" s="1548"/>
      <c r="D61" s="1548"/>
      <c r="E61" s="1548"/>
      <c r="F61" s="1548"/>
      <c r="G61" s="1548"/>
      <c r="H61" s="1548"/>
      <c r="I61" s="1548"/>
      <c r="J61" s="1548"/>
      <c r="K61" s="1548"/>
      <c r="L61" s="1548"/>
      <c r="M61" s="1548"/>
      <c r="N61" s="447"/>
      <c r="O61" s="447"/>
      <c r="P61" s="447"/>
      <c r="Q61" s="309"/>
      <c r="R61" s="389"/>
      <c r="S61" s="1695"/>
      <c r="T61" s="1695"/>
      <c r="U61" s="1695"/>
      <c r="V61" s="1695"/>
      <c r="W61" s="1695"/>
      <c r="X61" s="1695"/>
      <c r="Y61" s="1695"/>
      <c r="Z61" s="1695"/>
      <c r="AA61" s="625"/>
      <c r="AB61" s="1698"/>
      <c r="AC61" s="1698"/>
      <c r="AD61" s="1698"/>
      <c r="AE61" s="1698"/>
      <c r="AF61" s="625"/>
      <c r="AH61" s="625"/>
      <c r="AI61" s="625"/>
      <c r="AJ61" s="625"/>
      <c r="AK61" s="625"/>
      <c r="AL61" s="625"/>
    </row>
    <row r="62" spans="1:38" ht="16" customHeight="1">
      <c r="A62" s="447"/>
      <c r="B62" s="447"/>
      <c r="C62" s="1548"/>
      <c r="D62" s="1548"/>
      <c r="E62" s="1548"/>
      <c r="F62" s="1548"/>
      <c r="G62" s="1548"/>
      <c r="H62" s="1548"/>
      <c r="I62" s="1548"/>
      <c r="J62" s="1548"/>
      <c r="K62" s="1548"/>
      <c r="L62" s="1548"/>
      <c r="M62" s="1548"/>
      <c r="N62" s="447"/>
      <c r="O62" s="447"/>
      <c r="P62" s="447"/>
      <c r="Q62" s="309"/>
      <c r="R62" s="389"/>
      <c r="S62" s="475" t="str">
        <f>'FIG3'!W49</f>
        <v>AR</v>
      </c>
      <c r="T62" s="1711" t="s">
        <v>1019</v>
      </c>
      <c r="U62" s="1711"/>
      <c r="V62" s="1711"/>
      <c r="W62" s="1711"/>
      <c r="X62" s="1711"/>
      <c r="Y62" s="439"/>
      <c r="Z62" s="439"/>
      <c r="AA62" s="625"/>
      <c r="AB62" s="625"/>
      <c r="AC62" s="625"/>
      <c r="AD62" s="625"/>
      <c r="AE62" s="625"/>
      <c r="AF62" s="625"/>
      <c r="AH62" s="625"/>
      <c r="AI62" s="625"/>
      <c r="AJ62" s="625"/>
      <c r="AK62" s="625"/>
      <c r="AL62" s="625"/>
    </row>
    <row r="63" spans="1:38" ht="16" customHeight="1">
      <c r="A63" s="447"/>
      <c r="B63" s="447"/>
      <c r="C63" s="1548"/>
      <c r="D63" s="1548"/>
      <c r="E63" s="1548"/>
      <c r="F63" s="1548"/>
      <c r="G63" s="1548"/>
      <c r="H63" s="1548"/>
      <c r="I63" s="1548"/>
      <c r="J63" s="1548"/>
      <c r="K63" s="1548"/>
      <c r="L63" s="1548"/>
      <c r="M63" s="1548"/>
      <c r="N63" s="447"/>
      <c r="O63" s="447"/>
      <c r="P63" s="447"/>
      <c r="Q63" s="309"/>
      <c r="R63" s="389"/>
      <c r="S63" s="308"/>
      <c r="T63" s="454" t="s">
        <v>1020</v>
      </c>
      <c r="U63" s="474">
        <f>IF(T42="FY2003",1.13,IF(T42="FY2007",1,0))</f>
        <v>1.1299999999999999</v>
      </c>
      <c r="V63" s="474"/>
      <c r="W63" s="454" t="s">
        <v>1021</v>
      </c>
      <c r="X63" s="619">
        <v>0.92</v>
      </c>
      <c r="Y63" s="439"/>
      <c r="Z63" s="439"/>
      <c r="AA63" s="625"/>
      <c r="AB63" s="761" t="s">
        <v>1023</v>
      </c>
      <c r="AC63" s="760"/>
      <c r="AD63" s="760"/>
      <c r="AE63" s="760"/>
      <c r="AF63" s="625"/>
      <c r="AH63" s="625"/>
      <c r="AI63" s="625"/>
      <c r="AJ63" s="625"/>
      <c r="AK63" s="625"/>
      <c r="AL63" s="625"/>
    </row>
    <row r="64" spans="1:38" ht="16" customHeight="1">
      <c r="A64" s="447"/>
      <c r="B64" s="447"/>
      <c r="C64" s="1548"/>
      <c r="D64" s="1548"/>
      <c r="E64" s="1548"/>
      <c r="F64" s="1548"/>
      <c r="G64" s="1548"/>
      <c r="H64" s="1548"/>
      <c r="I64" s="1548"/>
      <c r="J64" s="1548"/>
      <c r="K64" s="1548"/>
      <c r="L64" s="1548"/>
      <c r="M64" s="1548"/>
      <c r="N64" s="447"/>
      <c r="O64" s="447"/>
      <c r="P64" s="447"/>
      <c r="Q64" s="309"/>
      <c r="R64" s="389"/>
      <c r="S64" s="441"/>
      <c r="T64" s="500" t="s">
        <v>1018</v>
      </c>
      <c r="U64" s="500"/>
      <c r="V64" s="500"/>
      <c r="W64" s="500"/>
      <c r="X64" s="500"/>
      <c r="Y64" s="439"/>
      <c r="Z64" s="439"/>
      <c r="AA64" s="625"/>
      <c r="AB64" s="760"/>
      <c r="AC64" s="760"/>
      <c r="AD64" s="760"/>
      <c r="AE64" s="760"/>
      <c r="AF64" s="625"/>
      <c r="AH64" s="625"/>
      <c r="AI64" s="625"/>
      <c r="AJ64" s="625"/>
      <c r="AK64" s="625"/>
      <c r="AL64" s="625"/>
    </row>
    <row r="65" spans="1:45" ht="16" customHeight="1">
      <c r="A65" s="447"/>
      <c r="B65" s="447"/>
      <c r="C65" s="1548"/>
      <c r="D65" s="1548"/>
      <c r="E65" s="1548"/>
      <c r="F65" s="1548"/>
      <c r="G65" s="1548"/>
      <c r="H65" s="1548"/>
      <c r="I65" s="1548"/>
      <c r="J65" s="1548"/>
      <c r="K65" s="1548"/>
      <c r="L65" s="1548"/>
      <c r="M65" s="1548"/>
      <c r="N65" s="447"/>
      <c r="O65" s="447"/>
      <c r="P65" s="447"/>
      <c r="Q65" s="309"/>
      <c r="R65" s="389"/>
      <c r="S65" s="441"/>
      <c r="T65" s="500" t="s">
        <v>1345</v>
      </c>
      <c r="U65" s="619" t="s">
        <v>1344</v>
      </c>
      <c r="V65" s="500" t="s">
        <v>1343</v>
      </c>
      <c r="W65" s="619" t="s">
        <v>1349</v>
      </c>
      <c r="X65" s="619" t="s">
        <v>1346</v>
      </c>
      <c r="Y65" s="439"/>
      <c r="Z65" s="439"/>
      <c r="AA65" s="625"/>
      <c r="AB65" s="760"/>
      <c r="AC65" s="760"/>
      <c r="AD65" s="760"/>
      <c r="AE65" s="760"/>
      <c r="AF65" s="625"/>
      <c r="AH65" s="625"/>
      <c r="AI65" s="625"/>
      <c r="AJ65" s="625"/>
      <c r="AK65" s="625"/>
      <c r="AL65" s="625"/>
    </row>
    <row r="66" spans="1:45" ht="16" customHeight="1">
      <c r="A66" s="447"/>
      <c r="B66" s="447"/>
      <c r="C66" s="494"/>
      <c r="D66" s="494"/>
      <c r="E66" s="494"/>
      <c r="F66" s="494"/>
      <c r="G66" s="494"/>
      <c r="H66" s="494"/>
      <c r="I66" s="494"/>
      <c r="J66" s="494"/>
      <c r="K66" s="494"/>
      <c r="L66" s="494"/>
      <c r="M66" s="494"/>
      <c r="N66" s="447"/>
      <c r="O66" s="447"/>
      <c r="P66" s="447"/>
      <c r="Q66" s="309"/>
      <c r="R66" s="389"/>
      <c r="S66" s="441" t="str">
        <f t="shared" ref="S66:S77" si="6">S44</f>
        <v>Statewide District (D)</v>
      </c>
      <c r="T66" s="445">
        <f>'FIG3'!E13</f>
        <v>1766.4904299931325</v>
      </c>
      <c r="U66" s="445">
        <f>'FIG3'!E14</f>
        <v>5140.8759576745479</v>
      </c>
      <c r="V66" s="445">
        <f>'FIG3'!E15</f>
        <v>3140.2022210136538</v>
      </c>
      <c r="W66" s="445">
        <f>'FIG3'!E16</f>
        <v>1319.3725258331722</v>
      </c>
      <c r="X66" s="445">
        <f>'FIG3'!E19</f>
        <v>11373.740177609156</v>
      </c>
      <c r="Y66" s="439"/>
      <c r="Z66" s="439"/>
      <c r="AA66" s="625"/>
      <c r="AB66" s="760"/>
      <c r="AC66" s="760"/>
      <c r="AD66" s="760"/>
      <c r="AE66" s="760"/>
      <c r="AF66" s="625"/>
      <c r="AH66" s="630"/>
      <c r="AI66" s="630"/>
      <c r="AJ66" s="630"/>
      <c r="AK66" s="630"/>
      <c r="AL66" s="630"/>
    </row>
    <row r="67" spans="1:45" ht="16" customHeight="1">
      <c r="A67" s="447"/>
      <c r="B67" s="447"/>
      <c r="C67" s="494"/>
      <c r="D67" s="494"/>
      <c r="E67" s="494"/>
      <c r="F67" s="494"/>
      <c r="G67" s="494"/>
      <c r="H67" s="494"/>
      <c r="I67" s="494"/>
      <c r="J67" s="494"/>
      <c r="K67" s="494"/>
      <c r="L67" s="494"/>
      <c r="M67" s="494"/>
      <c r="N67" s="447"/>
      <c r="O67" s="447"/>
      <c r="P67" s="447"/>
      <c r="Q67" s="309"/>
      <c r="R67" s="389"/>
      <c r="S67" s="441" t="str">
        <f t="shared" si="6"/>
        <v>Statewide Charter (C)</v>
      </c>
      <c r="T67" s="445">
        <f>'FIG3'!F13</f>
        <v>1211.0079085173504</v>
      </c>
      <c r="U67" s="445">
        <f>'FIG3'!F14</f>
        <v>6239.4890867507893</v>
      </c>
      <c r="V67" s="445">
        <f>'FIG3'!F15</f>
        <v>0</v>
      </c>
      <c r="W67" s="445">
        <f>'FIG3'!F16</f>
        <v>941.06948895899052</v>
      </c>
      <c r="X67" s="445">
        <f>'FIG3'!F19</f>
        <v>8391.5664842271308</v>
      </c>
      <c r="Y67" s="439"/>
      <c r="Z67" s="439"/>
      <c r="AA67" s="625"/>
      <c r="AB67" s="760"/>
      <c r="AC67" s="760"/>
      <c r="AD67" s="760"/>
      <c r="AE67" s="760"/>
      <c r="AF67" s="625"/>
      <c r="AH67" s="630"/>
      <c r="AI67" s="630"/>
      <c r="AJ67" s="630"/>
      <c r="AK67" s="630"/>
      <c r="AL67" s="630"/>
    </row>
    <row r="68" spans="1:45" ht="16" customHeight="1">
      <c r="A68" s="447"/>
      <c r="B68" s="447"/>
      <c r="C68" s="494"/>
      <c r="D68" s="494"/>
      <c r="E68" s="494"/>
      <c r="F68" s="494"/>
      <c r="G68" s="494"/>
      <c r="H68" s="494"/>
      <c r="I68" s="494"/>
      <c r="J68" s="494"/>
      <c r="K68" s="494"/>
      <c r="L68" s="494"/>
      <c r="M68" s="494"/>
      <c r="N68" s="447"/>
      <c r="O68" s="447"/>
      <c r="P68" s="447"/>
      <c r="Q68" s="309"/>
      <c r="R68" s="389"/>
      <c r="S68" s="444" t="str">
        <f t="shared" si="6"/>
        <v>Little Rock School District-D</v>
      </c>
      <c r="T68" s="445">
        <f>'FIG3'!I13</f>
        <v>2339.0249005201026</v>
      </c>
      <c r="U68" s="445">
        <f>'FIG3'!I14</f>
        <v>5622.1311462891108</v>
      </c>
      <c r="V68" s="445">
        <f>'FIG3'!I15</f>
        <v>5763.0666395608023</v>
      </c>
      <c r="W68" s="445">
        <f>'FIG3'!I16</f>
        <v>686.29356806736564</v>
      </c>
      <c r="X68" s="445">
        <f>'FIG3'!I19</f>
        <v>14411.408437216214</v>
      </c>
      <c r="Y68" s="389"/>
      <c r="Z68" s="389"/>
      <c r="AA68" s="625"/>
      <c r="AB68" s="1697" t="s">
        <v>979</v>
      </c>
      <c r="AC68" s="1697"/>
      <c r="AD68" s="1697"/>
      <c r="AE68" s="1697"/>
      <c r="AF68" s="625"/>
      <c r="AH68" s="630"/>
      <c r="AI68" s="630"/>
      <c r="AJ68" s="630"/>
      <c r="AK68" s="630"/>
      <c r="AL68" s="630"/>
    </row>
    <row r="69" spans="1:45" ht="15" customHeight="1">
      <c r="A69" s="447"/>
      <c r="B69" s="447"/>
      <c r="C69" s="494"/>
      <c r="D69" s="494"/>
      <c r="E69" s="494"/>
      <c r="F69" s="494"/>
      <c r="G69" s="494"/>
      <c r="H69" s="494"/>
      <c r="I69" s="494"/>
      <c r="J69" s="494"/>
      <c r="K69" s="494"/>
      <c r="L69" s="494"/>
      <c r="M69" s="494"/>
      <c r="N69" s="447"/>
      <c r="O69" s="447"/>
      <c r="P69" s="447"/>
      <c r="Q69" s="309"/>
      <c r="R69" s="389"/>
      <c r="S69" s="444" t="str">
        <f t="shared" si="6"/>
        <v>Little Rock School District-C</v>
      </c>
      <c r="T69" s="445">
        <f>'FIG3'!J13</f>
        <v>1294.6825941583397</v>
      </c>
      <c r="U69" s="445">
        <f>'FIG3'!J14</f>
        <v>6138.5867025365105</v>
      </c>
      <c r="V69" s="445">
        <f>'FIG3'!J15</f>
        <v>0</v>
      </c>
      <c r="W69" s="445">
        <f>'FIG3'!J16</f>
        <v>717.66213681783245</v>
      </c>
      <c r="X69" s="445">
        <f>'FIG3'!J19</f>
        <v>8150.9314335126828</v>
      </c>
      <c r="Y69" s="389"/>
      <c r="Z69" s="389"/>
      <c r="AA69" s="625"/>
      <c r="AB69" s="1697"/>
      <c r="AC69" s="1697"/>
      <c r="AD69" s="1697"/>
      <c r="AE69" s="1697"/>
      <c r="AF69" s="625"/>
      <c r="AH69" s="630"/>
      <c r="AI69" s="630"/>
      <c r="AJ69" s="630"/>
      <c r="AK69" s="630"/>
      <c r="AL69" s="630"/>
    </row>
    <row r="70" spans="1:45" ht="15" customHeight="1">
      <c r="A70" s="447"/>
      <c r="B70" s="447"/>
      <c r="C70" s="494"/>
      <c r="D70" s="494"/>
      <c r="E70" s="494"/>
      <c r="F70" s="494"/>
      <c r="G70" s="494"/>
      <c r="H70" s="494"/>
      <c r="I70" s="494"/>
      <c r="J70" s="494"/>
      <c r="K70" s="494"/>
      <c r="L70" s="494"/>
      <c r="M70" s="494"/>
      <c r="N70" s="447"/>
      <c r="O70" s="447"/>
      <c r="P70" s="447"/>
      <c r="Q70" s="309"/>
      <c r="R70" s="389"/>
      <c r="S70" s="444" t="str">
        <f t="shared" si="6"/>
        <v>FA2L1 FA2L2-D</v>
      </c>
      <c r="T70" s="445" t="e">
        <f>'FIG3'!K13</f>
        <v>#DIV/0!</v>
      </c>
      <c r="U70" s="445" t="e">
        <f>'FIG3'!K14</f>
        <v>#DIV/0!</v>
      </c>
      <c r="V70" s="445" t="e">
        <f>'FIG3'!K15</f>
        <v>#DIV/0!</v>
      </c>
      <c r="W70" s="445" t="e">
        <f>'FIG3'!K16</f>
        <v>#DIV/0!</v>
      </c>
      <c r="X70" s="445" t="e">
        <f>'FIG3'!K19</f>
        <v>#DIV/0!</v>
      </c>
      <c r="Y70" s="389"/>
      <c r="Z70" s="389"/>
      <c r="AA70" s="625"/>
      <c r="AB70" s="1697"/>
      <c r="AC70" s="1697"/>
      <c r="AD70" s="1697"/>
      <c r="AE70" s="1697"/>
      <c r="AF70" s="625"/>
      <c r="AH70" s="630"/>
      <c r="AI70" s="630"/>
      <c r="AJ70" s="630"/>
      <c r="AK70" s="630"/>
      <c r="AL70" s="630"/>
      <c r="AM70" s="628"/>
      <c r="AN70" s="628"/>
      <c r="AO70" s="628"/>
      <c r="AP70" s="628"/>
      <c r="AQ70" s="628"/>
      <c r="AR70" s="628"/>
      <c r="AS70" s="628"/>
    </row>
    <row r="71" spans="1:45" ht="16" customHeight="1">
      <c r="A71" s="447"/>
      <c r="B71" s="447"/>
      <c r="C71" s="447"/>
      <c r="D71" s="447"/>
      <c r="E71" s="447"/>
      <c r="F71" s="447"/>
      <c r="G71" s="447"/>
      <c r="H71" s="447"/>
      <c r="I71" s="447"/>
      <c r="J71" s="447"/>
      <c r="K71" s="447"/>
      <c r="L71" s="447"/>
      <c r="M71" s="447"/>
      <c r="N71" s="447"/>
      <c r="O71" s="447"/>
      <c r="P71" s="447"/>
      <c r="Q71" s="309"/>
      <c r="R71" s="389"/>
      <c r="S71" s="444" t="str">
        <f t="shared" si="6"/>
        <v>FA2L1 FA2L2-C</v>
      </c>
      <c r="T71" s="445" t="e">
        <f>'FIG3'!L13</f>
        <v>#DIV/0!</v>
      </c>
      <c r="U71" s="445" t="e">
        <f>'FIG3'!L14</f>
        <v>#DIV/0!</v>
      </c>
      <c r="V71" s="445" t="e">
        <f>'FIG3'!L15</f>
        <v>#DIV/0!</v>
      </c>
      <c r="W71" s="445" t="e">
        <f>'FIG3'!L16</f>
        <v>#DIV/0!</v>
      </c>
      <c r="X71" s="445" t="e">
        <f>'FIG3'!L19</f>
        <v>#DIV/0!</v>
      </c>
      <c r="Y71" s="389"/>
      <c r="Z71" s="389"/>
      <c r="AA71" s="625"/>
      <c r="AB71" s="1697"/>
      <c r="AC71" s="1697"/>
      <c r="AD71" s="1697"/>
      <c r="AE71" s="1697"/>
      <c r="AF71" s="625"/>
      <c r="AH71" s="630"/>
      <c r="AI71" s="630"/>
      <c r="AJ71" s="630"/>
      <c r="AK71" s="630"/>
      <c r="AL71" s="630"/>
      <c r="AM71" s="628"/>
      <c r="AN71" s="628"/>
      <c r="AO71" s="628"/>
      <c r="AP71" s="628"/>
      <c r="AQ71" s="628"/>
      <c r="AR71" s="628"/>
      <c r="AS71" s="628"/>
    </row>
    <row r="72" spans="1:45" ht="16" customHeight="1">
      <c r="A72" s="447"/>
      <c r="B72" s="447"/>
      <c r="C72" s="447"/>
      <c r="D72" s="447"/>
      <c r="E72" s="447"/>
      <c r="F72" s="447"/>
      <c r="G72" s="447"/>
      <c r="H72" s="447"/>
      <c r="I72" s="447"/>
      <c r="J72" s="447"/>
      <c r="K72" s="447"/>
      <c r="L72" s="447"/>
      <c r="M72" s="447"/>
      <c r="N72" s="447"/>
      <c r="O72" s="447"/>
      <c r="P72" s="447"/>
      <c r="Q72" s="309"/>
      <c r="R72" s="389"/>
      <c r="S72" s="444" t="str">
        <f t="shared" si="6"/>
        <v>FA3L1 FA3L2-D</v>
      </c>
      <c r="T72" s="445" t="e">
        <f>'FIG3'!M13</f>
        <v>#DIV/0!</v>
      </c>
      <c r="U72" s="445" t="e">
        <f>'FIG3'!M14</f>
        <v>#DIV/0!</v>
      </c>
      <c r="V72" s="445" t="e">
        <f>'FIG3'!M15</f>
        <v>#DIV/0!</v>
      </c>
      <c r="W72" s="445" t="e">
        <f>'FIG3'!M16</f>
        <v>#DIV/0!</v>
      </c>
      <c r="X72" s="445" t="e">
        <f>'FIG3'!M19</f>
        <v>#DIV/0!</v>
      </c>
      <c r="Y72" s="389"/>
      <c r="Z72" s="389"/>
      <c r="AA72" s="625"/>
      <c r="AB72" s="1697"/>
      <c r="AC72" s="1697"/>
      <c r="AD72" s="1697"/>
      <c r="AE72" s="1697"/>
      <c r="AF72" s="625"/>
      <c r="AH72" s="630"/>
      <c r="AI72" s="630"/>
      <c r="AJ72" s="630"/>
      <c r="AK72" s="630"/>
      <c r="AL72" s="630"/>
      <c r="AM72" s="628"/>
      <c r="AN72" s="628"/>
      <c r="AO72" s="628"/>
      <c r="AP72" s="628"/>
      <c r="AQ72" s="628"/>
      <c r="AR72" s="628"/>
      <c r="AS72" s="628"/>
    </row>
    <row r="73" spans="1:45" ht="16" customHeight="1">
      <c r="A73" s="447"/>
      <c r="B73" s="447"/>
      <c r="C73" s="447"/>
      <c r="D73" s="447"/>
      <c r="E73" s="447"/>
      <c r="F73" s="447"/>
      <c r="G73" s="447"/>
      <c r="H73" s="447"/>
      <c r="I73" s="447"/>
      <c r="J73" s="447"/>
      <c r="K73" s="447"/>
      <c r="L73" s="447"/>
      <c r="M73" s="447"/>
      <c r="N73" s="447"/>
      <c r="O73" s="447"/>
      <c r="P73" s="447"/>
      <c r="Q73" s="309"/>
      <c r="R73" s="389"/>
      <c r="S73" s="444" t="str">
        <f t="shared" si="6"/>
        <v>FA3L1 FA3L2-C</v>
      </c>
      <c r="T73" s="445" t="e">
        <f>'FIG3'!N13</f>
        <v>#DIV/0!</v>
      </c>
      <c r="U73" s="445" t="e">
        <f>'FIG3'!N14</f>
        <v>#DIV/0!</v>
      </c>
      <c r="V73" s="445" t="e">
        <f>'FIG3'!N15</f>
        <v>#DIV/0!</v>
      </c>
      <c r="W73" s="445" t="e">
        <f>'FIG3'!N16</f>
        <v>#DIV/0!</v>
      </c>
      <c r="X73" s="445" t="e">
        <f>'FIG3'!N19</f>
        <v>#DIV/0!</v>
      </c>
      <c r="Y73" s="389"/>
      <c r="Z73" s="389"/>
      <c r="AA73" s="625"/>
      <c r="AB73" s="1697"/>
      <c r="AC73" s="1697"/>
      <c r="AD73" s="1697"/>
      <c r="AE73" s="1697"/>
      <c r="AF73" s="625"/>
      <c r="AH73" s="630"/>
      <c r="AI73" s="630"/>
      <c r="AJ73" s="630"/>
      <c r="AK73" s="630"/>
      <c r="AL73" s="630"/>
      <c r="AM73" s="628"/>
      <c r="AN73" s="628"/>
      <c r="AO73" s="628"/>
      <c r="AP73" s="628"/>
      <c r="AQ73" s="628"/>
      <c r="AR73" s="628"/>
      <c r="AS73" s="628"/>
    </row>
    <row r="74" spans="1:45" ht="16" customHeight="1">
      <c r="A74" s="447"/>
      <c r="B74" s="447"/>
      <c r="C74" s="447"/>
      <c r="D74" s="447"/>
      <c r="E74" s="447"/>
      <c r="F74" s="447"/>
      <c r="G74" s="447"/>
      <c r="H74" s="447"/>
      <c r="I74" s="447"/>
      <c r="J74" s="447"/>
      <c r="K74" s="447"/>
      <c r="L74" s="447"/>
      <c r="M74" s="447"/>
      <c r="N74" s="447"/>
      <c r="O74" s="447"/>
      <c r="P74" s="447"/>
      <c r="Q74" s="309"/>
      <c r="R74" s="389"/>
      <c r="S74" s="444" t="str">
        <f t="shared" si="6"/>
        <v>FA4L1 FA4L2-D</v>
      </c>
      <c r="T74" s="445" t="e">
        <f>'FIG3'!O13</f>
        <v>#DIV/0!</v>
      </c>
      <c r="U74" s="445" t="e">
        <f>'FIG3'!O14</f>
        <v>#DIV/0!</v>
      </c>
      <c r="V74" s="445" t="e">
        <f>'FIG3'!O15</f>
        <v>#DIV/0!</v>
      </c>
      <c r="W74" s="445" t="e">
        <f>'FIG3'!O16</f>
        <v>#DIV/0!</v>
      </c>
      <c r="X74" s="445" t="e">
        <f>'FIG3'!O19</f>
        <v>#DIV/0!</v>
      </c>
      <c r="Y74" s="389"/>
      <c r="Z74" s="389"/>
      <c r="AA74" s="625"/>
      <c r="AB74" s="1697"/>
      <c r="AC74" s="1697"/>
      <c r="AD74" s="1697"/>
      <c r="AE74" s="1697"/>
      <c r="AF74" s="625"/>
      <c r="AH74" s="630"/>
      <c r="AI74" s="630"/>
      <c r="AJ74" s="630"/>
      <c r="AK74" s="630"/>
      <c r="AL74" s="630"/>
      <c r="AM74" s="628"/>
      <c r="AN74" s="628"/>
      <c r="AO74" s="628"/>
      <c r="AP74" s="628"/>
      <c r="AQ74" s="628"/>
      <c r="AR74" s="628"/>
      <c r="AS74" s="628"/>
    </row>
    <row r="75" spans="1:45" ht="16" customHeight="1">
      <c r="A75" s="447"/>
      <c r="B75" s="447"/>
      <c r="C75" s="447"/>
      <c r="D75" s="447"/>
      <c r="E75" s="447"/>
      <c r="F75" s="447"/>
      <c r="G75" s="447"/>
      <c r="H75" s="447"/>
      <c r="I75" s="447"/>
      <c r="J75" s="447"/>
      <c r="K75" s="447"/>
      <c r="L75" s="447"/>
      <c r="M75" s="447"/>
      <c r="N75" s="447"/>
      <c r="O75" s="447"/>
      <c r="P75" s="447"/>
      <c r="Q75" s="309"/>
      <c r="R75" s="389"/>
      <c r="S75" s="444" t="str">
        <f t="shared" si="6"/>
        <v>FA4L1 FA4L2-C</v>
      </c>
      <c r="T75" s="445" t="e">
        <f>'FIG3'!P13</f>
        <v>#DIV/0!</v>
      </c>
      <c r="U75" s="445" t="e">
        <f>'FIG3'!P14</f>
        <v>#DIV/0!</v>
      </c>
      <c r="V75" s="445" t="e">
        <f>'FIG3'!P15</f>
        <v>#DIV/0!</v>
      </c>
      <c r="W75" s="445" t="e">
        <f>'FIG3'!P16</f>
        <v>#DIV/0!</v>
      </c>
      <c r="X75" s="445" t="e">
        <f>'FIG3'!P19</f>
        <v>#DIV/0!</v>
      </c>
      <c r="Y75" s="389"/>
      <c r="Z75" s="389"/>
      <c r="AA75" s="625"/>
      <c r="AB75" s="628"/>
      <c r="AC75" s="628"/>
      <c r="AD75" s="628"/>
      <c r="AE75" s="628"/>
      <c r="AF75" s="625"/>
      <c r="AH75" s="630"/>
      <c r="AI75" s="630"/>
      <c r="AJ75" s="630"/>
      <c r="AK75" s="630"/>
      <c r="AL75" s="630"/>
      <c r="AM75" s="628"/>
      <c r="AN75" s="628"/>
      <c r="AO75" s="628"/>
      <c r="AP75" s="628"/>
      <c r="AQ75" s="628"/>
      <c r="AR75" s="628"/>
      <c r="AS75" s="628"/>
    </row>
    <row r="76" spans="1:45" ht="16" customHeight="1">
      <c r="A76" s="447"/>
      <c r="B76" s="447"/>
      <c r="C76" s="447"/>
      <c r="D76" s="447"/>
      <c r="E76" s="447"/>
      <c r="F76" s="447"/>
      <c r="G76" s="447"/>
      <c r="H76" s="447"/>
      <c r="I76" s="447"/>
      <c r="J76" s="447"/>
      <c r="K76" s="447"/>
      <c r="L76" s="447"/>
      <c r="M76" s="447"/>
      <c r="N76" s="447"/>
      <c r="O76" s="447"/>
      <c r="P76" s="447"/>
      <c r="Q76" s="309"/>
      <c r="R76" s="389"/>
      <c r="S76" s="444" t="str">
        <f t="shared" si="6"/>
        <v>FA5L1 FA5L2-D</v>
      </c>
      <c r="T76" s="445" t="e">
        <f>'FIG3'!Q13</f>
        <v>#DIV/0!</v>
      </c>
      <c r="U76" s="445" t="e">
        <f>'FIG3'!Q14</f>
        <v>#DIV/0!</v>
      </c>
      <c r="V76" s="445" t="e">
        <f>'FIG3'!Q15</f>
        <v>#DIV/0!</v>
      </c>
      <c r="W76" s="445" t="e">
        <f>'FIG3'!Q16</f>
        <v>#DIV/0!</v>
      </c>
      <c r="X76" s="445" t="e">
        <f>'FIG3'!Q19</f>
        <v>#DIV/0!</v>
      </c>
      <c r="Y76" s="389"/>
      <c r="Z76" s="389"/>
      <c r="AA76" s="625"/>
      <c r="AB76" s="628"/>
      <c r="AC76" s="628"/>
      <c r="AD76" s="628"/>
      <c r="AE76" s="628"/>
      <c r="AF76" s="625"/>
      <c r="AH76" s="630"/>
      <c r="AI76" s="630"/>
      <c r="AJ76" s="630"/>
      <c r="AK76" s="630"/>
      <c r="AL76" s="630"/>
    </row>
    <row r="77" spans="1:45" ht="16" customHeight="1">
      <c r="A77" s="447"/>
      <c r="B77" s="447"/>
      <c r="C77" s="447"/>
      <c r="D77" s="447"/>
      <c r="E77" s="447"/>
      <c r="F77" s="447"/>
      <c r="G77" s="447"/>
      <c r="H77" s="447"/>
      <c r="I77" s="447"/>
      <c r="J77" s="447"/>
      <c r="K77" s="447"/>
      <c r="L77" s="447"/>
      <c r="M77" s="447"/>
      <c r="N77" s="447"/>
      <c r="O77" s="447"/>
      <c r="P77" s="447"/>
      <c r="Q77" s="309"/>
      <c r="R77" s="389"/>
      <c r="S77" s="444" t="str">
        <f t="shared" si="6"/>
        <v>FA5L1 FA5L2-C</v>
      </c>
      <c r="T77" s="445" t="e">
        <f>'FIG3'!R13</f>
        <v>#DIV/0!</v>
      </c>
      <c r="U77" s="445" t="e">
        <f>'FIG3'!R14</f>
        <v>#DIV/0!</v>
      </c>
      <c r="V77" s="445" t="e">
        <f>'FIG3'!R15</f>
        <v>#DIV/0!</v>
      </c>
      <c r="W77" s="445" t="e">
        <f>'FIG3'!R16</f>
        <v>#DIV/0!</v>
      </c>
      <c r="X77" s="445" t="e">
        <f>'FIG3'!R19</f>
        <v>#DIV/0!</v>
      </c>
      <c r="Y77" s="389"/>
      <c r="Z77" s="389"/>
      <c r="AA77" s="625"/>
      <c r="AB77" s="625"/>
      <c r="AC77" s="625"/>
      <c r="AD77" s="359"/>
      <c r="AE77" s="625"/>
      <c r="AF77" s="625"/>
      <c r="AH77" s="630"/>
      <c r="AI77" s="630"/>
      <c r="AJ77" s="630"/>
      <c r="AK77" s="630"/>
      <c r="AL77" s="630"/>
    </row>
    <row r="78" spans="1:45" ht="16" customHeight="1">
      <c r="A78" s="359"/>
      <c r="B78" s="359"/>
      <c r="C78" s="359"/>
      <c r="D78" s="359"/>
      <c r="E78" s="359"/>
      <c r="F78" s="359"/>
      <c r="G78" s="359"/>
      <c r="H78" s="359"/>
      <c r="I78" s="359"/>
      <c r="J78" s="359"/>
      <c r="K78" s="359"/>
      <c r="L78" s="359"/>
      <c r="M78" s="359"/>
      <c r="N78" s="359"/>
      <c r="O78" s="359"/>
      <c r="P78" s="359"/>
      <c r="Q78" s="359"/>
      <c r="R78" s="359"/>
      <c r="Y78" s="359"/>
      <c r="Z78" s="359"/>
      <c r="AA78" s="359"/>
    </row>
    <row r="79" spans="1:45" ht="16" customHeight="1">
      <c r="Q79" s="359"/>
      <c r="R79" s="359"/>
      <c r="Y79" s="359"/>
      <c r="Z79" s="359"/>
      <c r="AA79" s="359"/>
    </row>
    <row r="80" spans="1:45" ht="16" customHeight="1">
      <c r="Q80" s="359"/>
      <c r="S80" s="442"/>
      <c r="T80" s="442"/>
      <c r="U80" s="442"/>
      <c r="V80" s="442"/>
      <c r="W80" s="442"/>
      <c r="X80" s="442"/>
      <c r="AA80" s="442"/>
      <c r="AB80" s="442"/>
    </row>
    <row r="81" spans="17:28" ht="16" customHeight="1">
      <c r="Q81" s="359"/>
      <c r="S81" s="442"/>
      <c r="T81" s="442"/>
      <c r="U81" s="442"/>
      <c r="V81" s="442"/>
      <c r="W81" s="442"/>
      <c r="X81" s="442"/>
      <c r="Y81" s="442"/>
      <c r="Z81" s="442"/>
      <c r="AA81" s="442"/>
      <c r="AB81" s="442"/>
    </row>
    <row r="82" spans="17:28" ht="16" customHeight="1">
      <c r="S82" s="442"/>
      <c r="T82" s="442"/>
      <c r="U82" s="442"/>
      <c r="V82" s="442"/>
      <c r="W82" s="442"/>
      <c r="X82" s="442"/>
      <c r="Y82" s="442"/>
      <c r="Z82" s="442"/>
      <c r="AA82" s="442"/>
      <c r="AB82" s="442"/>
    </row>
    <row r="83" spans="17:28" ht="16" customHeight="1">
      <c r="S83" s="442"/>
      <c r="T83" s="442"/>
      <c r="U83" s="442"/>
      <c r="V83" s="442"/>
      <c r="W83" s="442"/>
      <c r="X83" s="442"/>
      <c r="Y83" s="442"/>
      <c r="Z83" s="442"/>
      <c r="AA83" s="442"/>
      <c r="AB83" s="442"/>
    </row>
    <row r="84" spans="17:28" ht="16" customHeight="1">
      <c r="Y84" s="442"/>
      <c r="Z84" s="442"/>
    </row>
    <row r="85" spans="17:28" ht="16" customHeight="1"/>
    <row r="86" spans="17:28" ht="16" customHeight="1"/>
  </sheetData>
  <mergeCells count="35">
    <mergeCell ref="B1:P1"/>
    <mergeCell ref="B37:P37"/>
    <mergeCell ref="R37:Z37"/>
    <mergeCell ref="AB68:AE74"/>
    <mergeCell ref="AD39:AD42"/>
    <mergeCell ref="R34:Z34"/>
    <mergeCell ref="R35:Z35"/>
    <mergeCell ref="R30:Z30"/>
    <mergeCell ref="T62:X62"/>
    <mergeCell ref="R33:Z33"/>
    <mergeCell ref="T42:X42"/>
    <mergeCell ref="C57:M65"/>
    <mergeCell ref="A2:A36"/>
    <mergeCell ref="Q2:Q36"/>
    <mergeCell ref="R3:Z6"/>
    <mergeCell ref="R7:Z10"/>
    <mergeCell ref="R11:Z16"/>
    <mergeCell ref="S2:Y2"/>
    <mergeCell ref="B2:P2"/>
    <mergeCell ref="B36:P36"/>
    <mergeCell ref="D5:K5"/>
    <mergeCell ref="C31:K33"/>
    <mergeCell ref="R31:Z31"/>
    <mergeCell ref="R32:Z32"/>
    <mergeCell ref="D6:K6"/>
    <mergeCell ref="R17:Z29"/>
    <mergeCell ref="S36:Y36"/>
    <mergeCell ref="AF42:AL42"/>
    <mergeCell ref="C39:M47"/>
    <mergeCell ref="S56:Z57"/>
    <mergeCell ref="S58:Z59"/>
    <mergeCell ref="S60:Z61"/>
    <mergeCell ref="S39:Z40"/>
    <mergeCell ref="AB57:AE61"/>
    <mergeCell ref="T41:X41"/>
  </mergeCells>
  <phoneticPr fontId="153" type="noConversion"/>
  <conditionalFormatting sqref="G8:K17">
    <cfRule type="cellIs" dxfId="69" priority="36" operator="lessThan">
      <formula>0</formula>
    </cfRule>
  </conditionalFormatting>
  <conditionalFormatting sqref="F8">
    <cfRule type="cellIs" dxfId="68" priority="35" operator="lessThan">
      <formula>0</formula>
    </cfRule>
  </conditionalFormatting>
  <conditionalFormatting sqref="C16:K17">
    <cfRule type="expression" dxfId="67" priority="81">
      <formula>$S$54="FA5L1 FA5L2-D"</formula>
    </cfRule>
  </conditionalFormatting>
  <conditionalFormatting sqref="C14:K15">
    <cfRule type="expression" dxfId="66" priority="82">
      <formula>$S$52="FA4L1 FA4L2-D"</formula>
    </cfRule>
  </conditionalFormatting>
  <conditionalFormatting sqref="C12:K13">
    <cfRule type="expression" dxfId="65" priority="83">
      <formula>$S$48="FA2L1 FA2L2-D"</formula>
    </cfRule>
  </conditionalFormatting>
  <conditionalFormatting sqref="C10:K11">
    <cfRule type="expression" dxfId="64" priority="84">
      <formula>$S$46="FA1L1 FA1L2-D"</formula>
    </cfRule>
  </conditionalFormatting>
  <conditionalFormatting sqref="S54:S55 V54:W55">
    <cfRule type="expression" dxfId="63" priority="25">
      <formula>$S$54="FA5L1 FA5L2-D"</formula>
    </cfRule>
  </conditionalFormatting>
  <conditionalFormatting sqref="S52:S53 V52:W53">
    <cfRule type="expression" dxfId="62" priority="24">
      <formula>$S$52="FA4L1 FA4L2-D"</formula>
    </cfRule>
  </conditionalFormatting>
  <conditionalFormatting sqref="S50:S51 V50:W51">
    <cfRule type="expression" dxfId="61" priority="23">
      <formula>$S$50="FA3L1 FA3L2-D"</formula>
    </cfRule>
  </conditionalFormatting>
  <conditionalFormatting sqref="S48:S49 V48:W49">
    <cfRule type="expression" dxfId="60" priority="22">
      <formula>$S$48="FA2L1 FA2L2-D"</formula>
    </cfRule>
  </conditionalFormatting>
  <conditionalFormatting sqref="S46:S47 V46:W47">
    <cfRule type="expression" dxfId="59" priority="21">
      <formula>$S$46="FA1L1 FA1L2-D"</formula>
    </cfRule>
  </conditionalFormatting>
  <conditionalFormatting sqref="G18:K19">
    <cfRule type="cellIs" dxfId="58" priority="11" operator="lessThan">
      <formula>0</formula>
    </cfRule>
  </conditionalFormatting>
  <conditionalFormatting sqref="C18:F19">
    <cfRule type="expression" dxfId="57" priority="14">
      <formula>$S$54="FA5L1 FA5L2-D"</formula>
    </cfRule>
  </conditionalFormatting>
  <conditionalFormatting sqref="G18:K19">
    <cfRule type="expression" dxfId="56" priority="12">
      <formula>$S$54="FA5L1 FA5L2-D"</formula>
    </cfRule>
  </conditionalFormatting>
  <conditionalFormatting sqref="T54:U55">
    <cfRule type="expression" dxfId="55" priority="10">
      <formula>$S$54="FA5L1 FA5L2-D"</formula>
    </cfRule>
  </conditionalFormatting>
  <conditionalFormatting sqref="T52:U53">
    <cfRule type="expression" dxfId="54" priority="9">
      <formula>$S$52="FA4L1 FA4L2-D"</formula>
    </cfRule>
  </conditionalFormatting>
  <conditionalFormatting sqref="T50:U51">
    <cfRule type="expression" dxfId="53" priority="8">
      <formula>$S$50="FA3L1 FA3L2-D"</formula>
    </cfRule>
  </conditionalFormatting>
  <conditionalFormatting sqref="T48:U49">
    <cfRule type="expression" dxfId="52" priority="7">
      <formula>$S$48="FA2L1 FA2L2-D"</formula>
    </cfRule>
  </conditionalFormatting>
  <conditionalFormatting sqref="T46:U47">
    <cfRule type="expression" dxfId="51" priority="6">
      <formula>$S$46="FA1L1 FA1L2-D"</formula>
    </cfRule>
  </conditionalFormatting>
  <conditionalFormatting sqref="X54:X55">
    <cfRule type="expression" dxfId="50" priority="5">
      <formula>$S$54="FA5L1 FA5L2-D"</formula>
    </cfRule>
  </conditionalFormatting>
  <conditionalFormatting sqref="X52:X53">
    <cfRule type="expression" dxfId="49" priority="4">
      <formula>$S$52="FA4L1 FA4L2-D"</formula>
    </cfRule>
  </conditionalFormatting>
  <conditionalFormatting sqref="X50:X51">
    <cfRule type="expression" dxfId="48" priority="3">
      <formula>$S$50="FA3L1 FA3L2-D"</formula>
    </cfRule>
  </conditionalFormatting>
  <conditionalFormatting sqref="X48:X49">
    <cfRule type="expression" dxfId="47" priority="2">
      <formula>$S$48="FA2L1 FA2L2-D"</formula>
    </cfRule>
  </conditionalFormatting>
  <conditionalFormatting sqref="X46:X47">
    <cfRule type="expression" dxfId="46" priority="1">
      <formula>$S$46="FA1L1 FA1L2-D"</formula>
    </cfRule>
  </conditionalFormatting>
  <pageMargins left="1.25" right="1.25" top="1.25" bottom="1.25" header="0.3" footer="0.3"/>
  <rowBreaks count="1" manualBreakCount="1">
    <brk id="35" max="16383" man="1"/>
  </rowBreaks>
  <colBreaks count="1" manualBreakCount="1">
    <brk id="26" max="1048575" man="1"/>
  </colBreak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V59"/>
  <sheetViews>
    <sheetView workbookViewId="0"/>
  </sheetViews>
  <sheetFormatPr baseColWidth="10" defaultColWidth="8.83203125" defaultRowHeight="11" x14ac:dyDescent="0"/>
  <cols>
    <col min="1" max="1" width="4.83203125" style="277" customWidth="1"/>
    <col min="2" max="2" width="9.83203125" style="277" customWidth="1"/>
    <col min="3" max="3" width="4.83203125" style="277" customWidth="1"/>
    <col min="4" max="4" width="13.83203125" style="277" customWidth="1"/>
    <col min="5" max="8" width="12.83203125" style="277" customWidth="1"/>
    <col min="9" max="11" width="9.83203125" style="277" customWidth="1"/>
    <col min="12" max="12" width="4.83203125" style="277" customWidth="1"/>
    <col min="13" max="13" width="6.83203125" style="277" customWidth="1"/>
    <col min="14" max="14" width="28.83203125" style="277" customWidth="1"/>
    <col min="15" max="17" width="12.83203125" style="277" customWidth="1"/>
    <col min="18" max="18" width="9.83203125" style="277" customWidth="1"/>
    <col min="19" max="19" width="5.1640625" style="277" customWidth="1"/>
    <col min="20" max="20" width="6.83203125" style="277" customWidth="1"/>
    <col min="21" max="42" width="9.83203125" style="277" customWidth="1"/>
    <col min="43" max="16384" width="8.83203125" style="277"/>
  </cols>
  <sheetData>
    <row r="1" spans="1:22" s="373" customFormat="1" ht="18" customHeight="1">
      <c r="A1" s="310"/>
      <c r="B1" s="1672" t="s">
        <v>1066</v>
      </c>
      <c r="C1" s="1672"/>
      <c r="D1" s="1672"/>
      <c r="E1" s="1672"/>
      <c r="F1" s="1672"/>
      <c r="G1" s="1672"/>
      <c r="H1" s="1672"/>
      <c r="I1" s="1672"/>
      <c r="J1" s="1672"/>
      <c r="K1" s="1672"/>
      <c r="L1" s="310"/>
      <c r="M1" s="309"/>
      <c r="N1" s="309"/>
      <c r="O1" s="309"/>
      <c r="P1" s="309"/>
      <c r="Q1" s="309"/>
      <c r="R1" s="309"/>
      <c r="S1" s="309"/>
      <c r="T1" s="309"/>
      <c r="U1" s="377"/>
      <c r="V1" s="377"/>
    </row>
    <row r="2" spans="1:22" ht="20" customHeight="1">
      <c r="A2" s="1673" t="s">
        <v>1066</v>
      </c>
      <c r="B2" s="1674" t="s">
        <v>1122</v>
      </c>
      <c r="C2" s="1674"/>
      <c r="D2" s="1674"/>
      <c r="E2" s="1674"/>
      <c r="F2" s="1674"/>
      <c r="G2" s="1674"/>
      <c r="H2" s="1674"/>
      <c r="I2" s="1674"/>
      <c r="J2" s="1674"/>
      <c r="K2" s="1674"/>
      <c r="L2" s="1673" t="s">
        <v>1066</v>
      </c>
      <c r="M2" s="433" t="str">
        <f>N40</f>
        <v>AR</v>
      </c>
      <c r="N2" s="1675" t="s">
        <v>1123</v>
      </c>
      <c r="O2" s="1675"/>
      <c r="P2" s="1675"/>
      <c r="Q2" s="1675"/>
      <c r="R2" s="1675"/>
      <c r="S2" s="1675"/>
      <c r="T2" s="434"/>
      <c r="U2" s="426"/>
      <c r="V2" s="426"/>
    </row>
    <row r="3" spans="1:22" ht="16" customHeight="1">
      <c r="A3" s="1673"/>
      <c r="B3" s="308"/>
      <c r="C3" s="308"/>
      <c r="D3" s="308"/>
      <c r="E3" s="308"/>
      <c r="F3" s="308"/>
      <c r="G3" s="308"/>
      <c r="H3" s="308"/>
      <c r="I3" s="308"/>
      <c r="J3" s="308"/>
      <c r="K3" s="308"/>
      <c r="L3" s="1673"/>
      <c r="M3" s="1525" t="s">
        <v>1195</v>
      </c>
      <c r="N3" s="1526"/>
      <c r="O3" s="1526"/>
      <c r="P3" s="1526"/>
      <c r="Q3" s="1526"/>
      <c r="R3" s="1526"/>
      <c r="S3" s="1526"/>
      <c r="T3" s="1527"/>
      <c r="U3" s="424"/>
      <c r="V3" s="424"/>
    </row>
    <row r="4" spans="1:22" s="380" customFormat="1" ht="16" customHeight="1" thickBot="1">
      <c r="A4" s="1673"/>
      <c r="B4" s="308"/>
      <c r="C4" s="308"/>
      <c r="D4" s="308"/>
      <c r="E4" s="308"/>
      <c r="F4" s="308"/>
      <c r="G4" s="308"/>
      <c r="H4" s="308"/>
      <c r="I4" s="308"/>
      <c r="J4" s="308"/>
      <c r="K4" s="308"/>
      <c r="L4" s="1673"/>
      <c r="M4" s="1525"/>
      <c r="N4" s="1526"/>
      <c r="O4" s="1526"/>
      <c r="P4" s="1526"/>
      <c r="Q4" s="1526"/>
      <c r="R4" s="1526"/>
      <c r="S4" s="1526"/>
      <c r="T4" s="1527"/>
      <c r="U4" s="424"/>
      <c r="V4" s="424"/>
    </row>
    <row r="5" spans="1:22" ht="22" customHeight="1">
      <c r="A5" s="1673"/>
      <c r="B5" s="308"/>
      <c r="C5" s="638" t="str">
        <f>'FIG10'!$N$40</f>
        <v>AR</v>
      </c>
      <c r="D5" s="1700" t="s">
        <v>982</v>
      </c>
      <c r="E5" s="1700"/>
      <c r="F5" s="1700"/>
      <c r="G5" s="1700"/>
      <c r="H5" s="1701"/>
      <c r="I5" s="308"/>
      <c r="J5" s="308"/>
      <c r="K5" s="308"/>
      <c r="L5" s="1673"/>
      <c r="M5" s="1525"/>
      <c r="N5" s="1526"/>
      <c r="O5" s="1526"/>
      <c r="P5" s="1526"/>
      <c r="Q5" s="1526"/>
      <c r="R5" s="1526"/>
      <c r="S5" s="1526"/>
      <c r="T5" s="1527"/>
      <c r="U5" s="424"/>
      <c r="V5" s="424"/>
    </row>
    <row r="6" spans="1:22" ht="22" customHeight="1" thickBot="1">
      <c r="A6" s="1673"/>
      <c r="B6" s="308"/>
      <c r="C6" s="674"/>
      <c r="D6" s="1717" t="s">
        <v>983</v>
      </c>
      <c r="E6" s="1717"/>
      <c r="F6" s="1717"/>
      <c r="G6" s="1717"/>
      <c r="H6" s="1718"/>
      <c r="I6" s="308"/>
      <c r="J6" s="308"/>
      <c r="K6" s="308"/>
      <c r="L6" s="1673"/>
      <c r="M6" s="1525"/>
      <c r="N6" s="1526"/>
      <c r="O6" s="1526"/>
      <c r="P6" s="1526"/>
      <c r="Q6" s="1526"/>
      <c r="R6" s="1526"/>
      <c r="S6" s="1526"/>
      <c r="T6" s="1527"/>
      <c r="U6" s="424"/>
      <c r="V6" s="424"/>
    </row>
    <row r="7" spans="1:22" ht="18" customHeight="1" thickBot="1">
      <c r="A7" s="1673"/>
      <c r="B7" s="308"/>
      <c r="C7" s="1719" t="s">
        <v>1011</v>
      </c>
      <c r="D7" s="1720"/>
      <c r="E7" s="1721"/>
      <c r="F7" s="632" t="s">
        <v>1087</v>
      </c>
      <c r="G7" s="643" t="s">
        <v>1090</v>
      </c>
      <c r="H7" s="644" t="s">
        <v>1088</v>
      </c>
      <c r="I7" s="308"/>
      <c r="J7" s="308"/>
      <c r="K7" s="308"/>
      <c r="L7" s="1673"/>
      <c r="M7" s="1528"/>
      <c r="N7" s="1529"/>
      <c r="O7" s="1529"/>
      <c r="P7" s="1529"/>
      <c r="Q7" s="1529"/>
      <c r="R7" s="1529"/>
      <c r="S7" s="1529"/>
      <c r="T7" s="1530"/>
      <c r="U7" s="424"/>
      <c r="V7" s="424"/>
    </row>
    <row r="8" spans="1:22" ht="18" customHeight="1" thickBot="1">
      <c r="A8" s="1673"/>
      <c r="B8" s="308"/>
      <c r="C8" s="689" t="str">
        <f>N42</f>
        <v>Statewide</v>
      </c>
      <c r="D8" s="690"/>
      <c r="E8" s="691"/>
      <c r="F8" s="692" t="s">
        <v>1357</v>
      </c>
      <c r="G8" s="693" t="s">
        <v>1357</v>
      </c>
      <c r="H8" s="694">
        <f t="shared" ref="F8:H13" si="0">Q42</f>
        <v>-0.26219815529572787</v>
      </c>
      <c r="I8" s="308"/>
      <c r="J8" s="308"/>
      <c r="K8" s="308"/>
      <c r="L8" s="1673"/>
      <c r="M8" s="1522"/>
      <c r="N8" s="1523"/>
      <c r="O8" s="1523"/>
      <c r="P8" s="1523"/>
      <c r="Q8" s="1523"/>
      <c r="R8" s="1523"/>
      <c r="S8" s="1523"/>
      <c r="T8" s="1524"/>
      <c r="U8" s="424"/>
      <c r="V8" s="424"/>
    </row>
    <row r="9" spans="1:22" ht="18" customHeight="1" thickTop="1">
      <c r="A9" s="1673"/>
      <c r="B9" s="308"/>
      <c r="C9" s="675" t="str">
        <f>IF(N43="FA1L1 FA1L2","",N43)</f>
        <v>Little Rock School District</v>
      </c>
      <c r="D9" s="673"/>
      <c r="E9" s="682"/>
      <c r="F9" s="681" t="s">
        <v>1357</v>
      </c>
      <c r="G9" s="683" t="s">
        <v>1357</v>
      </c>
      <c r="H9" s="686">
        <f t="shared" si="0"/>
        <v>-0.43441118409609375</v>
      </c>
      <c r="I9" s="308"/>
      <c r="J9" s="308"/>
      <c r="K9" s="308"/>
      <c r="L9" s="1673"/>
      <c r="M9" s="1525"/>
      <c r="N9" s="1526"/>
      <c r="O9" s="1526"/>
      <c r="P9" s="1526"/>
      <c r="Q9" s="1526"/>
      <c r="R9" s="1526"/>
      <c r="S9" s="1526"/>
      <c r="T9" s="1527"/>
      <c r="U9" s="424"/>
      <c r="V9" s="424"/>
    </row>
    <row r="10" spans="1:22" s="380" customFormat="1" ht="18" customHeight="1">
      <c r="A10" s="1673"/>
      <c r="B10" s="308"/>
      <c r="C10" s="676" t="str">
        <f>N44</f>
        <v>FA2L1 FA2L2</v>
      </c>
      <c r="D10" s="672"/>
      <c r="E10" s="672"/>
      <c r="F10" s="679">
        <f t="shared" si="0"/>
        <v>0</v>
      </c>
      <c r="G10" s="684">
        <f t="shared" si="0"/>
        <v>0</v>
      </c>
      <c r="H10" s="687" t="e">
        <f t="shared" si="0"/>
        <v>#DIV/0!</v>
      </c>
      <c r="I10" s="308"/>
      <c r="J10" s="308"/>
      <c r="K10" s="308"/>
      <c r="L10" s="1673"/>
      <c r="M10" s="1525"/>
      <c r="N10" s="1526"/>
      <c r="O10" s="1526"/>
      <c r="P10" s="1526"/>
      <c r="Q10" s="1526"/>
      <c r="R10" s="1526"/>
      <c r="S10" s="1526"/>
      <c r="T10" s="1527"/>
      <c r="U10" s="424"/>
      <c r="V10" s="424"/>
    </row>
    <row r="11" spans="1:22" s="380" customFormat="1" ht="18" customHeight="1">
      <c r="A11" s="1673"/>
      <c r="B11" s="308"/>
      <c r="C11" s="676" t="str">
        <f>N45</f>
        <v>FA3L1 FA3L2</v>
      </c>
      <c r="D11" s="672"/>
      <c r="E11" s="672"/>
      <c r="F11" s="679">
        <f t="shared" si="0"/>
        <v>0</v>
      </c>
      <c r="G11" s="684">
        <f t="shared" si="0"/>
        <v>0</v>
      </c>
      <c r="H11" s="687" t="e">
        <f t="shared" si="0"/>
        <v>#DIV/0!</v>
      </c>
      <c r="I11" s="308"/>
      <c r="J11" s="308"/>
      <c r="K11" s="308"/>
      <c r="L11" s="1673"/>
      <c r="M11" s="1525"/>
      <c r="N11" s="1526"/>
      <c r="O11" s="1526"/>
      <c r="P11" s="1526"/>
      <c r="Q11" s="1526"/>
      <c r="R11" s="1526"/>
      <c r="S11" s="1526"/>
      <c r="T11" s="1527"/>
      <c r="U11" s="424"/>
      <c r="V11" s="424"/>
    </row>
    <row r="12" spans="1:22" s="380" customFormat="1" ht="18" customHeight="1">
      <c r="A12" s="1673"/>
      <c r="B12" s="308"/>
      <c r="C12" s="676" t="str">
        <f>N46</f>
        <v>FA4L1 FA4L2</v>
      </c>
      <c r="D12" s="672"/>
      <c r="E12" s="672"/>
      <c r="F12" s="679">
        <f t="shared" si="0"/>
        <v>0</v>
      </c>
      <c r="G12" s="684">
        <f t="shared" si="0"/>
        <v>0</v>
      </c>
      <c r="H12" s="687" t="e">
        <f t="shared" si="0"/>
        <v>#DIV/0!</v>
      </c>
      <c r="I12" s="308"/>
      <c r="J12" s="308"/>
      <c r="K12" s="308"/>
      <c r="L12" s="1673"/>
      <c r="M12" s="1525"/>
      <c r="N12" s="1526"/>
      <c r="O12" s="1526"/>
      <c r="P12" s="1526"/>
      <c r="Q12" s="1526"/>
      <c r="R12" s="1526"/>
      <c r="S12" s="1526"/>
      <c r="T12" s="1527"/>
      <c r="U12" s="424"/>
      <c r="V12" s="424"/>
    </row>
    <row r="13" spans="1:22" ht="18" customHeight="1" thickBot="1">
      <c r="A13" s="1673"/>
      <c r="B13" s="308"/>
      <c r="C13" s="677" t="str">
        <f>N47</f>
        <v>FA5L1 FA5L2</v>
      </c>
      <c r="D13" s="678"/>
      <c r="E13" s="678"/>
      <c r="F13" s="680">
        <f t="shared" si="0"/>
        <v>0</v>
      </c>
      <c r="G13" s="685">
        <f t="shared" si="0"/>
        <v>0</v>
      </c>
      <c r="H13" s="688" t="e">
        <f t="shared" si="0"/>
        <v>#DIV/0!</v>
      </c>
      <c r="I13" s="308"/>
      <c r="J13" s="308"/>
      <c r="K13" s="308"/>
      <c r="L13" s="1673"/>
      <c r="M13" s="1525"/>
      <c r="N13" s="1526"/>
      <c r="O13" s="1526"/>
      <c r="P13" s="1526"/>
      <c r="Q13" s="1526"/>
      <c r="R13" s="1526"/>
      <c r="S13" s="1526"/>
      <c r="T13" s="1527"/>
      <c r="U13" s="424"/>
      <c r="V13" s="424"/>
    </row>
    <row r="14" spans="1:22" ht="16" customHeight="1">
      <c r="A14" s="1673"/>
      <c r="B14" s="308"/>
      <c r="C14" s="357"/>
      <c r="D14" s="357"/>
      <c r="E14" s="357"/>
      <c r="F14" s="358"/>
      <c r="G14" s="358"/>
      <c r="H14" s="358"/>
      <c r="I14" s="308"/>
      <c r="J14" s="308"/>
      <c r="K14" s="308"/>
      <c r="L14" s="1673"/>
      <c r="M14" s="1528"/>
      <c r="N14" s="1529"/>
      <c r="O14" s="1529"/>
      <c r="P14" s="1529"/>
      <c r="Q14" s="1529"/>
      <c r="R14" s="1529"/>
      <c r="S14" s="1529"/>
      <c r="T14" s="1530"/>
      <c r="U14" s="424"/>
      <c r="V14" s="424"/>
    </row>
    <row r="15" spans="1:22" ht="16" customHeight="1">
      <c r="A15" s="1673"/>
      <c r="B15" s="308"/>
      <c r="C15" s="357"/>
      <c r="D15" s="357"/>
      <c r="E15" s="357"/>
      <c r="F15" s="358"/>
      <c r="G15" s="358"/>
      <c r="H15" s="358"/>
      <c r="I15" s="308"/>
      <c r="J15" s="308"/>
      <c r="K15" s="308"/>
      <c r="L15" s="1673"/>
      <c r="M15" s="1522"/>
      <c r="N15" s="1523"/>
      <c r="O15" s="1523"/>
      <c r="P15" s="1523"/>
      <c r="Q15" s="1523"/>
      <c r="R15" s="1523"/>
      <c r="S15" s="1523"/>
      <c r="T15" s="1524"/>
      <c r="U15" s="425"/>
      <c r="V15" s="425"/>
    </row>
    <row r="16" spans="1:22" ht="16" customHeight="1">
      <c r="A16" s="1673"/>
      <c r="B16" s="308"/>
      <c r="C16" s="357"/>
      <c r="D16" s="357"/>
      <c r="E16" s="357"/>
      <c r="F16" s="358"/>
      <c r="G16" s="358"/>
      <c r="H16" s="358"/>
      <c r="I16" s="308"/>
      <c r="J16" s="308"/>
      <c r="K16" s="308"/>
      <c r="L16" s="1673"/>
      <c r="M16" s="1525"/>
      <c r="N16" s="1526"/>
      <c r="O16" s="1526"/>
      <c r="P16" s="1526"/>
      <c r="Q16" s="1526"/>
      <c r="R16" s="1526"/>
      <c r="S16" s="1526"/>
      <c r="T16" s="1527"/>
      <c r="U16" s="425"/>
      <c r="V16" s="425"/>
    </row>
    <row r="17" spans="1:22" s="380" customFormat="1" ht="16" customHeight="1">
      <c r="A17" s="1673"/>
      <c r="B17" s="308"/>
      <c r="C17" s="357"/>
      <c r="D17" s="357"/>
      <c r="E17" s="357"/>
      <c r="F17" s="358"/>
      <c r="G17" s="358"/>
      <c r="H17" s="358"/>
      <c r="I17" s="308"/>
      <c r="J17" s="308"/>
      <c r="K17" s="308"/>
      <c r="L17" s="1673"/>
      <c r="M17" s="1525"/>
      <c r="N17" s="1526"/>
      <c r="O17" s="1526"/>
      <c r="P17" s="1526"/>
      <c r="Q17" s="1526"/>
      <c r="R17" s="1526"/>
      <c r="S17" s="1526"/>
      <c r="T17" s="1527"/>
      <c r="U17" s="425"/>
      <c r="V17" s="425"/>
    </row>
    <row r="18" spans="1:22" s="380" customFormat="1" ht="16" customHeight="1">
      <c r="A18" s="1673"/>
      <c r="B18" s="308"/>
      <c r="C18" s="357"/>
      <c r="D18" s="357"/>
      <c r="E18" s="357"/>
      <c r="F18" s="358"/>
      <c r="G18" s="358"/>
      <c r="H18" s="358"/>
      <c r="I18" s="308"/>
      <c r="J18" s="308"/>
      <c r="K18" s="308"/>
      <c r="L18" s="1673"/>
      <c r="M18" s="1525"/>
      <c r="N18" s="1526"/>
      <c r="O18" s="1526"/>
      <c r="P18" s="1526"/>
      <c r="Q18" s="1526"/>
      <c r="R18" s="1526"/>
      <c r="S18" s="1526"/>
      <c r="T18" s="1527"/>
      <c r="U18" s="425"/>
      <c r="V18" s="425"/>
    </row>
    <row r="19" spans="1:22" s="380" customFormat="1" ht="16" customHeight="1">
      <c r="A19" s="1673"/>
      <c r="B19" s="308"/>
      <c r="C19" s="357"/>
      <c r="D19" s="357"/>
      <c r="E19" s="357"/>
      <c r="F19" s="358"/>
      <c r="G19" s="358"/>
      <c r="H19" s="358"/>
      <c r="I19" s="308"/>
      <c r="J19" s="308"/>
      <c r="K19" s="308"/>
      <c r="L19" s="1673"/>
      <c r="M19" s="1525"/>
      <c r="N19" s="1526"/>
      <c r="O19" s="1526"/>
      <c r="P19" s="1526"/>
      <c r="Q19" s="1526"/>
      <c r="R19" s="1526"/>
      <c r="S19" s="1526"/>
      <c r="T19" s="1527"/>
      <c r="U19" s="425"/>
      <c r="V19" s="425"/>
    </row>
    <row r="20" spans="1:22" ht="16" customHeight="1">
      <c r="A20" s="1673"/>
      <c r="B20" s="308"/>
      <c r="C20" s="357"/>
      <c r="D20" s="357"/>
      <c r="E20" s="357"/>
      <c r="F20" s="358"/>
      <c r="G20" s="358"/>
      <c r="H20" s="358"/>
      <c r="I20" s="308"/>
      <c r="J20" s="308"/>
      <c r="K20" s="308"/>
      <c r="L20" s="1673"/>
      <c r="M20" s="1525"/>
      <c r="N20" s="1526"/>
      <c r="O20" s="1526"/>
      <c r="P20" s="1526"/>
      <c r="Q20" s="1526"/>
      <c r="R20" s="1526"/>
      <c r="S20" s="1526"/>
      <c r="T20" s="1527"/>
      <c r="U20" s="425"/>
      <c r="V20" s="425"/>
    </row>
    <row r="21" spans="1:22" ht="16" customHeight="1">
      <c r="A21" s="1673"/>
      <c r="B21" s="308"/>
      <c r="C21" s="357"/>
      <c r="D21" s="357"/>
      <c r="E21" s="357"/>
      <c r="F21" s="358"/>
      <c r="G21" s="358"/>
      <c r="H21" s="358"/>
      <c r="I21" s="308"/>
      <c r="J21" s="308"/>
      <c r="K21" s="308"/>
      <c r="L21" s="1673"/>
      <c r="M21" s="1525"/>
      <c r="N21" s="1526"/>
      <c r="O21" s="1526"/>
      <c r="P21" s="1526"/>
      <c r="Q21" s="1526"/>
      <c r="R21" s="1526"/>
      <c r="S21" s="1526"/>
      <c r="T21" s="1527"/>
      <c r="U21" s="425"/>
      <c r="V21" s="425"/>
    </row>
    <row r="22" spans="1:22" ht="16" customHeight="1">
      <c r="A22" s="1673"/>
      <c r="B22" s="308"/>
      <c r="C22" s="357"/>
      <c r="D22" s="357"/>
      <c r="E22" s="357"/>
      <c r="F22" s="358"/>
      <c r="G22" s="358"/>
      <c r="H22" s="358"/>
      <c r="I22" s="308"/>
      <c r="J22" s="308"/>
      <c r="K22" s="308"/>
      <c r="L22" s="1673"/>
      <c r="M22" s="1525"/>
      <c r="N22" s="1526"/>
      <c r="O22" s="1526"/>
      <c r="P22" s="1526"/>
      <c r="Q22" s="1526"/>
      <c r="R22" s="1526"/>
      <c r="S22" s="1526"/>
      <c r="T22" s="1527"/>
      <c r="U22" s="425"/>
      <c r="V22" s="425"/>
    </row>
    <row r="23" spans="1:22" ht="16" customHeight="1">
      <c r="A23" s="1673"/>
      <c r="B23" s="308"/>
      <c r="C23" s="357"/>
      <c r="D23" s="357"/>
      <c r="E23" s="357"/>
      <c r="F23" s="358"/>
      <c r="G23" s="358"/>
      <c r="H23" s="358"/>
      <c r="I23" s="308"/>
      <c r="J23" s="308"/>
      <c r="K23" s="308"/>
      <c r="L23" s="1673"/>
      <c r="M23" s="1528"/>
      <c r="N23" s="1529"/>
      <c r="O23" s="1529"/>
      <c r="P23" s="1529"/>
      <c r="Q23" s="1529"/>
      <c r="R23" s="1529"/>
      <c r="S23" s="1529"/>
      <c r="T23" s="1530"/>
      <c r="U23" s="425"/>
      <c r="V23" s="425"/>
    </row>
    <row r="24" spans="1:22" s="380" customFormat="1" ht="16" customHeight="1">
      <c r="A24" s="1673"/>
      <c r="B24" s="308"/>
      <c r="C24" s="357"/>
      <c r="D24" s="357"/>
      <c r="E24" s="357"/>
      <c r="F24" s="358"/>
      <c r="G24" s="358"/>
      <c r="H24" s="358"/>
      <c r="I24" s="308"/>
      <c r="J24" s="308"/>
      <c r="K24" s="308"/>
      <c r="L24" s="1673"/>
      <c r="M24" s="1571" t="s">
        <v>988</v>
      </c>
      <c r="N24" s="1572"/>
      <c r="O24" s="1572"/>
      <c r="P24" s="1572"/>
      <c r="Q24" s="1572"/>
      <c r="R24" s="1572"/>
      <c r="S24" s="1572"/>
      <c r="T24" s="1573"/>
      <c r="U24" s="425"/>
      <c r="V24" s="425"/>
    </row>
    <row r="25" spans="1:22" s="380" customFormat="1" ht="16" customHeight="1">
      <c r="A25" s="1673"/>
      <c r="B25" s="308"/>
      <c r="C25" s="357"/>
      <c r="D25" s="357"/>
      <c r="E25" s="357"/>
      <c r="F25" s="358"/>
      <c r="G25" s="358"/>
      <c r="H25" s="358"/>
      <c r="I25" s="308"/>
      <c r="J25" s="308"/>
      <c r="K25" s="308"/>
      <c r="L25" s="1673"/>
      <c r="M25" s="1571"/>
      <c r="N25" s="1572"/>
      <c r="O25" s="1572"/>
      <c r="P25" s="1572"/>
      <c r="Q25" s="1572"/>
      <c r="R25" s="1572"/>
      <c r="S25" s="1572"/>
      <c r="T25" s="1573"/>
      <c r="U25" s="432"/>
      <c r="V25" s="432"/>
    </row>
    <row r="26" spans="1:22" s="380" customFormat="1" ht="16" customHeight="1">
      <c r="A26" s="1673"/>
      <c r="B26" s="308"/>
      <c r="C26" s="357"/>
      <c r="D26" s="357"/>
      <c r="E26" s="357"/>
      <c r="F26" s="358"/>
      <c r="G26" s="358"/>
      <c r="H26" s="358"/>
      <c r="I26" s="308"/>
      <c r="J26" s="308"/>
      <c r="K26" s="308"/>
      <c r="L26" s="1673"/>
      <c r="M26" s="1571"/>
      <c r="N26" s="1572"/>
      <c r="O26" s="1572"/>
      <c r="P26" s="1572"/>
      <c r="Q26" s="1572"/>
      <c r="R26" s="1572"/>
      <c r="S26" s="1572"/>
      <c r="T26" s="1573"/>
      <c r="U26" s="432"/>
      <c r="V26" s="432"/>
    </row>
    <row r="27" spans="1:22" ht="16" customHeight="1">
      <c r="A27" s="1673"/>
      <c r="B27" s="308"/>
      <c r="C27" s="357"/>
      <c r="D27" s="357"/>
      <c r="E27" s="357"/>
      <c r="F27" s="358"/>
      <c r="G27" s="358"/>
      <c r="H27" s="358"/>
      <c r="I27" s="308"/>
      <c r="J27" s="308"/>
      <c r="K27" s="308"/>
      <c r="L27" s="1673"/>
      <c r="M27" s="1571"/>
      <c r="N27" s="1572"/>
      <c r="O27" s="1572"/>
      <c r="P27" s="1572"/>
      <c r="Q27" s="1572"/>
      <c r="R27" s="1572"/>
      <c r="S27" s="1572"/>
      <c r="T27" s="1573"/>
      <c r="U27" s="425"/>
      <c r="V27" s="425"/>
    </row>
    <row r="28" spans="1:22" ht="16" customHeight="1">
      <c r="A28" s="1673"/>
      <c r="B28" s="308"/>
      <c r="C28" s="1715"/>
      <c r="D28" s="1716"/>
      <c r="E28" s="1716"/>
      <c r="F28" s="1716"/>
      <c r="G28" s="1716"/>
      <c r="H28" s="1716"/>
      <c r="I28" s="1716"/>
      <c r="J28" s="1716"/>
      <c r="K28" s="308"/>
      <c r="L28" s="1673"/>
      <c r="M28" s="1571"/>
      <c r="N28" s="1572"/>
      <c r="O28" s="1572"/>
      <c r="P28" s="1572"/>
      <c r="Q28" s="1572"/>
      <c r="R28" s="1572"/>
      <c r="S28" s="1572"/>
      <c r="T28" s="1573"/>
      <c r="U28" s="425"/>
      <c r="V28" s="425"/>
    </row>
    <row r="29" spans="1:22" ht="16" customHeight="1">
      <c r="A29" s="1673"/>
      <c r="B29" s="308"/>
      <c r="C29" s="1716"/>
      <c r="D29" s="1716"/>
      <c r="E29" s="1716"/>
      <c r="F29" s="1716"/>
      <c r="G29" s="1716"/>
      <c r="H29" s="1716"/>
      <c r="I29" s="1716"/>
      <c r="J29" s="1716"/>
      <c r="K29" s="308"/>
      <c r="L29" s="1673"/>
      <c r="M29" s="1571"/>
      <c r="N29" s="1572"/>
      <c r="O29" s="1572"/>
      <c r="P29" s="1572"/>
      <c r="Q29" s="1572"/>
      <c r="R29" s="1572"/>
      <c r="S29" s="1572"/>
      <c r="T29" s="1573"/>
      <c r="U29" s="425"/>
      <c r="V29" s="425"/>
    </row>
    <row r="30" spans="1:22" ht="16" customHeight="1">
      <c r="A30" s="1673"/>
      <c r="B30" s="308"/>
      <c r="C30" s="1716"/>
      <c r="D30" s="1716"/>
      <c r="E30" s="1716"/>
      <c r="F30" s="1716"/>
      <c r="G30" s="1716"/>
      <c r="H30" s="1716"/>
      <c r="I30" s="1716"/>
      <c r="J30" s="1716"/>
      <c r="K30" s="308"/>
      <c r="L30" s="1673"/>
      <c r="M30" s="1571"/>
      <c r="N30" s="1572"/>
      <c r="O30" s="1572"/>
      <c r="P30" s="1572"/>
      <c r="Q30" s="1572"/>
      <c r="R30" s="1572"/>
      <c r="S30" s="1572"/>
      <c r="T30" s="1573"/>
      <c r="U30" s="425"/>
      <c r="V30" s="425"/>
    </row>
    <row r="31" spans="1:22" ht="16" customHeight="1">
      <c r="A31" s="1673"/>
      <c r="B31" s="308"/>
      <c r="C31" s="308"/>
      <c r="D31" s="308"/>
      <c r="E31" s="308"/>
      <c r="F31" s="308"/>
      <c r="G31" s="308"/>
      <c r="H31" s="308"/>
      <c r="I31" s="308"/>
      <c r="J31" s="308"/>
      <c r="K31" s="308"/>
      <c r="L31" s="1673"/>
      <c r="M31" s="1571"/>
      <c r="N31" s="1572"/>
      <c r="O31" s="1572"/>
      <c r="P31" s="1572"/>
      <c r="Q31" s="1572"/>
      <c r="R31" s="1572"/>
      <c r="S31" s="1572"/>
      <c r="T31" s="1573"/>
      <c r="U31" s="425"/>
      <c r="V31" s="425"/>
    </row>
    <row r="32" spans="1:22" ht="16" customHeight="1">
      <c r="A32" s="1673"/>
      <c r="B32" s="308"/>
      <c r="C32" s="315"/>
      <c r="D32" s="315"/>
      <c r="E32" s="315"/>
      <c r="F32" s="315"/>
      <c r="G32" s="315"/>
      <c r="H32" s="315"/>
      <c r="I32" s="315"/>
      <c r="J32" s="315"/>
      <c r="K32" s="308"/>
      <c r="L32" s="1673"/>
      <c r="M32" s="1571"/>
      <c r="N32" s="1572"/>
      <c r="O32" s="1572"/>
      <c r="P32" s="1572"/>
      <c r="Q32" s="1572"/>
      <c r="R32" s="1572"/>
      <c r="S32" s="1572"/>
      <c r="T32" s="1573"/>
      <c r="U32" s="425"/>
      <c r="V32" s="425"/>
    </row>
    <row r="33" spans="1:22" ht="16" customHeight="1">
      <c r="A33" s="1673"/>
      <c r="B33" s="308"/>
      <c r="C33" s="315"/>
      <c r="D33" s="315"/>
      <c r="E33" s="315"/>
      <c r="F33" s="315"/>
      <c r="G33" s="315"/>
      <c r="H33" s="315"/>
      <c r="I33" s="315"/>
      <c r="J33" s="315"/>
      <c r="K33" s="308"/>
      <c r="L33" s="1673"/>
      <c r="M33" s="1571"/>
      <c r="N33" s="1572"/>
      <c r="O33" s="1572"/>
      <c r="P33" s="1572"/>
      <c r="Q33" s="1572"/>
      <c r="R33" s="1572"/>
      <c r="S33" s="1572"/>
      <c r="T33" s="1573"/>
      <c r="U33" s="425"/>
      <c r="V33" s="425"/>
    </row>
    <row r="34" spans="1:22" ht="16" customHeight="1">
      <c r="A34" s="1673"/>
      <c r="B34" s="308"/>
      <c r="C34" s="315"/>
      <c r="D34" s="315"/>
      <c r="E34" s="315"/>
      <c r="F34" s="315"/>
      <c r="G34" s="315"/>
      <c r="H34" s="315"/>
      <c r="I34" s="315"/>
      <c r="J34" s="315"/>
      <c r="K34" s="308"/>
      <c r="L34" s="1673"/>
      <c r="M34" s="1708"/>
      <c r="N34" s="1709"/>
      <c r="O34" s="1709"/>
      <c r="P34" s="1709"/>
      <c r="Q34" s="1709"/>
      <c r="R34" s="1709"/>
      <c r="S34" s="1709"/>
      <c r="T34" s="1710"/>
      <c r="U34" s="377"/>
      <c r="V34" s="377"/>
    </row>
    <row r="35" spans="1:22" ht="16" customHeight="1">
      <c r="A35" s="1673"/>
      <c r="B35" s="308"/>
      <c r="C35" s="308"/>
      <c r="D35" s="308"/>
      <c r="E35" s="308"/>
      <c r="F35" s="308"/>
      <c r="G35" s="308"/>
      <c r="H35" s="308"/>
      <c r="I35" s="308"/>
      <c r="J35" s="308"/>
      <c r="K35" s="308"/>
      <c r="L35" s="1673"/>
      <c r="M35" s="1708"/>
      <c r="N35" s="1709"/>
      <c r="O35" s="1709"/>
      <c r="P35" s="1709"/>
      <c r="Q35" s="1709"/>
      <c r="R35" s="1709"/>
      <c r="S35" s="1709"/>
      <c r="T35" s="1710"/>
      <c r="U35" s="377"/>
      <c r="V35" s="377"/>
    </row>
    <row r="36" spans="1:22" ht="20" customHeight="1">
      <c r="A36" s="1673"/>
      <c r="B36" s="1674" t="s">
        <v>1122</v>
      </c>
      <c r="C36" s="1674"/>
      <c r="D36" s="1674"/>
      <c r="E36" s="1674"/>
      <c r="F36" s="1674"/>
      <c r="G36" s="1674"/>
      <c r="H36" s="1674"/>
      <c r="I36" s="1674"/>
      <c r="J36" s="1674"/>
      <c r="K36" s="1674"/>
      <c r="L36" s="1673"/>
      <c r="M36" s="396" t="str">
        <f>N40</f>
        <v>AR</v>
      </c>
      <c r="N36" s="1675" t="s">
        <v>1124</v>
      </c>
      <c r="O36" s="1675"/>
      <c r="P36" s="1675"/>
      <c r="Q36" s="1675"/>
      <c r="R36" s="1675"/>
      <c r="S36" s="1675"/>
      <c r="T36" s="396"/>
      <c r="U36" s="426"/>
      <c r="V36" s="426"/>
    </row>
    <row r="37" spans="1:22" ht="18" customHeight="1">
      <c r="A37" s="310"/>
      <c r="B37" s="1672" t="s">
        <v>1066</v>
      </c>
      <c r="C37" s="1672"/>
      <c r="D37" s="1672"/>
      <c r="E37" s="1672"/>
      <c r="F37" s="1672"/>
      <c r="G37" s="1672"/>
      <c r="H37" s="1672"/>
      <c r="I37" s="1672"/>
      <c r="J37" s="1672"/>
      <c r="K37" s="1672"/>
      <c r="L37" s="310"/>
      <c r="M37" s="1714" t="s">
        <v>1013</v>
      </c>
      <c r="N37" s="1714"/>
      <c r="O37" s="1714"/>
      <c r="P37" s="1714"/>
      <c r="Q37" s="1714"/>
      <c r="R37" s="1714"/>
      <c r="S37" s="1714"/>
      <c r="T37" s="1714"/>
      <c r="U37" s="449"/>
      <c r="V37" s="449"/>
    </row>
    <row r="38" spans="1:22" ht="16" customHeight="1">
      <c r="A38" s="447"/>
      <c r="B38" s="447"/>
      <c r="C38" s="447"/>
      <c r="D38" s="447"/>
      <c r="E38" s="447"/>
      <c r="F38" s="447"/>
      <c r="G38" s="447"/>
      <c r="H38" s="447"/>
      <c r="I38" s="447"/>
      <c r="J38" s="447"/>
      <c r="K38" s="447"/>
      <c r="L38" s="309"/>
      <c r="M38" s="393"/>
      <c r="N38" s="393"/>
      <c r="O38" s="393"/>
      <c r="P38" s="393"/>
      <c r="Q38" s="393"/>
      <c r="R38" s="393"/>
      <c r="S38" s="393"/>
      <c r="T38" s="393"/>
      <c r="U38" s="311"/>
      <c r="V38" s="311"/>
    </row>
    <row r="39" spans="1:22" ht="16" customHeight="1">
      <c r="A39" s="447"/>
      <c r="B39" s="447"/>
      <c r="C39" s="447"/>
      <c r="D39" s="447"/>
      <c r="E39" s="447"/>
      <c r="F39" s="447"/>
      <c r="G39" s="447"/>
      <c r="H39" s="447"/>
      <c r="I39" s="447"/>
      <c r="J39" s="447"/>
      <c r="K39" s="447"/>
      <c r="L39" s="309"/>
      <c r="M39" s="393"/>
      <c r="N39" s="393"/>
      <c r="O39" s="393"/>
      <c r="P39" s="393"/>
      <c r="Q39" s="393"/>
      <c r="R39" s="393"/>
      <c r="S39" s="393"/>
      <c r="T39" s="393"/>
      <c r="U39" s="311"/>
      <c r="V39" s="311"/>
    </row>
    <row r="40" spans="1:22" ht="16" customHeight="1">
      <c r="A40" s="447"/>
      <c r="B40" s="1532" t="s">
        <v>952</v>
      </c>
      <c r="C40" s="1532"/>
      <c r="D40" s="1532"/>
      <c r="E40" s="1532"/>
      <c r="F40" s="1532"/>
      <c r="G40" s="1532"/>
      <c r="H40" s="1532"/>
      <c r="I40" s="1532"/>
      <c r="J40" s="1532"/>
      <c r="K40" s="447"/>
      <c r="L40" s="309"/>
      <c r="M40" s="393"/>
      <c r="N40" s="773" t="str">
        <f>'FIG3'!W49</f>
        <v>AR</v>
      </c>
      <c r="O40" s="808"/>
      <c r="P40" s="808"/>
      <c r="Q40" s="808"/>
      <c r="R40" s="393"/>
      <c r="S40" s="393"/>
      <c r="T40" s="393"/>
      <c r="U40" s="311"/>
      <c r="V40" s="311"/>
    </row>
    <row r="41" spans="1:22" ht="16" customHeight="1">
      <c r="A41" s="447"/>
      <c r="B41" s="1532"/>
      <c r="C41" s="1532"/>
      <c r="D41" s="1532"/>
      <c r="E41" s="1532"/>
      <c r="F41" s="1532"/>
      <c r="G41" s="1532"/>
      <c r="H41" s="1532"/>
      <c r="I41" s="1532"/>
      <c r="J41" s="1532"/>
      <c r="K41" s="447"/>
      <c r="L41" s="309"/>
      <c r="M41" s="393"/>
      <c r="N41" s="809" t="s">
        <v>1092</v>
      </c>
      <c r="O41" s="810" t="s">
        <v>1087</v>
      </c>
      <c r="P41" s="811" t="s">
        <v>1090</v>
      </c>
      <c r="Q41" s="810" t="s">
        <v>1088</v>
      </c>
      <c r="R41" s="393"/>
      <c r="S41" s="394"/>
      <c r="T41" s="393"/>
      <c r="U41" s="311"/>
      <c r="V41" s="311"/>
    </row>
    <row r="42" spans="1:22" ht="16" customHeight="1">
      <c r="A42" s="447"/>
      <c r="B42" s="1532"/>
      <c r="C42" s="1532"/>
      <c r="D42" s="1532"/>
      <c r="E42" s="1532"/>
      <c r="F42" s="1532"/>
      <c r="G42" s="1532"/>
      <c r="H42" s="1532"/>
      <c r="I42" s="1532"/>
      <c r="J42" s="1532"/>
      <c r="K42" s="447"/>
      <c r="L42" s="309"/>
      <c r="M42" s="393"/>
      <c r="N42" s="809" t="s">
        <v>1351</v>
      </c>
      <c r="O42" s="805">
        <v>0</v>
      </c>
      <c r="P42" s="805">
        <v>0</v>
      </c>
      <c r="Q42" s="812">
        <f>'FIG3'!F11</f>
        <v>-0.26219815529572787</v>
      </c>
      <c r="R42" s="393"/>
      <c r="S42" s="813"/>
      <c r="T42" s="814"/>
      <c r="U42" s="450"/>
      <c r="V42" s="450"/>
    </row>
    <row r="43" spans="1:22" ht="16" customHeight="1">
      <c r="A43" s="447"/>
      <c r="B43" s="1532"/>
      <c r="C43" s="1532"/>
      <c r="D43" s="1532"/>
      <c r="E43" s="1532"/>
      <c r="F43" s="1532"/>
      <c r="G43" s="1532"/>
      <c r="H43" s="1532"/>
      <c r="I43" s="1532"/>
      <c r="J43" s="1532"/>
      <c r="K43" s="447"/>
      <c r="L43" s="309"/>
      <c r="M43" s="393"/>
      <c r="N43" s="809" t="str">
        <f>'FIG3'!W52&amp;" "&amp;'FIG3'!X52</f>
        <v>Little Rock School District</v>
      </c>
      <c r="O43" s="805">
        <v>0</v>
      </c>
      <c r="P43" s="805">
        <v>0</v>
      </c>
      <c r="Q43" s="812">
        <f>'FIG3'!J11</f>
        <v>-0.43441118409609375</v>
      </c>
      <c r="R43" s="393"/>
      <c r="S43" s="813"/>
      <c r="T43" s="814"/>
      <c r="U43" s="450"/>
      <c r="V43" s="450"/>
    </row>
    <row r="44" spans="1:22" ht="16" customHeight="1">
      <c r="A44" s="447"/>
      <c r="B44" s="1532"/>
      <c r="C44" s="1532"/>
      <c r="D44" s="1532"/>
      <c r="E44" s="1532"/>
      <c r="F44" s="1532"/>
      <c r="G44" s="1532"/>
      <c r="H44" s="1532"/>
      <c r="I44" s="1532"/>
      <c r="J44" s="1532"/>
      <c r="K44" s="447"/>
      <c r="L44" s="309"/>
      <c r="M44" s="393"/>
      <c r="N44" s="809" t="str">
        <f>'FIG3'!W53&amp;" "&amp;'FIG3'!X53</f>
        <v>FA2L1 FA2L2</v>
      </c>
      <c r="O44" s="805">
        <v>0</v>
      </c>
      <c r="P44" s="805">
        <v>0</v>
      </c>
      <c r="Q44" s="812" t="e">
        <f>'FIG3'!L11</f>
        <v>#DIV/0!</v>
      </c>
      <c r="R44" s="393"/>
      <c r="S44" s="813"/>
      <c r="T44" s="814"/>
      <c r="U44" s="450"/>
      <c r="V44" s="450"/>
    </row>
    <row r="45" spans="1:22" ht="16" customHeight="1">
      <c r="A45" s="447"/>
      <c r="B45" s="1532"/>
      <c r="C45" s="1532"/>
      <c r="D45" s="1532"/>
      <c r="E45" s="1532"/>
      <c r="F45" s="1532"/>
      <c r="G45" s="1532"/>
      <c r="H45" s="1532"/>
      <c r="I45" s="1532"/>
      <c r="J45" s="1532"/>
      <c r="K45" s="447"/>
      <c r="L45" s="309"/>
      <c r="M45" s="393"/>
      <c r="N45" s="809" t="str">
        <f>'FIG3'!W54&amp;" "&amp;'FIG3'!X54</f>
        <v>FA3L1 FA3L2</v>
      </c>
      <c r="O45" s="805">
        <v>0</v>
      </c>
      <c r="P45" s="805">
        <v>0</v>
      </c>
      <c r="Q45" s="812" t="e">
        <f>'FIG3'!N11</f>
        <v>#DIV/0!</v>
      </c>
      <c r="R45" s="393"/>
      <c r="S45" s="813"/>
      <c r="T45" s="814"/>
      <c r="U45" s="450"/>
      <c r="V45" s="450"/>
    </row>
    <row r="46" spans="1:22" ht="16" customHeight="1">
      <c r="A46" s="447"/>
      <c r="B46" s="1532"/>
      <c r="C46" s="1532"/>
      <c r="D46" s="1532"/>
      <c r="E46" s="1532"/>
      <c r="F46" s="1532"/>
      <c r="G46" s="1532"/>
      <c r="H46" s="1532"/>
      <c r="I46" s="1532"/>
      <c r="J46" s="1532"/>
      <c r="K46" s="447"/>
      <c r="L46" s="309"/>
      <c r="M46" s="393"/>
      <c r="N46" s="809" t="str">
        <f>'FIG3'!W55&amp;" "&amp;'FIG3'!X55</f>
        <v>FA4L1 FA4L2</v>
      </c>
      <c r="O46" s="805">
        <v>0</v>
      </c>
      <c r="P46" s="805">
        <v>0</v>
      </c>
      <c r="Q46" s="812" t="e">
        <f>'FIG3'!P11</f>
        <v>#DIV/0!</v>
      </c>
      <c r="R46" s="393"/>
      <c r="S46" s="813"/>
      <c r="T46" s="814"/>
      <c r="U46" s="450"/>
      <c r="V46" s="450"/>
    </row>
    <row r="47" spans="1:22" ht="16" customHeight="1">
      <c r="A47" s="447"/>
      <c r="B47" s="447"/>
      <c r="C47" s="418"/>
      <c r="D47" s="418"/>
      <c r="E47" s="418"/>
      <c r="F47" s="418"/>
      <c r="G47" s="418"/>
      <c r="H47" s="418"/>
      <c r="I47" s="418"/>
      <c r="J47" s="418"/>
      <c r="K47" s="447"/>
      <c r="L47" s="309"/>
      <c r="M47" s="393"/>
      <c r="N47" s="809" t="str">
        <f>'FIG3'!W56&amp;" "&amp;'FIG3'!X56</f>
        <v>FA5L1 FA5L2</v>
      </c>
      <c r="O47" s="805">
        <v>0</v>
      </c>
      <c r="P47" s="805">
        <v>0</v>
      </c>
      <c r="Q47" s="812" t="e">
        <f>'FIG3'!R11</f>
        <v>#DIV/0!</v>
      </c>
      <c r="R47" s="393"/>
      <c r="S47" s="813"/>
      <c r="T47" s="814"/>
      <c r="U47" s="450"/>
      <c r="V47" s="450"/>
    </row>
    <row r="48" spans="1:22" ht="16" customHeight="1">
      <c r="A48" s="447"/>
      <c r="B48" s="447"/>
      <c r="C48" s="418"/>
      <c r="D48" s="418"/>
      <c r="E48" s="418"/>
      <c r="F48" s="418"/>
      <c r="G48" s="418"/>
      <c r="H48" s="418"/>
      <c r="I48" s="418"/>
      <c r="J48" s="418"/>
      <c r="K48" s="447"/>
      <c r="L48" s="309"/>
      <c r="M48" s="393"/>
      <c r="N48" s="815"/>
      <c r="O48" s="806"/>
      <c r="P48" s="806"/>
      <c r="Q48" s="845"/>
      <c r="R48" s="393"/>
      <c r="S48" s="816"/>
      <c r="T48" s="816"/>
      <c r="U48" s="311"/>
      <c r="V48" s="311"/>
    </row>
    <row r="49" spans="1:22" ht="16" customHeight="1">
      <c r="A49" s="447"/>
      <c r="B49" s="447"/>
      <c r="C49" s="447"/>
      <c r="D49" s="447"/>
      <c r="E49" s="447"/>
      <c r="F49" s="447"/>
      <c r="G49" s="447"/>
      <c r="H49" s="447"/>
      <c r="I49" s="447"/>
      <c r="J49" s="447"/>
      <c r="K49" s="447"/>
      <c r="L49" s="309"/>
      <c r="M49" s="393"/>
      <c r="N49" s="817"/>
      <c r="O49" s="818"/>
      <c r="P49" s="818"/>
      <c r="Q49" s="818"/>
      <c r="R49" s="818"/>
      <c r="S49" s="818"/>
      <c r="T49" s="818"/>
      <c r="U49" s="451"/>
      <c r="V49" s="451"/>
    </row>
    <row r="50" spans="1:22" ht="16" customHeight="1">
      <c r="A50" s="447"/>
      <c r="B50" s="447"/>
      <c r="C50" s="447"/>
      <c r="D50" s="447"/>
      <c r="E50" s="447"/>
      <c r="F50" s="447"/>
      <c r="G50" s="447"/>
      <c r="H50" s="447"/>
      <c r="I50" s="447"/>
      <c r="J50" s="447"/>
      <c r="K50" s="447"/>
      <c r="L50" s="309"/>
      <c r="M50" s="393"/>
      <c r="N50" s="1713" t="s">
        <v>953</v>
      </c>
      <c r="O50" s="1713"/>
      <c r="P50" s="1713"/>
      <c r="Q50" s="1713"/>
      <c r="R50" s="1713"/>
      <c r="S50" s="1713"/>
      <c r="T50" s="1713"/>
      <c r="U50" s="762"/>
      <c r="V50" s="451"/>
    </row>
    <row r="51" spans="1:22" ht="16" customHeight="1">
      <c r="A51" s="447"/>
      <c r="B51" s="447"/>
      <c r="C51" s="447"/>
      <c r="D51" s="447"/>
      <c r="E51" s="447"/>
      <c r="F51" s="447"/>
      <c r="G51" s="447"/>
      <c r="H51" s="447"/>
      <c r="I51" s="447"/>
      <c r="J51" s="447"/>
      <c r="K51" s="447"/>
      <c r="L51" s="309"/>
      <c r="M51" s="393"/>
      <c r="N51" s="1713"/>
      <c r="O51" s="1713"/>
      <c r="P51" s="1713"/>
      <c r="Q51" s="1713"/>
      <c r="R51" s="1713"/>
      <c r="S51" s="1713"/>
      <c r="T51" s="1713"/>
      <c r="U51" s="762"/>
      <c r="V51" s="451"/>
    </row>
    <row r="52" spans="1:22" ht="16" customHeight="1">
      <c r="A52" s="447"/>
      <c r="B52" s="447"/>
      <c r="C52" s="447"/>
      <c r="D52" s="447"/>
      <c r="E52" s="447"/>
      <c r="F52" s="447"/>
      <c r="G52" s="447"/>
      <c r="H52" s="447"/>
      <c r="I52" s="447"/>
      <c r="J52" s="447"/>
      <c r="K52" s="447"/>
      <c r="L52" s="309"/>
      <c r="M52" s="393"/>
      <c r="N52" s="819"/>
      <c r="O52" s="819"/>
      <c r="P52" s="819"/>
      <c r="Q52" s="819"/>
      <c r="R52" s="819"/>
      <c r="S52" s="819"/>
      <c r="T52" s="820"/>
      <c r="U52" s="451"/>
      <c r="V52" s="451"/>
    </row>
    <row r="53" spans="1:22" ht="16" customHeight="1">
      <c r="A53" s="447"/>
      <c r="B53" s="447"/>
      <c r="C53" s="447"/>
      <c r="D53" s="447"/>
      <c r="E53" s="447"/>
      <c r="F53" s="447"/>
      <c r="G53" s="447"/>
      <c r="H53" s="447"/>
      <c r="I53" s="447"/>
      <c r="J53" s="447"/>
      <c r="K53" s="447"/>
      <c r="L53" s="309"/>
      <c r="M53" s="393"/>
      <c r="N53" s="1690" t="s">
        <v>1012</v>
      </c>
      <c r="O53" s="1690"/>
      <c r="P53" s="1690"/>
      <c r="Q53" s="1690"/>
      <c r="R53" s="1690"/>
      <c r="S53" s="1690"/>
      <c r="T53" s="1690"/>
      <c r="U53" s="377"/>
      <c r="V53" s="377"/>
    </row>
    <row r="54" spans="1:22" ht="16" customHeight="1">
      <c r="A54" s="447"/>
      <c r="B54" s="447"/>
      <c r="C54" s="447"/>
      <c r="D54" s="447"/>
      <c r="E54" s="447"/>
      <c r="F54" s="447"/>
      <c r="G54" s="447"/>
      <c r="H54" s="447"/>
      <c r="I54" s="447"/>
      <c r="J54" s="447"/>
      <c r="K54" s="447"/>
      <c r="L54" s="309"/>
      <c r="M54" s="393"/>
      <c r="N54" s="1690"/>
      <c r="O54" s="1690"/>
      <c r="P54" s="1690"/>
      <c r="Q54" s="1690"/>
      <c r="R54" s="1690"/>
      <c r="S54" s="1690"/>
      <c r="T54" s="1690"/>
      <c r="U54" s="377"/>
      <c r="V54" s="377"/>
    </row>
    <row r="55" spans="1:22" ht="16" customHeight="1">
      <c r="A55" s="447"/>
      <c r="B55" s="447"/>
      <c r="C55" s="447"/>
      <c r="D55" s="447"/>
      <c r="E55" s="447"/>
      <c r="F55" s="447"/>
      <c r="G55" s="447"/>
      <c r="H55" s="447"/>
      <c r="I55" s="447"/>
      <c r="J55" s="447"/>
      <c r="K55" s="447"/>
      <c r="L55" s="309"/>
      <c r="M55" s="393"/>
      <c r="N55" s="1690"/>
      <c r="O55" s="1690"/>
      <c r="P55" s="1690"/>
      <c r="Q55" s="1690"/>
      <c r="R55" s="1690"/>
      <c r="S55" s="1690"/>
      <c r="T55" s="1690"/>
      <c r="U55" s="377"/>
      <c r="V55" s="377"/>
    </row>
    <row r="56" spans="1:22" ht="16" customHeight="1">
      <c r="A56" s="447"/>
      <c r="B56" s="447"/>
      <c r="C56" s="447"/>
      <c r="D56" s="447"/>
      <c r="E56" s="447"/>
      <c r="F56" s="447"/>
      <c r="G56" s="447"/>
      <c r="H56" s="447"/>
      <c r="I56" s="447"/>
      <c r="J56" s="447"/>
      <c r="K56" s="447"/>
      <c r="L56" s="309"/>
      <c r="M56" s="394"/>
      <c r="N56" s="1690"/>
      <c r="O56" s="1690"/>
      <c r="P56" s="1690"/>
      <c r="Q56" s="1690"/>
      <c r="R56" s="1690"/>
      <c r="S56" s="1690"/>
      <c r="T56" s="1690"/>
      <c r="U56" s="377"/>
      <c r="V56" s="377"/>
    </row>
    <row r="57" spans="1:22" ht="16" customHeight="1">
      <c r="A57" s="447"/>
      <c r="B57" s="447"/>
      <c r="C57" s="447"/>
      <c r="D57" s="447"/>
      <c r="E57" s="447"/>
      <c r="F57" s="447"/>
      <c r="G57" s="447"/>
      <c r="H57" s="447"/>
      <c r="I57" s="447"/>
      <c r="J57" s="447"/>
      <c r="K57" s="447"/>
      <c r="L57" s="309"/>
      <c r="M57" s="394"/>
      <c r="N57" s="394"/>
      <c r="O57" s="394"/>
      <c r="P57" s="394"/>
      <c r="Q57" s="394"/>
      <c r="R57" s="394"/>
      <c r="S57" s="394"/>
      <c r="T57" s="394"/>
      <c r="U57" s="377"/>
      <c r="V57" s="377"/>
    </row>
    <row r="58" spans="1:22" ht="16" customHeight="1">
      <c r="A58" s="447"/>
      <c r="B58" s="447"/>
      <c r="C58" s="447"/>
      <c r="D58" s="447"/>
      <c r="E58" s="447"/>
      <c r="F58" s="447"/>
      <c r="G58" s="447"/>
      <c r="H58" s="447"/>
      <c r="I58" s="447"/>
      <c r="J58" s="447"/>
      <c r="K58" s="447"/>
      <c r="L58" s="309"/>
      <c r="M58" s="394"/>
      <c r="N58" s="394"/>
      <c r="O58" s="394"/>
      <c r="P58" s="394"/>
      <c r="Q58" s="394"/>
      <c r="R58" s="394"/>
      <c r="S58" s="394"/>
      <c r="T58" s="394"/>
      <c r="U58" s="377"/>
      <c r="V58" s="377"/>
    </row>
    <row r="59" spans="1:22" ht="16" customHeight="1"/>
  </sheetData>
  <mergeCells count="31">
    <mergeCell ref="M31:T31"/>
    <mergeCell ref="M32:T32"/>
    <mergeCell ref="D5:H5"/>
    <mergeCell ref="C7:E7"/>
    <mergeCell ref="M26:T26"/>
    <mergeCell ref="M27:T27"/>
    <mergeCell ref="M28:T28"/>
    <mergeCell ref="M29:T29"/>
    <mergeCell ref="M30:T30"/>
    <mergeCell ref="A2:A36"/>
    <mergeCell ref="L2:L36"/>
    <mergeCell ref="C28:J30"/>
    <mergeCell ref="B2:K2"/>
    <mergeCell ref="B36:K36"/>
    <mergeCell ref="D6:H6"/>
    <mergeCell ref="N50:T51"/>
    <mergeCell ref="N53:T56"/>
    <mergeCell ref="B37:K37"/>
    <mergeCell ref="M37:T37"/>
    <mergeCell ref="B1:K1"/>
    <mergeCell ref="M3:T7"/>
    <mergeCell ref="M8:T14"/>
    <mergeCell ref="M15:T23"/>
    <mergeCell ref="M24:T24"/>
    <mergeCell ref="M25:T25"/>
    <mergeCell ref="B40:J46"/>
    <mergeCell ref="N2:S2"/>
    <mergeCell ref="N36:S36"/>
    <mergeCell ref="M33:T33"/>
    <mergeCell ref="M34:T34"/>
    <mergeCell ref="M35:T35"/>
  </mergeCells>
  <phoneticPr fontId="153" type="noConversion"/>
  <conditionalFormatting sqref="F8:H13">
    <cfRule type="cellIs" dxfId="45" priority="22" stopIfTrue="1" operator="lessThan">
      <formula>0</formula>
    </cfRule>
  </conditionalFormatting>
  <conditionalFormatting sqref="C16:H16">
    <cfRule type="expression" dxfId="44" priority="21">
      <formula>$N$47="FA5L1 FA5L2"</formula>
    </cfRule>
  </conditionalFormatting>
  <conditionalFormatting sqref="C15:H15">
    <cfRule type="expression" dxfId="43" priority="20">
      <formula>$N$46="FA4L1 FA4L2"</formula>
    </cfRule>
  </conditionalFormatting>
  <conditionalFormatting sqref="C14:H14">
    <cfRule type="expression" dxfId="42" priority="19">
      <formula>$N$45="FA3L1 FA3L2"</formula>
    </cfRule>
  </conditionalFormatting>
  <conditionalFormatting sqref="C10:H10">
    <cfRule type="expression" dxfId="41" priority="16">
      <formula>$N$44="FA2L1 FA2L2"</formula>
    </cfRule>
  </conditionalFormatting>
  <conditionalFormatting sqref="C9:H9">
    <cfRule type="expression" dxfId="40" priority="15">
      <formula>$N$43="FA1L1 FA1L2"</formula>
    </cfRule>
  </conditionalFormatting>
  <conditionalFormatting sqref="C11:H11">
    <cfRule type="expression" dxfId="39" priority="14">
      <formula>$N$45="FA3L1 FA3L2"</formula>
    </cfRule>
  </conditionalFormatting>
  <conditionalFormatting sqref="C12:H12">
    <cfRule type="expression" dxfId="38" priority="13">
      <formula>$N$46="FA4L1 FA4L2"</formula>
    </cfRule>
  </conditionalFormatting>
  <conditionalFormatting sqref="C13:H13">
    <cfRule type="expression" dxfId="37" priority="11">
      <formula>$N$47="FA5L1 FA5L2"</formula>
    </cfRule>
  </conditionalFormatting>
  <conditionalFormatting sqref="N43:P43">
    <cfRule type="expression" dxfId="36" priority="10">
      <formula>$N$43="FA1L1 FA1L2"</formula>
    </cfRule>
  </conditionalFormatting>
  <conditionalFormatting sqref="N44:P44">
    <cfRule type="expression" dxfId="35" priority="9">
      <formula>$N$44="FA2L1 FA2L2"</formula>
    </cfRule>
  </conditionalFormatting>
  <conditionalFormatting sqref="N45:P45">
    <cfRule type="expression" dxfId="34" priority="8">
      <formula>$N$45="FA3L1 FA3L2"</formula>
    </cfRule>
  </conditionalFormatting>
  <conditionalFormatting sqref="N46:P46">
    <cfRule type="expression" dxfId="33" priority="7">
      <formula>$N$46="FA4L1 FA4L2"</formula>
    </cfRule>
  </conditionalFormatting>
  <conditionalFormatting sqref="N47:P47">
    <cfRule type="expression" dxfId="32" priority="6">
      <formula>$N$47="FA5L1 FA5L2"</formula>
    </cfRule>
  </conditionalFormatting>
  <conditionalFormatting sqref="Q43">
    <cfRule type="expression" dxfId="31" priority="5">
      <formula>$N$43="FA1L1 FA1L2"</formula>
    </cfRule>
  </conditionalFormatting>
  <conditionalFormatting sqref="Q44">
    <cfRule type="expression" dxfId="30" priority="4">
      <formula>$N$44="FA2L1 FA2L2"</formula>
    </cfRule>
  </conditionalFormatting>
  <conditionalFormatting sqref="Q45">
    <cfRule type="expression" dxfId="29" priority="3">
      <formula>$N$45="FA3L1 FA3L2"</formula>
    </cfRule>
  </conditionalFormatting>
  <conditionalFormatting sqref="Q46">
    <cfRule type="expression" dxfId="28" priority="2">
      <formula>$N$46="FA4L1 FA4L2"</formula>
    </cfRule>
  </conditionalFormatting>
  <conditionalFormatting sqref="Q47">
    <cfRule type="expression" dxfId="27" priority="1">
      <formula>$N$47="FA5L1 FA5L2"</formula>
    </cfRule>
  </conditionalFormatting>
  <pageMargins left="1.25" right="1.25" top="1.25" bottom="1.25" header="0.3" footer="0.3"/>
  <pageSetup orientation="portrait" horizontalDpi="4294967292" verticalDpi="4294967292"/>
  <rowBreaks count="1" manualBreakCount="1">
    <brk id="35" max="16383" man="1"/>
  </rowBreaks>
  <colBreaks count="1" manualBreakCount="1">
    <brk id="20" max="1048575" man="1"/>
  </colBreaks>
  <ignoredErrors>
    <ignoredError sqref="C9" formula="1"/>
  </ignoredError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L54"/>
  <sheetViews>
    <sheetView topLeftCell="A2" workbookViewId="0">
      <selection activeCell="C6" sqref="C6:M11"/>
    </sheetView>
  </sheetViews>
  <sheetFormatPr baseColWidth="10" defaultColWidth="8.83203125" defaultRowHeight="11" x14ac:dyDescent="0"/>
  <cols>
    <col min="1" max="1" width="4.83203125" style="277" customWidth="1"/>
    <col min="2" max="2" width="3.83203125" style="277" customWidth="1"/>
    <col min="3" max="3" width="4.83203125" style="277" customWidth="1"/>
    <col min="4" max="4" width="16.83203125" style="387" customWidth="1"/>
    <col min="5" max="5" width="8.83203125" style="277" customWidth="1"/>
    <col min="6" max="7" width="8.83203125" style="299" customWidth="1"/>
    <col min="8" max="13" width="8.83203125" style="277" customWidth="1"/>
    <col min="14" max="14" width="3.83203125" style="277" customWidth="1"/>
    <col min="15" max="16" width="4.83203125" style="277" customWidth="1"/>
    <col min="17" max="17" width="19.1640625" style="277" customWidth="1"/>
    <col min="18" max="22" width="8.33203125" style="277" customWidth="1"/>
    <col min="23" max="25" width="8.33203125" style="299" customWidth="1"/>
    <col min="26" max="26" width="8.33203125" style="277" customWidth="1"/>
    <col min="27" max="27" width="4.83203125" style="277" customWidth="1"/>
    <col min="28" max="31" width="9.83203125" style="277" customWidth="1"/>
    <col min="32" max="32" width="14.33203125" style="277" customWidth="1"/>
    <col min="33" max="38" width="9.83203125" style="277" customWidth="1"/>
    <col min="39" max="16384" width="8.83203125" style="277"/>
  </cols>
  <sheetData>
    <row r="1" spans="1:38" s="373" customFormat="1" ht="18" customHeight="1">
      <c r="A1" s="310"/>
      <c r="B1" s="1672" t="s">
        <v>1066</v>
      </c>
      <c r="C1" s="1672"/>
      <c r="D1" s="1672"/>
      <c r="E1" s="1672"/>
      <c r="F1" s="1672"/>
      <c r="G1" s="1672"/>
      <c r="H1" s="1672"/>
      <c r="I1" s="1672"/>
      <c r="J1" s="1672"/>
      <c r="K1" s="1672"/>
      <c r="L1" s="1672"/>
      <c r="M1" s="1672"/>
      <c r="N1" s="1672"/>
      <c r="O1" s="310"/>
      <c r="P1" s="309"/>
      <c r="Q1" s="309"/>
      <c r="R1" s="309"/>
      <c r="S1" s="309"/>
      <c r="T1" s="309"/>
      <c r="U1" s="309"/>
      <c r="V1" s="309"/>
      <c r="W1" s="309"/>
      <c r="X1" s="309"/>
      <c r="Y1" s="309"/>
      <c r="Z1" s="309"/>
      <c r="AA1" s="309"/>
    </row>
    <row r="2" spans="1:38" ht="20" customHeight="1">
      <c r="A2" s="1673" t="s">
        <v>1066</v>
      </c>
      <c r="B2" s="1674" t="s">
        <v>1125</v>
      </c>
      <c r="C2" s="1674"/>
      <c r="D2" s="1674"/>
      <c r="E2" s="1674"/>
      <c r="F2" s="1674"/>
      <c r="G2" s="1674"/>
      <c r="H2" s="1674"/>
      <c r="I2" s="1674"/>
      <c r="J2" s="1674"/>
      <c r="K2" s="1674"/>
      <c r="L2" s="1674"/>
      <c r="M2" s="1674"/>
      <c r="N2" s="1674"/>
      <c r="O2" s="1673" t="s">
        <v>1066</v>
      </c>
      <c r="P2" s="433" t="str">
        <f>Q39</f>
        <v>AR</v>
      </c>
      <c r="Q2" s="1675" t="s">
        <v>1126</v>
      </c>
      <c r="R2" s="1675"/>
      <c r="S2" s="1675"/>
      <c r="T2" s="1675"/>
      <c r="U2" s="1675"/>
      <c r="V2" s="1675"/>
      <c r="W2" s="1675"/>
      <c r="X2" s="1675"/>
      <c r="Y2" s="1675"/>
      <c r="Z2" s="1675"/>
      <c r="AA2" s="434"/>
    </row>
    <row r="3" spans="1:38" ht="15" customHeight="1">
      <c r="A3" s="1673"/>
      <c r="B3" s="308"/>
      <c r="C3" s="308"/>
      <c r="D3" s="308"/>
      <c r="E3" s="308"/>
      <c r="F3" s="308"/>
      <c r="G3" s="308"/>
      <c r="H3" s="308"/>
      <c r="I3" s="308"/>
      <c r="J3" s="308"/>
      <c r="K3" s="308"/>
      <c r="L3" s="308"/>
      <c r="M3" s="308"/>
      <c r="N3" s="308"/>
      <c r="O3" s="1673"/>
      <c r="P3" s="1525" t="s">
        <v>1470</v>
      </c>
      <c r="Q3" s="1526"/>
      <c r="R3" s="1526"/>
      <c r="S3" s="1526"/>
      <c r="T3" s="1526"/>
      <c r="U3" s="1526"/>
      <c r="V3" s="1526"/>
      <c r="W3" s="1526"/>
      <c r="X3" s="1526"/>
      <c r="Y3" s="1526"/>
      <c r="Z3" s="1526"/>
      <c r="AA3" s="1527"/>
      <c r="AH3" s="1483"/>
    </row>
    <row r="4" spans="1:38" ht="15" customHeight="1">
      <c r="A4" s="1673"/>
      <c r="B4" s="308"/>
      <c r="C4" s="308"/>
      <c r="D4" s="308"/>
      <c r="E4" s="308"/>
      <c r="F4" s="308"/>
      <c r="G4" s="308"/>
      <c r="H4" s="308"/>
      <c r="I4" s="308"/>
      <c r="J4" s="308"/>
      <c r="K4" s="308"/>
      <c r="L4" s="308"/>
      <c r="M4" s="308"/>
      <c r="N4" s="308"/>
      <c r="O4" s="1673"/>
      <c r="P4" s="1525"/>
      <c r="Q4" s="1526"/>
      <c r="R4" s="1526"/>
      <c r="S4" s="1526"/>
      <c r="T4" s="1526"/>
      <c r="U4" s="1526"/>
      <c r="V4" s="1526"/>
      <c r="W4" s="1526"/>
      <c r="X4" s="1526"/>
      <c r="Y4" s="1526"/>
      <c r="Z4" s="1526"/>
      <c r="AA4" s="1527"/>
      <c r="AH4" s="1483"/>
      <c r="AI4" s="1483"/>
    </row>
    <row r="5" spans="1:38" ht="15" customHeight="1" thickBot="1">
      <c r="A5" s="1673"/>
      <c r="B5" s="308"/>
      <c r="C5" s="308"/>
      <c r="D5" s="308"/>
      <c r="E5" s="308"/>
      <c r="F5" s="308"/>
      <c r="G5" s="308"/>
      <c r="H5" s="308"/>
      <c r="I5" s="308"/>
      <c r="J5" s="308"/>
      <c r="K5" s="308"/>
      <c r="L5" s="308"/>
      <c r="M5" s="308"/>
      <c r="N5" s="308"/>
      <c r="O5" s="1673"/>
      <c r="P5" s="1525"/>
      <c r="Q5" s="1526"/>
      <c r="R5" s="1526"/>
      <c r="S5" s="1526"/>
      <c r="T5" s="1526"/>
      <c r="U5" s="1526"/>
      <c r="V5" s="1526"/>
      <c r="W5" s="1526"/>
      <c r="X5" s="1526"/>
      <c r="Y5" s="1526"/>
      <c r="Z5" s="1526"/>
      <c r="AA5" s="1527"/>
    </row>
    <row r="6" spans="1:38" ht="22" customHeight="1" thickBot="1">
      <c r="A6" s="1673"/>
      <c r="B6" s="308"/>
      <c r="C6" s="638" t="str">
        <f>'FIG11'!$Q$39</f>
        <v>AR</v>
      </c>
      <c r="D6" s="1727" t="s">
        <v>1472</v>
      </c>
      <c r="E6" s="1727"/>
      <c r="F6" s="1727"/>
      <c r="G6" s="1727"/>
      <c r="H6" s="1727"/>
      <c r="I6" s="1727"/>
      <c r="J6" s="1727"/>
      <c r="K6" s="1727"/>
      <c r="L6" s="1727"/>
      <c r="M6" s="1728"/>
      <c r="N6" s="308"/>
      <c r="O6" s="1673"/>
      <c r="P6" s="1528"/>
      <c r="Q6" s="1529"/>
      <c r="R6" s="1529"/>
      <c r="S6" s="1529"/>
      <c r="T6" s="1529"/>
      <c r="U6" s="1529"/>
      <c r="V6" s="1529"/>
      <c r="W6" s="1529"/>
      <c r="X6" s="1529"/>
      <c r="Y6" s="1529"/>
      <c r="Z6" s="1529"/>
      <c r="AA6" s="1530"/>
    </row>
    <row r="7" spans="1:38" ht="18" customHeight="1" thickBot="1">
      <c r="A7" s="1673"/>
      <c r="B7" s="308"/>
      <c r="C7" s="697"/>
      <c r="D7" s="704"/>
      <c r="E7" s="1730" t="s">
        <v>1134</v>
      </c>
      <c r="F7" s="1731"/>
      <c r="G7" s="1731"/>
      <c r="H7" s="1731"/>
      <c r="I7" s="1731"/>
      <c r="J7" s="1731"/>
      <c r="K7" s="1731"/>
      <c r="L7" s="1731"/>
      <c r="M7" s="1732"/>
      <c r="N7" s="308"/>
      <c r="O7" s="1673"/>
      <c r="P7" s="1522"/>
      <c r="Q7" s="1523"/>
      <c r="R7" s="1523"/>
      <c r="S7" s="1523"/>
      <c r="T7" s="1523"/>
      <c r="U7" s="1523"/>
      <c r="V7" s="1523"/>
      <c r="W7" s="1523"/>
      <c r="X7" s="1523"/>
      <c r="Y7" s="1523"/>
      <c r="Z7" s="1523"/>
      <c r="AA7" s="1524"/>
    </row>
    <row r="8" spans="1:38" ht="18" customHeight="1" thickBot="1">
      <c r="A8" s="1673"/>
      <c r="B8" s="308"/>
      <c r="C8" s="1739" t="s">
        <v>1136</v>
      </c>
      <c r="D8" s="1740"/>
      <c r="E8" s="1733" t="s">
        <v>1131</v>
      </c>
      <c r="F8" s="1734"/>
      <c r="G8" s="1735"/>
      <c r="H8" s="1733" t="s">
        <v>1132</v>
      </c>
      <c r="I8" s="1734"/>
      <c r="J8" s="1736"/>
      <c r="K8" s="1733" t="s">
        <v>1133</v>
      </c>
      <c r="L8" s="1734"/>
      <c r="M8" s="1734"/>
      <c r="N8" s="308"/>
      <c r="O8" s="1673"/>
      <c r="P8" s="1525"/>
      <c r="Q8" s="1526"/>
      <c r="R8" s="1526"/>
      <c r="S8" s="1526"/>
      <c r="T8" s="1526"/>
      <c r="U8" s="1526"/>
      <c r="V8" s="1526"/>
      <c r="W8" s="1526"/>
      <c r="X8" s="1526"/>
      <c r="Y8" s="1526"/>
      <c r="Z8" s="1526"/>
      <c r="AA8" s="1527"/>
    </row>
    <row r="9" spans="1:38" ht="18" customHeight="1" thickBot="1">
      <c r="A9" s="1673"/>
      <c r="B9" s="308"/>
      <c r="C9" s="1741" t="s">
        <v>1135</v>
      </c>
      <c r="D9" s="1742"/>
      <c r="E9" s="701" t="s">
        <v>1004</v>
      </c>
      <c r="F9" s="698" t="s">
        <v>1005</v>
      </c>
      <c r="G9" s="699" t="s">
        <v>968</v>
      </c>
      <c r="H9" s="701" t="s">
        <v>1004</v>
      </c>
      <c r="I9" s="698" t="s">
        <v>1005</v>
      </c>
      <c r="J9" s="699" t="s">
        <v>968</v>
      </c>
      <c r="K9" s="701" t="s">
        <v>1004</v>
      </c>
      <c r="L9" s="698" t="s">
        <v>1005</v>
      </c>
      <c r="M9" s="698" t="s">
        <v>968</v>
      </c>
      <c r="N9" s="308"/>
      <c r="O9" s="1673"/>
      <c r="P9" s="1525"/>
      <c r="Q9" s="1526"/>
      <c r="R9" s="1526"/>
      <c r="S9" s="1526"/>
      <c r="T9" s="1526"/>
      <c r="U9" s="1526"/>
      <c r="V9" s="1526"/>
      <c r="W9" s="1526"/>
      <c r="X9" s="1526"/>
      <c r="Y9" s="1526"/>
      <c r="Z9" s="1526"/>
      <c r="AA9" s="1527"/>
    </row>
    <row r="10" spans="1:38" ht="18" customHeight="1">
      <c r="A10" s="1673"/>
      <c r="B10" s="308"/>
      <c r="C10" s="695" t="s">
        <v>1080</v>
      </c>
      <c r="D10" s="705"/>
      <c r="E10" s="702" t="str">
        <f>R42</f>
        <v>N/A</v>
      </c>
      <c r="F10" s="647" t="str">
        <f t="shared" ref="F10:M10" si="0">S42</f>
        <v>N/A</v>
      </c>
      <c r="G10" s="700">
        <f t="shared" si="0"/>
        <v>0.64700000000000002</v>
      </c>
      <c r="H10" s="702" t="str">
        <f t="shared" si="0"/>
        <v>N/A</v>
      </c>
      <c r="I10" s="647" t="str">
        <f t="shared" si="0"/>
        <v>N/A</v>
      </c>
      <c r="J10" s="703">
        <f t="shared" si="0"/>
        <v>0.749</v>
      </c>
      <c r="K10" s="702" t="str">
        <f t="shared" si="0"/>
        <v>N/A</v>
      </c>
      <c r="L10" s="647" t="str">
        <f t="shared" si="0"/>
        <v>N/A</v>
      </c>
      <c r="M10" s="657">
        <f t="shared" si="0"/>
        <v>0.11600000000000001</v>
      </c>
      <c r="N10" s="308"/>
      <c r="O10" s="1673"/>
      <c r="P10" s="1528"/>
      <c r="Q10" s="1529"/>
      <c r="R10" s="1529"/>
      <c r="S10" s="1529"/>
      <c r="T10" s="1529"/>
      <c r="U10" s="1529"/>
      <c r="V10" s="1529"/>
      <c r="W10" s="1529"/>
      <c r="X10" s="1529"/>
      <c r="Y10" s="1529"/>
      <c r="Z10" s="1529"/>
      <c r="AA10" s="1530"/>
    </row>
    <row r="11" spans="1:38" ht="18" customHeight="1" thickBot="1">
      <c r="A11" s="1673"/>
      <c r="B11" s="308"/>
      <c r="C11" s="696" t="s">
        <v>1081</v>
      </c>
      <c r="D11" s="706"/>
      <c r="E11" s="707" t="str">
        <f>R43</f>
        <v>N/A</v>
      </c>
      <c r="F11" s="653" t="str">
        <f t="shared" ref="F11:M11" si="1">S43</f>
        <v>N/A</v>
      </c>
      <c r="G11" s="708">
        <f t="shared" si="1"/>
        <v>0.48</v>
      </c>
      <c r="H11" s="707" t="str">
        <f t="shared" si="1"/>
        <v>N/A</v>
      </c>
      <c r="I11" s="653" t="str">
        <f t="shared" si="1"/>
        <v>N/A</v>
      </c>
      <c r="J11" s="709">
        <f t="shared" si="1"/>
        <v>0.55500000000000005</v>
      </c>
      <c r="K11" s="707" t="str">
        <f t="shared" si="1"/>
        <v>N/A</v>
      </c>
      <c r="L11" s="653" t="str">
        <f t="shared" si="1"/>
        <v>N/A</v>
      </c>
      <c r="M11" s="654">
        <f t="shared" si="1"/>
        <v>5.3999999999999999E-2</v>
      </c>
      <c r="N11" s="308"/>
      <c r="O11" s="1673"/>
      <c r="P11" s="1522"/>
      <c r="Q11" s="1523"/>
      <c r="R11" s="1523"/>
      <c r="S11" s="1523"/>
      <c r="T11" s="1523"/>
      <c r="U11" s="1523"/>
      <c r="V11" s="1523"/>
      <c r="W11" s="1523"/>
      <c r="X11" s="1523"/>
      <c r="Y11" s="1523"/>
      <c r="Z11" s="1523"/>
      <c r="AA11" s="1524"/>
      <c r="AF11" s="1485" t="s">
        <v>6</v>
      </c>
      <c r="AG11" s="1722" t="s">
        <v>1134</v>
      </c>
      <c r="AH11" s="1722"/>
      <c r="AI11" s="1722"/>
      <c r="AJ11" s="1722"/>
      <c r="AK11" s="1722"/>
      <c r="AL11" s="1722"/>
    </row>
    <row r="12" spans="1:38" ht="15" customHeight="1">
      <c r="A12" s="1673"/>
      <c r="B12" s="308"/>
      <c r="C12" s="308"/>
      <c r="D12" s="308"/>
      <c r="E12" s="308"/>
      <c r="F12" s="308"/>
      <c r="G12" s="308"/>
      <c r="H12" s="308"/>
      <c r="I12" s="308"/>
      <c r="J12" s="308"/>
      <c r="K12" s="308"/>
      <c r="L12" s="308"/>
      <c r="M12" s="308"/>
      <c r="N12" s="308"/>
      <c r="O12" s="1673"/>
      <c r="P12" s="1525"/>
      <c r="Q12" s="1526"/>
      <c r="R12" s="1526"/>
      <c r="S12" s="1526"/>
      <c r="T12" s="1526"/>
      <c r="U12" s="1526"/>
      <c r="V12" s="1526"/>
      <c r="W12" s="1526"/>
      <c r="X12" s="1526"/>
      <c r="Y12" s="1526"/>
      <c r="Z12" s="1526"/>
      <c r="AA12" s="1527"/>
      <c r="AF12" s="476" t="s">
        <v>1136</v>
      </c>
      <c r="AG12" s="1723" t="s">
        <v>1131</v>
      </c>
      <c r="AH12" s="1724"/>
      <c r="AI12" s="1723" t="s">
        <v>1132</v>
      </c>
      <c r="AJ12" s="1723"/>
      <c r="AK12" s="1723" t="s">
        <v>1133</v>
      </c>
      <c r="AL12" s="1723"/>
    </row>
    <row r="13" spans="1:38" s="380" customFormat="1" ht="15" customHeight="1">
      <c r="A13" s="1673"/>
      <c r="B13" s="308"/>
      <c r="C13" s="308"/>
      <c r="D13" s="308"/>
      <c r="E13" s="308"/>
      <c r="F13" s="308"/>
      <c r="G13" s="308"/>
      <c r="H13" s="308"/>
      <c r="I13" s="308"/>
      <c r="J13" s="308"/>
      <c r="K13" s="308"/>
      <c r="L13" s="308"/>
      <c r="M13" s="308"/>
      <c r="N13" s="308"/>
      <c r="O13" s="1673"/>
      <c r="P13" s="1525"/>
      <c r="Q13" s="1526"/>
      <c r="R13" s="1526"/>
      <c r="S13" s="1526"/>
      <c r="T13" s="1526"/>
      <c r="U13" s="1526"/>
      <c r="V13" s="1526"/>
      <c r="W13" s="1526"/>
      <c r="X13" s="1526"/>
      <c r="Y13" s="1526"/>
      <c r="Z13" s="1526"/>
      <c r="AA13" s="1527"/>
      <c r="AF13" s="476" t="s">
        <v>1135</v>
      </c>
      <c r="AG13" s="1723" t="s">
        <v>1088</v>
      </c>
      <c r="AH13" s="1724"/>
      <c r="AI13" s="1723" t="s">
        <v>1088</v>
      </c>
      <c r="AJ13" s="1726"/>
      <c r="AK13" s="1723" t="s">
        <v>1088</v>
      </c>
      <c r="AL13" s="1726"/>
    </row>
    <row r="14" spans="1:38" s="380" customFormat="1" ht="15" customHeight="1">
      <c r="A14" s="1673"/>
      <c r="B14" s="308"/>
      <c r="C14" s="308"/>
      <c r="D14" s="308"/>
      <c r="E14" s="308"/>
      <c r="F14" s="308"/>
      <c r="G14" s="308"/>
      <c r="H14" s="308"/>
      <c r="I14" s="308"/>
      <c r="J14" s="308"/>
      <c r="K14" s="308"/>
      <c r="L14" s="308"/>
      <c r="M14" s="308"/>
      <c r="N14" s="308"/>
      <c r="O14" s="1673"/>
      <c r="P14" s="1525"/>
      <c r="Q14" s="1526"/>
      <c r="R14" s="1526"/>
      <c r="S14" s="1526"/>
      <c r="T14" s="1526"/>
      <c r="U14" s="1526"/>
      <c r="V14" s="1526"/>
      <c r="W14" s="1526"/>
      <c r="X14" s="1526"/>
      <c r="Y14" s="1526"/>
      <c r="Z14" s="1526"/>
      <c r="AA14" s="1527"/>
      <c r="AF14" s="477" t="s">
        <v>1080</v>
      </c>
      <c r="AG14" s="1725">
        <v>0.64700000000000002</v>
      </c>
      <c r="AH14" s="1725"/>
      <c r="AI14" s="1725">
        <v>0.66800000000000004</v>
      </c>
      <c r="AJ14" s="1724"/>
      <c r="AK14" s="1725">
        <v>0.11600000000000001</v>
      </c>
      <c r="AL14" s="1724"/>
    </row>
    <row r="15" spans="1:38" s="380" customFormat="1" ht="15" customHeight="1">
      <c r="A15" s="1673"/>
      <c r="B15" s="308"/>
      <c r="C15" s="308"/>
      <c r="D15" s="308"/>
      <c r="E15" s="308"/>
      <c r="F15" s="308"/>
      <c r="G15" s="308"/>
      <c r="H15" s="308"/>
      <c r="I15" s="308"/>
      <c r="J15" s="308"/>
      <c r="K15" s="308"/>
      <c r="L15" s="308"/>
      <c r="M15" s="308"/>
      <c r="N15" s="308"/>
      <c r="O15" s="1673"/>
      <c r="P15" s="1525"/>
      <c r="Q15" s="1526"/>
      <c r="R15" s="1526"/>
      <c r="S15" s="1526"/>
      <c r="T15" s="1526"/>
      <c r="U15" s="1526"/>
      <c r="V15" s="1526"/>
      <c r="W15" s="1526"/>
      <c r="X15" s="1526"/>
      <c r="Y15" s="1526"/>
      <c r="Z15" s="1526"/>
      <c r="AA15" s="1527"/>
      <c r="AF15" s="477" t="s">
        <v>1081</v>
      </c>
      <c r="AG15" s="1725">
        <v>0.48</v>
      </c>
      <c r="AH15" s="1725"/>
      <c r="AI15" s="1725">
        <v>0.36</v>
      </c>
      <c r="AJ15" s="1724"/>
      <c r="AK15" s="1725">
        <v>5.3999999999999999E-2</v>
      </c>
      <c r="AL15" s="1724"/>
    </row>
    <row r="16" spans="1:38" s="380" customFormat="1" ht="15" customHeight="1">
      <c r="A16" s="1673"/>
      <c r="B16" s="308"/>
      <c r="C16" s="308"/>
      <c r="D16" s="308"/>
      <c r="E16" s="308"/>
      <c r="F16" s="308"/>
      <c r="G16" s="308"/>
      <c r="H16" s="308"/>
      <c r="I16" s="308"/>
      <c r="J16" s="308"/>
      <c r="K16" s="308"/>
      <c r="L16" s="308"/>
      <c r="M16" s="308"/>
      <c r="N16" s="308"/>
      <c r="O16" s="1673"/>
      <c r="P16" s="1525"/>
      <c r="Q16" s="1526"/>
      <c r="R16" s="1526"/>
      <c r="S16" s="1526"/>
      <c r="T16" s="1526"/>
      <c r="U16" s="1526"/>
      <c r="V16" s="1526"/>
      <c r="W16" s="1526"/>
      <c r="X16" s="1526"/>
      <c r="Y16" s="1526"/>
      <c r="Z16" s="1526"/>
      <c r="AA16" s="1527"/>
    </row>
    <row r="17" spans="1:27" s="380" customFormat="1" ht="15" customHeight="1">
      <c r="A17" s="1673"/>
      <c r="B17" s="308"/>
      <c r="C17" s="308"/>
      <c r="D17" s="308"/>
      <c r="E17" s="308"/>
      <c r="F17" s="308"/>
      <c r="G17" s="308"/>
      <c r="H17" s="308"/>
      <c r="I17" s="308"/>
      <c r="J17" s="308"/>
      <c r="K17" s="308"/>
      <c r="L17" s="308"/>
      <c r="M17" s="308"/>
      <c r="N17" s="308"/>
      <c r="O17" s="1673"/>
      <c r="P17" s="1525"/>
      <c r="Q17" s="1526"/>
      <c r="R17" s="1526"/>
      <c r="S17" s="1526"/>
      <c r="T17" s="1526"/>
      <c r="U17" s="1526"/>
      <c r="V17" s="1526"/>
      <c r="W17" s="1526"/>
      <c r="X17" s="1526"/>
      <c r="Y17" s="1526"/>
      <c r="Z17" s="1526"/>
      <c r="AA17" s="1527"/>
    </row>
    <row r="18" spans="1:27" ht="15" customHeight="1">
      <c r="A18" s="1673"/>
      <c r="B18" s="308"/>
      <c r="C18" s="308"/>
      <c r="D18" s="308"/>
      <c r="E18" s="308"/>
      <c r="F18" s="308"/>
      <c r="G18" s="308"/>
      <c r="H18" s="308"/>
      <c r="I18" s="308"/>
      <c r="J18" s="308"/>
      <c r="K18" s="308"/>
      <c r="L18" s="308"/>
      <c r="M18" s="308"/>
      <c r="N18" s="308"/>
      <c r="O18" s="1673"/>
      <c r="P18" s="1525"/>
      <c r="Q18" s="1526"/>
      <c r="R18" s="1526"/>
      <c r="S18" s="1526"/>
      <c r="T18" s="1526"/>
      <c r="U18" s="1526"/>
      <c r="V18" s="1526"/>
      <c r="W18" s="1526"/>
      <c r="X18" s="1526"/>
      <c r="Y18" s="1526"/>
      <c r="Z18" s="1526"/>
      <c r="AA18" s="1527"/>
    </row>
    <row r="19" spans="1:27" ht="15" customHeight="1">
      <c r="A19" s="1673"/>
      <c r="B19" s="308"/>
      <c r="C19" s="308"/>
      <c r="D19" s="308"/>
      <c r="E19" s="308"/>
      <c r="F19" s="308"/>
      <c r="G19" s="308"/>
      <c r="H19" s="308"/>
      <c r="I19" s="308"/>
      <c r="J19" s="308"/>
      <c r="K19" s="308"/>
      <c r="L19" s="308"/>
      <c r="M19" s="308"/>
      <c r="N19" s="308"/>
      <c r="O19" s="1673"/>
      <c r="P19" s="1525"/>
      <c r="Q19" s="1526"/>
      <c r="R19" s="1526"/>
      <c r="S19" s="1526"/>
      <c r="T19" s="1526"/>
      <c r="U19" s="1526"/>
      <c r="V19" s="1526"/>
      <c r="W19" s="1526"/>
      <c r="X19" s="1526"/>
      <c r="Y19" s="1526"/>
      <c r="Z19" s="1526"/>
      <c r="AA19" s="1527"/>
    </row>
    <row r="20" spans="1:27" ht="15" customHeight="1">
      <c r="A20" s="1673"/>
      <c r="B20" s="308"/>
      <c r="C20" s="308"/>
      <c r="D20" s="308"/>
      <c r="E20" s="308"/>
      <c r="F20" s="308"/>
      <c r="G20" s="308"/>
      <c r="H20" s="308"/>
      <c r="I20" s="308"/>
      <c r="J20" s="308"/>
      <c r="K20" s="308"/>
      <c r="L20" s="308"/>
      <c r="M20" s="308"/>
      <c r="N20" s="308"/>
      <c r="O20" s="1673"/>
      <c r="P20" s="1525"/>
      <c r="Q20" s="1526"/>
      <c r="R20" s="1526"/>
      <c r="S20" s="1526"/>
      <c r="T20" s="1526"/>
      <c r="U20" s="1526"/>
      <c r="V20" s="1526"/>
      <c r="W20" s="1526"/>
      <c r="X20" s="1526"/>
      <c r="Y20" s="1526"/>
      <c r="Z20" s="1526"/>
      <c r="AA20" s="1527"/>
    </row>
    <row r="21" spans="1:27" ht="15" customHeight="1">
      <c r="A21" s="1673"/>
      <c r="B21" s="308"/>
      <c r="C21" s="308"/>
      <c r="D21" s="308"/>
      <c r="E21" s="308"/>
      <c r="F21" s="308"/>
      <c r="G21" s="308"/>
      <c r="H21" s="308"/>
      <c r="I21" s="308"/>
      <c r="J21" s="308"/>
      <c r="K21" s="308"/>
      <c r="L21" s="308"/>
      <c r="M21" s="308"/>
      <c r="N21" s="308"/>
      <c r="O21" s="1673"/>
      <c r="P21" s="1528"/>
      <c r="Q21" s="1529"/>
      <c r="R21" s="1529"/>
      <c r="S21" s="1529"/>
      <c r="T21" s="1529"/>
      <c r="U21" s="1529"/>
      <c r="V21" s="1529"/>
      <c r="W21" s="1529"/>
      <c r="X21" s="1529"/>
      <c r="Y21" s="1529"/>
      <c r="Z21" s="1529"/>
      <c r="AA21" s="1530"/>
    </row>
    <row r="22" spans="1:27" ht="15" customHeight="1">
      <c r="A22" s="1673"/>
      <c r="B22" s="308"/>
      <c r="C22" s="308"/>
      <c r="D22" s="308"/>
      <c r="E22" s="308"/>
      <c r="F22" s="308"/>
      <c r="G22" s="308"/>
      <c r="H22" s="308"/>
      <c r="I22" s="308"/>
      <c r="J22" s="308"/>
      <c r="K22" s="308"/>
      <c r="L22" s="308"/>
      <c r="M22" s="308"/>
      <c r="N22" s="308"/>
      <c r="O22" s="1673"/>
      <c r="P22" s="1522"/>
      <c r="Q22" s="1523"/>
      <c r="R22" s="1523"/>
      <c r="S22" s="1523"/>
      <c r="T22" s="1523"/>
      <c r="U22" s="1523"/>
      <c r="V22" s="1523"/>
      <c r="W22" s="1523"/>
      <c r="X22" s="1523"/>
      <c r="Y22" s="1523"/>
      <c r="Z22" s="1523"/>
      <c r="AA22" s="1524"/>
    </row>
    <row r="23" spans="1:27" ht="15" customHeight="1">
      <c r="A23" s="1673"/>
      <c r="B23" s="308"/>
      <c r="C23" s="308"/>
      <c r="D23" s="308"/>
      <c r="E23" s="308"/>
      <c r="F23" s="308"/>
      <c r="G23" s="308"/>
      <c r="H23" s="308"/>
      <c r="I23" s="308"/>
      <c r="J23" s="308"/>
      <c r="K23" s="308"/>
      <c r="L23" s="308"/>
      <c r="M23" s="308"/>
      <c r="N23" s="308"/>
      <c r="O23" s="1673"/>
      <c r="P23" s="1525"/>
      <c r="Q23" s="1526"/>
      <c r="R23" s="1526"/>
      <c r="S23" s="1526"/>
      <c r="T23" s="1526"/>
      <c r="U23" s="1526"/>
      <c r="V23" s="1526"/>
      <c r="W23" s="1526"/>
      <c r="X23" s="1526"/>
      <c r="Y23" s="1526"/>
      <c r="Z23" s="1526"/>
      <c r="AA23" s="1527"/>
    </row>
    <row r="24" spans="1:27" s="380" customFormat="1" ht="15" customHeight="1">
      <c r="A24" s="1673"/>
      <c r="B24" s="308"/>
      <c r="C24" s="308"/>
      <c r="D24" s="308"/>
      <c r="E24" s="308"/>
      <c r="F24" s="308"/>
      <c r="G24" s="308"/>
      <c r="H24" s="308"/>
      <c r="I24" s="308"/>
      <c r="J24" s="308"/>
      <c r="K24" s="308"/>
      <c r="L24" s="308"/>
      <c r="M24" s="308"/>
      <c r="N24" s="308"/>
      <c r="O24" s="1673"/>
      <c r="P24" s="1525"/>
      <c r="Q24" s="1526"/>
      <c r="R24" s="1526"/>
      <c r="S24" s="1526"/>
      <c r="T24" s="1526"/>
      <c r="U24" s="1526"/>
      <c r="V24" s="1526"/>
      <c r="W24" s="1526"/>
      <c r="X24" s="1526"/>
      <c r="Y24" s="1526"/>
      <c r="Z24" s="1526"/>
      <c r="AA24" s="1527"/>
    </row>
    <row r="25" spans="1:27" s="380" customFormat="1" ht="15" customHeight="1">
      <c r="A25" s="1673"/>
      <c r="B25" s="308"/>
      <c r="C25" s="308"/>
      <c r="D25" s="308"/>
      <c r="E25" s="308"/>
      <c r="F25" s="308"/>
      <c r="G25" s="308"/>
      <c r="H25" s="308"/>
      <c r="I25" s="308"/>
      <c r="J25" s="308"/>
      <c r="K25" s="308"/>
      <c r="L25" s="308"/>
      <c r="M25" s="308"/>
      <c r="N25" s="308"/>
      <c r="O25" s="1673"/>
      <c r="P25" s="1525"/>
      <c r="Q25" s="1526"/>
      <c r="R25" s="1526"/>
      <c r="S25" s="1526"/>
      <c r="T25" s="1526"/>
      <c r="U25" s="1526"/>
      <c r="V25" s="1526"/>
      <c r="W25" s="1526"/>
      <c r="X25" s="1526"/>
      <c r="Y25" s="1526"/>
      <c r="Z25" s="1526"/>
      <c r="AA25" s="1527"/>
    </row>
    <row r="26" spans="1:27" s="380" customFormat="1" ht="15" customHeight="1">
      <c r="A26" s="1673"/>
      <c r="B26" s="308"/>
      <c r="C26" s="308"/>
      <c r="D26" s="308"/>
      <c r="E26" s="308"/>
      <c r="F26" s="308"/>
      <c r="G26" s="308"/>
      <c r="H26" s="308"/>
      <c r="I26" s="308"/>
      <c r="J26" s="308"/>
      <c r="K26" s="308"/>
      <c r="L26" s="308"/>
      <c r="M26" s="308"/>
      <c r="N26" s="308"/>
      <c r="O26" s="1673"/>
      <c r="P26" s="1525"/>
      <c r="Q26" s="1526"/>
      <c r="R26" s="1526"/>
      <c r="S26" s="1526"/>
      <c r="T26" s="1526"/>
      <c r="U26" s="1526"/>
      <c r="V26" s="1526"/>
      <c r="W26" s="1526"/>
      <c r="X26" s="1526"/>
      <c r="Y26" s="1526"/>
      <c r="Z26" s="1526"/>
      <c r="AA26" s="1527"/>
    </row>
    <row r="27" spans="1:27" s="380" customFormat="1" ht="15" customHeight="1">
      <c r="A27" s="1673"/>
      <c r="B27" s="308"/>
      <c r="C27" s="308"/>
      <c r="D27" s="308"/>
      <c r="E27" s="308"/>
      <c r="F27" s="308"/>
      <c r="G27" s="308"/>
      <c r="H27" s="308"/>
      <c r="I27" s="308"/>
      <c r="J27" s="308"/>
      <c r="K27" s="308"/>
      <c r="L27" s="308"/>
      <c r="M27" s="308"/>
      <c r="N27" s="308"/>
      <c r="O27" s="1673"/>
      <c r="P27" s="1528"/>
      <c r="Q27" s="1529"/>
      <c r="R27" s="1529"/>
      <c r="S27" s="1529"/>
      <c r="T27" s="1529"/>
      <c r="U27" s="1529"/>
      <c r="V27" s="1529"/>
      <c r="W27" s="1529"/>
      <c r="X27" s="1529"/>
      <c r="Y27" s="1529"/>
      <c r="Z27" s="1529"/>
      <c r="AA27" s="1530"/>
    </row>
    <row r="28" spans="1:27" s="380" customFormat="1" ht="15" customHeight="1">
      <c r="A28" s="1673"/>
      <c r="B28" s="308"/>
      <c r="C28" s="308"/>
      <c r="D28" s="308"/>
      <c r="E28" s="308"/>
      <c r="F28" s="308"/>
      <c r="G28" s="308"/>
      <c r="H28" s="308"/>
      <c r="I28" s="308"/>
      <c r="J28" s="308"/>
      <c r="K28" s="308"/>
      <c r="L28" s="308"/>
      <c r="M28" s="308"/>
      <c r="N28" s="308"/>
      <c r="O28" s="1673"/>
      <c r="P28" s="1571"/>
      <c r="Q28" s="1572"/>
      <c r="R28" s="1572"/>
      <c r="S28" s="1572"/>
      <c r="T28" s="1572"/>
      <c r="U28" s="1572"/>
      <c r="V28" s="1572"/>
      <c r="W28" s="1572"/>
      <c r="X28" s="1572"/>
      <c r="Y28" s="1572"/>
      <c r="Z28" s="1572"/>
      <c r="AA28" s="1573"/>
    </row>
    <row r="29" spans="1:27" ht="15" customHeight="1">
      <c r="A29" s="1673"/>
      <c r="B29" s="308"/>
      <c r="C29" s="308"/>
      <c r="D29" s="308"/>
      <c r="E29" s="308"/>
      <c r="F29" s="308"/>
      <c r="G29" s="308"/>
      <c r="H29" s="308"/>
      <c r="I29" s="308"/>
      <c r="J29" s="308"/>
      <c r="K29" s="308"/>
      <c r="L29" s="308"/>
      <c r="M29" s="308"/>
      <c r="N29" s="308"/>
      <c r="O29" s="1673"/>
      <c r="P29" s="1571"/>
      <c r="Q29" s="1572"/>
      <c r="R29" s="1572"/>
      <c r="S29" s="1572"/>
      <c r="T29" s="1572"/>
      <c r="U29" s="1572"/>
      <c r="V29" s="1572"/>
      <c r="W29" s="1572"/>
      <c r="X29" s="1572"/>
      <c r="Y29" s="1572"/>
      <c r="Z29" s="1572"/>
      <c r="AA29" s="1573"/>
    </row>
    <row r="30" spans="1:27" ht="15" customHeight="1">
      <c r="A30" s="1673"/>
      <c r="B30" s="308"/>
      <c r="C30" s="308"/>
      <c r="D30" s="308"/>
      <c r="E30" s="308"/>
      <c r="F30" s="308"/>
      <c r="G30" s="308"/>
      <c r="H30" s="308"/>
      <c r="I30" s="308"/>
      <c r="J30" s="308"/>
      <c r="K30" s="308"/>
      <c r="L30" s="308"/>
      <c r="M30" s="308"/>
      <c r="N30" s="308"/>
      <c r="O30" s="1673"/>
      <c r="P30" s="1571"/>
      <c r="Q30" s="1572"/>
      <c r="R30" s="1572"/>
      <c r="S30" s="1572"/>
      <c r="T30" s="1572"/>
      <c r="U30" s="1572"/>
      <c r="V30" s="1572"/>
      <c r="W30" s="1572"/>
      <c r="X30" s="1572"/>
      <c r="Y30" s="1572"/>
      <c r="Z30" s="1572"/>
      <c r="AA30" s="1573"/>
    </row>
    <row r="31" spans="1:27" ht="15" customHeight="1">
      <c r="A31" s="1673"/>
      <c r="B31" s="308"/>
      <c r="C31" s="308"/>
      <c r="D31" s="308"/>
      <c r="E31" s="308"/>
      <c r="F31" s="308"/>
      <c r="G31" s="308"/>
      <c r="H31" s="308"/>
      <c r="I31" s="308"/>
      <c r="J31" s="308"/>
      <c r="K31" s="308"/>
      <c r="L31" s="308"/>
      <c r="M31" s="308"/>
      <c r="N31" s="308"/>
      <c r="O31" s="1673"/>
      <c r="P31" s="1571"/>
      <c r="Q31" s="1572"/>
      <c r="R31" s="1572"/>
      <c r="S31" s="1572"/>
      <c r="T31" s="1572"/>
      <c r="U31" s="1572"/>
      <c r="V31" s="1572"/>
      <c r="W31" s="1572"/>
      <c r="X31" s="1572"/>
      <c r="Y31" s="1572"/>
      <c r="Z31" s="1572"/>
      <c r="AA31" s="1573"/>
    </row>
    <row r="32" spans="1:27" ht="15" customHeight="1">
      <c r="A32" s="1673"/>
      <c r="B32" s="308"/>
      <c r="C32" s="308"/>
      <c r="D32" s="308"/>
      <c r="E32" s="308"/>
      <c r="F32" s="308"/>
      <c r="G32" s="308"/>
      <c r="H32" s="308"/>
      <c r="I32" s="308"/>
      <c r="J32" s="308"/>
      <c r="K32" s="308"/>
      <c r="L32" s="308"/>
      <c r="M32" s="308"/>
      <c r="N32" s="308"/>
      <c r="O32" s="1673"/>
      <c r="P32" s="1571"/>
      <c r="Q32" s="1572"/>
      <c r="R32" s="1572"/>
      <c r="S32" s="1572"/>
      <c r="T32" s="1572"/>
      <c r="U32" s="1572"/>
      <c r="V32" s="1572"/>
      <c r="W32" s="1572"/>
      <c r="X32" s="1572"/>
      <c r="Y32" s="1572"/>
      <c r="Z32" s="1572"/>
      <c r="AA32" s="1573"/>
    </row>
    <row r="33" spans="1:27" ht="15" customHeight="1">
      <c r="A33" s="1673"/>
      <c r="B33" s="308"/>
      <c r="C33" s="308"/>
      <c r="D33" s="308"/>
      <c r="E33" s="308"/>
      <c r="F33" s="308"/>
      <c r="G33" s="308"/>
      <c r="H33" s="308"/>
      <c r="I33" s="308"/>
      <c r="J33" s="308"/>
      <c r="K33" s="308"/>
      <c r="L33" s="308"/>
      <c r="M33" s="308"/>
      <c r="N33" s="308"/>
      <c r="O33" s="1673"/>
      <c r="P33" s="1571"/>
      <c r="Q33" s="1572"/>
      <c r="R33" s="1572"/>
      <c r="S33" s="1572"/>
      <c r="T33" s="1572"/>
      <c r="U33" s="1572"/>
      <c r="V33" s="1572"/>
      <c r="W33" s="1572"/>
      <c r="X33" s="1572"/>
      <c r="Y33" s="1572"/>
      <c r="Z33" s="1572"/>
      <c r="AA33" s="1573"/>
    </row>
    <row r="34" spans="1:27" ht="15" customHeight="1">
      <c r="A34" s="1673"/>
      <c r="B34" s="308"/>
      <c r="C34" s="308"/>
      <c r="D34" s="308"/>
      <c r="E34" s="308"/>
      <c r="F34" s="308"/>
      <c r="G34" s="308"/>
      <c r="H34" s="308"/>
      <c r="I34" s="308"/>
      <c r="J34" s="308"/>
      <c r="K34" s="308"/>
      <c r="L34" s="308"/>
      <c r="M34" s="308"/>
      <c r="N34" s="308"/>
      <c r="O34" s="1673"/>
      <c r="P34" s="1708"/>
      <c r="Q34" s="1709"/>
      <c r="R34" s="1709"/>
      <c r="S34" s="1709"/>
      <c r="T34" s="1709"/>
      <c r="U34" s="1709"/>
      <c r="V34" s="1709"/>
      <c r="W34" s="1709"/>
      <c r="X34" s="1709"/>
      <c r="Y34" s="1709"/>
      <c r="Z34" s="1709"/>
      <c r="AA34" s="1710"/>
    </row>
    <row r="35" spans="1:27" ht="15" customHeight="1">
      <c r="A35" s="1673"/>
      <c r="B35" s="308"/>
      <c r="C35" s="308"/>
      <c r="D35" s="308"/>
      <c r="E35" s="308"/>
      <c r="F35" s="308"/>
      <c r="G35" s="308"/>
      <c r="H35" s="308"/>
      <c r="I35" s="308"/>
      <c r="J35" s="308"/>
      <c r="K35" s="308"/>
      <c r="L35" s="308"/>
      <c r="M35" s="308"/>
      <c r="N35" s="308"/>
      <c r="O35" s="1673"/>
      <c r="P35" s="1708"/>
      <c r="Q35" s="1709"/>
      <c r="R35" s="1709"/>
      <c r="S35" s="1709"/>
      <c r="T35" s="1709"/>
      <c r="U35" s="1709"/>
      <c r="V35" s="1709"/>
      <c r="W35" s="1709"/>
      <c r="X35" s="1709"/>
      <c r="Y35" s="1709"/>
      <c r="Z35" s="1709"/>
      <c r="AA35" s="1710"/>
    </row>
    <row r="36" spans="1:27" ht="20" customHeight="1">
      <c r="A36" s="1673"/>
      <c r="B36" s="1674" t="s">
        <v>1125</v>
      </c>
      <c r="C36" s="1674"/>
      <c r="D36" s="1674"/>
      <c r="E36" s="1674"/>
      <c r="F36" s="1674"/>
      <c r="G36" s="1674"/>
      <c r="H36" s="1674"/>
      <c r="I36" s="1674"/>
      <c r="J36" s="1674"/>
      <c r="K36" s="1674"/>
      <c r="L36" s="1674"/>
      <c r="M36" s="1674"/>
      <c r="N36" s="1674"/>
      <c r="O36" s="1673"/>
      <c r="P36" s="396" t="str">
        <f>Q39</f>
        <v>AR</v>
      </c>
      <c r="Q36" s="1675" t="s">
        <v>1127</v>
      </c>
      <c r="R36" s="1675"/>
      <c r="S36" s="1675"/>
      <c r="T36" s="1675"/>
      <c r="U36" s="1675"/>
      <c r="V36" s="1675"/>
      <c r="W36" s="1675"/>
      <c r="X36" s="1675"/>
      <c r="Y36" s="1675"/>
      <c r="Z36" s="1675"/>
      <c r="AA36" s="396"/>
    </row>
    <row r="37" spans="1:27" ht="18" customHeight="1">
      <c r="A37" s="310"/>
      <c r="B37" s="1672" t="s">
        <v>1066</v>
      </c>
      <c r="C37" s="1672"/>
      <c r="D37" s="1672"/>
      <c r="E37" s="1672"/>
      <c r="F37" s="1672"/>
      <c r="G37" s="1672"/>
      <c r="H37" s="1672"/>
      <c r="I37" s="1672"/>
      <c r="J37" s="1672"/>
      <c r="K37" s="1672"/>
      <c r="L37" s="1672"/>
      <c r="M37" s="1672"/>
      <c r="N37" s="1672"/>
      <c r="O37" s="310"/>
      <c r="P37" s="1737" t="s">
        <v>1137</v>
      </c>
      <c r="Q37" s="1737"/>
      <c r="R37" s="1737"/>
      <c r="S37" s="1737"/>
      <c r="T37" s="1737"/>
      <c r="U37" s="1737"/>
      <c r="V37" s="1737"/>
      <c r="W37" s="1737"/>
      <c r="X37" s="1737"/>
      <c r="Y37" s="1737"/>
      <c r="Z37" s="1737"/>
      <c r="AA37" s="1737"/>
    </row>
    <row r="38" spans="1:27" ht="15" customHeight="1">
      <c r="A38" s="447"/>
      <c r="B38" s="447"/>
      <c r="C38" s="447"/>
      <c r="D38" s="447"/>
      <c r="E38" s="447"/>
      <c r="F38" s="447"/>
      <c r="G38" s="447"/>
      <c r="H38" s="447"/>
      <c r="I38" s="447"/>
      <c r="J38" s="447"/>
      <c r="K38" s="447"/>
      <c r="L38" s="447"/>
      <c r="M38" s="447"/>
      <c r="N38" s="447"/>
      <c r="O38" s="309"/>
      <c r="P38" s="388"/>
      <c r="Q38" s="388"/>
      <c r="R38" s="388"/>
      <c r="S38" s="388"/>
      <c r="T38" s="388"/>
      <c r="U38" s="388"/>
      <c r="V38" s="388"/>
      <c r="W38" s="388"/>
      <c r="X38" s="388"/>
      <c r="Y38" s="388"/>
      <c r="Z38" s="388"/>
      <c r="AA38" s="388"/>
    </row>
    <row r="39" spans="1:27" ht="15" customHeight="1">
      <c r="A39" s="447"/>
      <c r="B39" s="447"/>
      <c r="C39" s="447"/>
      <c r="D39" s="447"/>
      <c r="E39" s="447"/>
      <c r="F39" s="447"/>
      <c r="G39" s="447"/>
      <c r="H39" s="447"/>
      <c r="I39" s="447"/>
      <c r="J39" s="447"/>
      <c r="K39" s="447"/>
      <c r="L39" s="447"/>
      <c r="M39" s="447"/>
      <c r="N39" s="447"/>
      <c r="O39" s="309"/>
      <c r="P39" s="388"/>
      <c r="Q39" s="475" t="str">
        <f>'FIG3'!W49</f>
        <v>AR</v>
      </c>
      <c r="R39" s="1722" t="s">
        <v>1134</v>
      </c>
      <c r="S39" s="1722"/>
      <c r="T39" s="1722"/>
      <c r="U39" s="1722"/>
      <c r="V39" s="1722"/>
      <c r="W39" s="1722"/>
      <c r="X39" s="1722"/>
      <c r="Y39" s="1722"/>
      <c r="Z39" s="1722"/>
      <c r="AA39" s="388"/>
    </row>
    <row r="40" spans="1:27" ht="15" customHeight="1">
      <c r="A40" s="447"/>
      <c r="B40" s="447"/>
      <c r="C40" s="447"/>
      <c r="D40" s="1532" t="s">
        <v>984</v>
      </c>
      <c r="E40" s="1532"/>
      <c r="F40" s="1532"/>
      <c r="G40" s="1532"/>
      <c r="H40" s="1532"/>
      <c r="I40" s="1532"/>
      <c r="J40" s="1532"/>
      <c r="K40" s="447"/>
      <c r="L40" s="447"/>
      <c r="M40" s="447"/>
      <c r="N40" s="447"/>
      <c r="O40" s="309"/>
      <c r="P40" s="388"/>
      <c r="Q40" s="476" t="s">
        <v>1136</v>
      </c>
      <c r="R40" s="1738" t="s">
        <v>1131</v>
      </c>
      <c r="S40" s="1738"/>
      <c r="T40" s="1738"/>
      <c r="U40" s="1738" t="s">
        <v>1132</v>
      </c>
      <c r="V40" s="1738"/>
      <c r="W40" s="1738"/>
      <c r="X40" s="1738" t="s">
        <v>1133</v>
      </c>
      <c r="Y40" s="1738"/>
      <c r="Z40" s="1738"/>
      <c r="AA40" s="388"/>
    </row>
    <row r="41" spans="1:27" ht="15" customHeight="1">
      <c r="A41" s="447"/>
      <c r="B41" s="447"/>
      <c r="C41" s="447"/>
      <c r="D41" s="1532"/>
      <c r="E41" s="1532"/>
      <c r="F41" s="1532"/>
      <c r="G41" s="1532"/>
      <c r="H41" s="1532"/>
      <c r="I41" s="1532"/>
      <c r="J41" s="1532"/>
      <c r="K41" s="447"/>
      <c r="L41" s="447"/>
      <c r="M41" s="447"/>
      <c r="N41" s="447"/>
      <c r="O41" s="309"/>
      <c r="P41" s="388"/>
      <c r="Q41" s="476" t="s">
        <v>1135</v>
      </c>
      <c r="R41" s="621" t="s">
        <v>1087</v>
      </c>
      <c r="S41" s="621" t="s">
        <v>1090</v>
      </c>
      <c r="T41" s="621" t="s">
        <v>1088</v>
      </c>
      <c r="U41" s="621" t="s">
        <v>1087</v>
      </c>
      <c r="V41" s="621" t="s">
        <v>1090</v>
      </c>
      <c r="W41" s="621" t="s">
        <v>1088</v>
      </c>
      <c r="X41" s="621" t="s">
        <v>1087</v>
      </c>
      <c r="Y41" s="621" t="s">
        <v>1090</v>
      </c>
      <c r="Z41" s="621" t="s">
        <v>1088</v>
      </c>
      <c r="AA41" s="388"/>
    </row>
    <row r="42" spans="1:27" ht="15" customHeight="1">
      <c r="A42" s="447"/>
      <c r="B42" s="447"/>
      <c r="C42" s="447"/>
      <c r="D42" s="1532"/>
      <c r="E42" s="1532"/>
      <c r="F42" s="1532"/>
      <c r="G42" s="1532"/>
      <c r="H42" s="1532"/>
      <c r="I42" s="1532"/>
      <c r="J42" s="1532"/>
      <c r="K42" s="447"/>
      <c r="L42" s="447"/>
      <c r="M42" s="447"/>
      <c r="N42" s="447"/>
      <c r="O42" s="309"/>
      <c r="P42" s="388"/>
      <c r="Q42" s="477" t="s">
        <v>1080</v>
      </c>
      <c r="R42" s="807" t="s">
        <v>1357</v>
      </c>
      <c r="S42" s="807" t="s">
        <v>1357</v>
      </c>
      <c r="T42" s="807">
        <v>0.64700000000000002</v>
      </c>
      <c r="U42" s="807" t="s">
        <v>1357</v>
      </c>
      <c r="V42" s="807" t="s">
        <v>1357</v>
      </c>
      <c r="W42" s="807">
        <v>0.749</v>
      </c>
      <c r="X42" s="807" t="s">
        <v>1357</v>
      </c>
      <c r="Y42" s="807" t="s">
        <v>1357</v>
      </c>
      <c r="Z42" s="807">
        <v>0.11600000000000001</v>
      </c>
      <c r="AA42" s="388"/>
    </row>
    <row r="43" spans="1:27" ht="15" customHeight="1">
      <c r="A43" s="447"/>
      <c r="B43" s="447"/>
      <c r="C43" s="447"/>
      <c r="D43" s="1532"/>
      <c r="E43" s="1532"/>
      <c r="F43" s="1532"/>
      <c r="G43" s="1532"/>
      <c r="H43" s="1532"/>
      <c r="I43" s="1532"/>
      <c r="J43" s="1532"/>
      <c r="K43" s="447"/>
      <c r="L43" s="447"/>
      <c r="M43" s="447"/>
      <c r="N43" s="447"/>
      <c r="O43" s="309"/>
      <c r="P43" s="388"/>
      <c r="Q43" s="477" t="s">
        <v>1081</v>
      </c>
      <c r="R43" s="807" t="s">
        <v>1357</v>
      </c>
      <c r="S43" s="807" t="s">
        <v>1357</v>
      </c>
      <c r="T43" s="807">
        <v>0.48</v>
      </c>
      <c r="U43" s="807" t="s">
        <v>1357</v>
      </c>
      <c r="V43" s="807" t="s">
        <v>1357</v>
      </c>
      <c r="W43" s="807">
        <v>0.55500000000000005</v>
      </c>
      <c r="X43" s="807" t="s">
        <v>1357</v>
      </c>
      <c r="Y43" s="807" t="s">
        <v>1357</v>
      </c>
      <c r="Z43" s="807">
        <v>5.3999999999999999E-2</v>
      </c>
      <c r="AA43" s="388"/>
    </row>
    <row r="44" spans="1:27" ht="15" customHeight="1">
      <c r="A44" s="447"/>
      <c r="B44" s="447"/>
      <c r="C44" s="447"/>
      <c r="D44" s="1532"/>
      <c r="E44" s="1532"/>
      <c r="F44" s="1532"/>
      <c r="G44" s="1532"/>
      <c r="H44" s="1532"/>
      <c r="I44" s="1532"/>
      <c r="J44" s="1532"/>
      <c r="K44" s="447"/>
      <c r="L44" s="447"/>
      <c r="M44" s="447"/>
      <c r="N44" s="447"/>
      <c r="O44" s="309"/>
      <c r="P44" s="388"/>
      <c r="Q44" s="388"/>
      <c r="R44" s="388"/>
      <c r="S44" s="388"/>
      <c r="T44" s="388"/>
      <c r="U44" s="388"/>
      <c r="V44" s="388"/>
      <c r="W44" s="388"/>
      <c r="X44" s="388"/>
      <c r="Y44" s="388"/>
      <c r="Z44" s="388"/>
      <c r="AA44" s="388"/>
    </row>
    <row r="45" spans="1:27" ht="15" customHeight="1">
      <c r="A45" s="447"/>
      <c r="B45" s="447"/>
      <c r="C45" s="447"/>
      <c r="D45" s="1532"/>
      <c r="E45" s="1532"/>
      <c r="F45" s="1532"/>
      <c r="G45" s="1532"/>
      <c r="H45" s="1532"/>
      <c r="I45" s="1532"/>
      <c r="J45" s="1532"/>
      <c r="K45" s="447"/>
      <c r="L45" s="447"/>
      <c r="M45" s="447"/>
      <c r="N45" s="447"/>
      <c r="O45" s="309"/>
      <c r="P45" s="388"/>
      <c r="Q45" s="1729" t="s">
        <v>933</v>
      </c>
      <c r="R45" s="1729"/>
      <c r="S45" s="1729"/>
      <c r="T45" s="1729"/>
      <c r="U45" s="1729"/>
      <c r="V45" s="1729"/>
      <c r="W45" s="1729"/>
      <c r="X45" s="1729"/>
      <c r="Y45" s="1729"/>
      <c r="Z45" s="1729"/>
      <c r="AA45" s="388"/>
    </row>
    <row r="46" spans="1:27" ht="15" customHeight="1">
      <c r="A46" s="447"/>
      <c r="B46" s="447"/>
      <c r="C46" s="447"/>
      <c r="D46" s="1532"/>
      <c r="E46" s="1532"/>
      <c r="F46" s="1532"/>
      <c r="G46" s="1532"/>
      <c r="H46" s="1532"/>
      <c r="I46" s="1532"/>
      <c r="J46" s="1532"/>
      <c r="K46" s="447"/>
      <c r="L46" s="447"/>
      <c r="M46" s="447"/>
      <c r="N46" s="447"/>
      <c r="O46" s="309"/>
      <c r="P46" s="388"/>
      <c r="Q46" s="1729"/>
      <c r="R46" s="1729"/>
      <c r="S46" s="1729"/>
      <c r="T46" s="1729"/>
      <c r="U46" s="1729"/>
      <c r="V46" s="1729"/>
      <c r="W46" s="1729"/>
      <c r="X46" s="1729"/>
      <c r="Y46" s="1729"/>
      <c r="Z46" s="1729"/>
      <c r="AA46" s="388"/>
    </row>
    <row r="47" spans="1:27" ht="15" customHeight="1">
      <c r="A47" s="447"/>
      <c r="B47" s="447"/>
      <c r="C47" s="447"/>
      <c r="D47" s="447"/>
      <c r="E47" s="447"/>
      <c r="F47" s="447"/>
      <c r="G47" s="447"/>
      <c r="H47" s="447"/>
      <c r="I47" s="447"/>
      <c r="J47" s="447"/>
      <c r="K47" s="447"/>
      <c r="L47" s="447"/>
      <c r="M47" s="447"/>
      <c r="N47" s="447"/>
      <c r="O47" s="309"/>
      <c r="P47" s="388"/>
      <c r="Q47" s="1729"/>
      <c r="R47" s="1729"/>
      <c r="S47" s="1729"/>
      <c r="T47" s="1729"/>
      <c r="U47" s="1729"/>
      <c r="V47" s="1729"/>
      <c r="W47" s="1729"/>
      <c r="X47" s="1729"/>
      <c r="Y47" s="1729"/>
      <c r="Z47" s="1729"/>
      <c r="AA47" s="388"/>
    </row>
    <row r="48" spans="1:27" ht="15" customHeight="1">
      <c r="A48" s="447"/>
      <c r="B48" s="447"/>
      <c r="C48" s="447"/>
      <c r="D48" s="447"/>
      <c r="E48" s="447"/>
      <c r="F48" s="447"/>
      <c r="G48" s="447"/>
      <c r="H48" s="447"/>
      <c r="I48" s="447"/>
      <c r="J48" s="447"/>
      <c r="K48" s="447"/>
      <c r="L48" s="447"/>
      <c r="M48" s="447"/>
      <c r="N48" s="447"/>
      <c r="O48" s="309"/>
      <c r="P48" s="388"/>
      <c r="Q48" s="388"/>
      <c r="R48" s="388"/>
      <c r="S48" s="388"/>
      <c r="T48" s="453"/>
      <c r="U48" s="388"/>
      <c r="V48" s="388"/>
      <c r="W48" s="388"/>
      <c r="X48" s="388"/>
      <c r="Y48" s="388"/>
      <c r="Z48" s="388"/>
      <c r="AA48" s="388"/>
    </row>
    <row r="49" spans="1:27" ht="15" customHeight="1">
      <c r="A49" s="447"/>
      <c r="B49" s="447"/>
      <c r="C49" s="447"/>
      <c r="D49" s="447"/>
      <c r="E49" s="447"/>
      <c r="F49" s="447"/>
      <c r="G49" s="447"/>
      <c r="H49" s="447"/>
      <c r="I49" s="447"/>
      <c r="J49" s="447"/>
      <c r="K49" s="447"/>
      <c r="L49" s="447"/>
      <c r="M49" s="447"/>
      <c r="N49" s="447"/>
      <c r="O49" s="309"/>
      <c r="P49" s="388"/>
      <c r="Q49" s="388"/>
      <c r="R49" s="388"/>
      <c r="S49" s="388"/>
      <c r="T49" s="388"/>
      <c r="U49" s="388"/>
      <c r="V49" s="388"/>
      <c r="W49" s="388"/>
      <c r="X49" s="388"/>
      <c r="Y49" s="388"/>
      <c r="Z49" s="388"/>
      <c r="AA49" s="388"/>
    </row>
    <row r="50" spans="1:27" ht="15" customHeight="1">
      <c r="A50" s="447"/>
      <c r="B50" s="447"/>
      <c r="C50" s="447"/>
      <c r="D50" s="447"/>
      <c r="E50" s="447"/>
      <c r="F50" s="447"/>
      <c r="G50" s="447"/>
      <c r="H50" s="447"/>
      <c r="I50" s="447"/>
      <c r="J50" s="447"/>
      <c r="K50" s="447"/>
      <c r="L50" s="447"/>
      <c r="M50" s="447"/>
      <c r="N50" s="447"/>
      <c r="O50" s="309"/>
      <c r="P50" s="388"/>
      <c r="Q50" s="388"/>
      <c r="R50" s="388"/>
      <c r="S50" s="388"/>
      <c r="T50" s="388"/>
      <c r="U50" s="388"/>
      <c r="V50" s="388"/>
      <c r="W50" s="388"/>
      <c r="X50" s="388"/>
      <c r="Y50" s="388"/>
      <c r="Z50" s="388"/>
      <c r="AA50" s="388"/>
    </row>
    <row r="51" spans="1:27" ht="15" customHeight="1">
      <c r="A51" s="447"/>
      <c r="B51" s="447"/>
      <c r="C51" s="447"/>
      <c r="D51" s="447"/>
      <c r="E51" s="447"/>
      <c r="F51" s="447"/>
      <c r="G51" s="447"/>
      <c r="H51" s="447"/>
      <c r="I51" s="447"/>
      <c r="J51" s="447"/>
      <c r="K51" s="447"/>
      <c r="L51" s="447"/>
      <c r="M51" s="447"/>
      <c r="N51" s="447"/>
      <c r="O51" s="309"/>
      <c r="P51" s="388"/>
      <c r="Q51" s="388"/>
      <c r="R51" s="388"/>
      <c r="S51" s="388"/>
      <c r="T51" s="388"/>
      <c r="U51" s="388"/>
      <c r="V51" s="388"/>
      <c r="W51" s="388"/>
      <c r="X51" s="388"/>
      <c r="Y51" s="388"/>
      <c r="Z51" s="388"/>
      <c r="AA51" s="388"/>
    </row>
    <row r="52" spans="1:27" ht="15" customHeight="1">
      <c r="A52" s="447"/>
      <c r="B52" s="447"/>
      <c r="C52" s="447"/>
      <c r="D52" s="447"/>
      <c r="E52" s="447"/>
      <c r="F52" s="447"/>
      <c r="G52" s="447"/>
      <c r="H52" s="447"/>
      <c r="I52" s="447"/>
      <c r="J52" s="447"/>
      <c r="K52" s="447"/>
      <c r="L52" s="447"/>
      <c r="M52" s="447"/>
      <c r="N52" s="447"/>
      <c r="O52" s="309"/>
      <c r="P52" s="388"/>
      <c r="Q52" s="388"/>
      <c r="R52" s="388"/>
      <c r="S52" s="388"/>
      <c r="T52" s="388"/>
      <c r="U52" s="388"/>
      <c r="V52" s="388"/>
      <c r="W52" s="388"/>
      <c r="X52" s="388"/>
      <c r="Y52" s="388"/>
      <c r="Z52" s="388"/>
      <c r="AA52" s="388"/>
    </row>
    <row r="53" spans="1:27" ht="15" customHeight="1">
      <c r="A53" s="447"/>
      <c r="B53" s="447"/>
      <c r="C53" s="447"/>
      <c r="D53" s="447"/>
      <c r="E53" s="447"/>
      <c r="F53" s="447"/>
      <c r="G53" s="447"/>
      <c r="H53" s="447"/>
      <c r="I53" s="447"/>
      <c r="J53" s="447"/>
      <c r="K53" s="447"/>
      <c r="L53" s="447"/>
      <c r="M53" s="447"/>
      <c r="N53" s="447"/>
      <c r="O53" s="309"/>
      <c r="P53" s="388"/>
      <c r="Q53" s="388"/>
      <c r="R53" s="388"/>
      <c r="S53" s="388"/>
      <c r="T53" s="388"/>
      <c r="U53" s="388"/>
      <c r="V53" s="388"/>
      <c r="W53" s="388"/>
      <c r="X53" s="388"/>
      <c r="Y53" s="388"/>
      <c r="Z53" s="388"/>
      <c r="AA53" s="388"/>
    </row>
    <row r="54" spans="1:27" ht="15" customHeight="1">
      <c r="A54" s="447"/>
      <c r="B54" s="447"/>
      <c r="C54" s="447"/>
      <c r="D54" s="447"/>
      <c r="E54" s="447"/>
      <c r="F54" s="447"/>
      <c r="G54" s="447"/>
      <c r="H54" s="447"/>
      <c r="I54" s="447"/>
      <c r="J54" s="447"/>
      <c r="K54" s="447"/>
      <c r="L54" s="447"/>
      <c r="M54" s="447"/>
      <c r="N54" s="447"/>
      <c r="O54" s="309"/>
      <c r="P54" s="388"/>
      <c r="Q54" s="388"/>
      <c r="R54" s="388"/>
      <c r="S54" s="388"/>
      <c r="T54" s="388"/>
      <c r="U54" s="388"/>
      <c r="V54" s="388"/>
      <c r="W54" s="388"/>
      <c r="X54" s="388"/>
      <c r="Y54" s="388"/>
      <c r="Z54" s="388"/>
      <c r="AA54" s="388"/>
    </row>
  </sheetData>
  <mergeCells count="47">
    <mergeCell ref="B1:N1"/>
    <mergeCell ref="A2:A36"/>
    <mergeCell ref="O2:O36"/>
    <mergeCell ref="P3:AA6"/>
    <mergeCell ref="P7:AA10"/>
    <mergeCell ref="P11:AA21"/>
    <mergeCell ref="P29:AA29"/>
    <mergeCell ref="P30:AA30"/>
    <mergeCell ref="P31:AA31"/>
    <mergeCell ref="B2:N2"/>
    <mergeCell ref="B36:N36"/>
    <mergeCell ref="C8:D8"/>
    <mergeCell ref="C9:D9"/>
    <mergeCell ref="X40:Z40"/>
    <mergeCell ref="Q2:Z2"/>
    <mergeCell ref="P35:AA35"/>
    <mergeCell ref="P28:AA28"/>
    <mergeCell ref="P34:AA34"/>
    <mergeCell ref="D40:J46"/>
    <mergeCell ref="D6:M6"/>
    <mergeCell ref="P22:AA27"/>
    <mergeCell ref="Q36:Z36"/>
    <mergeCell ref="Q45:Z47"/>
    <mergeCell ref="E7:M7"/>
    <mergeCell ref="E8:G8"/>
    <mergeCell ref="H8:J8"/>
    <mergeCell ref="K8:M8"/>
    <mergeCell ref="P32:AA32"/>
    <mergeCell ref="P33:AA33"/>
    <mergeCell ref="B37:N37"/>
    <mergeCell ref="P37:AA37"/>
    <mergeCell ref="R39:Z39"/>
    <mergeCell ref="R40:T40"/>
    <mergeCell ref="U40:W40"/>
    <mergeCell ref="AG11:AL11"/>
    <mergeCell ref="AG12:AH12"/>
    <mergeCell ref="AG13:AH13"/>
    <mergeCell ref="AG14:AH14"/>
    <mergeCell ref="AG15:AH15"/>
    <mergeCell ref="AI12:AJ12"/>
    <mergeCell ref="AI13:AJ13"/>
    <mergeCell ref="AI14:AJ14"/>
    <mergeCell ref="AI15:AJ15"/>
    <mergeCell ref="AK12:AL12"/>
    <mergeCell ref="AK13:AL13"/>
    <mergeCell ref="AK14:AL14"/>
    <mergeCell ref="AK15:AL15"/>
  </mergeCells>
  <phoneticPr fontId="153" type="noConversion"/>
  <pageMargins left="1" right="1" top="1.25" bottom="1.25" header="0.3" footer="0.3"/>
  <pageSetup orientation="portrait"/>
  <rowBreaks count="1" manualBreakCount="1">
    <brk id="35" max="16383" man="1"/>
  </rowBreaks>
  <colBreaks count="1" manualBreakCount="1">
    <brk id="27" max="1048575" man="1"/>
  </colBreak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E56"/>
  <sheetViews>
    <sheetView workbookViewId="0">
      <selection activeCell="C4" sqref="C4:L18"/>
    </sheetView>
  </sheetViews>
  <sheetFormatPr baseColWidth="10" defaultColWidth="8.83203125" defaultRowHeight="11" x14ac:dyDescent="0"/>
  <cols>
    <col min="1" max="3" width="4.83203125" style="316" customWidth="1"/>
    <col min="4" max="4" width="27.83203125" style="387" customWidth="1"/>
    <col min="5" max="7" width="13.83203125" style="316" customWidth="1"/>
    <col min="8" max="11" width="5.83203125" style="316" customWidth="1"/>
    <col min="12" max="12" width="5.5" style="316" customWidth="1"/>
    <col min="13" max="15" width="4.83203125" style="316" customWidth="1"/>
    <col min="16" max="16" width="30.33203125" style="316" customWidth="1"/>
    <col min="17" max="19" width="12.83203125" style="316" customWidth="1"/>
    <col min="20" max="23" width="6.33203125" style="316" customWidth="1"/>
    <col min="24" max="24" width="5.6640625" style="316" customWidth="1"/>
    <col min="25" max="44" width="9.83203125" style="316" customWidth="1"/>
    <col min="45" max="16384" width="8.83203125" style="316"/>
  </cols>
  <sheetData>
    <row r="1" spans="1:24" s="373" customFormat="1" ht="18" customHeight="1">
      <c r="A1" s="310"/>
      <c r="B1" s="1672" t="s">
        <v>1066</v>
      </c>
      <c r="C1" s="1672"/>
      <c r="D1" s="1672"/>
      <c r="E1" s="1672"/>
      <c r="F1" s="1672"/>
      <c r="G1" s="1672"/>
      <c r="H1" s="1672"/>
      <c r="I1" s="1672"/>
      <c r="J1" s="1672"/>
      <c r="K1" s="1672"/>
      <c r="L1" s="1672"/>
      <c r="M1" s="1672"/>
      <c r="N1" s="310"/>
      <c r="O1" s="309"/>
      <c r="P1" s="309"/>
      <c r="Q1" s="309"/>
      <c r="R1" s="309"/>
      <c r="S1" s="309"/>
      <c r="T1" s="309"/>
      <c r="U1" s="309"/>
      <c r="V1" s="309"/>
      <c r="W1" s="309"/>
      <c r="X1" s="309"/>
    </row>
    <row r="2" spans="1:24" ht="20" customHeight="1">
      <c r="A2" s="1673" t="s">
        <v>1066</v>
      </c>
      <c r="B2" s="1674" t="s">
        <v>1128</v>
      </c>
      <c r="C2" s="1674"/>
      <c r="D2" s="1674"/>
      <c r="E2" s="1674"/>
      <c r="F2" s="1674"/>
      <c r="G2" s="1674"/>
      <c r="H2" s="1674"/>
      <c r="I2" s="1674"/>
      <c r="J2" s="1674"/>
      <c r="K2" s="1674"/>
      <c r="L2" s="1674"/>
      <c r="M2" s="1674"/>
      <c r="N2" s="1673" t="s">
        <v>1066</v>
      </c>
      <c r="O2" s="433" t="str">
        <f>P27</f>
        <v>AR</v>
      </c>
      <c r="P2" s="1675" t="s">
        <v>1129</v>
      </c>
      <c r="Q2" s="1675"/>
      <c r="R2" s="1675"/>
      <c r="S2" s="1675"/>
      <c r="T2" s="1675"/>
      <c r="U2" s="1675"/>
      <c r="V2" s="1675"/>
      <c r="W2" s="1675"/>
      <c r="X2" s="434"/>
    </row>
    <row r="3" spans="1:24" ht="20" customHeight="1" thickBot="1">
      <c r="A3" s="1673"/>
      <c r="B3" s="308"/>
      <c r="C3" s="308"/>
      <c r="D3" s="308"/>
      <c r="E3" s="308"/>
      <c r="F3" s="308"/>
      <c r="G3" s="308"/>
      <c r="H3" s="308"/>
      <c r="I3" s="308"/>
      <c r="J3" s="308"/>
      <c r="K3" s="308"/>
      <c r="L3" s="308"/>
      <c r="M3" s="308"/>
      <c r="N3" s="1673"/>
      <c r="O3" s="1525" t="s">
        <v>56</v>
      </c>
      <c r="P3" s="1526"/>
      <c r="Q3" s="1526"/>
      <c r="R3" s="1526"/>
      <c r="S3" s="1526"/>
      <c r="T3" s="1526"/>
      <c r="U3" s="1526"/>
      <c r="V3" s="1526"/>
      <c r="W3" s="1526"/>
      <c r="X3" s="1527"/>
    </row>
    <row r="4" spans="1:24" ht="22" customHeight="1" thickBot="1">
      <c r="A4" s="1673"/>
      <c r="B4" s="308"/>
      <c r="C4" s="638" t="str">
        <f>'FIG12'!$P$27</f>
        <v>AR</v>
      </c>
      <c r="D4" s="1727" t="s">
        <v>1480</v>
      </c>
      <c r="E4" s="1727"/>
      <c r="F4" s="1727"/>
      <c r="G4" s="1727"/>
      <c r="H4" s="1727"/>
      <c r="I4" s="1727"/>
      <c r="J4" s="1727"/>
      <c r="K4" s="1727"/>
      <c r="L4" s="1728"/>
      <c r="M4" s="308"/>
      <c r="N4" s="1673"/>
      <c r="O4" s="1525"/>
      <c r="P4" s="1526"/>
      <c r="Q4" s="1526"/>
      <c r="R4" s="1526"/>
      <c r="S4" s="1526"/>
      <c r="T4" s="1526"/>
      <c r="U4" s="1526"/>
      <c r="V4" s="1526"/>
      <c r="W4" s="1526"/>
      <c r="X4" s="1527"/>
    </row>
    <row r="5" spans="1:24" ht="19.5" customHeight="1" thickTop="1" thickBot="1">
      <c r="A5" s="1673"/>
      <c r="B5" s="308"/>
      <c r="C5" s="1744" t="s">
        <v>1025</v>
      </c>
      <c r="D5" s="1794"/>
      <c r="E5" s="1743" t="s">
        <v>1143</v>
      </c>
      <c r="F5" s="1744"/>
      <c r="G5" s="1745"/>
      <c r="H5" s="1746" t="s">
        <v>1142</v>
      </c>
      <c r="I5" s="1747"/>
      <c r="J5" s="1747"/>
      <c r="K5" s="1747"/>
      <c r="L5" s="723" t="s">
        <v>1272</v>
      </c>
      <c r="M5" s="308"/>
      <c r="N5" s="1673"/>
      <c r="O5" s="1525"/>
      <c r="P5" s="1526"/>
      <c r="Q5" s="1526"/>
      <c r="R5" s="1526"/>
      <c r="S5" s="1526"/>
      <c r="T5" s="1526"/>
      <c r="U5" s="1526"/>
      <c r="V5" s="1526"/>
      <c r="W5" s="1526"/>
      <c r="X5" s="1527"/>
    </row>
    <row r="6" spans="1:24" ht="14" customHeight="1">
      <c r="A6" s="1673"/>
      <c r="B6" s="308"/>
      <c r="C6" s="1788" t="s">
        <v>1044</v>
      </c>
      <c r="D6" s="1789"/>
      <c r="E6" s="719" t="s">
        <v>1087</v>
      </c>
      <c r="F6" s="710" t="s">
        <v>1090</v>
      </c>
      <c r="G6" s="720" t="s">
        <v>1088</v>
      </c>
      <c r="H6" s="1748" t="s">
        <v>1045</v>
      </c>
      <c r="I6" s="1751" t="s">
        <v>1046</v>
      </c>
      <c r="J6" s="1751" t="s">
        <v>1047</v>
      </c>
      <c r="K6" s="1754" t="s">
        <v>1055</v>
      </c>
      <c r="L6" s="1769" t="str">
        <f>IF(X28=0,"",X28)</f>
        <v/>
      </c>
      <c r="M6" s="308"/>
      <c r="N6" s="1673"/>
      <c r="O6" s="1525"/>
      <c r="P6" s="1526"/>
      <c r="Q6" s="1526"/>
      <c r="R6" s="1526"/>
      <c r="S6" s="1526"/>
      <c r="T6" s="1526"/>
      <c r="U6" s="1526"/>
      <c r="V6" s="1526"/>
      <c r="W6" s="1526"/>
      <c r="X6" s="1527"/>
    </row>
    <row r="7" spans="1:24" ht="65.25" customHeight="1">
      <c r="A7" s="1673"/>
      <c r="B7" s="308"/>
      <c r="C7" s="1790"/>
      <c r="D7" s="1791"/>
      <c r="E7" s="721" t="str">
        <f>Q29</f>
        <v>N/A</v>
      </c>
      <c r="F7" s="370" t="str">
        <f>R29</f>
        <v>N/A</v>
      </c>
      <c r="G7" s="722" t="str">
        <f>S29</f>
        <v>F</v>
      </c>
      <c r="H7" s="1749"/>
      <c r="I7" s="1752"/>
      <c r="J7" s="1752"/>
      <c r="K7" s="1755"/>
      <c r="L7" s="1770"/>
      <c r="M7" s="308"/>
      <c r="N7" s="1673"/>
      <c r="O7" s="1528"/>
      <c r="P7" s="1529"/>
      <c r="Q7" s="1529"/>
      <c r="R7" s="1529"/>
      <c r="S7" s="1529"/>
      <c r="T7" s="1529"/>
      <c r="U7" s="1529"/>
      <c r="V7" s="1529"/>
      <c r="W7" s="1529"/>
      <c r="X7" s="1530"/>
    </row>
    <row r="8" spans="1:24" ht="14" customHeight="1" thickBot="1">
      <c r="A8" s="1673"/>
      <c r="B8" s="308"/>
      <c r="C8" s="1792"/>
      <c r="D8" s="1793"/>
      <c r="E8" s="1772" t="s">
        <v>1144</v>
      </c>
      <c r="F8" s="1773"/>
      <c r="G8" s="1774"/>
      <c r="H8" s="1750"/>
      <c r="I8" s="1753"/>
      <c r="J8" s="1753"/>
      <c r="K8" s="1756"/>
      <c r="L8" s="1771"/>
      <c r="M8" s="308"/>
      <c r="N8" s="1673"/>
      <c r="O8" s="1522"/>
      <c r="P8" s="1523"/>
      <c r="Q8" s="1523"/>
      <c r="R8" s="1523"/>
      <c r="S8" s="1523"/>
      <c r="T8" s="1523"/>
      <c r="U8" s="1523"/>
      <c r="V8" s="1523"/>
      <c r="W8" s="1523"/>
      <c r="X8" s="1524"/>
    </row>
    <row r="9" spans="1:24" ht="20" customHeight="1" thickTop="1" thickBot="1">
      <c r="A9" s="1673"/>
      <c r="B9" s="308"/>
      <c r="C9" s="1766" t="s">
        <v>1051</v>
      </c>
      <c r="D9" s="1767"/>
      <c r="E9" s="1767"/>
      <c r="F9" s="1767"/>
      <c r="G9" s="1767"/>
      <c r="H9" s="1767"/>
      <c r="I9" s="1767"/>
      <c r="J9" s="1767"/>
      <c r="K9" s="1767"/>
      <c r="L9" s="1768"/>
      <c r="M9" s="308"/>
      <c r="N9" s="1673"/>
      <c r="O9" s="1525"/>
      <c r="P9" s="1526"/>
      <c r="Q9" s="1526"/>
      <c r="R9" s="1526"/>
      <c r="S9" s="1526"/>
      <c r="T9" s="1526"/>
      <c r="U9" s="1526"/>
      <c r="V9" s="1526"/>
      <c r="W9" s="1526"/>
      <c r="X9" s="1527"/>
    </row>
    <row r="10" spans="1:24" ht="34" customHeight="1">
      <c r="A10" s="1673"/>
      <c r="B10" s="308"/>
      <c r="C10" s="1757" t="s">
        <v>1048</v>
      </c>
      <c r="D10" s="1758"/>
      <c r="E10" s="1758"/>
      <c r="F10" s="1758"/>
      <c r="G10" s="1759"/>
      <c r="H10" s="711" t="str">
        <f t="shared" ref="H10:K12" si="0">T32</f>
        <v>Yes</v>
      </c>
      <c r="I10" s="711" t="str">
        <f t="shared" si="0"/>
        <v>Yes</v>
      </c>
      <c r="J10" s="711" t="str">
        <f t="shared" si="0"/>
        <v>No</v>
      </c>
      <c r="K10" s="712" t="str">
        <f t="shared" si="0"/>
        <v>No</v>
      </c>
      <c r="L10" s="716" t="str">
        <f>IF(X32=0,"",X32)</f>
        <v/>
      </c>
      <c r="M10" s="308"/>
      <c r="N10" s="1673"/>
      <c r="O10" s="1525"/>
      <c r="P10" s="1526"/>
      <c r="Q10" s="1526"/>
      <c r="R10" s="1526"/>
      <c r="S10" s="1526"/>
      <c r="T10" s="1526"/>
      <c r="U10" s="1526"/>
      <c r="V10" s="1526"/>
      <c r="W10" s="1526"/>
      <c r="X10" s="1527"/>
    </row>
    <row r="11" spans="1:24" ht="34" customHeight="1">
      <c r="A11" s="1673"/>
      <c r="B11" s="308"/>
      <c r="C11" s="1760" t="s">
        <v>1049</v>
      </c>
      <c r="D11" s="1761"/>
      <c r="E11" s="1761"/>
      <c r="F11" s="1761"/>
      <c r="G11" s="1762"/>
      <c r="H11" s="371" t="str">
        <f t="shared" si="0"/>
        <v>Yes</v>
      </c>
      <c r="I11" s="371" t="str">
        <f t="shared" si="0"/>
        <v>Yes</v>
      </c>
      <c r="J11" s="371" t="str">
        <f t="shared" si="0"/>
        <v>No</v>
      </c>
      <c r="K11" s="713" t="str">
        <f t="shared" si="0"/>
        <v>No</v>
      </c>
      <c r="L11" s="717" t="str">
        <f>IF(X33=0,"",X33)</f>
        <v/>
      </c>
      <c r="M11" s="308"/>
      <c r="N11" s="1673"/>
      <c r="O11" s="1525"/>
      <c r="P11" s="1526"/>
      <c r="Q11" s="1526"/>
      <c r="R11" s="1526"/>
      <c r="S11" s="1526"/>
      <c r="T11" s="1526"/>
      <c r="U11" s="1526"/>
      <c r="V11" s="1526"/>
      <c r="W11" s="1526"/>
      <c r="X11" s="1527"/>
    </row>
    <row r="12" spans="1:24" ht="34" customHeight="1" thickBot="1">
      <c r="A12" s="1673"/>
      <c r="B12" s="308"/>
      <c r="C12" s="1763" t="s">
        <v>1050</v>
      </c>
      <c r="D12" s="1764"/>
      <c r="E12" s="1764"/>
      <c r="F12" s="1764"/>
      <c r="G12" s="1765"/>
      <c r="H12" s="714" t="str">
        <f t="shared" si="0"/>
        <v>No</v>
      </c>
      <c r="I12" s="714" t="str">
        <f t="shared" si="0"/>
        <v>Yes</v>
      </c>
      <c r="J12" s="714" t="str">
        <f t="shared" si="0"/>
        <v>No</v>
      </c>
      <c r="K12" s="715" t="str">
        <f t="shared" si="0"/>
        <v>No</v>
      </c>
      <c r="L12" s="718" t="str">
        <f>IF(X34=0,"",X34)</f>
        <v/>
      </c>
      <c r="M12" s="308"/>
      <c r="N12" s="1673"/>
      <c r="O12" s="1528"/>
      <c r="P12" s="1529"/>
      <c r="Q12" s="1529"/>
      <c r="R12" s="1529"/>
      <c r="S12" s="1529"/>
      <c r="T12" s="1529"/>
      <c r="U12" s="1529"/>
      <c r="V12" s="1529"/>
      <c r="W12" s="1529"/>
      <c r="X12" s="1530"/>
    </row>
    <row r="13" spans="1:24" ht="20" customHeight="1" thickBot="1">
      <c r="A13" s="1673"/>
      <c r="B13" s="308"/>
      <c r="C13" s="1775" t="s">
        <v>1052</v>
      </c>
      <c r="D13" s="1776"/>
      <c r="E13" s="1776"/>
      <c r="F13" s="1776"/>
      <c r="G13" s="1776"/>
      <c r="H13" s="1776"/>
      <c r="I13" s="1776"/>
      <c r="J13" s="1776"/>
      <c r="K13" s="1776"/>
      <c r="L13" s="1777"/>
      <c r="M13" s="308"/>
      <c r="N13" s="1673"/>
      <c r="O13" s="1522"/>
      <c r="P13" s="1523"/>
      <c r="Q13" s="1523"/>
      <c r="R13" s="1523"/>
      <c r="S13" s="1523"/>
      <c r="T13" s="1523"/>
      <c r="U13" s="1523"/>
      <c r="V13" s="1523"/>
      <c r="W13" s="1523"/>
      <c r="X13" s="1524"/>
    </row>
    <row r="14" spans="1:24" ht="34" customHeight="1">
      <c r="A14" s="1673"/>
      <c r="B14" s="308"/>
      <c r="C14" s="1757" t="s">
        <v>1057</v>
      </c>
      <c r="D14" s="1758"/>
      <c r="E14" s="1758"/>
      <c r="F14" s="1758"/>
      <c r="G14" s="1758"/>
      <c r="H14" s="1758"/>
      <c r="I14" s="1758"/>
      <c r="J14" s="1759"/>
      <c r="K14" s="712" t="str">
        <f>W36</f>
        <v>Yes</v>
      </c>
      <c r="L14" s="716" t="str">
        <f>IF(X36=0,"",X36)</f>
        <v/>
      </c>
      <c r="M14" s="308"/>
      <c r="N14" s="1673"/>
      <c r="O14" s="1525"/>
      <c r="P14" s="1526"/>
      <c r="Q14" s="1526"/>
      <c r="R14" s="1526"/>
      <c r="S14" s="1526"/>
      <c r="T14" s="1526"/>
      <c r="U14" s="1526"/>
      <c r="V14" s="1526"/>
      <c r="W14" s="1526"/>
      <c r="X14" s="1527"/>
    </row>
    <row r="15" spans="1:24" ht="34" customHeight="1" thickBot="1">
      <c r="A15" s="1673"/>
      <c r="B15" s="308"/>
      <c r="C15" s="1763" t="s">
        <v>1058</v>
      </c>
      <c r="D15" s="1764"/>
      <c r="E15" s="1764"/>
      <c r="F15" s="1764"/>
      <c r="G15" s="1764"/>
      <c r="H15" s="1764"/>
      <c r="I15" s="1764"/>
      <c r="J15" s="1765"/>
      <c r="K15" s="715" t="str">
        <f>W37</f>
        <v>Yes</v>
      </c>
      <c r="L15" s="718" t="str">
        <f>IF(X37=0,"",X37)</f>
        <v/>
      </c>
      <c r="M15" s="308"/>
      <c r="N15" s="1673"/>
      <c r="O15" s="1525"/>
      <c r="P15" s="1526"/>
      <c r="Q15" s="1526"/>
      <c r="R15" s="1526"/>
      <c r="S15" s="1526"/>
      <c r="T15" s="1526"/>
      <c r="U15" s="1526"/>
      <c r="V15" s="1526"/>
      <c r="W15" s="1526"/>
      <c r="X15" s="1527"/>
    </row>
    <row r="16" spans="1:24" ht="20" customHeight="1" thickBot="1">
      <c r="A16" s="1673"/>
      <c r="B16" s="308"/>
      <c r="C16" s="1775" t="s">
        <v>1054</v>
      </c>
      <c r="D16" s="1776"/>
      <c r="E16" s="1776"/>
      <c r="F16" s="1776"/>
      <c r="G16" s="1776"/>
      <c r="H16" s="1776"/>
      <c r="I16" s="1776"/>
      <c r="J16" s="1776"/>
      <c r="K16" s="1776"/>
      <c r="L16" s="1777"/>
      <c r="M16" s="308"/>
      <c r="N16" s="1673"/>
      <c r="O16" s="1525"/>
      <c r="P16" s="1526"/>
      <c r="Q16" s="1526"/>
      <c r="R16" s="1526"/>
      <c r="S16" s="1526"/>
      <c r="T16" s="1526"/>
      <c r="U16" s="1526"/>
      <c r="V16" s="1526"/>
      <c r="W16" s="1526"/>
      <c r="X16" s="1527"/>
    </row>
    <row r="17" spans="1:31" ht="34" customHeight="1">
      <c r="A17" s="1673"/>
      <c r="B17" s="308"/>
      <c r="C17" s="1757" t="s">
        <v>1222</v>
      </c>
      <c r="D17" s="1758"/>
      <c r="E17" s="1758"/>
      <c r="F17" s="1758"/>
      <c r="G17" s="1758"/>
      <c r="H17" s="1758"/>
      <c r="I17" s="1758"/>
      <c r="J17" s="1759"/>
      <c r="K17" s="712" t="str">
        <f>W39</f>
        <v>Yes</v>
      </c>
      <c r="L17" s="716">
        <f>IF(X39=0,"",X39)</f>
        <v>1</v>
      </c>
      <c r="M17" s="308"/>
      <c r="N17" s="1673"/>
      <c r="O17" s="1525"/>
      <c r="P17" s="1526"/>
      <c r="Q17" s="1526"/>
      <c r="R17" s="1526"/>
      <c r="S17" s="1526"/>
      <c r="T17" s="1526"/>
      <c r="U17" s="1526"/>
      <c r="V17" s="1526"/>
      <c r="W17" s="1526"/>
      <c r="X17" s="1527"/>
    </row>
    <row r="18" spans="1:31" ht="34" customHeight="1" thickBot="1">
      <c r="A18" s="1673"/>
      <c r="B18" s="308"/>
      <c r="C18" s="1763" t="s">
        <v>1078</v>
      </c>
      <c r="D18" s="1764"/>
      <c r="E18" s="1764"/>
      <c r="F18" s="1764"/>
      <c r="G18" s="1764"/>
      <c r="H18" s="1764"/>
      <c r="I18" s="1764"/>
      <c r="J18" s="1765"/>
      <c r="K18" s="715" t="str">
        <f>W40</f>
        <v>Yes</v>
      </c>
      <c r="L18" s="718" t="str">
        <f>IF(X40=0,"",X40)</f>
        <v/>
      </c>
      <c r="M18" s="308"/>
      <c r="N18" s="1673"/>
      <c r="O18" s="1528"/>
      <c r="P18" s="1529"/>
      <c r="Q18" s="1529"/>
      <c r="R18" s="1529"/>
      <c r="S18" s="1529"/>
      <c r="T18" s="1529"/>
      <c r="U18" s="1529"/>
      <c r="V18" s="1529"/>
      <c r="W18" s="1529"/>
      <c r="X18" s="1530"/>
    </row>
    <row r="19" spans="1:31" ht="20" customHeight="1">
      <c r="A19" s="1673"/>
      <c r="B19" s="308"/>
      <c r="C19" s="368"/>
      <c r="D19" s="368"/>
      <c r="E19" s="368"/>
      <c r="F19" s="368"/>
      <c r="G19" s="368"/>
      <c r="H19" s="369"/>
      <c r="I19" s="369"/>
      <c r="J19" s="369"/>
      <c r="K19" s="369"/>
      <c r="L19" s="369"/>
      <c r="M19" s="308"/>
      <c r="N19" s="1673"/>
      <c r="O19" s="1571"/>
      <c r="P19" s="1572"/>
      <c r="Q19" s="1572"/>
      <c r="R19" s="1572"/>
      <c r="S19" s="1572"/>
      <c r="T19" s="1572"/>
      <c r="U19" s="1572"/>
      <c r="V19" s="1572"/>
      <c r="W19" s="1572"/>
      <c r="X19" s="1573"/>
    </row>
    <row r="20" spans="1:31" s="380" customFormat="1" ht="20" customHeight="1">
      <c r="A20" s="1673"/>
      <c r="B20" s="308"/>
      <c r="C20" s="368"/>
      <c r="D20" s="368"/>
      <c r="E20" s="368"/>
      <c r="F20" s="368"/>
      <c r="G20" s="368"/>
      <c r="H20" s="369"/>
      <c r="I20" s="369"/>
      <c r="J20" s="369"/>
      <c r="K20" s="369"/>
      <c r="L20" s="369"/>
      <c r="M20" s="308"/>
      <c r="N20" s="1673"/>
      <c r="O20" s="616"/>
      <c r="P20" s="617"/>
      <c r="Q20" s="617"/>
      <c r="R20" s="617"/>
      <c r="S20" s="617"/>
      <c r="T20" s="617"/>
      <c r="U20" s="617"/>
      <c r="V20" s="617"/>
      <c r="W20" s="617"/>
      <c r="X20" s="618"/>
    </row>
    <row r="21" spans="1:31" ht="20" customHeight="1">
      <c r="A21" s="1673"/>
      <c r="B21" s="308"/>
      <c r="C21" s="368"/>
      <c r="D21" s="368"/>
      <c r="E21" s="368"/>
      <c r="F21" s="368"/>
      <c r="G21" s="368"/>
      <c r="H21" s="369"/>
      <c r="I21" s="369"/>
      <c r="J21" s="369"/>
      <c r="K21" s="369"/>
      <c r="L21" s="369"/>
      <c r="M21" s="308"/>
      <c r="N21" s="1673"/>
      <c r="O21" s="1708"/>
      <c r="P21" s="1709"/>
      <c r="Q21" s="1709"/>
      <c r="R21" s="1709"/>
      <c r="S21" s="1709"/>
      <c r="T21" s="1709"/>
      <c r="U21" s="1709"/>
      <c r="V21" s="1709"/>
      <c r="W21" s="1709"/>
      <c r="X21" s="1710"/>
    </row>
    <row r="22" spans="1:31" ht="20" customHeight="1">
      <c r="A22" s="1673"/>
      <c r="B22" s="308"/>
      <c r="C22" s="308"/>
      <c r="D22" s="308"/>
      <c r="E22" s="308"/>
      <c r="F22" s="308"/>
      <c r="G22" s="308"/>
      <c r="H22" s="308"/>
      <c r="I22" s="308"/>
      <c r="J22" s="308"/>
      <c r="K22" s="308"/>
      <c r="L22" s="308"/>
      <c r="M22" s="308"/>
      <c r="N22" s="1673"/>
      <c r="O22" s="1708"/>
      <c r="P22" s="1709"/>
      <c r="Q22" s="1709"/>
      <c r="R22" s="1709"/>
      <c r="S22" s="1709"/>
      <c r="T22" s="1709"/>
      <c r="U22" s="1709"/>
      <c r="V22" s="1709"/>
      <c r="W22" s="1709"/>
      <c r="X22" s="1710"/>
    </row>
    <row r="23" spans="1:31" ht="20" customHeight="1">
      <c r="A23" s="1673"/>
      <c r="B23" s="1674" t="s">
        <v>1128</v>
      </c>
      <c r="C23" s="1674"/>
      <c r="D23" s="1674"/>
      <c r="E23" s="1674"/>
      <c r="F23" s="1674"/>
      <c r="G23" s="1674"/>
      <c r="H23" s="1674"/>
      <c r="I23" s="1674"/>
      <c r="J23" s="1674"/>
      <c r="K23" s="1674"/>
      <c r="L23" s="1674"/>
      <c r="M23" s="1674"/>
      <c r="N23" s="1673"/>
      <c r="O23" s="396" t="str">
        <f>P27</f>
        <v>AR</v>
      </c>
      <c r="P23" s="1675" t="s">
        <v>1130</v>
      </c>
      <c r="Q23" s="1675"/>
      <c r="R23" s="1675"/>
      <c r="S23" s="1675"/>
      <c r="T23" s="1675"/>
      <c r="U23" s="1675"/>
      <c r="V23" s="1675"/>
      <c r="W23" s="1675"/>
      <c r="X23" s="396"/>
    </row>
    <row r="24" spans="1:31" ht="18" customHeight="1">
      <c r="A24" s="310"/>
      <c r="B24" s="1672" t="s">
        <v>1066</v>
      </c>
      <c r="C24" s="1672"/>
      <c r="D24" s="1672"/>
      <c r="E24" s="1672"/>
      <c r="F24" s="1672"/>
      <c r="G24" s="1672"/>
      <c r="H24" s="1672"/>
      <c r="I24" s="1672"/>
      <c r="J24" s="1672"/>
      <c r="K24" s="1672"/>
      <c r="L24" s="1672"/>
      <c r="M24" s="1672"/>
      <c r="N24" s="310"/>
      <c r="O24" s="1676" t="s">
        <v>1026</v>
      </c>
      <c r="P24" s="1676"/>
      <c r="Q24" s="1676"/>
      <c r="R24" s="1676"/>
      <c r="S24" s="1676"/>
      <c r="T24" s="1676"/>
      <c r="U24" s="1676"/>
      <c r="V24" s="1676"/>
      <c r="W24" s="1676"/>
      <c r="X24" s="1676"/>
    </row>
    <row r="25" spans="1:31" ht="16" customHeight="1">
      <c r="A25" s="447"/>
      <c r="B25" s="447"/>
      <c r="C25" s="447"/>
      <c r="D25" s="447"/>
      <c r="E25" s="447"/>
      <c r="F25" s="447"/>
      <c r="G25" s="447"/>
      <c r="H25" s="447"/>
      <c r="I25" s="447"/>
      <c r="J25" s="447"/>
      <c r="K25" s="447"/>
      <c r="L25" s="447"/>
      <c r="M25" s="447"/>
      <c r="N25" s="309"/>
      <c r="O25" s="388"/>
      <c r="P25" s="388"/>
      <c r="Q25" s="388"/>
      <c r="R25" s="388"/>
      <c r="S25" s="388"/>
      <c r="T25" s="388"/>
      <c r="U25" s="388"/>
      <c r="V25" s="388"/>
      <c r="W25" s="388"/>
      <c r="X25" s="388"/>
    </row>
    <row r="26" spans="1:31" ht="16" customHeight="1">
      <c r="A26" s="447"/>
      <c r="B26" s="447"/>
      <c r="C26" s="447"/>
      <c r="D26" s="447"/>
      <c r="E26" s="447"/>
      <c r="F26" s="447"/>
      <c r="G26" s="447"/>
      <c r="H26" s="447"/>
      <c r="I26" s="447"/>
      <c r="J26" s="447"/>
      <c r="K26" s="447"/>
      <c r="L26" s="447"/>
      <c r="M26" s="447"/>
      <c r="N26" s="309"/>
      <c r="O26" s="388"/>
      <c r="P26" s="366" t="s">
        <v>1056</v>
      </c>
      <c r="Q26" s="366"/>
      <c r="R26" s="366"/>
      <c r="S26" s="366"/>
      <c r="T26" s="367"/>
      <c r="U26" s="367"/>
      <c r="V26" s="367"/>
      <c r="W26" s="367"/>
      <c r="X26" s="367"/>
    </row>
    <row r="27" spans="1:31" ht="16" customHeight="1">
      <c r="A27" s="447"/>
      <c r="B27" s="447"/>
      <c r="C27" s="447"/>
      <c r="D27" s="447"/>
      <c r="E27" s="447"/>
      <c r="F27" s="447"/>
      <c r="G27" s="447"/>
      <c r="H27" s="447"/>
      <c r="I27" s="447"/>
      <c r="J27" s="447"/>
      <c r="K27" s="447"/>
      <c r="L27" s="447"/>
      <c r="M27" s="447"/>
      <c r="N27" s="309"/>
      <c r="O27" s="388"/>
      <c r="P27" s="496" t="str">
        <f>'FIG3'!W49</f>
        <v>AR</v>
      </c>
      <c r="Q27" s="480"/>
      <c r="R27" s="623" t="s">
        <v>1143</v>
      </c>
      <c r="S27" s="479"/>
      <c r="T27" s="1795" t="s">
        <v>1142</v>
      </c>
      <c r="U27" s="1795"/>
      <c r="V27" s="1795"/>
      <c r="W27" s="1795"/>
      <c r="X27" s="624" t="s">
        <v>1272</v>
      </c>
    </row>
    <row r="28" spans="1:31" ht="14" customHeight="1">
      <c r="A28" s="447"/>
      <c r="B28" s="447"/>
      <c r="C28" s="447"/>
      <c r="D28" s="447"/>
      <c r="E28" s="724" t="s">
        <v>1087</v>
      </c>
      <c r="F28" s="724" t="s">
        <v>1090</v>
      </c>
      <c r="G28" s="724" t="s">
        <v>1088</v>
      </c>
      <c r="H28" s="447"/>
      <c r="I28" s="447"/>
      <c r="J28" s="447"/>
      <c r="K28" s="447"/>
      <c r="L28" s="447"/>
      <c r="M28" s="447"/>
      <c r="N28" s="309"/>
      <c r="O28" s="388"/>
      <c r="P28" s="1796" t="s">
        <v>1044</v>
      </c>
      <c r="Q28" s="622" t="s">
        <v>1087</v>
      </c>
      <c r="R28" s="622" t="s">
        <v>1090</v>
      </c>
      <c r="S28" s="622" t="s">
        <v>1088</v>
      </c>
      <c r="T28" s="1797" t="s">
        <v>1045</v>
      </c>
      <c r="U28" s="1797" t="s">
        <v>1046</v>
      </c>
      <c r="V28" s="1797" t="s">
        <v>1047</v>
      </c>
      <c r="W28" s="1797" t="s">
        <v>1055</v>
      </c>
      <c r="X28" s="1785" t="s">
        <v>994</v>
      </c>
    </row>
    <row r="29" spans="1:31" ht="52.5" customHeight="1">
      <c r="A29" s="447"/>
      <c r="B29" s="447"/>
      <c r="C29" s="447"/>
      <c r="D29" s="447"/>
      <c r="E29" s="370" t="str">
        <f>Q29</f>
        <v>N/A</v>
      </c>
      <c r="F29" s="370" t="str">
        <f>R29</f>
        <v>N/A</v>
      </c>
      <c r="G29" s="370" t="str">
        <f>S29</f>
        <v>F</v>
      </c>
      <c r="H29" s="447"/>
      <c r="I29" s="447"/>
      <c r="J29" s="447"/>
      <c r="K29" s="447"/>
      <c r="L29" s="447"/>
      <c r="M29" s="447"/>
      <c r="N29" s="309"/>
      <c r="O29" s="388"/>
      <c r="P29" s="1779"/>
      <c r="Q29" s="821" t="s">
        <v>1357</v>
      </c>
      <c r="R29" s="821" t="s">
        <v>1357</v>
      </c>
      <c r="S29" s="821" t="s">
        <v>1380</v>
      </c>
      <c r="T29" s="1797"/>
      <c r="U29" s="1797"/>
      <c r="V29" s="1797"/>
      <c r="W29" s="1797"/>
      <c r="X29" s="1786"/>
      <c r="Z29" s="485" t="s">
        <v>930</v>
      </c>
    </row>
    <row r="30" spans="1:31" ht="14" customHeight="1">
      <c r="A30" s="447"/>
      <c r="B30" s="447"/>
      <c r="C30" s="447"/>
      <c r="D30" s="447"/>
      <c r="E30" s="1781" t="s">
        <v>1144</v>
      </c>
      <c r="F30" s="1782"/>
      <c r="G30" s="1783"/>
      <c r="H30" s="447"/>
      <c r="I30" s="447"/>
      <c r="J30" s="447"/>
      <c r="K30" s="447"/>
      <c r="L30" s="447"/>
      <c r="M30" s="447"/>
      <c r="N30" s="309"/>
      <c r="O30" s="388"/>
      <c r="P30" s="1779"/>
      <c r="Q30" s="1778" t="s">
        <v>1144</v>
      </c>
      <c r="R30" s="1778"/>
      <c r="S30" s="1778"/>
      <c r="T30" s="1797"/>
      <c r="U30" s="1797"/>
      <c r="V30" s="1797"/>
      <c r="W30" s="1797"/>
      <c r="X30" s="1786"/>
      <c r="Z30" s="142"/>
    </row>
    <row r="31" spans="1:31" ht="14">
      <c r="A31" s="447"/>
      <c r="B31" s="447"/>
      <c r="C31" s="447"/>
      <c r="D31" s="447"/>
      <c r="E31" s="447"/>
      <c r="F31" s="447"/>
      <c r="G31" s="447"/>
      <c r="H31" s="447"/>
      <c r="I31" s="447"/>
      <c r="J31" s="447"/>
      <c r="K31" s="447"/>
      <c r="L31" s="447"/>
      <c r="M31" s="447"/>
      <c r="N31" s="309"/>
      <c r="O31" s="388"/>
      <c r="P31" s="1784" t="s">
        <v>1051</v>
      </c>
      <c r="Q31" s="1784"/>
      <c r="R31" s="1784"/>
      <c r="S31" s="1784"/>
      <c r="T31" s="1784"/>
      <c r="U31" s="1784"/>
      <c r="V31" s="1784"/>
      <c r="W31" s="1784"/>
      <c r="X31" s="1784"/>
      <c r="Z31" s="142"/>
    </row>
    <row r="32" spans="1:31" ht="30" customHeight="1">
      <c r="A32" s="447"/>
      <c r="B32" s="478"/>
      <c r="C32" s="478"/>
      <c r="D32" s="478"/>
      <c r="E32" s="1787" t="s">
        <v>1024</v>
      </c>
      <c r="F32" s="1787"/>
      <c r="G32" s="1787"/>
      <c r="H32" s="478"/>
      <c r="I32" s="478"/>
      <c r="J32" s="478"/>
      <c r="K32" s="478"/>
      <c r="L32" s="478"/>
      <c r="M32" s="447"/>
      <c r="N32" s="309"/>
      <c r="O32" s="388"/>
      <c r="P32" s="1779" t="s">
        <v>1048</v>
      </c>
      <c r="Q32" s="1779"/>
      <c r="R32" s="1779"/>
      <c r="S32" s="1779"/>
      <c r="T32" s="822" t="s">
        <v>54</v>
      </c>
      <c r="U32" s="822" t="s">
        <v>54</v>
      </c>
      <c r="V32" s="822" t="s">
        <v>55</v>
      </c>
      <c r="W32" s="841" t="s">
        <v>55</v>
      </c>
      <c r="X32" s="843" t="s">
        <v>994</v>
      </c>
      <c r="Z32" s="840" t="s">
        <v>931</v>
      </c>
      <c r="AA32" s="497"/>
      <c r="AB32" s="497"/>
      <c r="AC32" s="497"/>
      <c r="AD32" s="497"/>
      <c r="AE32" s="377"/>
    </row>
    <row r="33" spans="1:31" ht="30" customHeight="1">
      <c r="A33" s="447"/>
      <c r="B33" s="478"/>
      <c r="C33" s="478"/>
      <c r="D33" s="478"/>
      <c r="E33" s="478"/>
      <c r="F33" s="478"/>
      <c r="G33" s="478"/>
      <c r="H33" s="478"/>
      <c r="I33" s="478"/>
      <c r="J33" s="478"/>
      <c r="K33" s="478"/>
      <c r="L33" s="478"/>
      <c r="M33" s="447"/>
      <c r="N33" s="309"/>
      <c r="O33" s="388"/>
      <c r="P33" s="1779" t="s">
        <v>1049</v>
      </c>
      <c r="Q33" s="1779"/>
      <c r="R33" s="1779"/>
      <c r="S33" s="1779"/>
      <c r="T33" s="822" t="s">
        <v>54</v>
      </c>
      <c r="U33" s="822" t="s">
        <v>54</v>
      </c>
      <c r="V33" s="822" t="s">
        <v>55</v>
      </c>
      <c r="W33" s="841" t="s">
        <v>55</v>
      </c>
      <c r="X33" s="843" t="s">
        <v>994</v>
      </c>
      <c r="Z33" s="840" t="s">
        <v>932</v>
      </c>
      <c r="AA33" s="497"/>
      <c r="AB33" s="497"/>
      <c r="AC33" s="497"/>
      <c r="AD33" s="497"/>
      <c r="AE33" s="377"/>
    </row>
    <row r="34" spans="1:31" ht="30" customHeight="1">
      <c r="A34" s="447"/>
      <c r="B34" s="447"/>
      <c r="C34" s="1532" t="s">
        <v>987</v>
      </c>
      <c r="D34" s="1532"/>
      <c r="E34" s="1532"/>
      <c r="F34" s="1532"/>
      <c r="G34" s="1532"/>
      <c r="H34" s="1532"/>
      <c r="I34" s="1532"/>
      <c r="J34" s="1532"/>
      <c r="K34" s="1532"/>
      <c r="L34" s="447"/>
      <c r="M34" s="447"/>
      <c r="N34" s="309"/>
      <c r="O34" s="388"/>
      <c r="P34" s="1779" t="s">
        <v>1050</v>
      </c>
      <c r="Q34" s="1779"/>
      <c r="R34" s="1779"/>
      <c r="S34" s="1779"/>
      <c r="T34" s="823" t="s">
        <v>55</v>
      </c>
      <c r="U34" s="823" t="s">
        <v>54</v>
      </c>
      <c r="V34" s="823" t="s">
        <v>55</v>
      </c>
      <c r="W34" s="842" t="s">
        <v>55</v>
      </c>
      <c r="X34" s="843" t="s">
        <v>994</v>
      </c>
    </row>
    <row r="35" spans="1:31" ht="14">
      <c r="A35" s="447"/>
      <c r="B35" s="447"/>
      <c r="C35" s="1532"/>
      <c r="D35" s="1532"/>
      <c r="E35" s="1532"/>
      <c r="F35" s="1532"/>
      <c r="G35" s="1532"/>
      <c r="H35" s="1532"/>
      <c r="I35" s="1532"/>
      <c r="J35" s="1532"/>
      <c r="K35" s="1532"/>
      <c r="L35" s="447"/>
      <c r="M35" s="447"/>
      <c r="N35" s="309"/>
      <c r="O35" s="388"/>
      <c r="P35" s="1780" t="s">
        <v>1052</v>
      </c>
      <c r="Q35" s="1780"/>
      <c r="R35" s="1780"/>
      <c r="S35" s="1780"/>
      <c r="T35" s="1780"/>
      <c r="U35" s="1780"/>
      <c r="V35" s="1780"/>
      <c r="W35" s="1780"/>
      <c r="X35" s="1780"/>
    </row>
    <row r="36" spans="1:31" ht="30" customHeight="1">
      <c r="A36" s="447"/>
      <c r="B36" s="447"/>
      <c r="C36" s="1532"/>
      <c r="D36" s="1532"/>
      <c r="E36" s="1532"/>
      <c r="F36" s="1532"/>
      <c r="G36" s="1532"/>
      <c r="H36" s="1532"/>
      <c r="I36" s="1532"/>
      <c r="J36" s="1532"/>
      <c r="K36" s="1532"/>
      <c r="L36" s="447"/>
      <c r="M36" s="447"/>
      <c r="N36" s="309"/>
      <c r="O36" s="388"/>
      <c r="P36" s="1779" t="s">
        <v>1221</v>
      </c>
      <c r="Q36" s="1779"/>
      <c r="R36" s="1779"/>
      <c r="S36" s="1779"/>
      <c r="T36" s="1779"/>
      <c r="U36" s="1779"/>
      <c r="V36" s="1779"/>
      <c r="W36" s="842" t="s">
        <v>54</v>
      </c>
      <c r="X36" s="843" t="s">
        <v>994</v>
      </c>
    </row>
    <row r="37" spans="1:31" ht="30" customHeight="1">
      <c r="A37" s="447"/>
      <c r="B37" s="447"/>
      <c r="C37" s="1532"/>
      <c r="D37" s="1532"/>
      <c r="E37" s="1532"/>
      <c r="F37" s="1532"/>
      <c r="G37" s="1532"/>
      <c r="H37" s="1532"/>
      <c r="I37" s="1532"/>
      <c r="J37" s="1532"/>
      <c r="K37" s="1532"/>
      <c r="L37" s="447"/>
      <c r="M37" s="447"/>
      <c r="N37" s="309"/>
      <c r="O37" s="388"/>
      <c r="P37" s="1779" t="s">
        <v>1053</v>
      </c>
      <c r="Q37" s="1779"/>
      <c r="R37" s="1779"/>
      <c r="S37" s="1779"/>
      <c r="T37" s="1779"/>
      <c r="U37" s="1779"/>
      <c r="V37" s="1779"/>
      <c r="W37" s="842" t="s">
        <v>54</v>
      </c>
      <c r="X37" s="843" t="s">
        <v>994</v>
      </c>
    </row>
    <row r="38" spans="1:31" ht="14">
      <c r="A38" s="447"/>
      <c r="B38" s="447"/>
      <c r="C38" s="1532"/>
      <c r="D38" s="1532"/>
      <c r="E38" s="1532"/>
      <c r="F38" s="1532"/>
      <c r="G38" s="1532"/>
      <c r="H38" s="1532"/>
      <c r="I38" s="1532"/>
      <c r="J38" s="1532"/>
      <c r="K38" s="1532"/>
      <c r="L38" s="447"/>
      <c r="M38" s="447"/>
      <c r="N38" s="309"/>
      <c r="O38" s="388"/>
      <c r="P38" s="1780" t="s">
        <v>1054</v>
      </c>
      <c r="Q38" s="1780"/>
      <c r="R38" s="1780"/>
      <c r="S38" s="1780"/>
      <c r="T38" s="1780"/>
      <c r="U38" s="1780"/>
      <c r="V38" s="1780"/>
      <c r="W38" s="1780"/>
      <c r="X38" s="1780"/>
    </row>
    <row r="39" spans="1:31" ht="30" customHeight="1">
      <c r="A39" s="447"/>
      <c r="B39" s="447"/>
      <c r="C39" s="447"/>
      <c r="D39" s="447"/>
      <c r="E39" s="447"/>
      <c r="F39" s="447"/>
      <c r="G39" s="447"/>
      <c r="H39" s="447"/>
      <c r="I39" s="447"/>
      <c r="J39" s="447"/>
      <c r="K39" s="447"/>
      <c r="L39" s="447"/>
      <c r="M39" s="447"/>
      <c r="N39" s="309"/>
      <c r="O39" s="388"/>
      <c r="P39" s="1779" t="s">
        <v>1222</v>
      </c>
      <c r="Q39" s="1779"/>
      <c r="R39" s="1779"/>
      <c r="S39" s="1779"/>
      <c r="T39" s="1779"/>
      <c r="U39" s="1779"/>
      <c r="V39" s="1779"/>
      <c r="W39" s="842" t="s">
        <v>54</v>
      </c>
      <c r="X39" s="843">
        <v>1</v>
      </c>
    </row>
    <row r="40" spans="1:31" ht="30" customHeight="1">
      <c r="A40" s="447"/>
      <c r="B40" s="447"/>
      <c r="C40" s="447"/>
      <c r="D40" s="447"/>
      <c r="E40" s="447"/>
      <c r="F40" s="447"/>
      <c r="G40" s="447"/>
      <c r="H40" s="447"/>
      <c r="I40" s="447"/>
      <c r="J40" s="447"/>
      <c r="K40" s="447"/>
      <c r="L40" s="447"/>
      <c r="M40" s="447"/>
      <c r="N40" s="309"/>
      <c r="O40" s="388"/>
      <c r="P40" s="1779" t="s">
        <v>1078</v>
      </c>
      <c r="Q40" s="1779"/>
      <c r="R40" s="1779"/>
      <c r="S40" s="1779"/>
      <c r="T40" s="1779"/>
      <c r="U40" s="1779"/>
      <c r="V40" s="1779"/>
      <c r="W40" s="842" t="s">
        <v>54</v>
      </c>
      <c r="X40" s="843" t="s">
        <v>994</v>
      </c>
    </row>
    <row r="41" spans="1:31" ht="16" customHeight="1">
      <c r="A41" s="447"/>
      <c r="B41" s="447"/>
      <c r="C41" s="447"/>
      <c r="D41" s="447"/>
      <c r="E41" s="447"/>
      <c r="F41" s="447"/>
      <c r="G41" s="447"/>
      <c r="H41" s="447"/>
      <c r="I41" s="447"/>
      <c r="J41" s="447"/>
      <c r="K41" s="447"/>
      <c r="L41" s="447"/>
      <c r="M41" s="447"/>
      <c r="N41" s="309"/>
      <c r="O41" s="388"/>
      <c r="P41" s="388"/>
      <c r="Q41" s="388"/>
      <c r="R41" s="388"/>
      <c r="S41" s="388"/>
      <c r="T41" s="388"/>
      <c r="U41" s="388"/>
      <c r="V41" s="388"/>
      <c r="W41" s="388"/>
      <c r="X41" s="388"/>
    </row>
    <row r="42" spans="1:31" ht="16" customHeight="1">
      <c r="A42" s="447"/>
      <c r="B42" s="447"/>
      <c r="C42" s="447"/>
      <c r="D42" s="447"/>
      <c r="E42" s="447"/>
      <c r="F42" s="447"/>
      <c r="G42" s="447"/>
      <c r="H42" s="447"/>
      <c r="I42" s="447"/>
      <c r="J42" s="447"/>
      <c r="K42" s="447"/>
      <c r="L42" s="447"/>
      <c r="M42" s="447"/>
      <c r="N42" s="309"/>
      <c r="O42" s="389"/>
      <c r="P42" s="1679" t="s">
        <v>986</v>
      </c>
      <c r="Q42" s="1679"/>
      <c r="R42" s="1679"/>
      <c r="S42" s="1679"/>
      <c r="T42" s="1679"/>
      <c r="U42" s="1679"/>
      <c r="V42" s="1679"/>
      <c r="W42" s="1679"/>
      <c r="X42" s="1679"/>
    </row>
    <row r="43" spans="1:31" ht="16" customHeight="1">
      <c r="A43" s="447"/>
      <c r="B43" s="447"/>
      <c r="C43" s="447"/>
      <c r="D43" s="447"/>
      <c r="E43" s="447"/>
      <c r="F43" s="447"/>
      <c r="G43" s="447"/>
      <c r="H43" s="447"/>
      <c r="I43" s="447"/>
      <c r="J43" s="447"/>
      <c r="K43" s="447"/>
      <c r="L43" s="447"/>
      <c r="M43" s="447"/>
      <c r="N43" s="309"/>
      <c r="O43" s="389"/>
      <c r="P43" s="1679"/>
      <c r="Q43" s="1679"/>
      <c r="R43" s="1679"/>
      <c r="S43" s="1679"/>
      <c r="T43" s="1679"/>
      <c r="U43" s="1679"/>
      <c r="V43" s="1679"/>
      <c r="W43" s="1679"/>
      <c r="X43" s="1679"/>
    </row>
    <row r="44" spans="1:31" ht="16" customHeight="1">
      <c r="A44" s="447"/>
      <c r="B44" s="478"/>
      <c r="C44" s="478"/>
      <c r="D44" s="478"/>
      <c r="E44" s="478"/>
      <c r="F44" s="478"/>
      <c r="G44" s="478"/>
      <c r="H44" s="478"/>
      <c r="I44" s="478"/>
      <c r="J44" s="478"/>
      <c r="K44" s="478"/>
      <c r="L44" s="478"/>
      <c r="M44" s="447"/>
      <c r="N44" s="309"/>
      <c r="O44" s="389"/>
      <c r="P44" s="1679"/>
      <c r="Q44" s="1679"/>
      <c r="R44" s="1679"/>
      <c r="S44" s="1679"/>
      <c r="T44" s="1679"/>
      <c r="U44" s="1679"/>
      <c r="V44" s="1679"/>
      <c r="W44" s="1679"/>
      <c r="X44" s="1679"/>
    </row>
    <row r="45" spans="1:31" ht="16" customHeight="1">
      <c r="A45" s="447"/>
      <c r="B45" s="478"/>
      <c r="C45" s="478"/>
      <c r="D45" s="478"/>
      <c r="E45" s="478"/>
      <c r="F45" s="478"/>
      <c r="G45" s="478"/>
      <c r="H45" s="478"/>
      <c r="I45" s="478"/>
      <c r="J45" s="478"/>
      <c r="K45" s="478"/>
      <c r="L45" s="478"/>
      <c r="M45" s="447"/>
      <c r="N45" s="309"/>
      <c r="O45" s="389"/>
      <c r="P45" s="1679"/>
      <c r="Q45" s="1679"/>
      <c r="R45" s="1679"/>
      <c r="S45" s="1679"/>
      <c r="T45" s="1679"/>
      <c r="U45" s="1679"/>
      <c r="V45" s="1679"/>
      <c r="W45" s="1679"/>
      <c r="X45" s="1679"/>
    </row>
    <row r="46" spans="1:31" ht="16" customHeight="1">
      <c r="A46" s="447"/>
      <c r="B46" s="447"/>
      <c r="C46" s="447"/>
      <c r="D46" s="447"/>
      <c r="E46" s="447"/>
      <c r="F46" s="447"/>
      <c r="G46" s="447"/>
      <c r="H46" s="447"/>
      <c r="I46" s="447"/>
      <c r="J46" s="447"/>
      <c r="K46" s="447"/>
      <c r="L46" s="447"/>
      <c r="M46" s="447"/>
      <c r="N46" s="309"/>
      <c r="O46" s="389"/>
      <c r="P46" s="1679"/>
      <c r="Q46" s="1679"/>
      <c r="R46" s="1679"/>
      <c r="S46" s="1679"/>
      <c r="T46" s="1679"/>
      <c r="U46" s="1679"/>
      <c r="V46" s="1679"/>
      <c r="W46" s="1679"/>
      <c r="X46" s="1679"/>
    </row>
    <row r="47" spans="1:31" ht="16" customHeight="1">
      <c r="A47" s="447"/>
      <c r="B47" s="447"/>
      <c r="C47" s="447"/>
      <c r="D47" s="447"/>
      <c r="E47" s="447"/>
      <c r="F47" s="447"/>
      <c r="G47" s="447"/>
      <c r="H47" s="447"/>
      <c r="I47" s="447"/>
      <c r="J47" s="447"/>
      <c r="K47" s="447"/>
      <c r="L47" s="447"/>
      <c r="M47" s="447"/>
      <c r="N47" s="309"/>
      <c r="O47" s="389"/>
      <c r="P47" s="389"/>
      <c r="Q47" s="389"/>
      <c r="R47" s="389"/>
      <c r="S47" s="389"/>
      <c r="T47" s="389"/>
      <c r="U47" s="389"/>
      <c r="V47" s="389"/>
      <c r="W47" s="389"/>
      <c r="X47" s="389"/>
    </row>
    <row r="48" spans="1:31" ht="16" customHeight="1"/>
    <row r="49" spans="3:13" ht="16" customHeight="1"/>
    <row r="50" spans="3:13" ht="11.25" customHeight="1">
      <c r="C50" s="481"/>
      <c r="D50" s="481"/>
      <c r="E50" s="481"/>
      <c r="F50" s="481"/>
      <c r="G50" s="481"/>
      <c r="H50" s="481"/>
      <c r="I50" s="481"/>
      <c r="J50" s="481"/>
      <c r="K50" s="481"/>
      <c r="L50" s="481"/>
      <c r="M50" s="481"/>
    </row>
    <row r="51" spans="3:13" ht="11.25" customHeight="1">
      <c r="C51" s="481"/>
      <c r="D51" s="481"/>
      <c r="E51" s="481"/>
      <c r="F51" s="481"/>
      <c r="G51" s="481"/>
      <c r="H51" s="481"/>
      <c r="I51" s="481"/>
      <c r="J51" s="481"/>
      <c r="K51" s="481"/>
      <c r="L51" s="481"/>
      <c r="M51" s="481"/>
    </row>
    <row r="52" spans="3:13" ht="11.25" customHeight="1">
      <c r="C52" s="481"/>
      <c r="D52" s="481"/>
      <c r="E52" s="481"/>
      <c r="F52" s="481"/>
      <c r="G52" s="481"/>
      <c r="H52" s="481"/>
      <c r="I52" s="481"/>
      <c r="J52" s="481"/>
      <c r="K52" s="481"/>
      <c r="L52" s="481"/>
      <c r="M52" s="481"/>
    </row>
    <row r="53" spans="3:13" ht="11.25" customHeight="1">
      <c r="C53" s="481"/>
      <c r="D53" s="481"/>
      <c r="E53" s="481"/>
      <c r="F53" s="481"/>
      <c r="G53" s="481"/>
      <c r="H53" s="481"/>
      <c r="I53" s="481"/>
      <c r="J53" s="481"/>
      <c r="K53" s="481"/>
      <c r="L53" s="481"/>
      <c r="M53" s="481"/>
    </row>
    <row r="54" spans="3:13" ht="11.25" customHeight="1">
      <c r="C54" s="481"/>
      <c r="D54" s="481"/>
      <c r="E54" s="481"/>
      <c r="F54" s="481"/>
      <c r="G54" s="481"/>
      <c r="H54" s="481"/>
      <c r="I54" s="481"/>
      <c r="J54" s="481"/>
      <c r="K54" s="481"/>
      <c r="L54" s="481"/>
      <c r="M54" s="481"/>
    </row>
    <row r="55" spans="3:13" ht="11.25" customHeight="1">
      <c r="C55" s="481"/>
      <c r="D55" s="481"/>
      <c r="E55" s="481"/>
      <c r="F55" s="481"/>
      <c r="G55" s="481"/>
      <c r="H55" s="481"/>
      <c r="I55" s="481"/>
      <c r="J55" s="481"/>
      <c r="K55" s="481"/>
      <c r="L55" s="481"/>
      <c r="M55" s="481"/>
    </row>
    <row r="56" spans="3:13" ht="11.25" customHeight="1">
      <c r="C56" s="481"/>
      <c r="D56" s="481"/>
      <c r="E56" s="481"/>
      <c r="F56" s="481"/>
      <c r="G56" s="481"/>
      <c r="H56" s="481"/>
      <c r="I56" s="481"/>
      <c r="J56" s="481"/>
      <c r="K56" s="481"/>
      <c r="L56" s="481"/>
      <c r="M56" s="481"/>
    </row>
  </sheetData>
  <mergeCells count="58">
    <mergeCell ref="P2:W2"/>
    <mergeCell ref="P23:W23"/>
    <mergeCell ref="P42:X46"/>
    <mergeCell ref="C34:K38"/>
    <mergeCell ref="O21:X21"/>
    <mergeCell ref="O22:X22"/>
    <mergeCell ref="E32:G32"/>
    <mergeCell ref="C6:D8"/>
    <mergeCell ref="D4:L4"/>
    <mergeCell ref="C5:D5"/>
    <mergeCell ref="T27:W27"/>
    <mergeCell ref="P28:P30"/>
    <mergeCell ref="T28:T30"/>
    <mergeCell ref="U28:U30"/>
    <mergeCell ref="V28:V30"/>
    <mergeCell ref="W28:W30"/>
    <mergeCell ref="B1:M1"/>
    <mergeCell ref="P37:V37"/>
    <mergeCell ref="P38:X38"/>
    <mergeCell ref="P39:V39"/>
    <mergeCell ref="P40:V40"/>
    <mergeCell ref="E30:G30"/>
    <mergeCell ref="P31:X31"/>
    <mergeCell ref="P32:S32"/>
    <mergeCell ref="P33:S33"/>
    <mergeCell ref="P34:S34"/>
    <mergeCell ref="P35:X35"/>
    <mergeCell ref="P36:V36"/>
    <mergeCell ref="B24:M24"/>
    <mergeCell ref="O24:X24"/>
    <mergeCell ref="B23:M23"/>
    <mergeCell ref="X28:X30"/>
    <mergeCell ref="C9:L9"/>
    <mergeCell ref="L6:L8"/>
    <mergeCell ref="E8:G8"/>
    <mergeCell ref="C13:L13"/>
    <mergeCell ref="Q30:S30"/>
    <mergeCell ref="C14:J14"/>
    <mergeCell ref="C15:J15"/>
    <mergeCell ref="C16:L16"/>
    <mergeCell ref="C17:J17"/>
    <mergeCell ref="C18:J18"/>
    <mergeCell ref="E5:G5"/>
    <mergeCell ref="A2:A23"/>
    <mergeCell ref="B2:M2"/>
    <mergeCell ref="N2:N23"/>
    <mergeCell ref="O3:X7"/>
    <mergeCell ref="O8:X12"/>
    <mergeCell ref="O13:X18"/>
    <mergeCell ref="O19:X19"/>
    <mergeCell ref="H5:K5"/>
    <mergeCell ref="H6:H8"/>
    <mergeCell ref="I6:I8"/>
    <mergeCell ref="J6:J8"/>
    <mergeCell ref="K6:K8"/>
    <mergeCell ref="C10:G10"/>
    <mergeCell ref="C11:G11"/>
    <mergeCell ref="C12:G12"/>
  </mergeCells>
  <phoneticPr fontId="153" type="noConversion"/>
  <conditionalFormatting sqref="H10:K12 K14:K15 K17:K18">
    <cfRule type="cellIs" dxfId="26" priority="1" operator="equal">
      <formula>"No"</formula>
    </cfRule>
  </conditionalFormatting>
  <pageMargins left="1" right="1" top="1" bottom="1" header="0.3" footer="0.3"/>
  <pageSetup orientation="portrait" horizontalDpi="4294967292" verticalDpi="4294967292"/>
  <rowBreaks count="1" manualBreakCount="1">
    <brk id="22" max="16383" man="1"/>
  </rowBreaks>
  <colBreaks count="1" manualBreakCount="1">
    <brk id="24" max="1048575" man="1"/>
  </col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A1:AJ209"/>
  <sheetViews>
    <sheetView workbookViewId="0"/>
  </sheetViews>
  <sheetFormatPr baseColWidth="10" defaultColWidth="8.83203125" defaultRowHeight="11" x14ac:dyDescent="0"/>
  <cols>
    <col min="1" max="1" width="4.83203125" style="3" customWidth="1"/>
    <col min="2" max="2" width="5.5" style="3" customWidth="1"/>
    <col min="3" max="3" width="4.83203125" style="3" customWidth="1"/>
    <col min="4" max="4" width="12.83203125" style="3" customWidth="1"/>
    <col min="5" max="8" width="11.33203125" style="3" customWidth="1"/>
    <col min="9" max="11" width="9.83203125" style="3" customWidth="1"/>
    <col min="12" max="12" width="10" style="3" customWidth="1"/>
    <col min="13" max="18" width="9.83203125" style="3" customWidth="1"/>
    <col min="19" max="19" width="6.1640625" style="3" customWidth="1"/>
    <col min="20" max="20" width="4.83203125" style="3" customWidth="1"/>
    <col min="21" max="21" width="6.83203125" style="3" customWidth="1"/>
    <col min="22" max="22" width="14.83203125" style="3" customWidth="1"/>
    <col min="23" max="24" width="28.83203125" style="3" customWidth="1"/>
    <col min="25" max="25" width="14.83203125" style="3" customWidth="1"/>
    <col min="26" max="26" width="8.1640625" style="3" customWidth="1"/>
    <col min="27" max="27" width="9.5" style="3" customWidth="1"/>
    <col min="28" max="28" width="6.83203125" style="3" customWidth="1"/>
    <col min="29" max="29" width="5.6640625" style="3" customWidth="1"/>
    <col min="30" max="31" width="28.83203125" style="3" customWidth="1"/>
    <col min="32" max="16384" width="8.83203125" style="3"/>
  </cols>
  <sheetData>
    <row r="1" spans="1:34" ht="18" customHeight="1">
      <c r="A1" s="402"/>
      <c r="B1" s="1549" t="s">
        <v>1066</v>
      </c>
      <c r="C1" s="1549"/>
      <c r="D1" s="1549"/>
      <c r="E1" s="1549"/>
      <c r="F1" s="1549"/>
      <c r="G1" s="1549"/>
      <c r="H1" s="1549"/>
      <c r="I1" s="1549"/>
      <c r="J1" s="1549"/>
      <c r="K1" s="1549"/>
      <c r="L1" s="1549"/>
      <c r="M1" s="1549"/>
      <c r="N1" s="1549"/>
      <c r="O1" s="1549"/>
      <c r="P1" s="1549"/>
      <c r="Q1" s="1549"/>
      <c r="R1" s="1549"/>
      <c r="S1" s="1549"/>
      <c r="T1" s="402"/>
      <c r="U1" s="403"/>
      <c r="V1" s="404"/>
      <c r="W1" s="404"/>
      <c r="X1" s="404"/>
      <c r="Y1" s="404"/>
      <c r="Z1" s="404"/>
      <c r="AA1" s="404"/>
      <c r="AB1" s="405"/>
      <c r="AC1" s="272"/>
      <c r="AD1" s="272"/>
      <c r="AE1" s="272"/>
      <c r="AF1" s="265"/>
      <c r="AG1" s="265"/>
      <c r="AH1" s="265"/>
    </row>
    <row r="2" spans="1:34" ht="20" customHeight="1">
      <c r="A2" s="1597" t="s">
        <v>1066</v>
      </c>
      <c r="B2" s="1564" t="s">
        <v>869</v>
      </c>
      <c r="C2" s="1564"/>
      <c r="D2" s="1564"/>
      <c r="E2" s="1564"/>
      <c r="F2" s="1564"/>
      <c r="G2" s="1564"/>
      <c r="H2" s="1564"/>
      <c r="I2" s="1564"/>
      <c r="J2" s="1564"/>
      <c r="K2" s="1564"/>
      <c r="L2" s="1564"/>
      <c r="M2" s="1564"/>
      <c r="N2" s="1564"/>
      <c r="O2" s="1564"/>
      <c r="P2" s="1564"/>
      <c r="Q2" s="1564"/>
      <c r="R2" s="1564"/>
      <c r="S2" s="1564"/>
      <c r="T2" s="1597" t="s">
        <v>1066</v>
      </c>
      <c r="U2" s="400" t="str">
        <f>W48</f>
        <v>AR</v>
      </c>
      <c r="V2" s="1565" t="s">
        <v>1204</v>
      </c>
      <c r="W2" s="1565"/>
      <c r="X2" s="1565"/>
      <c r="Y2" s="1565"/>
      <c r="Z2" s="1565"/>
      <c r="AA2" s="1565"/>
      <c r="AB2" s="401"/>
      <c r="AC2" s="272"/>
      <c r="AD2" s="272"/>
      <c r="AE2" s="272"/>
      <c r="AF2" s="265"/>
      <c r="AG2" s="265"/>
      <c r="AH2" s="265"/>
    </row>
    <row r="3" spans="1:34" ht="21" customHeight="1">
      <c r="A3" s="1597"/>
      <c r="B3" s="406"/>
      <c r="C3" s="407"/>
      <c r="D3" s="407"/>
      <c r="E3" s="407"/>
      <c r="F3" s="407"/>
      <c r="G3" s="407"/>
      <c r="H3" s="407"/>
      <c r="I3" s="1598" t="s">
        <v>1352</v>
      </c>
      <c r="J3" s="1598"/>
      <c r="K3" s="1598" t="s">
        <v>1353</v>
      </c>
      <c r="L3" s="1598"/>
      <c r="M3" s="1598" t="s">
        <v>1354</v>
      </c>
      <c r="N3" s="1598"/>
      <c r="O3" s="1598" t="s">
        <v>1355</v>
      </c>
      <c r="P3" s="1598"/>
      <c r="Q3" s="1598" t="s">
        <v>1356</v>
      </c>
      <c r="R3" s="1598"/>
      <c r="S3" s="407"/>
      <c r="T3" s="1597"/>
      <c r="U3" s="1533" t="s">
        <v>1195</v>
      </c>
      <c r="V3" s="1534"/>
      <c r="W3" s="1534"/>
      <c r="X3" s="1534"/>
      <c r="Y3" s="1534"/>
      <c r="Z3" s="1534"/>
      <c r="AA3" s="1534"/>
      <c r="AB3" s="1535"/>
      <c r="AC3" s="738"/>
      <c r="AD3" s="738"/>
      <c r="AE3" s="738"/>
      <c r="AF3" s="265"/>
      <c r="AG3" s="265"/>
      <c r="AH3" s="265"/>
    </row>
    <row r="4" spans="1:34" ht="22" customHeight="1">
      <c r="A4" s="1597"/>
      <c r="B4" s="406"/>
      <c r="C4" s="581" t="str">
        <f>W48</f>
        <v>AR</v>
      </c>
      <c r="D4" s="1814" t="s">
        <v>872</v>
      </c>
      <c r="E4" s="1815"/>
      <c r="F4" s="1815"/>
      <c r="G4" s="1815"/>
      <c r="H4" s="1815"/>
      <c r="I4" s="538"/>
      <c r="J4" s="538"/>
      <c r="K4" s="538"/>
      <c r="L4" s="538"/>
      <c r="M4" s="538"/>
      <c r="N4" s="538"/>
      <c r="O4" s="538"/>
      <c r="P4" s="538"/>
      <c r="Q4" s="538"/>
      <c r="R4" s="538"/>
      <c r="S4" s="407"/>
      <c r="T4" s="1597"/>
      <c r="U4" s="1536"/>
      <c r="V4" s="1537"/>
      <c r="W4" s="1537"/>
      <c r="X4" s="1537"/>
      <c r="Y4" s="1537"/>
      <c r="Z4" s="1537"/>
      <c r="AA4" s="1537"/>
      <c r="AB4" s="1538"/>
      <c r="AC4" s="738"/>
      <c r="AD4" s="738"/>
      <c r="AE4" s="738"/>
      <c r="AF4" s="265"/>
      <c r="AG4" s="265"/>
      <c r="AH4" s="265"/>
    </row>
    <row r="5" spans="1:34" ht="15" customHeight="1">
      <c r="A5" s="1597"/>
      <c r="B5" s="406"/>
      <c r="C5" s="1816" t="str">
        <f>W49</f>
        <v>FY2010-11</v>
      </c>
      <c r="D5" s="1649"/>
      <c r="E5" s="1613"/>
      <c r="F5" s="1614"/>
      <c r="G5" s="1613" t="s">
        <v>1366</v>
      </c>
      <c r="H5" s="1614"/>
      <c r="I5" s="1607" t="str">
        <f>W51</f>
        <v>Little Rock</v>
      </c>
      <c r="J5" s="1610"/>
      <c r="K5" s="1609" t="str">
        <f>W52</f>
        <v>FA2L1</v>
      </c>
      <c r="L5" s="1610"/>
      <c r="M5" s="1609" t="str">
        <f>W53</f>
        <v>FA3L1</v>
      </c>
      <c r="N5" s="1610"/>
      <c r="O5" s="1609" t="str">
        <f>W54</f>
        <v>FA4L1</v>
      </c>
      <c r="P5" s="1610"/>
      <c r="Q5" s="1609" t="str">
        <f>W55</f>
        <v>FA5L1</v>
      </c>
      <c r="R5" s="1610"/>
      <c r="S5" s="407"/>
      <c r="T5" s="1597"/>
      <c r="U5" s="1536"/>
      <c r="V5" s="1537"/>
      <c r="W5" s="1537"/>
      <c r="X5" s="1537"/>
      <c r="Y5" s="1537"/>
      <c r="Z5" s="1537"/>
      <c r="AA5" s="1537"/>
      <c r="AB5" s="1538"/>
      <c r="AC5" s="738"/>
      <c r="AD5" s="738"/>
      <c r="AE5" s="738"/>
      <c r="AF5" s="265"/>
      <c r="AG5" s="265"/>
      <c r="AH5" s="265"/>
    </row>
    <row r="6" spans="1:34" ht="15" customHeight="1" thickBot="1">
      <c r="A6" s="1597"/>
      <c r="B6" s="406"/>
      <c r="C6" s="1817"/>
      <c r="D6" s="1651"/>
      <c r="E6" s="1595" t="s">
        <v>1351</v>
      </c>
      <c r="F6" s="1596"/>
      <c r="G6" s="1595" t="s">
        <v>1170</v>
      </c>
      <c r="H6" s="1596"/>
      <c r="I6" s="1605" t="str">
        <f>X51</f>
        <v>School District</v>
      </c>
      <c r="J6" s="1616"/>
      <c r="K6" s="1611" t="str">
        <f>X52</f>
        <v>FA2L2</v>
      </c>
      <c r="L6" s="1612"/>
      <c r="M6" s="1615" t="str">
        <f>X53</f>
        <v>FA3L2</v>
      </c>
      <c r="N6" s="1616"/>
      <c r="O6" s="1615" t="str">
        <f>X54</f>
        <v>FA4L2</v>
      </c>
      <c r="P6" s="1616"/>
      <c r="Q6" s="1611" t="str">
        <f>X55</f>
        <v>FA5L2</v>
      </c>
      <c r="R6" s="1612"/>
      <c r="S6" s="407"/>
      <c r="T6" s="1597"/>
      <c r="U6" s="1536"/>
      <c r="V6" s="1537"/>
      <c r="W6" s="1537"/>
      <c r="X6" s="1537"/>
      <c r="Y6" s="1537"/>
      <c r="Z6" s="1537"/>
      <c r="AA6" s="1537"/>
      <c r="AB6" s="1538"/>
      <c r="AC6" s="738"/>
      <c r="AD6" s="738"/>
      <c r="AE6" s="738"/>
      <c r="AF6" s="265"/>
      <c r="AG6" s="265"/>
      <c r="AH6" s="265"/>
    </row>
    <row r="7" spans="1:34" ht="15" customHeight="1">
      <c r="A7" s="1597"/>
      <c r="B7" s="409"/>
      <c r="C7" s="924" t="s">
        <v>1370</v>
      </c>
      <c r="D7" s="920"/>
      <c r="E7" s="921"/>
      <c r="F7" s="921"/>
      <c r="G7" s="921"/>
      <c r="H7" s="921"/>
      <c r="I7" s="921"/>
      <c r="J7" s="921"/>
      <c r="K7" s="921"/>
      <c r="L7" s="921"/>
      <c r="M7" s="921"/>
      <c r="N7" s="921"/>
      <c r="O7" s="921"/>
      <c r="P7" s="921"/>
      <c r="Q7" s="921"/>
      <c r="R7" s="925"/>
      <c r="S7" s="410"/>
      <c r="T7" s="1597"/>
      <c r="U7" s="1536"/>
      <c r="V7" s="1537"/>
      <c r="W7" s="1537"/>
      <c r="X7" s="1537"/>
      <c r="Y7" s="1537"/>
      <c r="Z7" s="1537"/>
      <c r="AA7" s="1537"/>
      <c r="AB7" s="1538"/>
      <c r="AC7" s="738"/>
      <c r="AD7" s="738"/>
      <c r="AE7" s="738"/>
      <c r="AF7" s="265"/>
      <c r="AG7" s="265"/>
      <c r="AH7" s="265"/>
    </row>
    <row r="8" spans="1:34" ht="15" customHeight="1">
      <c r="A8" s="1597"/>
      <c r="B8" s="406"/>
      <c r="C8" s="1804" t="s">
        <v>1365</v>
      </c>
      <c r="D8" s="1639"/>
      <c r="E8" s="872"/>
      <c r="F8" s="525">
        <f>E19</f>
        <v>11373.740177609156</v>
      </c>
      <c r="G8" s="531"/>
      <c r="H8" s="515">
        <f>G19</f>
        <v>12521.209816178927</v>
      </c>
      <c r="I8" s="518"/>
      <c r="J8" s="564">
        <f>I19</f>
        <v>14411.408437216214</v>
      </c>
      <c r="K8" s="545"/>
      <c r="L8" s="564" t="e">
        <f>K19</f>
        <v>#DIV/0!</v>
      </c>
      <c r="M8" s="545"/>
      <c r="N8" s="564" t="e">
        <f>M19</f>
        <v>#DIV/0!</v>
      </c>
      <c r="O8" s="545"/>
      <c r="P8" s="564" t="e">
        <f>O19</f>
        <v>#DIV/0!</v>
      </c>
      <c r="Q8" s="545"/>
      <c r="R8" s="564" t="e">
        <f>Q19</f>
        <v>#DIV/0!</v>
      </c>
      <c r="S8" s="407"/>
      <c r="T8" s="1597"/>
      <c r="U8" s="1536"/>
      <c r="V8" s="1537"/>
      <c r="W8" s="1537"/>
      <c r="X8" s="1537"/>
      <c r="Y8" s="1537"/>
      <c r="Z8" s="1537"/>
      <c r="AA8" s="1537"/>
      <c r="AB8" s="1538"/>
      <c r="AC8" s="738"/>
      <c r="AD8" s="738"/>
      <c r="AE8" s="738"/>
      <c r="AF8" s="265"/>
      <c r="AG8" s="265"/>
      <c r="AH8" s="265"/>
    </row>
    <row r="9" spans="1:34" ht="15" customHeight="1">
      <c r="A9" s="1597"/>
      <c r="B9" s="406"/>
      <c r="C9" s="1798" t="s">
        <v>1364</v>
      </c>
      <c r="D9" s="1641"/>
      <c r="E9" s="539"/>
      <c r="F9" s="526">
        <f>F19</f>
        <v>8391.5664842271308</v>
      </c>
      <c r="G9" s="532"/>
      <c r="H9" s="516">
        <f>H19</f>
        <v>8391.5664842271308</v>
      </c>
      <c r="I9" s="519"/>
      <c r="J9" s="565">
        <f>J19</f>
        <v>8150.9314335126828</v>
      </c>
      <c r="K9" s="540"/>
      <c r="L9" s="565" t="e">
        <f>L19</f>
        <v>#DIV/0!</v>
      </c>
      <c r="M9" s="540"/>
      <c r="N9" s="565" t="e">
        <f>N19</f>
        <v>#DIV/0!</v>
      </c>
      <c r="O9" s="540"/>
      <c r="P9" s="565" t="e">
        <f>P19</f>
        <v>#DIV/0!</v>
      </c>
      <c r="Q9" s="540"/>
      <c r="R9" s="565" t="e">
        <f>R19</f>
        <v>#DIV/0!</v>
      </c>
      <c r="S9" s="407"/>
      <c r="T9" s="1597"/>
      <c r="U9" s="1536"/>
      <c r="V9" s="1537"/>
      <c r="W9" s="1537"/>
      <c r="X9" s="1537"/>
      <c r="Y9" s="1537"/>
      <c r="Z9" s="1537"/>
      <c r="AA9" s="1537"/>
      <c r="AB9" s="1538"/>
      <c r="AC9" s="738"/>
      <c r="AD9" s="738"/>
      <c r="AE9" s="738"/>
      <c r="AF9" s="265"/>
      <c r="AG9" s="265"/>
      <c r="AH9" s="265"/>
    </row>
    <row r="10" spans="1:34" ht="15" customHeight="1">
      <c r="A10" s="1597"/>
      <c r="B10" s="406"/>
      <c r="C10" s="1798" t="s">
        <v>1371</v>
      </c>
      <c r="D10" s="1641"/>
      <c r="E10" s="540"/>
      <c r="F10" s="527">
        <f>F9-F8</f>
        <v>-2982.1736933820248</v>
      </c>
      <c r="G10" s="532"/>
      <c r="H10" s="517">
        <f>H9-H8</f>
        <v>-4129.6433319517964</v>
      </c>
      <c r="I10" s="519"/>
      <c r="J10" s="566">
        <f>J9-J8</f>
        <v>-6260.4770037035314</v>
      </c>
      <c r="K10" s="540"/>
      <c r="L10" s="566" t="e">
        <f>L9-L8</f>
        <v>#DIV/0!</v>
      </c>
      <c r="M10" s="540"/>
      <c r="N10" s="566" t="e">
        <f>N9-N8</f>
        <v>#DIV/0!</v>
      </c>
      <c r="O10" s="540"/>
      <c r="P10" s="566" t="e">
        <f>P9-P8</f>
        <v>#DIV/0!</v>
      </c>
      <c r="Q10" s="540"/>
      <c r="R10" s="566" t="e">
        <f>R9-R8</f>
        <v>#DIV/0!</v>
      </c>
      <c r="S10" s="407"/>
      <c r="T10" s="1597"/>
      <c r="U10" s="1539"/>
      <c r="V10" s="1540"/>
      <c r="W10" s="1540"/>
      <c r="X10" s="1540"/>
      <c r="Y10" s="1540"/>
      <c r="Z10" s="1540"/>
      <c r="AA10" s="1540"/>
      <c r="AB10" s="1541"/>
      <c r="AC10" s="738"/>
      <c r="AD10" s="738"/>
      <c r="AE10" s="738"/>
      <c r="AF10" s="265"/>
      <c r="AG10" s="265"/>
      <c r="AH10" s="265"/>
    </row>
    <row r="11" spans="1:34" ht="15" customHeight="1" thickBot="1">
      <c r="A11" s="1597"/>
      <c r="B11" s="406"/>
      <c r="C11" s="1798" t="s">
        <v>1372</v>
      </c>
      <c r="D11" s="1641"/>
      <c r="E11" s="546"/>
      <c r="F11" s="547">
        <f>F10/F8</f>
        <v>-0.26219815529572787</v>
      </c>
      <c r="G11" s="548"/>
      <c r="H11" s="549">
        <f>H10/H8</f>
        <v>-0.32981184666483221</v>
      </c>
      <c r="I11" s="550"/>
      <c r="J11" s="567">
        <f>J10/J8</f>
        <v>-0.43441118409609375</v>
      </c>
      <c r="K11" s="551"/>
      <c r="L11" s="567" t="e">
        <f>L10/L8</f>
        <v>#DIV/0!</v>
      </c>
      <c r="M11" s="551"/>
      <c r="N11" s="567" t="e">
        <f>N10/N8</f>
        <v>#DIV/0!</v>
      </c>
      <c r="O11" s="551"/>
      <c r="P11" s="567" t="e">
        <f>P10/P8</f>
        <v>#DIV/0!</v>
      </c>
      <c r="Q11" s="551"/>
      <c r="R11" s="567" t="e">
        <f>R10/R8</f>
        <v>#DIV/0!</v>
      </c>
      <c r="S11" s="407"/>
      <c r="T11" s="1597"/>
      <c r="U11" s="1522"/>
      <c r="V11" s="1523"/>
      <c r="W11" s="1523"/>
      <c r="X11" s="1523"/>
      <c r="Y11" s="1523"/>
      <c r="Z11" s="1523"/>
      <c r="AA11" s="1523"/>
      <c r="AB11" s="1524"/>
      <c r="AC11" s="738"/>
      <c r="AD11" s="738"/>
      <c r="AE11" s="738"/>
      <c r="AF11" s="265"/>
      <c r="AG11" s="265"/>
      <c r="AH11" s="265"/>
    </row>
    <row r="12" spans="1:34" ht="42" customHeight="1">
      <c r="A12" s="1597"/>
      <c r="B12" s="406"/>
      <c r="C12" s="1802" t="s">
        <v>1373</v>
      </c>
      <c r="D12" s="1803"/>
      <c r="E12" s="915" t="s">
        <v>1365</v>
      </c>
      <c r="F12" s="916" t="s">
        <v>1364</v>
      </c>
      <c r="G12" s="915" t="s">
        <v>1365</v>
      </c>
      <c r="H12" s="917" t="s">
        <v>1364</v>
      </c>
      <c r="I12" s="918" t="s">
        <v>1365</v>
      </c>
      <c r="J12" s="919" t="s">
        <v>1364</v>
      </c>
      <c r="K12" s="915" t="s">
        <v>1365</v>
      </c>
      <c r="L12" s="919" t="s">
        <v>1364</v>
      </c>
      <c r="M12" s="915" t="s">
        <v>1365</v>
      </c>
      <c r="N12" s="919" t="s">
        <v>1364</v>
      </c>
      <c r="O12" s="915" t="s">
        <v>1365</v>
      </c>
      <c r="P12" s="919" t="s">
        <v>1364</v>
      </c>
      <c r="Q12" s="915" t="s">
        <v>1365</v>
      </c>
      <c r="R12" s="919" t="s">
        <v>1364</v>
      </c>
      <c r="S12" s="407"/>
      <c r="T12" s="1597"/>
      <c r="U12" s="1525"/>
      <c r="V12" s="1526"/>
      <c r="W12" s="1526"/>
      <c r="X12" s="1526"/>
      <c r="Y12" s="1526"/>
      <c r="Z12" s="1526"/>
      <c r="AA12" s="1526"/>
      <c r="AB12" s="1527"/>
      <c r="AC12" s="738"/>
      <c r="AD12" s="738"/>
      <c r="AE12" s="738"/>
      <c r="AF12" s="265"/>
      <c r="AG12" s="265"/>
      <c r="AH12" s="265"/>
    </row>
    <row r="13" spans="1:34" ht="15" customHeight="1">
      <c r="A13" s="1597"/>
      <c r="B13" s="406"/>
      <c r="C13" s="577" t="s">
        <v>1345</v>
      </c>
      <c r="D13" s="578"/>
      <c r="E13" s="541">
        <f>'$REV-DSUM-CONV'!B26/E21</f>
        <v>1766.4904299931325</v>
      </c>
      <c r="F13" s="498">
        <f>'$REV-DSUM-CONV'!B96/E23</f>
        <v>1211.0079085173504</v>
      </c>
      <c r="G13" s="533">
        <f>'$REV-DB'!BT22</f>
        <v>1982.763526927457</v>
      </c>
      <c r="H13" s="559">
        <f t="shared" ref="H13:H18" si="0">F13</f>
        <v>1211.0079085173504</v>
      </c>
      <c r="I13" s="520">
        <f>'$REV-DSUM-CONV'!B166/I21</f>
        <v>2339.0249005201026</v>
      </c>
      <c r="J13" s="569">
        <f>'$REV-DSUM-CONV'!B236/I23</f>
        <v>1294.6825941583397</v>
      </c>
      <c r="K13" s="541" t="e">
        <f>'$REV-DSUM-CONV'!B306/K21</f>
        <v>#DIV/0!</v>
      </c>
      <c r="L13" s="569" t="e">
        <f>'$REV-DSUM-CONV'!B376/K23</f>
        <v>#DIV/0!</v>
      </c>
      <c r="M13" s="541" t="e">
        <f>'$REV-DSUM-CONV'!B446/M21</f>
        <v>#DIV/0!</v>
      </c>
      <c r="N13" s="569" t="e">
        <f>'$REV-DSUM-CONV'!B516/M23</f>
        <v>#DIV/0!</v>
      </c>
      <c r="O13" s="541" t="e">
        <f>'$REV-DSUM-CONV'!B586/O21</f>
        <v>#DIV/0!</v>
      </c>
      <c r="P13" s="569" t="e">
        <f>'$REV-DSUM-CONV'!B656/O23</f>
        <v>#DIV/0!</v>
      </c>
      <c r="Q13" s="541" t="e">
        <f>'$REV-DSUM-CONV'!B726/Q21</f>
        <v>#DIV/0!</v>
      </c>
      <c r="R13" s="569" t="e">
        <f>'$REV-DSUM-CONV'!B796/Q23</f>
        <v>#DIV/0!</v>
      </c>
      <c r="S13" s="407"/>
      <c r="T13" s="1597"/>
      <c r="U13" s="1525"/>
      <c r="V13" s="1526"/>
      <c r="W13" s="1526"/>
      <c r="X13" s="1526"/>
      <c r="Y13" s="1526"/>
      <c r="Z13" s="1526"/>
      <c r="AA13" s="1526"/>
      <c r="AB13" s="1527"/>
      <c r="AC13" s="738"/>
      <c r="AD13" s="738"/>
      <c r="AE13" s="738"/>
      <c r="AF13" s="265"/>
      <c r="AG13" s="265"/>
      <c r="AH13" s="265"/>
    </row>
    <row r="14" spans="1:34" ht="15" customHeight="1">
      <c r="A14" s="1597"/>
      <c r="B14" s="406"/>
      <c r="C14" s="579" t="s">
        <v>1344</v>
      </c>
      <c r="D14" s="580"/>
      <c r="E14" s="542">
        <f>'$REV-DSUM-CONV'!B36/E21</f>
        <v>5140.8759576745479</v>
      </c>
      <c r="F14" s="528">
        <f>'$REV-DSUM-CONV'!B106/E23</f>
        <v>6239.4890867507893</v>
      </c>
      <c r="G14" s="534">
        <f>'$REV-DB'!BT23</f>
        <v>5322.6685927303633</v>
      </c>
      <c r="H14" s="560">
        <f t="shared" si="0"/>
        <v>6239.4890867507893</v>
      </c>
      <c r="I14" s="521">
        <f>'$REV-DSUM-CONV'!B176/I21</f>
        <v>5622.1311462891108</v>
      </c>
      <c r="J14" s="570">
        <f>'$REV-DSUM-CONV'!B246/I23</f>
        <v>6138.5867025365105</v>
      </c>
      <c r="K14" s="542" t="e">
        <f>'$REV-DSUM-CONV'!B316/K21</f>
        <v>#DIV/0!</v>
      </c>
      <c r="L14" s="570" t="e">
        <f>'$REV-DSUM-CONV'!B386/K23</f>
        <v>#DIV/0!</v>
      </c>
      <c r="M14" s="542" t="e">
        <f>'$REV-DSUM-CONV'!B456/M21</f>
        <v>#DIV/0!</v>
      </c>
      <c r="N14" s="570" t="e">
        <f>'$REV-DSUM-CONV'!B526/M23</f>
        <v>#DIV/0!</v>
      </c>
      <c r="O14" s="542" t="e">
        <f>'$REV-DSUM-CONV'!B596/O21</f>
        <v>#DIV/0!</v>
      </c>
      <c r="P14" s="570" t="e">
        <f>'$REV-DSUM-CONV'!B666/O23</f>
        <v>#DIV/0!</v>
      </c>
      <c r="Q14" s="542" t="e">
        <f>'$REV-DSUM-CONV'!B736/Q21</f>
        <v>#DIV/0!</v>
      </c>
      <c r="R14" s="570" t="e">
        <f>'$REV-DSUM-CONV'!B806/Q23</f>
        <v>#DIV/0!</v>
      </c>
      <c r="S14" s="407"/>
      <c r="T14" s="1597"/>
      <c r="U14" s="1525"/>
      <c r="V14" s="1526"/>
      <c r="W14" s="1526"/>
      <c r="X14" s="1526"/>
      <c r="Y14" s="1526"/>
      <c r="Z14" s="1526"/>
      <c r="AA14" s="1526"/>
      <c r="AB14" s="1527"/>
      <c r="AC14" s="738"/>
      <c r="AD14" s="738"/>
      <c r="AE14" s="738"/>
      <c r="AF14" s="265"/>
      <c r="AG14" s="265"/>
      <c r="AH14" s="265"/>
    </row>
    <row r="15" spans="1:34" ht="15" customHeight="1">
      <c r="A15" s="1597"/>
      <c r="B15" s="406"/>
      <c r="C15" s="579" t="s">
        <v>1343</v>
      </c>
      <c r="D15" s="580"/>
      <c r="E15" s="542">
        <f>'$REV-DSUM-CONV'!B46/E21</f>
        <v>3140.2022210136538</v>
      </c>
      <c r="F15" s="528">
        <f>'$REV-DSUM-CONV'!B116/E23</f>
        <v>0</v>
      </c>
      <c r="G15" s="534">
        <f>'$REV-DB'!BT24</f>
        <v>4130.9810122293638</v>
      </c>
      <c r="H15" s="560">
        <f t="shared" si="0"/>
        <v>0</v>
      </c>
      <c r="I15" s="521">
        <f>'$REV-DSUM-CONV'!B186/I21</f>
        <v>5763.0666395608023</v>
      </c>
      <c r="J15" s="570">
        <f>'$REV-DSUM-CONV'!B256/I23</f>
        <v>0</v>
      </c>
      <c r="K15" s="542" t="e">
        <f>'$REV-DSUM-CONV'!B326/K21</f>
        <v>#DIV/0!</v>
      </c>
      <c r="L15" s="570" t="e">
        <f>'$REV-DSUM-CONV'!B396/K23</f>
        <v>#DIV/0!</v>
      </c>
      <c r="M15" s="542" t="e">
        <f>'$REV-DSUM-CONV'!B466/M21</f>
        <v>#DIV/0!</v>
      </c>
      <c r="N15" s="570" t="e">
        <f>'$REV-DSUM-CONV'!B536/M23</f>
        <v>#DIV/0!</v>
      </c>
      <c r="O15" s="542" t="e">
        <f>'$REV-DSUM-CONV'!B606/O21</f>
        <v>#DIV/0!</v>
      </c>
      <c r="P15" s="570" t="e">
        <f>'$REV-DSUM-CONV'!B676/O23</f>
        <v>#DIV/0!</v>
      </c>
      <c r="Q15" s="542" t="e">
        <f>'$REV-DSUM-CONV'!B746/Q21</f>
        <v>#DIV/0!</v>
      </c>
      <c r="R15" s="570" t="e">
        <f>'$REV-DSUM-CONV'!B816/Q23</f>
        <v>#DIV/0!</v>
      </c>
      <c r="S15" s="407"/>
      <c r="T15" s="1597"/>
      <c r="U15" s="1525"/>
      <c r="V15" s="1526"/>
      <c r="W15" s="1526"/>
      <c r="X15" s="1526"/>
      <c r="Y15" s="1526"/>
      <c r="Z15" s="1526"/>
      <c r="AA15" s="1526"/>
      <c r="AB15" s="1527"/>
      <c r="AC15" s="738"/>
      <c r="AD15" s="738"/>
      <c r="AE15" s="738"/>
      <c r="AF15" s="265"/>
      <c r="AG15" s="265"/>
      <c r="AH15" s="265"/>
    </row>
    <row r="16" spans="1:34" ht="15" customHeight="1">
      <c r="A16" s="1597"/>
      <c r="B16" s="406"/>
      <c r="C16" s="579" t="s">
        <v>1349</v>
      </c>
      <c r="D16" s="580"/>
      <c r="E16" s="542">
        <f>'$REV-DSUM-CONV'!B56/E21</f>
        <v>1319.3725258331722</v>
      </c>
      <c r="F16" s="528">
        <f>'$REV-DSUM-CONV'!B126/E23</f>
        <v>941.06948895899052</v>
      </c>
      <c r="G16" s="534">
        <f>'$REV-DB'!BT25</f>
        <v>1080.2289391178711</v>
      </c>
      <c r="H16" s="560">
        <f t="shared" si="0"/>
        <v>941.06948895899052</v>
      </c>
      <c r="I16" s="521">
        <f>'$REV-DSUM-CONV'!B196/I21</f>
        <v>686.29356806736564</v>
      </c>
      <c r="J16" s="570">
        <f>'$REV-DSUM-CONV'!B266/I23</f>
        <v>717.66213681783245</v>
      </c>
      <c r="K16" s="542" t="e">
        <f>'$REV-DSUM-CONV'!B336/K21</f>
        <v>#DIV/0!</v>
      </c>
      <c r="L16" s="570" t="e">
        <f>'$REV-DSUM-CONV'!B406/K23</f>
        <v>#DIV/0!</v>
      </c>
      <c r="M16" s="542" t="e">
        <f>'$REV-DSUM-CONV'!B476/M21</f>
        <v>#DIV/0!</v>
      </c>
      <c r="N16" s="570" t="e">
        <f>'$REV-DSUM-CONV'!B546/M23</f>
        <v>#DIV/0!</v>
      </c>
      <c r="O16" s="542" t="e">
        <f>'$REV-DSUM-CONV'!B616/O21</f>
        <v>#DIV/0!</v>
      </c>
      <c r="P16" s="570" t="e">
        <f>'$REV-DSUM-CONV'!B686/O23</f>
        <v>#DIV/0!</v>
      </c>
      <c r="Q16" s="542" t="e">
        <f>'$REV-DSUM-CONV'!B756/Q21</f>
        <v>#DIV/0!</v>
      </c>
      <c r="R16" s="570" t="e">
        <f>'$REV-DSUM-CONV'!B826/Q23</f>
        <v>#DIV/0!</v>
      </c>
      <c r="S16" s="407"/>
      <c r="T16" s="1597"/>
      <c r="U16" s="1525"/>
      <c r="V16" s="1526"/>
      <c r="W16" s="1526"/>
      <c r="X16" s="1526"/>
      <c r="Y16" s="1526"/>
      <c r="Z16" s="1526"/>
      <c r="AA16" s="1526"/>
      <c r="AB16" s="1527"/>
      <c r="AC16" s="738"/>
      <c r="AD16" s="738"/>
      <c r="AE16" s="738"/>
      <c r="AF16" s="265"/>
      <c r="AG16" s="265"/>
      <c r="AH16" s="265"/>
    </row>
    <row r="17" spans="1:34" ht="15" customHeight="1">
      <c r="A17" s="1597"/>
      <c r="B17" s="406"/>
      <c r="C17" s="579" t="s">
        <v>1177</v>
      </c>
      <c r="D17" s="580"/>
      <c r="E17" s="542">
        <f>'$REV-DSUM-CONV'!B66/E21</f>
        <v>6.7990430946504929</v>
      </c>
      <c r="F17" s="528">
        <f>'$REV-DSUM-CONV'!B136/E23</f>
        <v>0</v>
      </c>
      <c r="G17" s="534">
        <f>'$REV-DB'!BT26</f>
        <v>4.5677451738728001</v>
      </c>
      <c r="H17" s="560">
        <f t="shared" si="0"/>
        <v>0</v>
      </c>
      <c r="I17" s="521">
        <f>'$REV-DSUM-CONV'!B206/I21</f>
        <v>0.89218277883265917</v>
      </c>
      <c r="J17" s="570">
        <f>'$REV-DSUM-CONV'!B276/I23</f>
        <v>0</v>
      </c>
      <c r="K17" s="542" t="e">
        <f>'$REV-DSUM-CONV'!B346/K21</f>
        <v>#DIV/0!</v>
      </c>
      <c r="L17" s="570" t="e">
        <f>'$REV-DSUM-CONV'!B416/K23</f>
        <v>#DIV/0!</v>
      </c>
      <c r="M17" s="542" t="e">
        <f>'$REV-DSUM-CONV'!B486/M21</f>
        <v>#DIV/0!</v>
      </c>
      <c r="N17" s="570" t="e">
        <f>'$REV-DSUM-CONV'!B556/M23</f>
        <v>#DIV/0!</v>
      </c>
      <c r="O17" s="542" t="e">
        <f>'$REV-DSUM-CONV'!B626/O21</f>
        <v>#DIV/0!</v>
      </c>
      <c r="P17" s="570" t="e">
        <f>'$REV-DSUM-CONV'!B696/O23</f>
        <v>#DIV/0!</v>
      </c>
      <c r="Q17" s="542" t="e">
        <f>'$REV-DSUM-CONV'!B766/Q21</f>
        <v>#DIV/0!</v>
      </c>
      <c r="R17" s="570" t="e">
        <f>'$REV-DSUM-CONV'!B836/Q23</f>
        <v>#DIV/0!</v>
      </c>
      <c r="S17" s="407"/>
      <c r="T17" s="1597"/>
      <c r="U17" s="1525"/>
      <c r="V17" s="1526"/>
      <c r="W17" s="1526"/>
      <c r="X17" s="1526"/>
      <c r="Y17" s="1526"/>
      <c r="Z17" s="1526"/>
      <c r="AA17" s="1526"/>
      <c r="AB17" s="1527"/>
      <c r="AC17" s="738"/>
      <c r="AD17" s="738"/>
      <c r="AE17" s="738"/>
      <c r="AF17" s="265"/>
      <c r="AG17" s="265"/>
      <c r="AH17" s="265"/>
    </row>
    <row r="18" spans="1:34" ht="15" customHeight="1">
      <c r="A18" s="1597"/>
      <c r="B18" s="406"/>
      <c r="C18" s="579" t="s">
        <v>1350</v>
      </c>
      <c r="D18" s="580"/>
      <c r="E18" s="542">
        <f>'$REV-DSUM-CONV'!B76/E21</f>
        <v>0</v>
      </c>
      <c r="F18" s="528">
        <f>'$REV-DSUM-CONV'!B146/E23</f>
        <v>0</v>
      </c>
      <c r="G18" s="534">
        <f>'$REV-DB'!BT27</f>
        <v>0</v>
      </c>
      <c r="H18" s="560">
        <f t="shared" si="0"/>
        <v>0</v>
      </c>
      <c r="I18" s="521">
        <f>'$REV-DSUM-CONV'!B216/I21</f>
        <v>0</v>
      </c>
      <c r="J18" s="570">
        <f>'$REV-DSUM-CONV'!B286/I23</f>
        <v>0</v>
      </c>
      <c r="K18" s="542" t="e">
        <f>'$REV-DSUM-CONV'!B356/K21</f>
        <v>#DIV/0!</v>
      </c>
      <c r="L18" s="570" t="e">
        <f>'$REV-DSUM-CONV'!B426/K23</f>
        <v>#DIV/0!</v>
      </c>
      <c r="M18" s="542" t="e">
        <f>'$REV-DSUM-CONV'!B496/M21</f>
        <v>#DIV/0!</v>
      </c>
      <c r="N18" s="570" t="e">
        <f>'$REV-DSUM-CONV'!B566/M23</f>
        <v>#DIV/0!</v>
      </c>
      <c r="O18" s="542" t="e">
        <f>'$REV-DSUM-CONV'!B636/O21</f>
        <v>#DIV/0!</v>
      </c>
      <c r="P18" s="570" t="e">
        <f>'$REV-DSUM-CONV'!B706/O23</f>
        <v>#DIV/0!</v>
      </c>
      <c r="Q18" s="542" t="e">
        <f>'$REV-DSUM-CONV'!B776/Q21</f>
        <v>#DIV/0!</v>
      </c>
      <c r="R18" s="570" t="e">
        <f>'$REV-DSUM-CONV'!B846/Q23</f>
        <v>#DIV/0!</v>
      </c>
      <c r="S18" s="407"/>
      <c r="T18" s="1597"/>
      <c r="U18" s="1528"/>
      <c r="V18" s="1529"/>
      <c r="W18" s="1529"/>
      <c r="X18" s="1529"/>
      <c r="Y18" s="1529"/>
      <c r="Z18" s="1529"/>
      <c r="AA18" s="1529"/>
      <c r="AB18" s="1530"/>
      <c r="AC18" s="738"/>
      <c r="AD18" s="738"/>
      <c r="AE18" s="738"/>
      <c r="AF18" s="265"/>
      <c r="AG18" s="265"/>
      <c r="AH18" s="265"/>
    </row>
    <row r="19" spans="1:34" ht="15" customHeight="1" thickBot="1">
      <c r="A19" s="1597"/>
      <c r="B19" s="406"/>
      <c r="C19" s="579" t="s">
        <v>1346</v>
      </c>
      <c r="D19" s="580"/>
      <c r="E19" s="542">
        <f>SUM(E13:E18)</f>
        <v>11373.740177609156</v>
      </c>
      <c r="F19" s="528">
        <f>SUM(F13:F18)</f>
        <v>8391.5664842271308</v>
      </c>
      <c r="G19" s="562">
        <f>SUM(G13:G18)</f>
        <v>12521.209816178927</v>
      </c>
      <c r="H19" s="561">
        <f>SUM(H13:H18)</f>
        <v>8391.5664842271308</v>
      </c>
      <c r="I19" s="521">
        <f t="shared" ref="I19:R19" si="1">SUM(I13:I18)</f>
        <v>14411.408437216214</v>
      </c>
      <c r="J19" s="863">
        <f t="shared" si="1"/>
        <v>8150.9314335126828</v>
      </c>
      <c r="K19" s="542" t="e">
        <f t="shared" si="1"/>
        <v>#DIV/0!</v>
      </c>
      <c r="L19" s="570" t="e">
        <f t="shared" si="1"/>
        <v>#DIV/0!</v>
      </c>
      <c r="M19" s="542" t="e">
        <f t="shared" si="1"/>
        <v>#DIV/0!</v>
      </c>
      <c r="N19" s="863" t="e">
        <f t="shared" si="1"/>
        <v>#DIV/0!</v>
      </c>
      <c r="O19" s="542" t="e">
        <f t="shared" si="1"/>
        <v>#DIV/0!</v>
      </c>
      <c r="P19" s="863" t="e">
        <f t="shared" si="1"/>
        <v>#DIV/0!</v>
      </c>
      <c r="Q19" s="542" t="e">
        <f t="shared" si="1"/>
        <v>#DIV/0!</v>
      </c>
      <c r="R19" s="570" t="e">
        <f t="shared" si="1"/>
        <v>#DIV/0!</v>
      </c>
      <c r="S19" s="407"/>
      <c r="T19" s="1597"/>
      <c r="U19" s="1522"/>
      <c r="V19" s="1523"/>
      <c r="W19" s="1523"/>
      <c r="X19" s="1523"/>
      <c r="Y19" s="1523"/>
      <c r="Z19" s="1523"/>
      <c r="AA19" s="1523"/>
      <c r="AB19" s="1524"/>
      <c r="AC19" s="738"/>
      <c r="AD19" s="738"/>
      <c r="AE19" s="738"/>
      <c r="AF19" s="265"/>
      <c r="AG19" s="265"/>
      <c r="AH19" s="265"/>
    </row>
    <row r="20" spans="1:34" ht="15" customHeight="1">
      <c r="A20" s="1597"/>
      <c r="B20" s="409"/>
      <c r="C20" s="924" t="s">
        <v>1374</v>
      </c>
      <c r="D20" s="920"/>
      <c r="E20" s="921"/>
      <c r="F20" s="921"/>
      <c r="G20" s="921"/>
      <c r="H20" s="921"/>
      <c r="I20" s="921"/>
      <c r="J20" s="921"/>
      <c r="K20" s="921"/>
      <c r="L20" s="921"/>
      <c r="M20" s="921"/>
      <c r="N20" s="921"/>
      <c r="O20" s="921"/>
      <c r="P20" s="921"/>
      <c r="Q20" s="921"/>
      <c r="R20" s="925"/>
      <c r="S20" s="410"/>
      <c r="T20" s="1597"/>
      <c r="U20" s="1525"/>
      <c r="V20" s="1526"/>
      <c r="W20" s="1526"/>
      <c r="X20" s="1526"/>
      <c r="Y20" s="1526"/>
      <c r="Z20" s="1526"/>
      <c r="AA20" s="1526"/>
      <c r="AB20" s="1527"/>
      <c r="AC20" s="738"/>
      <c r="AD20" s="738"/>
      <c r="AE20" s="738"/>
      <c r="AF20" s="265"/>
      <c r="AG20" s="265"/>
      <c r="AH20" s="265"/>
    </row>
    <row r="21" spans="1:34" ht="15" customHeight="1">
      <c r="A21" s="1597"/>
      <c r="B21" s="406"/>
      <c r="C21" s="1808" t="s">
        <v>1365</v>
      </c>
      <c r="D21" s="1665"/>
      <c r="E21" s="1583">
        <f>'ENR#-DSUM-CONV'!B13</f>
        <v>461519</v>
      </c>
      <c r="F21" s="1625"/>
      <c r="G21" s="1810" t="s">
        <v>1357</v>
      </c>
      <c r="H21" s="1811"/>
      <c r="I21" s="1591">
        <f>'ENR#-DSUM-CONV'!B33</f>
        <v>24226</v>
      </c>
      <c r="J21" s="1584"/>
      <c r="K21" s="1583">
        <f>'ENR#-DSUM-CONV'!B53</f>
        <v>0</v>
      </c>
      <c r="L21" s="1584"/>
      <c r="M21" s="1583">
        <f>'ENR#-DSUM-CONV'!B73</f>
        <v>0</v>
      </c>
      <c r="N21" s="1584"/>
      <c r="O21" s="1583">
        <f>'ENR#-DSUM-CONV'!B93</f>
        <v>0</v>
      </c>
      <c r="P21" s="1584"/>
      <c r="Q21" s="1583">
        <f>'ENR#-DSUM-CONV'!B113</f>
        <v>0</v>
      </c>
      <c r="R21" s="1584"/>
      <c r="S21" s="407"/>
      <c r="T21" s="1597"/>
      <c r="U21" s="1525"/>
      <c r="V21" s="1526"/>
      <c r="W21" s="1526"/>
      <c r="X21" s="1526"/>
      <c r="Y21" s="1526"/>
      <c r="Z21" s="1526"/>
      <c r="AA21" s="1526"/>
      <c r="AB21" s="1527"/>
      <c r="AC21" s="738"/>
      <c r="AD21" s="738"/>
      <c r="AE21" s="738"/>
      <c r="AF21" s="265"/>
      <c r="AG21" s="265"/>
      <c r="AH21" s="265"/>
    </row>
    <row r="22" spans="1:34" ht="15" customHeight="1">
      <c r="A22" s="1597"/>
      <c r="B22" s="406"/>
      <c r="C22" s="1809"/>
      <c r="D22" s="1667"/>
      <c r="E22" s="1581">
        <f>E21/(E21+E23)</f>
        <v>0.9864489087524233</v>
      </c>
      <c r="F22" s="1626"/>
      <c r="G22" s="1636" t="s">
        <v>1357</v>
      </c>
      <c r="H22" s="1637"/>
      <c r="I22" s="1593">
        <f>I21/(I21+I23)</f>
        <v>0.90301177873863125</v>
      </c>
      <c r="J22" s="1582"/>
      <c r="K22" s="1581" t="e">
        <f>K21/(K21+K23)</f>
        <v>#DIV/0!</v>
      </c>
      <c r="L22" s="1582"/>
      <c r="M22" s="1581" t="e">
        <f>M21/(M21+M23)</f>
        <v>#DIV/0!</v>
      </c>
      <c r="N22" s="1582"/>
      <c r="O22" s="1581" t="e">
        <f>O21/(O21+O23)</f>
        <v>#DIV/0!</v>
      </c>
      <c r="P22" s="1582"/>
      <c r="Q22" s="1581" t="e">
        <f>Q21/(Q21+Q23)</f>
        <v>#DIV/0!</v>
      </c>
      <c r="R22" s="1582"/>
      <c r="S22" s="407"/>
      <c r="T22" s="1597"/>
      <c r="U22" s="1525"/>
      <c r="V22" s="1526"/>
      <c r="W22" s="1526"/>
      <c r="X22" s="1526"/>
      <c r="Y22" s="1526"/>
      <c r="Z22" s="1526"/>
      <c r="AA22" s="1526"/>
      <c r="AB22" s="1527"/>
      <c r="AC22" s="738"/>
      <c r="AD22" s="738"/>
      <c r="AE22" s="738"/>
      <c r="AF22" s="265"/>
      <c r="AG22" s="265"/>
      <c r="AH22" s="265"/>
    </row>
    <row r="23" spans="1:34" ht="15" customHeight="1">
      <c r="A23" s="1597"/>
      <c r="B23" s="406"/>
      <c r="C23" s="1808" t="s">
        <v>1375</v>
      </c>
      <c r="D23" s="1665"/>
      <c r="E23" s="1583">
        <f>'ENR#-DSUM-CONV'!B23</f>
        <v>6340</v>
      </c>
      <c r="F23" s="1625"/>
      <c r="G23" s="1810" t="s">
        <v>1357</v>
      </c>
      <c r="H23" s="1811"/>
      <c r="I23" s="1591">
        <f>'ENR#-DSUM-CONV'!B43</f>
        <v>2602</v>
      </c>
      <c r="J23" s="1584"/>
      <c r="K23" s="1583">
        <f>'ENR#-DSUM-CONV'!B63</f>
        <v>0</v>
      </c>
      <c r="L23" s="1584"/>
      <c r="M23" s="1583">
        <f>'ENR#-DSUM-CONV'!B83</f>
        <v>0</v>
      </c>
      <c r="N23" s="1584"/>
      <c r="O23" s="1583">
        <f>'ENR#-DSUM-CONV'!B103</f>
        <v>0</v>
      </c>
      <c r="P23" s="1584"/>
      <c r="Q23" s="1583">
        <f>'ENR#-DSUM-CONV'!B123</f>
        <v>0</v>
      </c>
      <c r="R23" s="1584"/>
      <c r="S23" s="407"/>
      <c r="T23" s="1597"/>
      <c r="U23" s="1525"/>
      <c r="V23" s="1526"/>
      <c r="W23" s="1526"/>
      <c r="X23" s="1526"/>
      <c r="Y23" s="1526"/>
      <c r="Z23" s="1526"/>
      <c r="AA23" s="1526"/>
      <c r="AB23" s="1527"/>
      <c r="AC23" s="738"/>
      <c r="AD23" s="738"/>
      <c r="AE23" s="738"/>
      <c r="AF23" s="265"/>
      <c r="AG23" s="265"/>
      <c r="AH23" s="265"/>
    </row>
    <row r="24" spans="1:34" ht="15" customHeight="1">
      <c r="A24" s="1597"/>
      <c r="B24" s="406"/>
      <c r="C24" s="1809"/>
      <c r="D24" s="1667"/>
      <c r="E24" s="1581">
        <f>E23/(E23+E21)</f>
        <v>1.3551091247576728E-2</v>
      </c>
      <c r="F24" s="1626"/>
      <c r="G24" s="1636" t="s">
        <v>1357</v>
      </c>
      <c r="H24" s="1637"/>
      <c r="I24" s="1593">
        <f>I23/(I23+I21)</f>
        <v>9.6988221261368718E-2</v>
      </c>
      <c r="J24" s="1582"/>
      <c r="K24" s="1581" t="e">
        <f>K23/(K23+K21)</f>
        <v>#DIV/0!</v>
      </c>
      <c r="L24" s="1582"/>
      <c r="M24" s="1581" t="e">
        <f>M23/(M23+M21)</f>
        <v>#DIV/0!</v>
      </c>
      <c r="N24" s="1582"/>
      <c r="O24" s="1581" t="e">
        <f>O23/(O23+O21)</f>
        <v>#DIV/0!</v>
      </c>
      <c r="P24" s="1582"/>
      <c r="Q24" s="1581" t="e">
        <f>Q23/(Q23+Q21)</f>
        <v>#DIV/0!</v>
      </c>
      <c r="R24" s="1582"/>
      <c r="S24" s="407"/>
      <c r="T24" s="1597"/>
      <c r="U24" s="1525"/>
      <c r="V24" s="1526"/>
      <c r="W24" s="1526"/>
      <c r="X24" s="1526"/>
      <c r="Y24" s="1526"/>
      <c r="Z24" s="1526"/>
      <c r="AA24" s="1526"/>
      <c r="AB24" s="1527"/>
      <c r="AC24" s="738"/>
      <c r="AD24" s="738"/>
      <c r="AE24" s="738"/>
      <c r="AF24" s="265"/>
      <c r="AG24" s="265"/>
      <c r="AH24" s="265"/>
    </row>
    <row r="25" spans="1:34" ht="15" customHeight="1">
      <c r="A25" s="1597"/>
      <c r="B25" s="406"/>
      <c r="C25" s="1812" t="s">
        <v>1467</v>
      </c>
      <c r="D25" s="1659"/>
      <c r="E25" s="1585"/>
      <c r="F25" s="1599"/>
      <c r="G25" s="1621" t="s">
        <v>1357</v>
      </c>
      <c r="H25" s="1622"/>
      <c r="I25" s="1627"/>
      <c r="J25" s="1586"/>
      <c r="K25" s="1585"/>
      <c r="L25" s="1586"/>
      <c r="M25" s="1585"/>
      <c r="N25" s="1586"/>
      <c r="O25" s="1585"/>
      <c r="P25" s="1586"/>
      <c r="Q25" s="1585"/>
      <c r="R25" s="1586"/>
      <c r="S25" s="407"/>
      <c r="T25" s="1597"/>
      <c r="U25" s="1525"/>
      <c r="V25" s="1526"/>
      <c r="W25" s="1526"/>
      <c r="X25" s="1526"/>
      <c r="Y25" s="1526"/>
      <c r="Z25" s="1526"/>
      <c r="AA25" s="1526"/>
      <c r="AB25" s="1527"/>
      <c r="AC25" s="738"/>
      <c r="AD25" s="738"/>
      <c r="AE25" s="738"/>
      <c r="AF25" s="265"/>
      <c r="AG25" s="265"/>
      <c r="AH25" s="265"/>
    </row>
    <row r="26" spans="1:34" ht="15" customHeight="1" thickBot="1">
      <c r="A26" s="1597"/>
      <c r="B26" s="406"/>
      <c r="C26" s="1813"/>
      <c r="D26" s="1661"/>
      <c r="E26" s="1587">
        <f>Y56</f>
        <v>17</v>
      </c>
      <c r="F26" s="1600"/>
      <c r="G26" s="1623" t="s">
        <v>1357</v>
      </c>
      <c r="H26" s="1624"/>
      <c r="I26" s="1629">
        <f>Y51</f>
        <v>7</v>
      </c>
      <c r="J26" s="1602"/>
      <c r="K26" s="1587" t="str">
        <f>Y52</f>
        <v>#</v>
      </c>
      <c r="L26" s="1588"/>
      <c r="M26" s="1601" t="str">
        <f>Y53</f>
        <v>#</v>
      </c>
      <c r="N26" s="1602"/>
      <c r="O26" s="1601" t="str">
        <f>Y54</f>
        <v>#</v>
      </c>
      <c r="P26" s="1602"/>
      <c r="Q26" s="1587" t="str">
        <f>Y55</f>
        <v>#</v>
      </c>
      <c r="R26" s="1588"/>
      <c r="S26" s="407"/>
      <c r="T26" s="1597"/>
      <c r="U26" s="1525"/>
      <c r="V26" s="1526"/>
      <c r="W26" s="1526"/>
      <c r="X26" s="1526"/>
      <c r="Y26" s="1526"/>
      <c r="Z26" s="1526"/>
      <c r="AA26" s="1526"/>
      <c r="AB26" s="1527"/>
      <c r="AC26" s="738"/>
      <c r="AD26" s="738"/>
      <c r="AE26" s="738"/>
      <c r="AF26" s="265"/>
      <c r="AG26" s="265"/>
      <c r="AH26" s="265"/>
    </row>
    <row r="27" spans="1:34" ht="15" customHeight="1">
      <c r="A27" s="1597"/>
      <c r="B27" s="409"/>
      <c r="C27" s="924" t="s">
        <v>1376</v>
      </c>
      <c r="D27" s="920"/>
      <c r="E27" s="922"/>
      <c r="F27" s="922"/>
      <c r="G27" s="923"/>
      <c r="H27" s="923"/>
      <c r="I27" s="922"/>
      <c r="J27" s="922"/>
      <c r="K27" s="922"/>
      <c r="L27" s="922"/>
      <c r="M27" s="922"/>
      <c r="N27" s="922"/>
      <c r="O27" s="922"/>
      <c r="P27" s="922"/>
      <c r="Q27" s="922"/>
      <c r="R27" s="926"/>
      <c r="S27" s="410"/>
      <c r="T27" s="1597"/>
      <c r="U27" s="1525"/>
      <c r="V27" s="1526"/>
      <c r="W27" s="1526"/>
      <c r="X27" s="1526"/>
      <c r="Y27" s="1526"/>
      <c r="Z27" s="1526"/>
      <c r="AA27" s="1526"/>
      <c r="AB27" s="1527"/>
      <c r="AC27" s="738"/>
      <c r="AD27" s="738"/>
      <c r="AE27" s="738"/>
      <c r="AF27" s="265"/>
      <c r="AG27" s="265"/>
      <c r="AH27" s="265"/>
    </row>
    <row r="28" spans="1:34" ht="15" customHeight="1">
      <c r="A28" s="1597"/>
      <c r="B28" s="406"/>
      <c r="C28" s="1806" t="s">
        <v>1365</v>
      </c>
      <c r="D28" s="1655"/>
      <c r="E28" s="1603">
        <f>'$REV-DSUM-CONV'!B16</f>
        <v>5249197193.0299997</v>
      </c>
      <c r="F28" s="1604"/>
      <c r="G28" s="1589" t="s">
        <v>1357</v>
      </c>
      <c r="H28" s="1590"/>
      <c r="I28" s="1634">
        <f>'$REV-DSUM-CONV'!B156</f>
        <v>349130780.80000001</v>
      </c>
      <c r="J28" s="1633"/>
      <c r="K28" s="1603">
        <f>'$REV-DSUM-CONV'!B296</f>
        <v>0</v>
      </c>
      <c r="L28" s="1633"/>
      <c r="M28" s="1603">
        <f>'$REV-DSUM-CONV'!B436</f>
        <v>0</v>
      </c>
      <c r="N28" s="1633"/>
      <c r="O28" s="1603">
        <f>'$REV-DSUM-CONV'!B576</f>
        <v>0</v>
      </c>
      <c r="P28" s="1633"/>
      <c r="Q28" s="1603">
        <f>'$REV-DSUM-CONV'!B716</f>
        <v>0</v>
      </c>
      <c r="R28" s="1633"/>
      <c r="S28" s="407"/>
      <c r="T28" s="1597"/>
      <c r="U28" s="1525"/>
      <c r="V28" s="1526"/>
      <c r="W28" s="1526"/>
      <c r="X28" s="1526"/>
      <c r="Y28" s="1526"/>
      <c r="Z28" s="1526"/>
      <c r="AA28" s="1526"/>
      <c r="AB28" s="1527"/>
      <c r="AC28" s="738"/>
      <c r="AD28" s="738"/>
      <c r="AE28" s="738"/>
      <c r="AF28" s="265"/>
      <c r="AG28" s="265"/>
      <c r="AH28" s="265"/>
    </row>
    <row r="29" spans="1:34" ht="15" customHeight="1">
      <c r="A29" s="1597"/>
      <c r="B29" s="406"/>
      <c r="C29" s="1807"/>
      <c r="D29" s="1657"/>
      <c r="E29" s="1581">
        <f>E28/E32</f>
        <v>0.98996632953495112</v>
      </c>
      <c r="F29" s="1626"/>
      <c r="G29" s="1636" t="s">
        <v>1357</v>
      </c>
      <c r="H29" s="1637"/>
      <c r="I29" s="1593">
        <f>I28/I32</f>
        <v>0.94273167367080202</v>
      </c>
      <c r="J29" s="1582"/>
      <c r="K29" s="1581" t="e">
        <f>K28/K32</f>
        <v>#DIV/0!</v>
      </c>
      <c r="L29" s="1582"/>
      <c r="M29" s="1581" t="e">
        <f>M28/M32</f>
        <v>#DIV/0!</v>
      </c>
      <c r="N29" s="1582"/>
      <c r="O29" s="1581" t="e">
        <f>O28/O32</f>
        <v>#DIV/0!</v>
      </c>
      <c r="P29" s="1582"/>
      <c r="Q29" s="1581" t="e">
        <f>Q28/Q32</f>
        <v>#DIV/0!</v>
      </c>
      <c r="R29" s="1582"/>
      <c r="S29" s="407"/>
      <c r="T29" s="1597"/>
      <c r="U29" s="1525"/>
      <c r="V29" s="1526"/>
      <c r="W29" s="1526"/>
      <c r="X29" s="1526"/>
      <c r="Y29" s="1526"/>
      <c r="Z29" s="1526"/>
      <c r="AA29" s="1526"/>
      <c r="AB29" s="1527"/>
      <c r="AC29" s="738"/>
      <c r="AD29" s="738"/>
      <c r="AE29" s="738"/>
      <c r="AF29" s="265"/>
      <c r="AG29" s="265"/>
      <c r="AH29" s="265"/>
    </row>
    <row r="30" spans="1:34" ht="15" customHeight="1">
      <c r="A30" s="1597"/>
      <c r="B30" s="406"/>
      <c r="C30" s="1806" t="s">
        <v>1364</v>
      </c>
      <c r="D30" s="1655"/>
      <c r="E30" s="1603">
        <f>'$REV-DSUM-CONV'!B86</f>
        <v>53202531.510000013</v>
      </c>
      <c r="F30" s="1604"/>
      <c r="G30" s="1589" t="s">
        <v>1357</v>
      </c>
      <c r="H30" s="1590"/>
      <c r="I30" s="1634">
        <f>'$REV-DSUM-CONV'!B226</f>
        <v>21208723.59</v>
      </c>
      <c r="J30" s="1633"/>
      <c r="K30" s="1603">
        <f>'$REV-DSUM-CONV'!B366</f>
        <v>0</v>
      </c>
      <c r="L30" s="1633"/>
      <c r="M30" s="1603">
        <f>'$REV-DSUM-CONV'!B506</f>
        <v>0</v>
      </c>
      <c r="N30" s="1633"/>
      <c r="O30" s="1603">
        <f>'$REV-DSUM-CONV'!B646</f>
        <v>0</v>
      </c>
      <c r="P30" s="1633"/>
      <c r="Q30" s="1603">
        <f>'$REV-DSUM-CONV'!B786</f>
        <v>0</v>
      </c>
      <c r="R30" s="1633"/>
      <c r="S30" s="407"/>
      <c r="T30" s="1597"/>
      <c r="U30" s="1525"/>
      <c r="V30" s="1526"/>
      <c r="W30" s="1526"/>
      <c r="X30" s="1526"/>
      <c r="Y30" s="1526"/>
      <c r="Z30" s="1526"/>
      <c r="AA30" s="1526"/>
      <c r="AB30" s="1527"/>
      <c r="AC30" s="738"/>
      <c r="AD30" s="738"/>
      <c r="AE30" s="738"/>
      <c r="AF30" s="265"/>
      <c r="AG30" s="265"/>
      <c r="AH30" s="265"/>
    </row>
    <row r="31" spans="1:34" ht="15" customHeight="1">
      <c r="A31" s="1597"/>
      <c r="B31" s="406"/>
      <c r="C31" s="1807"/>
      <c r="D31" s="1657"/>
      <c r="E31" s="1581">
        <f>E30/E32</f>
        <v>1.0033670465048824E-2</v>
      </c>
      <c r="F31" s="1626"/>
      <c r="G31" s="1636" t="s">
        <v>1357</v>
      </c>
      <c r="H31" s="1637"/>
      <c r="I31" s="1593">
        <f>I30/I32</f>
        <v>5.7268326329198066E-2</v>
      </c>
      <c r="J31" s="1582"/>
      <c r="K31" s="1581" t="e">
        <f>K30/K32</f>
        <v>#DIV/0!</v>
      </c>
      <c r="L31" s="1582"/>
      <c r="M31" s="1581" t="e">
        <f>M30/M32</f>
        <v>#DIV/0!</v>
      </c>
      <c r="N31" s="1582"/>
      <c r="O31" s="1581" t="e">
        <f>O30/O32</f>
        <v>#DIV/0!</v>
      </c>
      <c r="P31" s="1582"/>
      <c r="Q31" s="1581" t="e">
        <f>Q30/Q32</f>
        <v>#DIV/0!</v>
      </c>
      <c r="R31" s="1582"/>
      <c r="S31" s="407"/>
      <c r="T31" s="1597"/>
      <c r="U31" s="1525"/>
      <c r="V31" s="1526"/>
      <c r="W31" s="1526"/>
      <c r="X31" s="1526"/>
      <c r="Y31" s="1526"/>
      <c r="Z31" s="1526"/>
      <c r="AA31" s="1526"/>
      <c r="AB31" s="1527"/>
      <c r="AC31" s="738"/>
      <c r="AD31" s="738"/>
      <c r="AE31" s="738"/>
      <c r="AF31" s="265"/>
      <c r="AG31" s="265"/>
      <c r="AH31" s="265"/>
    </row>
    <row r="32" spans="1:34" ht="15" customHeight="1" thickBot="1">
      <c r="A32" s="1597"/>
      <c r="B32" s="406"/>
      <c r="C32" s="1805" t="s">
        <v>1346</v>
      </c>
      <c r="D32" s="1669"/>
      <c r="E32" s="1603">
        <f>E28+E30</f>
        <v>5302399724.54</v>
      </c>
      <c r="F32" s="1604"/>
      <c r="G32" s="1589" t="s">
        <v>1357</v>
      </c>
      <c r="H32" s="1590"/>
      <c r="I32" s="1634">
        <f>I28+I30</f>
        <v>370339504.38999999</v>
      </c>
      <c r="J32" s="1633"/>
      <c r="K32" s="1603">
        <f>K28+K30</f>
        <v>0</v>
      </c>
      <c r="L32" s="1633"/>
      <c r="M32" s="1603">
        <f>M28+M30</f>
        <v>0</v>
      </c>
      <c r="N32" s="1633"/>
      <c r="O32" s="1603">
        <f>O28+O30</f>
        <v>0</v>
      </c>
      <c r="P32" s="1633"/>
      <c r="Q32" s="1603">
        <f>Q28+Q30</f>
        <v>0</v>
      </c>
      <c r="R32" s="1633"/>
      <c r="S32" s="407"/>
      <c r="T32" s="1597"/>
      <c r="U32" s="1525"/>
      <c r="V32" s="1526"/>
      <c r="W32" s="1526"/>
      <c r="X32" s="1526"/>
      <c r="Y32" s="1526"/>
      <c r="Z32" s="1526"/>
      <c r="AA32" s="1526"/>
      <c r="AB32" s="1527"/>
      <c r="AC32" s="738"/>
      <c r="AD32" s="738"/>
      <c r="AE32" s="738"/>
      <c r="AF32" s="265"/>
      <c r="AG32" s="265"/>
      <c r="AH32" s="265"/>
    </row>
    <row r="33" spans="1:34" ht="43.5" customHeight="1">
      <c r="A33" s="1597"/>
      <c r="B33" s="406"/>
      <c r="C33" s="1802" t="s">
        <v>1377</v>
      </c>
      <c r="D33" s="1803"/>
      <c r="E33" s="915" t="s">
        <v>1365</v>
      </c>
      <c r="F33" s="916" t="s">
        <v>1364</v>
      </c>
      <c r="G33" s="915" t="s">
        <v>1365</v>
      </c>
      <c r="H33" s="917" t="s">
        <v>1364</v>
      </c>
      <c r="I33" s="918" t="s">
        <v>1365</v>
      </c>
      <c r="J33" s="919" t="s">
        <v>1364</v>
      </c>
      <c r="K33" s="915" t="s">
        <v>1365</v>
      </c>
      <c r="L33" s="919" t="s">
        <v>1364</v>
      </c>
      <c r="M33" s="915" t="s">
        <v>1365</v>
      </c>
      <c r="N33" s="919" t="s">
        <v>1364</v>
      </c>
      <c r="O33" s="915" t="s">
        <v>1365</v>
      </c>
      <c r="P33" s="919" t="s">
        <v>1364</v>
      </c>
      <c r="Q33" s="915" t="s">
        <v>1365</v>
      </c>
      <c r="R33" s="919" t="s">
        <v>1364</v>
      </c>
      <c r="S33" s="407"/>
      <c r="T33" s="1597"/>
      <c r="U33" s="1528"/>
      <c r="V33" s="1529"/>
      <c r="W33" s="1529"/>
      <c r="X33" s="1529"/>
      <c r="Y33" s="1529"/>
      <c r="Z33" s="1529"/>
      <c r="AA33" s="1529"/>
      <c r="AB33" s="1530"/>
      <c r="AC33" s="738"/>
      <c r="AD33" s="738"/>
      <c r="AE33" s="738"/>
      <c r="AF33" s="265"/>
      <c r="AG33" s="265"/>
      <c r="AH33" s="265"/>
    </row>
    <row r="34" spans="1:34" ht="15" customHeight="1">
      <c r="A34" s="1597"/>
      <c r="B34" s="406"/>
      <c r="C34" s="1804" t="s">
        <v>1345</v>
      </c>
      <c r="D34" s="1639"/>
      <c r="E34" s="543">
        <f t="shared" ref="E34:R34" si="2">E13/E19</f>
        <v>0.15531306346092932</v>
      </c>
      <c r="F34" s="529">
        <f t="shared" si="2"/>
        <v>0.14431249645624242</v>
      </c>
      <c r="G34" s="535">
        <f t="shared" si="2"/>
        <v>0.15835239214388733</v>
      </c>
      <c r="H34" s="556">
        <f t="shared" si="2"/>
        <v>0.14431249645624242</v>
      </c>
      <c r="I34" s="522">
        <f t="shared" si="2"/>
        <v>0.16230369923315568</v>
      </c>
      <c r="J34" s="571">
        <f t="shared" si="2"/>
        <v>0.15883860693947588</v>
      </c>
      <c r="K34" s="543" t="e">
        <f t="shared" si="2"/>
        <v>#DIV/0!</v>
      </c>
      <c r="L34" s="571" t="e">
        <f t="shared" si="2"/>
        <v>#DIV/0!</v>
      </c>
      <c r="M34" s="543" t="e">
        <f t="shared" si="2"/>
        <v>#DIV/0!</v>
      </c>
      <c r="N34" s="571" t="e">
        <f t="shared" si="2"/>
        <v>#DIV/0!</v>
      </c>
      <c r="O34" s="543" t="e">
        <f t="shared" si="2"/>
        <v>#DIV/0!</v>
      </c>
      <c r="P34" s="571" t="e">
        <f t="shared" si="2"/>
        <v>#DIV/0!</v>
      </c>
      <c r="Q34" s="543" t="e">
        <f t="shared" si="2"/>
        <v>#DIV/0!</v>
      </c>
      <c r="R34" s="571" t="e">
        <f t="shared" si="2"/>
        <v>#DIV/0!</v>
      </c>
      <c r="S34" s="407"/>
      <c r="T34" s="1597"/>
      <c r="U34" s="1580" t="s">
        <v>1041</v>
      </c>
      <c r="V34" s="1580"/>
      <c r="W34" s="1580"/>
      <c r="X34" s="1580"/>
      <c r="Y34" s="1580"/>
      <c r="Z34" s="1580"/>
      <c r="AA34" s="1580"/>
      <c r="AB34" s="1580"/>
      <c r="AC34" s="738"/>
      <c r="AD34" s="738"/>
      <c r="AE34" s="738"/>
      <c r="AF34" s="265"/>
      <c r="AG34" s="265"/>
      <c r="AH34" s="265"/>
    </row>
    <row r="35" spans="1:34" ht="15" customHeight="1">
      <c r="A35" s="1597"/>
      <c r="B35" s="406"/>
      <c r="C35" s="1798" t="s">
        <v>1344</v>
      </c>
      <c r="D35" s="1641"/>
      <c r="E35" s="544">
        <f t="shared" ref="E35:R35" si="3">E14/E19</f>
        <v>0.45199519923930581</v>
      </c>
      <c r="F35" s="530">
        <f t="shared" si="3"/>
        <v>0.74354282939646521</v>
      </c>
      <c r="G35" s="536">
        <f t="shared" si="3"/>
        <v>0.42509219722944247</v>
      </c>
      <c r="H35" s="557">
        <f t="shared" si="3"/>
        <v>0.74354282939646521</v>
      </c>
      <c r="I35" s="523">
        <f t="shared" si="3"/>
        <v>0.39011670308159779</v>
      </c>
      <c r="J35" s="572">
        <f t="shared" si="3"/>
        <v>0.75311475168317754</v>
      </c>
      <c r="K35" s="544" t="e">
        <f t="shared" si="3"/>
        <v>#DIV/0!</v>
      </c>
      <c r="L35" s="572" t="e">
        <f t="shared" si="3"/>
        <v>#DIV/0!</v>
      </c>
      <c r="M35" s="544" t="e">
        <f t="shared" si="3"/>
        <v>#DIV/0!</v>
      </c>
      <c r="N35" s="572" t="e">
        <f t="shared" si="3"/>
        <v>#DIV/0!</v>
      </c>
      <c r="O35" s="544" t="e">
        <f t="shared" si="3"/>
        <v>#DIV/0!</v>
      </c>
      <c r="P35" s="572" t="e">
        <f t="shared" si="3"/>
        <v>#DIV/0!</v>
      </c>
      <c r="Q35" s="544" t="e">
        <f t="shared" si="3"/>
        <v>#DIV/0!</v>
      </c>
      <c r="R35" s="572" t="e">
        <f t="shared" si="3"/>
        <v>#DIV/0!</v>
      </c>
      <c r="S35" s="407"/>
      <c r="T35" s="1597"/>
      <c r="U35" s="1580"/>
      <c r="V35" s="1580"/>
      <c r="W35" s="1580"/>
      <c r="X35" s="1580"/>
      <c r="Y35" s="1580"/>
      <c r="Z35" s="1580"/>
      <c r="AA35" s="1580"/>
      <c r="AB35" s="1580"/>
      <c r="AC35" s="738"/>
      <c r="AD35" s="738"/>
      <c r="AE35" s="738"/>
      <c r="AF35" s="265"/>
      <c r="AG35" s="265"/>
      <c r="AH35" s="265"/>
    </row>
    <row r="36" spans="1:34" ht="15" customHeight="1">
      <c r="A36" s="1597"/>
      <c r="B36" s="406"/>
      <c r="C36" s="1798" t="s">
        <v>1343</v>
      </c>
      <c r="D36" s="1641"/>
      <c r="E36" s="544">
        <f t="shared" ref="E36:R36" si="4">E15/E19</f>
        <v>0.27609231193759759</v>
      </c>
      <c r="F36" s="530">
        <f t="shared" si="4"/>
        <v>0</v>
      </c>
      <c r="G36" s="536">
        <f t="shared" si="4"/>
        <v>0.32991867981412099</v>
      </c>
      <c r="H36" s="557">
        <f t="shared" si="4"/>
        <v>0</v>
      </c>
      <c r="I36" s="523">
        <f t="shared" si="4"/>
        <v>0.39989614232833631</v>
      </c>
      <c r="J36" s="572">
        <f t="shared" si="4"/>
        <v>0</v>
      </c>
      <c r="K36" s="544" t="e">
        <f t="shared" si="4"/>
        <v>#DIV/0!</v>
      </c>
      <c r="L36" s="572" t="e">
        <f t="shared" si="4"/>
        <v>#DIV/0!</v>
      </c>
      <c r="M36" s="544" t="e">
        <f t="shared" si="4"/>
        <v>#DIV/0!</v>
      </c>
      <c r="N36" s="572" t="e">
        <f t="shared" si="4"/>
        <v>#DIV/0!</v>
      </c>
      <c r="O36" s="544" t="e">
        <f t="shared" si="4"/>
        <v>#DIV/0!</v>
      </c>
      <c r="P36" s="572" t="e">
        <f t="shared" si="4"/>
        <v>#DIV/0!</v>
      </c>
      <c r="Q36" s="544" t="e">
        <f t="shared" si="4"/>
        <v>#DIV/0!</v>
      </c>
      <c r="R36" s="572" t="e">
        <f t="shared" si="4"/>
        <v>#DIV/0!</v>
      </c>
      <c r="S36" s="407"/>
      <c r="T36" s="1597"/>
      <c r="U36" s="1580"/>
      <c r="V36" s="1580"/>
      <c r="W36" s="1580"/>
      <c r="X36" s="1580"/>
      <c r="Y36" s="1580"/>
      <c r="Z36" s="1580"/>
      <c r="AA36" s="1580"/>
      <c r="AB36" s="1580"/>
      <c r="AC36" s="738"/>
      <c r="AD36" s="738"/>
      <c r="AE36" s="738"/>
      <c r="AF36" s="265"/>
      <c r="AG36" s="265"/>
      <c r="AH36" s="265"/>
    </row>
    <row r="37" spans="1:34" ht="15" customHeight="1">
      <c r="A37" s="1597"/>
      <c r="B37" s="406"/>
      <c r="C37" s="1798" t="s">
        <v>1349</v>
      </c>
      <c r="D37" s="1641"/>
      <c r="E37" s="544">
        <f>E16/E19</f>
        <v>0.11600164108114118</v>
      </c>
      <c r="F37" s="530">
        <f t="shared" ref="F37:R37" si="5">F16/F19</f>
        <v>0.11214467414729226</v>
      </c>
      <c r="G37" s="536">
        <f t="shared" si="5"/>
        <v>8.627193018697632E-2</v>
      </c>
      <c r="H37" s="557">
        <f t="shared" si="5"/>
        <v>0.11214467414729226</v>
      </c>
      <c r="I37" s="523">
        <f t="shared" si="5"/>
        <v>4.7621547266336016E-2</v>
      </c>
      <c r="J37" s="572">
        <f t="shared" si="5"/>
        <v>8.8046641377346552E-2</v>
      </c>
      <c r="K37" s="544" t="e">
        <f t="shared" si="5"/>
        <v>#DIV/0!</v>
      </c>
      <c r="L37" s="572" t="e">
        <f t="shared" si="5"/>
        <v>#DIV/0!</v>
      </c>
      <c r="M37" s="544" t="e">
        <f t="shared" si="5"/>
        <v>#DIV/0!</v>
      </c>
      <c r="N37" s="572" t="e">
        <f t="shared" si="5"/>
        <v>#DIV/0!</v>
      </c>
      <c r="O37" s="544" t="e">
        <f t="shared" si="5"/>
        <v>#DIV/0!</v>
      </c>
      <c r="P37" s="572" t="e">
        <f t="shared" si="5"/>
        <v>#DIV/0!</v>
      </c>
      <c r="Q37" s="544" t="e">
        <f t="shared" si="5"/>
        <v>#DIV/0!</v>
      </c>
      <c r="R37" s="572" t="e">
        <f t="shared" si="5"/>
        <v>#DIV/0!</v>
      </c>
      <c r="S37" s="407"/>
      <c r="T37" s="1597"/>
      <c r="U37" s="1580"/>
      <c r="V37" s="1580"/>
      <c r="W37" s="1580"/>
      <c r="X37" s="1580"/>
      <c r="Y37" s="1580"/>
      <c r="Z37" s="1580"/>
      <c r="AA37" s="1580"/>
      <c r="AB37" s="1580"/>
      <c r="AC37" s="738"/>
      <c r="AD37" s="738"/>
      <c r="AE37" s="738"/>
      <c r="AF37" s="265"/>
      <c r="AG37" s="265"/>
      <c r="AH37" s="265"/>
    </row>
    <row r="38" spans="1:34" ht="15" customHeight="1">
      <c r="A38" s="1597"/>
      <c r="B38" s="406"/>
      <c r="C38" s="1798" t="s">
        <v>1177</v>
      </c>
      <c r="D38" s="1641"/>
      <c r="E38" s="544">
        <f t="shared" ref="E38:R38" si="6">E17/E19</f>
        <v>5.9778428102616476E-4</v>
      </c>
      <c r="F38" s="530">
        <f t="shared" si="6"/>
        <v>0</v>
      </c>
      <c r="G38" s="536">
        <f t="shared" si="6"/>
        <v>3.6480062557299513E-4</v>
      </c>
      <c r="H38" s="557">
        <f t="shared" si="6"/>
        <v>0</v>
      </c>
      <c r="I38" s="523">
        <f t="shared" si="6"/>
        <v>6.1908090574178329E-5</v>
      </c>
      <c r="J38" s="572">
        <f t="shared" si="6"/>
        <v>0</v>
      </c>
      <c r="K38" s="544" t="e">
        <f t="shared" si="6"/>
        <v>#DIV/0!</v>
      </c>
      <c r="L38" s="572" t="e">
        <f t="shared" si="6"/>
        <v>#DIV/0!</v>
      </c>
      <c r="M38" s="544" t="e">
        <f t="shared" si="6"/>
        <v>#DIV/0!</v>
      </c>
      <c r="N38" s="572" t="e">
        <f t="shared" si="6"/>
        <v>#DIV/0!</v>
      </c>
      <c r="O38" s="544" t="e">
        <f t="shared" si="6"/>
        <v>#DIV/0!</v>
      </c>
      <c r="P38" s="572" t="e">
        <f t="shared" si="6"/>
        <v>#DIV/0!</v>
      </c>
      <c r="Q38" s="544" t="e">
        <f t="shared" si="6"/>
        <v>#DIV/0!</v>
      </c>
      <c r="R38" s="572" t="e">
        <f t="shared" si="6"/>
        <v>#DIV/0!</v>
      </c>
      <c r="S38" s="407"/>
      <c r="T38" s="1597"/>
      <c r="U38" s="1580"/>
      <c r="V38" s="1580"/>
      <c r="W38" s="1580"/>
      <c r="X38" s="1580"/>
      <c r="Y38" s="1580"/>
      <c r="Z38" s="1580"/>
      <c r="AA38" s="1580"/>
      <c r="AB38" s="1580"/>
      <c r="AC38" s="738"/>
      <c r="AD38" s="738"/>
      <c r="AE38" s="738"/>
      <c r="AF38" s="265"/>
      <c r="AG38" s="265"/>
      <c r="AH38" s="265"/>
    </row>
    <row r="39" spans="1:34" ht="15" customHeight="1" thickBot="1">
      <c r="A39" s="1597"/>
      <c r="B39" s="406"/>
      <c r="C39" s="1798" t="s">
        <v>1350</v>
      </c>
      <c r="D39" s="1641"/>
      <c r="E39" s="544">
        <f t="shared" ref="E39:R39" si="7">E18/E19</f>
        <v>0</v>
      </c>
      <c r="F39" s="530">
        <f t="shared" si="7"/>
        <v>0</v>
      </c>
      <c r="G39" s="563">
        <f t="shared" si="7"/>
        <v>0</v>
      </c>
      <c r="H39" s="558">
        <f t="shared" si="7"/>
        <v>0</v>
      </c>
      <c r="I39" s="864">
        <f t="shared" si="7"/>
        <v>0</v>
      </c>
      <c r="J39" s="865">
        <f t="shared" si="7"/>
        <v>0</v>
      </c>
      <c r="K39" s="544" t="e">
        <f t="shared" si="7"/>
        <v>#DIV/0!</v>
      </c>
      <c r="L39" s="572" t="e">
        <f t="shared" si="7"/>
        <v>#DIV/0!</v>
      </c>
      <c r="M39" s="866" t="e">
        <f t="shared" si="7"/>
        <v>#DIV/0!</v>
      </c>
      <c r="N39" s="865" t="e">
        <f t="shared" si="7"/>
        <v>#DIV/0!</v>
      </c>
      <c r="O39" s="866" t="e">
        <f t="shared" si="7"/>
        <v>#DIV/0!</v>
      </c>
      <c r="P39" s="865" t="e">
        <f t="shared" si="7"/>
        <v>#DIV/0!</v>
      </c>
      <c r="Q39" s="544" t="e">
        <f t="shared" si="7"/>
        <v>#DIV/0!</v>
      </c>
      <c r="R39" s="572" t="e">
        <f t="shared" si="7"/>
        <v>#DIV/0!</v>
      </c>
      <c r="S39" s="407"/>
      <c r="T39" s="1597"/>
      <c r="U39" s="1550"/>
      <c r="V39" s="1551"/>
      <c r="W39" s="1551"/>
      <c r="X39" s="1551"/>
      <c r="Y39" s="1551"/>
      <c r="Z39" s="1551"/>
      <c r="AA39" s="1551"/>
      <c r="AB39" s="1552"/>
      <c r="AC39" s="738"/>
      <c r="AD39" s="738"/>
      <c r="AE39" s="738"/>
      <c r="AF39" s="265"/>
      <c r="AG39" s="265"/>
      <c r="AH39" s="265"/>
    </row>
    <row r="40" spans="1:34" ht="15" customHeight="1">
      <c r="A40" s="1597"/>
      <c r="B40" s="409"/>
      <c r="C40" s="924" t="s">
        <v>1065</v>
      </c>
      <c r="D40" s="920"/>
      <c r="E40" s="921"/>
      <c r="F40" s="921"/>
      <c r="G40" s="921"/>
      <c r="H40" s="921"/>
      <c r="I40" s="921"/>
      <c r="J40" s="921"/>
      <c r="K40" s="921"/>
      <c r="L40" s="921"/>
      <c r="M40" s="921"/>
      <c r="N40" s="921"/>
      <c r="O40" s="921"/>
      <c r="P40" s="921"/>
      <c r="Q40" s="921"/>
      <c r="R40" s="925"/>
      <c r="S40" s="410"/>
      <c r="T40" s="1597"/>
      <c r="U40" s="1550"/>
      <c r="V40" s="1551"/>
      <c r="W40" s="1551"/>
      <c r="X40" s="1551"/>
      <c r="Y40" s="1551"/>
      <c r="Z40" s="1551"/>
      <c r="AA40" s="1551"/>
      <c r="AB40" s="1552"/>
      <c r="AC40" s="738"/>
      <c r="AD40" s="738"/>
      <c r="AE40" s="738"/>
      <c r="AF40" s="265"/>
      <c r="AG40" s="265"/>
      <c r="AH40" s="265"/>
    </row>
    <row r="41" spans="1:34" ht="15" customHeight="1">
      <c r="A41" s="1597"/>
      <c r="B41" s="406"/>
      <c r="C41" s="1799"/>
      <c r="D41" s="1671"/>
      <c r="E41" s="1646">
        <f>F10*E21</f>
        <v>-1376329820.7959788</v>
      </c>
      <c r="F41" s="1800"/>
      <c r="G41" s="537"/>
      <c r="H41" s="524"/>
      <c r="I41" s="1801">
        <f>J10*I21</f>
        <v>-151666315.89172176</v>
      </c>
      <c r="J41" s="1647"/>
      <c r="K41" s="1646" t="e">
        <f>L10*K21</f>
        <v>#DIV/0!</v>
      </c>
      <c r="L41" s="1647"/>
      <c r="M41" s="1646" t="e">
        <f>N10*M21</f>
        <v>#DIV/0!</v>
      </c>
      <c r="N41" s="1647"/>
      <c r="O41" s="1646" t="e">
        <f>P10*O21</f>
        <v>#DIV/0!</v>
      </c>
      <c r="P41" s="1647"/>
      <c r="Q41" s="1646" t="e">
        <f>R10*Q21</f>
        <v>#DIV/0!</v>
      </c>
      <c r="R41" s="1647"/>
      <c r="S41" s="407"/>
      <c r="T41" s="1597"/>
      <c r="U41" s="1550"/>
      <c r="V41" s="1551"/>
      <c r="W41" s="1551"/>
      <c r="X41" s="1551"/>
      <c r="Y41" s="1551"/>
      <c r="Z41" s="1551"/>
      <c r="AA41" s="1551"/>
      <c r="AB41" s="1552"/>
      <c r="AC41" s="738"/>
      <c r="AD41" s="738"/>
      <c r="AE41" s="738"/>
      <c r="AF41" s="265"/>
      <c r="AG41" s="265"/>
      <c r="AH41" s="265"/>
    </row>
    <row r="42" spans="1:34" ht="15" customHeight="1">
      <c r="A42" s="1597"/>
      <c r="B42" s="407"/>
      <c r="C42" s="407"/>
      <c r="D42" s="407"/>
      <c r="E42" s="407"/>
      <c r="F42" s="407"/>
      <c r="G42" s="407"/>
      <c r="H42" s="407"/>
      <c r="I42" s="407"/>
      <c r="J42" s="407"/>
      <c r="K42" s="407"/>
      <c r="L42" s="407"/>
      <c r="M42" s="407"/>
      <c r="N42" s="407"/>
      <c r="O42" s="407"/>
      <c r="P42" s="407"/>
      <c r="Q42" s="407"/>
      <c r="R42" s="407"/>
      <c r="S42" s="407"/>
      <c r="T42" s="1597"/>
      <c r="U42" s="1550"/>
      <c r="V42" s="1551"/>
      <c r="W42" s="1551"/>
      <c r="X42" s="1551"/>
      <c r="Y42" s="1551"/>
      <c r="Z42" s="1551"/>
      <c r="AA42" s="1551"/>
      <c r="AB42" s="1552"/>
      <c r="AC42" s="738"/>
      <c r="AD42" s="738"/>
      <c r="AE42" s="738"/>
      <c r="AF42" s="265"/>
      <c r="AG42" s="265"/>
      <c r="AH42" s="265"/>
    </row>
    <row r="43" spans="1:34" ht="18" customHeight="1">
      <c r="A43" s="1597"/>
      <c r="B43" s="1564" t="s">
        <v>869</v>
      </c>
      <c r="C43" s="1564"/>
      <c r="D43" s="1564"/>
      <c r="E43" s="1564"/>
      <c r="F43" s="1564"/>
      <c r="G43" s="1564"/>
      <c r="H43" s="1564"/>
      <c r="I43" s="1564"/>
      <c r="J43" s="1564"/>
      <c r="K43" s="1564"/>
      <c r="L43" s="1564"/>
      <c r="M43" s="1564"/>
      <c r="N43" s="1564"/>
      <c r="O43" s="1564"/>
      <c r="P43" s="1564"/>
      <c r="Q43" s="1564"/>
      <c r="R43" s="1564"/>
      <c r="S43" s="1564"/>
      <c r="T43" s="1597"/>
      <c r="U43" s="395" t="str">
        <f>W48</f>
        <v>AR</v>
      </c>
      <c r="V43" s="1565" t="s">
        <v>1205</v>
      </c>
      <c r="W43" s="1565"/>
      <c r="X43" s="1565"/>
      <c r="Y43" s="1565"/>
      <c r="Z43" s="1565"/>
      <c r="AA43" s="1565"/>
      <c r="AB43" s="395"/>
      <c r="AC43" s="272"/>
      <c r="AD43" s="739"/>
      <c r="AE43" s="272"/>
      <c r="AF43" s="265"/>
      <c r="AG43" s="265"/>
      <c r="AH43" s="265"/>
    </row>
    <row r="44" spans="1:34" ht="18" customHeight="1">
      <c r="A44" s="402"/>
      <c r="B44" s="1549" t="s">
        <v>1066</v>
      </c>
      <c r="C44" s="1549"/>
      <c r="D44" s="1549"/>
      <c r="E44" s="1549"/>
      <c r="F44" s="1549"/>
      <c r="G44" s="1549"/>
      <c r="H44" s="1549"/>
      <c r="I44" s="1549"/>
      <c r="J44" s="1549"/>
      <c r="K44" s="1549"/>
      <c r="L44" s="1549"/>
      <c r="M44" s="1549"/>
      <c r="N44" s="1549"/>
      <c r="O44" s="1549"/>
      <c r="P44" s="1549"/>
      <c r="Q44" s="1549"/>
      <c r="R44" s="1549"/>
      <c r="S44" s="1549"/>
      <c r="T44" s="402"/>
      <c r="U44" s="411" t="s">
        <v>1141</v>
      </c>
      <c r="V44" s="411"/>
      <c r="W44" s="411"/>
      <c r="X44" s="411"/>
      <c r="Y44" s="411"/>
      <c r="Z44" s="411"/>
      <c r="AA44" s="411"/>
      <c r="AB44" s="411"/>
      <c r="AC44" s="740"/>
      <c r="AD44" s="740"/>
      <c r="AE44" s="740"/>
      <c r="AF44" s="265"/>
      <c r="AG44" s="265"/>
      <c r="AH44" s="265"/>
    </row>
    <row r="45" spans="1:34" ht="16" customHeight="1">
      <c r="A45" s="412"/>
      <c r="B45" s="412"/>
      <c r="C45" s="412"/>
      <c r="D45" s="412"/>
      <c r="E45" s="412"/>
      <c r="F45" s="412"/>
      <c r="G45" s="412"/>
      <c r="H45" s="412"/>
      <c r="I45" s="412"/>
      <c r="J45" s="412"/>
      <c r="K45" s="412"/>
      <c r="L45" s="412"/>
      <c r="M45" s="412"/>
      <c r="N45" s="412"/>
      <c r="O45" s="412"/>
      <c r="P45" s="412"/>
      <c r="Q45" s="412"/>
      <c r="R45" s="412"/>
      <c r="S45" s="412"/>
      <c r="T45" s="413"/>
      <c r="U45" s="408"/>
      <c r="V45" s="408"/>
      <c r="W45" s="408"/>
      <c r="X45" s="408"/>
      <c r="Y45" s="408"/>
      <c r="Z45" s="408"/>
      <c r="AA45" s="408"/>
      <c r="AB45" s="408"/>
      <c r="AC45" s="265"/>
      <c r="AD45" s="265"/>
      <c r="AE45" s="265"/>
      <c r="AF45" s="265"/>
      <c r="AG45" s="265"/>
      <c r="AH45" s="265"/>
    </row>
    <row r="46" spans="1:34" ht="16" customHeight="1">
      <c r="A46" s="412"/>
      <c r="B46" s="412"/>
      <c r="C46" s="412"/>
      <c r="D46" s="412"/>
      <c r="E46" s="412"/>
      <c r="F46" s="412"/>
      <c r="G46" s="412"/>
      <c r="H46" s="412"/>
      <c r="I46" s="412"/>
      <c r="J46" s="412"/>
      <c r="K46" s="412"/>
      <c r="L46" s="412"/>
      <c r="M46" s="412"/>
      <c r="N46" s="412"/>
      <c r="O46" s="412"/>
      <c r="P46" s="412"/>
      <c r="Q46" s="412"/>
      <c r="R46" s="412"/>
      <c r="S46" s="412"/>
      <c r="T46" s="413"/>
      <c r="U46" s="408"/>
      <c r="V46" s="414"/>
      <c r="W46" s="414"/>
      <c r="X46" s="408"/>
      <c r="Y46" s="408"/>
      <c r="Z46" s="408"/>
      <c r="AA46" s="408"/>
      <c r="AB46" s="408"/>
      <c r="AC46" s="265"/>
      <c r="AD46" s="265"/>
      <c r="AE46" s="265"/>
      <c r="AF46" s="265"/>
      <c r="AG46" s="265"/>
      <c r="AH46" s="265"/>
    </row>
    <row r="47" spans="1:34" ht="16" customHeight="1">
      <c r="A47" s="412"/>
      <c r="B47" s="412"/>
      <c r="C47" s="415"/>
      <c r="D47" s="415"/>
      <c r="E47" s="412"/>
      <c r="F47" s="412"/>
      <c r="G47" s="412"/>
      <c r="H47" s="412"/>
      <c r="I47" s="412"/>
      <c r="J47" s="412"/>
      <c r="K47" s="412"/>
      <c r="L47" s="412"/>
      <c r="M47" s="412"/>
      <c r="N47" s="412"/>
      <c r="O47" s="412"/>
      <c r="P47" s="412"/>
      <c r="Q47" s="412"/>
      <c r="R47" s="412"/>
      <c r="S47" s="412"/>
      <c r="T47" s="413"/>
      <c r="U47" s="408"/>
      <c r="V47" s="414"/>
      <c r="W47" s="414"/>
      <c r="X47" s="408"/>
      <c r="Y47" s="408"/>
      <c r="Z47" s="408"/>
      <c r="AA47" s="408"/>
      <c r="AB47" s="408"/>
      <c r="AC47" s="265"/>
      <c r="AD47" s="1577" t="s">
        <v>985</v>
      </c>
      <c r="AE47" s="1577"/>
      <c r="AF47" s="1577"/>
      <c r="AG47" s="1577"/>
      <c r="AH47" s="1577"/>
    </row>
    <row r="48" spans="1:34" ht="16" customHeight="1">
      <c r="A48" s="412"/>
      <c r="B48" s="412"/>
      <c r="C48" s="1532" t="s">
        <v>950</v>
      </c>
      <c r="D48" s="1532"/>
      <c r="E48" s="1532"/>
      <c r="F48" s="1532"/>
      <c r="G48" s="1532"/>
      <c r="H48" s="1532"/>
      <c r="I48" s="1532"/>
      <c r="J48" s="1532"/>
      <c r="K48" s="412"/>
      <c r="L48" s="1548" t="s">
        <v>1037</v>
      </c>
      <c r="M48" s="1548"/>
      <c r="N48" s="1548"/>
      <c r="O48" s="1548"/>
      <c r="P48" s="1548"/>
      <c r="Q48" s="1548"/>
      <c r="R48" s="1548"/>
      <c r="S48" s="412"/>
      <c r="T48" s="413"/>
      <c r="U48" s="408"/>
      <c r="V48" s="594" t="s">
        <v>1361</v>
      </c>
      <c r="W48" s="1310" t="str">
        <f>'FIG3'!W49</f>
        <v>AR</v>
      </c>
      <c r="X48" s="455"/>
      <c r="Y48" s="456"/>
      <c r="Z48" s="456"/>
      <c r="AA48" s="414"/>
      <c r="AB48" s="408"/>
      <c r="AC48" s="265"/>
      <c r="AD48" s="1577"/>
      <c r="AE48" s="1577"/>
      <c r="AF48" s="1577"/>
      <c r="AG48" s="1577"/>
      <c r="AH48" s="1577"/>
    </row>
    <row r="49" spans="1:36" ht="16" customHeight="1">
      <c r="A49" s="412"/>
      <c r="B49" s="412"/>
      <c r="C49" s="1532"/>
      <c r="D49" s="1532"/>
      <c r="E49" s="1532"/>
      <c r="F49" s="1532"/>
      <c r="G49" s="1532"/>
      <c r="H49" s="1532"/>
      <c r="I49" s="1532"/>
      <c r="J49" s="1532"/>
      <c r="K49" s="412"/>
      <c r="L49" s="1548"/>
      <c r="M49" s="1548"/>
      <c r="N49" s="1548"/>
      <c r="O49" s="1548"/>
      <c r="P49" s="1548"/>
      <c r="Q49" s="1548"/>
      <c r="R49" s="1548"/>
      <c r="S49" s="412"/>
      <c r="T49" s="413"/>
      <c r="U49" s="408"/>
      <c r="V49" s="594" t="s">
        <v>1362</v>
      </c>
      <c r="W49" s="1310" t="str">
        <f>'FIG3'!W50</f>
        <v>FY2010-11</v>
      </c>
      <c r="X49" s="455"/>
      <c r="Y49" s="456"/>
      <c r="Z49" s="456"/>
      <c r="AA49" s="414"/>
      <c r="AB49" s="408"/>
      <c r="AC49" s="265"/>
      <c r="AD49" s="265"/>
      <c r="AE49" s="265"/>
      <c r="AF49" s="265"/>
      <c r="AG49" s="265"/>
      <c r="AH49" s="265"/>
    </row>
    <row r="50" spans="1:36" ht="16" customHeight="1">
      <c r="A50" s="412"/>
      <c r="B50" s="412"/>
      <c r="C50" s="1532"/>
      <c r="D50" s="1532"/>
      <c r="E50" s="1532"/>
      <c r="F50" s="1532"/>
      <c r="G50" s="1532"/>
      <c r="H50" s="1532"/>
      <c r="I50" s="1532"/>
      <c r="J50" s="1532"/>
      <c r="K50" s="412"/>
      <c r="L50" s="1548"/>
      <c r="M50" s="1548"/>
      <c r="N50" s="1548"/>
      <c r="O50" s="1548"/>
      <c r="P50" s="1548"/>
      <c r="Q50" s="1548"/>
      <c r="R50" s="1548"/>
      <c r="S50" s="412"/>
      <c r="T50" s="413"/>
      <c r="U50" s="408"/>
      <c r="V50" s="594"/>
      <c r="W50" s="596" t="s">
        <v>1368</v>
      </c>
      <c r="X50" s="596" t="s">
        <v>1369</v>
      </c>
      <c r="Y50" s="597" t="s">
        <v>1228</v>
      </c>
      <c r="Z50" s="597"/>
      <c r="AA50" s="416"/>
      <c r="AB50" s="408"/>
      <c r="AC50" s="265"/>
      <c r="AD50" s="742"/>
      <c r="AE50" s="271"/>
      <c r="AF50" s="271"/>
      <c r="AG50" s="271"/>
      <c r="AH50" s="271"/>
      <c r="AI50" s="1"/>
      <c r="AJ50" s="1"/>
    </row>
    <row r="51" spans="1:36" ht="16" customHeight="1">
      <c r="A51" s="412"/>
      <c r="B51" s="412"/>
      <c r="C51" s="1532"/>
      <c r="D51" s="1532"/>
      <c r="E51" s="1532"/>
      <c r="F51" s="1532"/>
      <c r="G51" s="1532"/>
      <c r="H51" s="1532"/>
      <c r="I51" s="1532"/>
      <c r="J51" s="1532"/>
      <c r="K51" s="412"/>
      <c r="L51" s="1548"/>
      <c r="M51" s="1548"/>
      <c r="N51" s="1548"/>
      <c r="O51" s="1548"/>
      <c r="P51" s="1548"/>
      <c r="Q51" s="1548"/>
      <c r="R51" s="1548"/>
      <c r="S51" s="412"/>
      <c r="T51" s="413"/>
      <c r="U51" s="408"/>
      <c r="V51" s="594" t="s">
        <v>1352</v>
      </c>
      <c r="W51" s="1310" t="str">
        <f>'FIG3'!W52</f>
        <v>Little Rock</v>
      </c>
      <c r="X51" s="1310" t="str">
        <f>'FIG3'!X52</f>
        <v>School District</v>
      </c>
      <c r="Y51" s="1311">
        <f>'FIG3'!Y52</f>
        <v>7</v>
      </c>
      <c r="Z51" s="1310"/>
      <c r="AA51" s="417"/>
      <c r="AB51" s="408"/>
      <c r="AC51" s="265"/>
      <c r="AD51" s="732" t="s">
        <v>1120</v>
      </c>
      <c r="AE51" s="732" t="s">
        <v>1121</v>
      </c>
      <c r="AF51" s="733" t="s">
        <v>1295</v>
      </c>
      <c r="AG51" s="732"/>
      <c r="AH51" s="271"/>
      <c r="AI51" s="1"/>
      <c r="AJ51" s="1"/>
    </row>
    <row r="52" spans="1:36" ht="16" customHeight="1">
      <c r="A52" s="412"/>
      <c r="B52" s="412"/>
      <c r="C52" s="1532"/>
      <c r="D52" s="1532"/>
      <c r="E52" s="1532"/>
      <c r="F52" s="1532"/>
      <c r="G52" s="1532"/>
      <c r="H52" s="1532"/>
      <c r="I52" s="1532"/>
      <c r="J52" s="1532"/>
      <c r="K52" s="412"/>
      <c r="L52" s="1548"/>
      <c r="M52" s="1548"/>
      <c r="N52" s="1548"/>
      <c r="O52" s="1548"/>
      <c r="P52" s="1548"/>
      <c r="Q52" s="1548"/>
      <c r="R52" s="1548"/>
      <c r="S52" s="412"/>
      <c r="T52" s="413"/>
      <c r="U52" s="408"/>
      <c r="V52" s="594" t="s">
        <v>1353</v>
      </c>
      <c r="W52" s="1310" t="str">
        <f>'FIG3'!W53</f>
        <v>FA2L1</v>
      </c>
      <c r="X52" s="1310" t="str">
        <f>'FIG3'!X53</f>
        <v>FA2L2</v>
      </c>
      <c r="Y52" s="1311" t="str">
        <f>'FIG3'!Y53</f>
        <v>#</v>
      </c>
      <c r="Z52" s="1310"/>
      <c r="AA52" s="417"/>
      <c r="AB52" s="408"/>
      <c r="AC52" s="265"/>
      <c r="AD52" s="732" t="s">
        <v>1175</v>
      </c>
      <c r="AE52" s="732" t="s">
        <v>1176</v>
      </c>
      <c r="AF52" s="733" t="s">
        <v>1295</v>
      </c>
      <c r="AG52" s="732"/>
      <c r="AH52" s="271"/>
      <c r="AI52" s="1"/>
      <c r="AJ52" s="1"/>
    </row>
    <row r="53" spans="1:36" ht="16" customHeight="1">
      <c r="A53" s="412"/>
      <c r="B53" s="412"/>
      <c r="C53" s="1532"/>
      <c r="D53" s="1532"/>
      <c r="E53" s="1532"/>
      <c r="F53" s="1532"/>
      <c r="G53" s="1532"/>
      <c r="H53" s="1532"/>
      <c r="I53" s="1532"/>
      <c r="J53" s="1532"/>
      <c r="K53" s="412"/>
      <c r="L53" s="1548"/>
      <c r="M53" s="1548"/>
      <c r="N53" s="1548"/>
      <c r="O53" s="1548"/>
      <c r="P53" s="1548"/>
      <c r="Q53" s="1548"/>
      <c r="R53" s="1548"/>
      <c r="S53" s="412"/>
      <c r="T53" s="413"/>
      <c r="U53" s="408"/>
      <c r="V53" s="594" t="s">
        <v>1354</v>
      </c>
      <c r="W53" s="1310" t="str">
        <f>'FIG3'!W54</f>
        <v>FA3L1</v>
      </c>
      <c r="X53" s="1310" t="str">
        <f>'FIG3'!X54</f>
        <v>FA3L2</v>
      </c>
      <c r="Y53" s="1311" t="str">
        <f>'FIG3'!Y54</f>
        <v>#</v>
      </c>
      <c r="Z53" s="1310"/>
      <c r="AA53" s="417"/>
      <c r="AB53" s="408"/>
      <c r="AC53" s="265"/>
      <c r="AD53" s="732" t="s">
        <v>1171</v>
      </c>
      <c r="AE53" s="732" t="s">
        <v>1225</v>
      </c>
      <c r="AF53" s="733" t="s">
        <v>1295</v>
      </c>
      <c r="AG53" s="732"/>
      <c r="AH53" s="271"/>
      <c r="AI53" s="1"/>
      <c r="AJ53" s="1"/>
    </row>
    <row r="54" spans="1:36" ht="16" customHeight="1">
      <c r="A54" s="412"/>
      <c r="B54" s="412"/>
      <c r="C54" s="1532"/>
      <c r="D54" s="1532"/>
      <c r="E54" s="1532"/>
      <c r="F54" s="1532"/>
      <c r="G54" s="1532"/>
      <c r="H54" s="1532"/>
      <c r="I54" s="1532"/>
      <c r="J54" s="1532"/>
      <c r="K54" s="412"/>
      <c r="L54" s="1548"/>
      <c r="M54" s="1548"/>
      <c r="N54" s="1548"/>
      <c r="O54" s="1548"/>
      <c r="P54" s="1548"/>
      <c r="Q54" s="1548"/>
      <c r="R54" s="1548"/>
      <c r="S54" s="412"/>
      <c r="T54" s="413"/>
      <c r="U54" s="408"/>
      <c r="V54" s="594" t="s">
        <v>1355</v>
      </c>
      <c r="W54" s="1310" t="str">
        <f>'FIG3'!W55</f>
        <v>FA4L1</v>
      </c>
      <c r="X54" s="1310" t="str">
        <f>'FIG3'!X55</f>
        <v>FA4L2</v>
      </c>
      <c r="Y54" s="1311" t="str">
        <f>'FIG3'!Y55</f>
        <v>#</v>
      </c>
      <c r="Z54" s="1310"/>
      <c r="AA54" s="417"/>
      <c r="AB54" s="408"/>
      <c r="AC54" s="265"/>
      <c r="AD54" s="732" t="s">
        <v>1172</v>
      </c>
      <c r="AE54" s="732" t="s">
        <v>1227</v>
      </c>
      <c r="AF54" s="733" t="s">
        <v>1295</v>
      </c>
      <c r="AG54" s="732"/>
      <c r="AH54" s="271"/>
      <c r="AI54" s="1"/>
      <c r="AJ54" s="1"/>
    </row>
    <row r="55" spans="1:36" ht="16" customHeight="1">
      <c r="A55" s="412"/>
      <c r="B55" s="412"/>
      <c r="C55" s="1532"/>
      <c r="D55" s="1532"/>
      <c r="E55" s="1532"/>
      <c r="F55" s="1532"/>
      <c r="G55" s="1532"/>
      <c r="H55" s="1532"/>
      <c r="I55" s="1532"/>
      <c r="J55" s="1532"/>
      <c r="K55" s="412"/>
      <c r="L55" s="1548"/>
      <c r="M55" s="1548"/>
      <c r="N55" s="1548"/>
      <c r="O55" s="1548"/>
      <c r="P55" s="1548"/>
      <c r="Q55" s="1548"/>
      <c r="R55" s="1548"/>
      <c r="S55" s="412"/>
      <c r="T55" s="413"/>
      <c r="U55" s="408"/>
      <c r="V55" s="594" t="s">
        <v>1356</v>
      </c>
      <c r="W55" s="1310" t="str">
        <f>'FIG3'!W56</f>
        <v>FA5L1</v>
      </c>
      <c r="X55" s="1310" t="str">
        <f>'FIG3'!X56</f>
        <v>FA5L2</v>
      </c>
      <c r="Y55" s="1311" t="str">
        <f>'FIG3'!Y56</f>
        <v>#</v>
      </c>
      <c r="Z55" s="1310"/>
      <c r="AA55" s="417"/>
      <c r="AB55" s="408"/>
      <c r="AC55" s="265"/>
      <c r="AD55" s="732" t="s">
        <v>1173</v>
      </c>
      <c r="AE55" s="732" t="s">
        <v>1226</v>
      </c>
      <c r="AF55" s="733" t="s">
        <v>1295</v>
      </c>
      <c r="AG55" s="732"/>
      <c r="AH55" s="271"/>
      <c r="AI55" s="1"/>
      <c r="AJ55" s="1"/>
    </row>
    <row r="56" spans="1:36" ht="16" customHeight="1">
      <c r="A56" s="412"/>
      <c r="B56" s="412"/>
      <c r="C56" s="1532"/>
      <c r="D56" s="1532"/>
      <c r="E56" s="1532"/>
      <c r="F56" s="1532"/>
      <c r="G56" s="1532"/>
      <c r="H56" s="1532"/>
      <c r="I56" s="1532"/>
      <c r="J56" s="1532"/>
      <c r="K56" s="412"/>
      <c r="L56" s="1548"/>
      <c r="M56" s="1548"/>
      <c r="N56" s="1548"/>
      <c r="O56" s="1548"/>
      <c r="P56" s="1548"/>
      <c r="Q56" s="1548"/>
      <c r="R56" s="1548"/>
      <c r="S56" s="412"/>
      <c r="T56" s="413"/>
      <c r="U56" s="408"/>
      <c r="V56" s="595"/>
      <c r="W56" s="462"/>
      <c r="X56" s="594" t="s">
        <v>1351</v>
      </c>
      <c r="Y56" s="1311">
        <f>'FIG3'!Y57</f>
        <v>17</v>
      </c>
      <c r="Z56" s="1312"/>
      <c r="AA56" s="417"/>
      <c r="AB56" s="408"/>
      <c r="AC56" s="265"/>
      <c r="AD56" s="745"/>
      <c r="AE56" s="746" t="s">
        <v>1351</v>
      </c>
      <c r="AF56" s="733" t="s">
        <v>1295</v>
      </c>
      <c r="AG56" s="460"/>
      <c r="AH56" s="271"/>
      <c r="AI56" s="1"/>
      <c r="AJ56" s="1"/>
    </row>
    <row r="57" spans="1:36" ht="16" customHeight="1">
      <c r="A57" s="412"/>
      <c r="B57" s="412"/>
      <c r="C57" s="418"/>
      <c r="D57" s="418"/>
      <c r="E57" s="418"/>
      <c r="F57" s="418"/>
      <c r="G57" s="418"/>
      <c r="H57" s="418"/>
      <c r="I57" s="418"/>
      <c r="J57" s="418"/>
      <c r="K57" s="412"/>
      <c r="L57" s="437"/>
      <c r="M57" s="437"/>
      <c r="N57" s="437"/>
      <c r="O57" s="437"/>
      <c r="P57" s="437"/>
      <c r="Q57" s="437"/>
      <c r="R57" s="437"/>
      <c r="S57" s="412"/>
      <c r="T57" s="413"/>
      <c r="U57" s="408"/>
      <c r="V57" s="408"/>
      <c r="W57" s="408"/>
      <c r="X57" s="408"/>
      <c r="Y57" s="408"/>
      <c r="Z57" s="408"/>
      <c r="AA57" s="408"/>
      <c r="AB57" s="408"/>
      <c r="AC57" s="265"/>
      <c r="AD57" s="271"/>
      <c r="AE57" s="271"/>
      <c r="AF57" s="271"/>
      <c r="AG57" s="271"/>
      <c r="AH57" s="271"/>
      <c r="AI57" s="1"/>
      <c r="AJ57" s="1"/>
    </row>
    <row r="58" spans="1:36" ht="16" customHeight="1">
      <c r="A58" s="412"/>
      <c r="B58" s="412"/>
      <c r="C58" s="418"/>
      <c r="D58" s="418"/>
      <c r="E58" s="418"/>
      <c r="F58" s="418"/>
      <c r="G58" s="418"/>
      <c r="H58" s="418"/>
      <c r="I58" s="418"/>
      <c r="J58" s="418"/>
      <c r="K58" s="412"/>
      <c r="L58" s="437"/>
      <c r="M58" s="437"/>
      <c r="N58" s="437"/>
      <c r="O58" s="437"/>
      <c r="P58" s="437"/>
      <c r="Q58" s="437"/>
      <c r="R58" s="437"/>
      <c r="S58" s="412"/>
      <c r="T58" s="413"/>
      <c r="U58" s="408"/>
      <c r="V58" s="1579" t="s">
        <v>1040</v>
      </c>
      <c r="W58" s="1579"/>
      <c r="X58" s="1579"/>
      <c r="Y58" s="1579"/>
      <c r="Z58" s="1579"/>
      <c r="AA58" s="419"/>
      <c r="AB58" s="419"/>
      <c r="AC58" s="265"/>
      <c r="AD58" s="271"/>
      <c r="AE58" s="271"/>
      <c r="AF58" s="271"/>
      <c r="AG58" s="271"/>
      <c r="AH58" s="271"/>
      <c r="AI58" s="1"/>
      <c r="AJ58" s="1"/>
    </row>
    <row r="59" spans="1:36" ht="16" customHeight="1">
      <c r="A59" s="412"/>
      <c r="B59" s="412"/>
      <c r="C59" s="412"/>
      <c r="D59" s="412"/>
      <c r="E59" s="412"/>
      <c r="F59" s="412"/>
      <c r="G59" s="412"/>
      <c r="H59" s="412"/>
      <c r="I59" s="412"/>
      <c r="J59" s="412"/>
      <c r="K59" s="412"/>
      <c r="L59" s="412"/>
      <c r="M59" s="412"/>
      <c r="N59" s="412"/>
      <c r="O59" s="412"/>
      <c r="P59" s="412"/>
      <c r="Q59" s="412"/>
      <c r="R59" s="412"/>
      <c r="S59" s="412"/>
      <c r="T59" s="413"/>
      <c r="U59" s="408"/>
      <c r="V59" s="1579"/>
      <c r="W59" s="1579"/>
      <c r="X59" s="1579"/>
      <c r="Y59" s="1579"/>
      <c r="Z59" s="1579"/>
      <c r="AA59" s="419"/>
      <c r="AB59" s="419"/>
      <c r="AC59" s="265"/>
      <c r="AD59" s="743"/>
      <c r="AE59" s="743"/>
      <c r="AF59" s="744"/>
      <c r="AG59" s="743"/>
      <c r="AH59" s="272"/>
    </row>
    <row r="60" spans="1:36" ht="16" customHeight="1">
      <c r="A60" s="412"/>
      <c r="B60" s="412"/>
      <c r="C60" s="412"/>
      <c r="D60" s="412"/>
      <c r="E60" s="412"/>
      <c r="F60" s="412"/>
      <c r="G60" s="412"/>
      <c r="H60" s="412"/>
      <c r="I60" s="412"/>
      <c r="J60" s="412"/>
      <c r="K60" s="412"/>
      <c r="L60" s="412"/>
      <c r="M60" s="412"/>
      <c r="N60" s="412"/>
      <c r="O60" s="412"/>
      <c r="P60" s="412"/>
      <c r="Q60" s="412"/>
      <c r="R60" s="412"/>
      <c r="S60" s="412"/>
      <c r="T60" s="413"/>
      <c r="U60" s="408"/>
      <c r="V60" s="1579"/>
      <c r="W60" s="1579"/>
      <c r="X60" s="1579"/>
      <c r="Y60" s="1579"/>
      <c r="Z60" s="1579"/>
      <c r="AA60" s="419"/>
      <c r="AB60" s="419"/>
      <c r="AC60" s="265"/>
      <c r="AD60" s="743"/>
      <c r="AE60" s="743"/>
      <c r="AF60" s="744"/>
      <c r="AG60" s="743"/>
      <c r="AH60" s="272"/>
    </row>
    <row r="61" spans="1:36" ht="16" customHeight="1">
      <c r="A61" s="412"/>
      <c r="B61" s="412"/>
      <c r="C61" s="412"/>
      <c r="D61" s="412"/>
      <c r="E61" s="412"/>
      <c r="F61" s="412"/>
      <c r="G61" s="412"/>
      <c r="H61" s="412"/>
      <c r="I61" s="412"/>
      <c r="J61" s="412"/>
      <c r="K61" s="412"/>
      <c r="L61" s="412"/>
      <c r="M61" s="412"/>
      <c r="N61" s="412"/>
      <c r="O61" s="412"/>
      <c r="P61" s="412"/>
      <c r="Q61" s="412"/>
      <c r="R61" s="412"/>
      <c r="S61" s="412"/>
      <c r="T61" s="413"/>
      <c r="U61" s="408"/>
      <c r="V61" s="1579"/>
      <c r="W61" s="1579"/>
      <c r="X61" s="1579"/>
      <c r="Y61" s="1579"/>
      <c r="Z61" s="1579"/>
      <c r="AA61" s="419"/>
      <c r="AB61" s="419"/>
      <c r="AC61" s="265"/>
      <c r="AD61" s="743"/>
      <c r="AE61" s="743"/>
      <c r="AF61" s="744"/>
      <c r="AG61" s="743"/>
      <c r="AH61" s="272"/>
    </row>
    <row r="62" spans="1:36" ht="16" customHeight="1">
      <c r="A62" s="412"/>
      <c r="B62" s="412"/>
      <c r="C62" s="412"/>
      <c r="D62" s="412"/>
      <c r="E62" s="412"/>
      <c r="F62" s="412"/>
      <c r="G62" s="412"/>
      <c r="H62" s="412"/>
      <c r="I62" s="412"/>
      <c r="J62" s="412"/>
      <c r="K62" s="412"/>
      <c r="L62" s="412"/>
      <c r="M62" s="412"/>
      <c r="N62" s="412"/>
      <c r="O62" s="412"/>
      <c r="P62" s="412"/>
      <c r="Q62" s="412"/>
      <c r="R62" s="412"/>
      <c r="S62" s="412"/>
      <c r="T62" s="413"/>
      <c r="U62" s="408"/>
      <c r="V62" s="1579"/>
      <c r="W62" s="1579"/>
      <c r="X62" s="1579"/>
      <c r="Y62" s="1579"/>
      <c r="Z62" s="1579"/>
      <c r="AA62" s="419"/>
      <c r="AB62" s="419"/>
      <c r="AC62" s="265"/>
      <c r="AD62" s="743"/>
      <c r="AE62" s="743"/>
      <c r="AF62" s="744"/>
      <c r="AG62" s="743"/>
      <c r="AH62" s="272"/>
    </row>
    <row r="63" spans="1:36" ht="16" customHeight="1">
      <c r="A63" s="412"/>
      <c r="B63" s="412"/>
      <c r="C63" s="412"/>
      <c r="D63" s="412"/>
      <c r="E63" s="412"/>
      <c r="F63" s="412"/>
      <c r="G63" s="412"/>
      <c r="H63" s="412"/>
      <c r="I63" s="412"/>
      <c r="J63" s="412"/>
      <c r="K63" s="412"/>
      <c r="L63" s="412"/>
      <c r="M63" s="412"/>
      <c r="N63" s="412"/>
      <c r="O63" s="412"/>
      <c r="P63" s="412"/>
      <c r="Q63" s="412"/>
      <c r="R63" s="412"/>
      <c r="S63" s="412"/>
      <c r="T63" s="413"/>
      <c r="U63" s="408"/>
      <c r="V63" s="408"/>
      <c r="W63" s="408"/>
      <c r="X63" s="408"/>
      <c r="Y63" s="408"/>
      <c r="Z63" s="408"/>
      <c r="AA63" s="408"/>
      <c r="AB63" s="408"/>
      <c r="AC63" s="265"/>
      <c r="AD63" s="743"/>
      <c r="AE63" s="743"/>
      <c r="AF63" s="744"/>
      <c r="AG63" s="743"/>
      <c r="AH63" s="272"/>
    </row>
    <row r="64" spans="1:36" ht="16" customHeight="1">
      <c r="A64" s="412"/>
      <c r="B64" s="412"/>
      <c r="C64" s="412"/>
      <c r="D64" s="412"/>
      <c r="E64" s="412"/>
      <c r="F64" s="412"/>
      <c r="G64" s="412"/>
      <c r="H64" s="412"/>
      <c r="I64" s="412"/>
      <c r="J64" s="412"/>
      <c r="K64" s="412"/>
      <c r="L64" s="412"/>
      <c r="M64" s="412"/>
      <c r="N64" s="412"/>
      <c r="O64" s="412"/>
      <c r="P64" s="412"/>
      <c r="Q64" s="412"/>
      <c r="R64" s="412"/>
      <c r="S64" s="412"/>
      <c r="T64" s="413"/>
      <c r="U64" s="408"/>
      <c r="V64" s="408"/>
      <c r="W64" s="408"/>
      <c r="X64" s="408"/>
      <c r="Y64" s="408"/>
      <c r="Z64" s="408"/>
      <c r="AA64" s="408"/>
      <c r="AB64" s="408"/>
      <c r="AC64" s="265"/>
      <c r="AD64" s="736"/>
      <c r="AE64" s="737"/>
      <c r="AF64" s="744"/>
      <c r="AG64" s="743"/>
      <c r="AH64" s="272"/>
    </row>
    <row r="65" spans="1:34" ht="16" customHeight="1">
      <c r="A65" s="412"/>
      <c r="B65" s="412"/>
      <c r="C65" s="412"/>
      <c r="D65" s="412"/>
      <c r="E65" s="412"/>
      <c r="F65" s="412"/>
      <c r="G65" s="412"/>
      <c r="H65" s="412"/>
      <c r="I65" s="412"/>
      <c r="J65" s="412"/>
      <c r="K65" s="412"/>
      <c r="L65" s="412"/>
      <c r="M65" s="412"/>
      <c r="N65" s="412"/>
      <c r="O65" s="412"/>
      <c r="P65" s="412"/>
      <c r="Q65" s="412"/>
      <c r="R65" s="412"/>
      <c r="S65" s="412"/>
      <c r="T65" s="413"/>
      <c r="U65" s="408"/>
      <c r="V65" s="408"/>
      <c r="W65" s="1578"/>
      <c r="X65" s="1578"/>
      <c r="Y65" s="1578"/>
      <c r="Z65" s="1578"/>
      <c r="AA65" s="408"/>
      <c r="AB65" s="408"/>
      <c r="AC65" s="265"/>
      <c r="AD65" s="272"/>
      <c r="AE65" s="272"/>
      <c r="AF65" s="272"/>
      <c r="AG65" s="272"/>
      <c r="AH65" s="272"/>
    </row>
    <row r="66" spans="1:34" ht="16" customHeight="1">
      <c r="A66" s="412"/>
      <c r="B66" s="412"/>
      <c r="C66" s="412"/>
      <c r="D66" s="412"/>
      <c r="E66" s="412"/>
      <c r="F66" s="412"/>
      <c r="G66" s="412"/>
      <c r="H66" s="412"/>
      <c r="I66" s="412"/>
      <c r="J66" s="412"/>
      <c r="K66" s="412"/>
      <c r="L66" s="412"/>
      <c r="M66" s="412"/>
      <c r="N66" s="412"/>
      <c r="O66" s="412"/>
      <c r="P66" s="412"/>
      <c r="Q66" s="412"/>
      <c r="R66" s="412"/>
      <c r="S66" s="412"/>
      <c r="T66" s="413"/>
      <c r="U66" s="408"/>
      <c r="V66" s="420"/>
      <c r="W66" s="734"/>
      <c r="X66" s="734"/>
      <c r="Y66" s="735"/>
      <c r="Z66" s="735"/>
      <c r="AA66" s="408"/>
      <c r="AB66" s="408"/>
      <c r="AC66" s="265"/>
      <c r="AD66" s="265"/>
      <c r="AE66" s="265"/>
      <c r="AF66" s="265"/>
      <c r="AG66" s="265"/>
      <c r="AH66" s="265"/>
    </row>
    <row r="67" spans="1:34" ht="16" customHeight="1">
      <c r="A67" s="412"/>
      <c r="B67" s="412"/>
      <c r="C67" s="412"/>
      <c r="D67" s="412"/>
      <c r="E67" s="412"/>
      <c r="F67" s="412"/>
      <c r="G67" s="412"/>
      <c r="H67" s="412"/>
      <c r="I67" s="412"/>
      <c r="J67" s="412"/>
      <c r="K67" s="412"/>
      <c r="L67" s="412"/>
      <c r="M67" s="412"/>
      <c r="N67" s="412"/>
      <c r="O67" s="412"/>
      <c r="P67" s="412"/>
      <c r="Q67" s="412"/>
      <c r="R67" s="412"/>
      <c r="S67" s="412"/>
      <c r="T67" s="413"/>
      <c r="U67" s="408"/>
      <c r="V67" s="420"/>
      <c r="W67" s="734"/>
      <c r="X67" s="734"/>
      <c r="Y67" s="735"/>
      <c r="Z67" s="735"/>
      <c r="AA67" s="408"/>
      <c r="AB67" s="408"/>
      <c r="AC67" s="265"/>
      <c r="AD67" s="265"/>
      <c r="AE67" s="265"/>
      <c r="AF67" s="265"/>
      <c r="AG67" s="265"/>
      <c r="AH67" s="265"/>
    </row>
    <row r="68" spans="1:34" ht="16" customHeight="1">
      <c r="A68" s="412"/>
      <c r="B68" s="412"/>
      <c r="C68" s="412"/>
      <c r="D68" s="412"/>
      <c r="E68" s="412"/>
      <c r="F68" s="412"/>
      <c r="G68" s="412"/>
      <c r="H68" s="412"/>
      <c r="I68" s="412"/>
      <c r="J68" s="412"/>
      <c r="K68" s="412"/>
      <c r="L68" s="412"/>
      <c r="M68" s="412"/>
      <c r="N68" s="412"/>
      <c r="O68" s="412"/>
      <c r="P68" s="412"/>
      <c r="Q68" s="412"/>
      <c r="R68" s="412"/>
      <c r="S68" s="412"/>
      <c r="T68" s="413"/>
      <c r="U68" s="408"/>
      <c r="V68" s="420"/>
      <c r="W68" s="734"/>
      <c r="X68" s="734"/>
      <c r="Y68" s="735"/>
      <c r="Z68" s="735"/>
      <c r="AA68" s="408"/>
      <c r="AB68" s="408"/>
      <c r="AC68" s="265"/>
      <c r="AD68" s="265"/>
      <c r="AE68" s="265"/>
      <c r="AF68" s="265"/>
      <c r="AG68" s="265"/>
      <c r="AH68" s="265"/>
    </row>
    <row r="69" spans="1:34" ht="16" customHeight="1">
      <c r="A69" s="412"/>
      <c r="B69" s="412"/>
      <c r="C69" s="412"/>
      <c r="D69" s="412"/>
      <c r="E69" s="412"/>
      <c r="F69" s="412"/>
      <c r="G69" s="412"/>
      <c r="H69" s="412"/>
      <c r="I69" s="412"/>
      <c r="J69" s="412"/>
      <c r="K69" s="412"/>
      <c r="L69" s="412"/>
      <c r="M69" s="412"/>
      <c r="N69" s="412"/>
      <c r="O69" s="412"/>
      <c r="P69" s="412"/>
      <c r="Q69" s="412"/>
      <c r="R69" s="412"/>
      <c r="S69" s="412"/>
      <c r="T69" s="413"/>
      <c r="U69" s="421"/>
      <c r="V69" s="420"/>
      <c r="W69" s="734"/>
      <c r="X69" s="734"/>
      <c r="Y69" s="735"/>
      <c r="Z69" s="735"/>
      <c r="AA69" s="408"/>
      <c r="AB69" s="408"/>
      <c r="AC69" s="265"/>
      <c r="AD69" s="265"/>
      <c r="AE69" s="265"/>
      <c r="AF69" s="265"/>
      <c r="AG69" s="265"/>
      <c r="AH69" s="265"/>
    </row>
    <row r="70" spans="1:34" ht="16" customHeight="1">
      <c r="A70" s="412"/>
      <c r="B70" s="412"/>
      <c r="C70" s="412"/>
      <c r="D70" s="412"/>
      <c r="E70" s="412"/>
      <c r="F70" s="412"/>
      <c r="G70" s="412"/>
      <c r="H70" s="412"/>
      <c r="I70" s="412"/>
      <c r="J70" s="412"/>
      <c r="K70" s="412"/>
      <c r="L70" s="412"/>
      <c r="M70" s="412"/>
      <c r="N70" s="412"/>
      <c r="O70" s="412"/>
      <c r="P70" s="412"/>
      <c r="Q70" s="412"/>
      <c r="R70" s="412"/>
      <c r="S70" s="412"/>
      <c r="T70" s="413"/>
      <c r="U70" s="421"/>
      <c r="V70" s="420"/>
      <c r="W70" s="734"/>
      <c r="X70" s="734"/>
      <c r="Y70" s="735"/>
      <c r="Z70" s="735"/>
      <c r="AA70" s="408"/>
      <c r="AB70" s="408"/>
      <c r="AC70" s="265"/>
      <c r="AD70" s="265"/>
      <c r="AE70" s="265"/>
      <c r="AF70" s="265"/>
      <c r="AG70" s="265"/>
      <c r="AH70" s="265"/>
    </row>
    <row r="71" spans="1:34" ht="16" customHeight="1">
      <c r="A71" s="412"/>
      <c r="B71" s="412"/>
      <c r="C71" s="412"/>
      <c r="D71" s="412"/>
      <c r="E71" s="412"/>
      <c r="F71" s="412"/>
      <c r="G71" s="412"/>
      <c r="H71" s="412"/>
      <c r="I71" s="412"/>
      <c r="J71" s="412"/>
      <c r="K71" s="412"/>
      <c r="L71" s="412"/>
      <c r="M71" s="412"/>
      <c r="N71" s="412"/>
      <c r="O71" s="412"/>
      <c r="P71" s="412"/>
      <c r="Q71" s="412"/>
      <c r="R71" s="412"/>
      <c r="S71" s="412"/>
      <c r="T71" s="413"/>
      <c r="U71" s="421"/>
      <c r="V71" s="408"/>
      <c r="W71" s="408"/>
      <c r="X71" s="408"/>
      <c r="Y71" s="408"/>
      <c r="Z71" s="408"/>
      <c r="AA71" s="408"/>
      <c r="AB71" s="408"/>
      <c r="AC71" s="265"/>
      <c r="AD71" s="265"/>
      <c r="AE71" s="265"/>
      <c r="AF71" s="265"/>
      <c r="AG71" s="265"/>
      <c r="AH71" s="265"/>
    </row>
    <row r="72" spans="1:34" ht="16" customHeight="1">
      <c r="A72" s="412"/>
      <c r="B72" s="412"/>
      <c r="C72" s="412"/>
      <c r="D72" s="412"/>
      <c r="E72" s="412"/>
      <c r="F72" s="412"/>
      <c r="G72" s="412"/>
      <c r="H72" s="412"/>
      <c r="I72" s="412"/>
      <c r="J72" s="412"/>
      <c r="K72" s="412"/>
      <c r="L72" s="412"/>
      <c r="M72" s="412"/>
      <c r="N72" s="412"/>
      <c r="O72" s="412"/>
      <c r="P72" s="412"/>
      <c r="Q72" s="412"/>
      <c r="R72" s="412"/>
      <c r="S72" s="412"/>
      <c r="T72" s="413"/>
      <c r="U72" s="421"/>
      <c r="V72" s="421"/>
      <c r="W72" s="421"/>
      <c r="X72" s="408"/>
      <c r="Y72" s="408"/>
      <c r="Z72" s="408"/>
      <c r="AA72" s="408"/>
      <c r="AB72" s="408"/>
      <c r="AC72" s="265"/>
      <c r="AD72" s="265"/>
      <c r="AE72" s="265"/>
      <c r="AF72" s="265"/>
      <c r="AG72" s="265"/>
      <c r="AH72" s="265"/>
    </row>
    <row r="73" spans="1:34" ht="16" customHeight="1">
      <c r="A73" s="412"/>
      <c r="B73" s="412"/>
      <c r="C73" s="412"/>
      <c r="D73" s="412"/>
      <c r="E73" s="412"/>
      <c r="F73" s="412"/>
      <c r="G73" s="412"/>
      <c r="H73" s="412"/>
      <c r="I73" s="412"/>
      <c r="J73" s="412"/>
      <c r="K73" s="412"/>
      <c r="L73" s="412"/>
      <c r="M73" s="412"/>
      <c r="N73" s="412"/>
      <c r="O73" s="412"/>
      <c r="P73" s="412"/>
      <c r="Q73" s="412"/>
      <c r="R73" s="412"/>
      <c r="S73" s="412"/>
      <c r="T73" s="413"/>
      <c r="U73" s="421"/>
      <c r="V73" s="421"/>
      <c r="W73" s="421"/>
      <c r="X73" s="408"/>
      <c r="Y73" s="408"/>
      <c r="Z73" s="408"/>
      <c r="AA73" s="408"/>
      <c r="AB73" s="408"/>
      <c r="AC73" s="265"/>
      <c r="AD73" s="265"/>
      <c r="AE73" s="265"/>
      <c r="AF73" s="265"/>
      <c r="AG73" s="265"/>
      <c r="AH73" s="265"/>
    </row>
    <row r="74" spans="1:34" ht="16" customHeight="1">
      <c r="T74" s="120"/>
      <c r="U74" s="399"/>
      <c r="V74" s="399"/>
      <c r="W74" s="399"/>
      <c r="X74" s="120"/>
      <c r="Y74" s="120"/>
      <c r="Z74" s="120"/>
      <c r="AA74" s="120"/>
      <c r="AB74" s="120"/>
    </row>
    <row r="75" spans="1:34">
      <c r="T75" s="120"/>
      <c r="U75" s="399"/>
      <c r="V75" s="399"/>
      <c r="W75" s="399"/>
    </row>
    <row r="76" spans="1:34">
      <c r="T76" s="120"/>
      <c r="U76" s="399"/>
      <c r="V76" s="399"/>
      <c r="W76" s="399"/>
    </row>
    <row r="77" spans="1:34">
      <c r="T77" s="120"/>
      <c r="U77" s="399"/>
      <c r="V77" s="399"/>
      <c r="W77" s="399"/>
    </row>
    <row r="78" spans="1:34">
      <c r="T78" s="120"/>
      <c r="U78" s="399"/>
      <c r="V78" s="399"/>
      <c r="W78" s="399"/>
    </row>
    <row r="79" spans="1:34">
      <c r="T79" s="120"/>
      <c r="U79" s="399"/>
      <c r="V79" s="399"/>
      <c r="W79" s="399"/>
    </row>
    <row r="80" spans="1:34">
      <c r="T80" s="120"/>
      <c r="U80" s="399"/>
      <c r="V80" s="399"/>
      <c r="W80" s="399"/>
    </row>
    <row r="81" spans="20:23">
      <c r="T81" s="120"/>
      <c r="U81" s="399"/>
      <c r="V81" s="399"/>
      <c r="W81" s="399"/>
    </row>
    <row r="82" spans="20:23">
      <c r="T82" s="120"/>
      <c r="U82" s="399"/>
      <c r="V82" s="399"/>
      <c r="W82" s="399"/>
    </row>
    <row r="83" spans="20:23">
      <c r="T83" s="120"/>
      <c r="U83" s="399"/>
      <c r="V83" s="399"/>
      <c r="W83" s="399"/>
    </row>
    <row r="84" spans="20:23">
      <c r="T84" s="120"/>
      <c r="U84" s="399"/>
      <c r="V84" s="399"/>
      <c r="W84" s="399"/>
    </row>
    <row r="85" spans="20:23">
      <c r="T85" s="120"/>
      <c r="U85" s="120"/>
    </row>
    <row r="86" spans="20:23">
      <c r="T86" s="120"/>
      <c r="U86" s="120"/>
    </row>
    <row r="87" spans="20:23">
      <c r="T87" s="120"/>
      <c r="U87" s="120"/>
    </row>
    <row r="88" spans="20:23">
      <c r="T88" s="120"/>
      <c r="U88" s="120"/>
    </row>
    <row r="89" spans="20:23">
      <c r="T89" s="120"/>
      <c r="U89" s="120"/>
    </row>
    <row r="90" spans="20:23">
      <c r="T90" s="120"/>
      <c r="U90" s="120"/>
    </row>
    <row r="91" spans="20:23">
      <c r="T91" s="120"/>
      <c r="U91" s="120"/>
    </row>
    <row r="92" spans="20:23">
      <c r="T92" s="120"/>
      <c r="U92" s="120"/>
    </row>
    <row r="93" spans="20:23">
      <c r="T93" s="120"/>
      <c r="U93" s="120"/>
    </row>
    <row r="94" spans="20:23">
      <c r="T94" s="120"/>
      <c r="U94" s="120"/>
    </row>
    <row r="95" spans="20:23">
      <c r="T95" s="120"/>
      <c r="U95" s="120"/>
    </row>
    <row r="96" spans="20:23">
      <c r="T96" s="120"/>
      <c r="U96" s="120"/>
    </row>
    <row r="97" spans="20:21">
      <c r="T97" s="120"/>
      <c r="U97" s="120"/>
    </row>
    <row r="98" spans="20:21">
      <c r="T98" s="120"/>
      <c r="U98" s="120"/>
    </row>
    <row r="99" spans="20:21">
      <c r="T99" s="120"/>
      <c r="U99" s="120"/>
    </row>
    <row r="100" spans="20:21">
      <c r="T100" s="120"/>
      <c r="U100" s="120"/>
    </row>
    <row r="101" spans="20:21">
      <c r="T101" s="120"/>
      <c r="U101" s="120"/>
    </row>
    <row r="102" spans="20:21">
      <c r="T102" s="120"/>
      <c r="U102" s="120"/>
    </row>
    <row r="103" spans="20:21">
      <c r="T103" s="120"/>
      <c r="U103" s="120"/>
    </row>
    <row r="104" spans="20:21">
      <c r="T104" s="120"/>
      <c r="U104" s="120"/>
    </row>
    <row r="105" spans="20:21">
      <c r="T105" s="120"/>
      <c r="U105" s="120"/>
    </row>
    <row r="106" spans="20:21">
      <c r="T106" s="120"/>
      <c r="U106" s="120"/>
    </row>
    <row r="107" spans="20:21">
      <c r="T107" s="120"/>
      <c r="U107" s="120"/>
    </row>
    <row r="108" spans="20:21">
      <c r="T108" s="120"/>
      <c r="U108" s="120"/>
    </row>
    <row r="109" spans="20:21">
      <c r="T109" s="120"/>
      <c r="U109" s="120"/>
    </row>
    <row r="110" spans="20:21">
      <c r="T110" s="120"/>
      <c r="U110" s="120"/>
    </row>
    <row r="111" spans="20:21">
      <c r="T111" s="120"/>
      <c r="U111" s="120"/>
    </row>
    <row r="112" spans="20:21">
      <c r="T112" s="120"/>
      <c r="U112" s="120"/>
    </row>
    <row r="113" spans="20:21">
      <c r="T113" s="120"/>
      <c r="U113" s="120"/>
    </row>
    <row r="114" spans="20:21">
      <c r="T114" s="120"/>
      <c r="U114" s="120"/>
    </row>
    <row r="115" spans="20:21">
      <c r="T115" s="120"/>
      <c r="U115" s="120"/>
    </row>
    <row r="116" spans="20:21">
      <c r="T116" s="120"/>
      <c r="U116" s="120"/>
    </row>
    <row r="117" spans="20:21">
      <c r="T117" s="120"/>
      <c r="U117" s="120"/>
    </row>
    <row r="118" spans="20:21">
      <c r="T118" s="120"/>
    </row>
    <row r="119" spans="20:21">
      <c r="T119" s="120"/>
    </row>
    <row r="120" spans="20:21">
      <c r="T120" s="120"/>
    </row>
    <row r="121" spans="20:21">
      <c r="T121" s="120"/>
    </row>
    <row r="122" spans="20:21">
      <c r="T122" s="120"/>
    </row>
    <row r="123" spans="20:21">
      <c r="T123" s="120"/>
    </row>
    <row r="124" spans="20:21">
      <c r="T124" s="120"/>
    </row>
    <row r="125" spans="20:21">
      <c r="T125" s="120"/>
    </row>
    <row r="126" spans="20:21">
      <c r="T126" s="120"/>
    </row>
    <row r="127" spans="20:21">
      <c r="T127" s="120"/>
    </row>
    <row r="128" spans="20:21">
      <c r="T128" s="120"/>
    </row>
    <row r="129" spans="20:20">
      <c r="T129" s="120"/>
    </row>
    <row r="130" spans="20:20">
      <c r="T130" s="120"/>
    </row>
    <row r="131" spans="20:20">
      <c r="T131" s="120"/>
    </row>
    <row r="132" spans="20:20">
      <c r="T132" s="120"/>
    </row>
    <row r="133" spans="20:20">
      <c r="T133" s="120"/>
    </row>
    <row r="134" spans="20:20">
      <c r="T134" s="120"/>
    </row>
    <row r="135" spans="20:20">
      <c r="T135" s="120"/>
    </row>
    <row r="136" spans="20:20">
      <c r="T136" s="120"/>
    </row>
    <row r="137" spans="20:20">
      <c r="T137" s="120"/>
    </row>
    <row r="138" spans="20:20">
      <c r="T138" s="120"/>
    </row>
    <row r="139" spans="20:20">
      <c r="T139" s="120"/>
    </row>
    <row r="140" spans="20:20">
      <c r="T140" s="120"/>
    </row>
    <row r="141" spans="20:20">
      <c r="T141" s="120"/>
    </row>
    <row r="142" spans="20:20">
      <c r="T142" s="120"/>
    </row>
    <row r="143" spans="20:20">
      <c r="T143" s="120"/>
    </row>
    <row r="144" spans="20:20">
      <c r="T144" s="120"/>
    </row>
    <row r="145" spans="20:20">
      <c r="T145" s="120"/>
    </row>
    <row r="146" spans="20:20">
      <c r="T146" s="120"/>
    </row>
    <row r="147" spans="20:20">
      <c r="T147" s="120"/>
    </row>
    <row r="148" spans="20:20">
      <c r="T148" s="120"/>
    </row>
    <row r="149" spans="20:20">
      <c r="T149" s="120"/>
    </row>
    <row r="150" spans="20:20">
      <c r="T150" s="120"/>
    </row>
    <row r="151" spans="20:20">
      <c r="T151" s="120"/>
    </row>
    <row r="152" spans="20:20">
      <c r="T152" s="120"/>
    </row>
    <row r="153" spans="20:20">
      <c r="T153" s="120"/>
    </row>
    <row r="154" spans="20:20">
      <c r="T154" s="120"/>
    </row>
    <row r="155" spans="20:20">
      <c r="T155" s="120"/>
    </row>
    <row r="156" spans="20:20">
      <c r="T156" s="120"/>
    </row>
    <row r="157" spans="20:20">
      <c r="T157" s="120"/>
    </row>
    <row r="158" spans="20:20">
      <c r="T158" s="120"/>
    </row>
    <row r="159" spans="20:20">
      <c r="T159" s="120"/>
    </row>
    <row r="160" spans="20:20">
      <c r="T160" s="120"/>
    </row>
    <row r="161" spans="20:20">
      <c r="T161" s="120"/>
    </row>
    <row r="162" spans="20:20">
      <c r="T162" s="120"/>
    </row>
    <row r="163" spans="20:20">
      <c r="T163" s="120"/>
    </row>
    <row r="164" spans="20:20">
      <c r="T164" s="120"/>
    </row>
    <row r="165" spans="20:20">
      <c r="T165" s="120"/>
    </row>
    <row r="166" spans="20:20">
      <c r="T166" s="120"/>
    </row>
    <row r="167" spans="20:20">
      <c r="T167" s="120"/>
    </row>
    <row r="168" spans="20:20">
      <c r="T168" s="120"/>
    </row>
    <row r="169" spans="20:20">
      <c r="T169" s="120"/>
    </row>
    <row r="170" spans="20:20">
      <c r="T170" s="120"/>
    </row>
    <row r="171" spans="20:20">
      <c r="T171" s="120"/>
    </row>
    <row r="172" spans="20:20">
      <c r="T172" s="120"/>
    </row>
    <row r="173" spans="20:20">
      <c r="T173" s="120"/>
    </row>
    <row r="174" spans="20:20">
      <c r="T174" s="120"/>
    </row>
    <row r="175" spans="20:20">
      <c r="T175" s="120"/>
    </row>
    <row r="176" spans="20:20">
      <c r="T176" s="120"/>
    </row>
    <row r="177" spans="20:20">
      <c r="T177" s="120"/>
    </row>
    <row r="178" spans="20:20">
      <c r="T178" s="120"/>
    </row>
    <row r="179" spans="20:20">
      <c r="T179" s="120"/>
    </row>
    <row r="180" spans="20:20">
      <c r="T180" s="120"/>
    </row>
    <row r="181" spans="20:20">
      <c r="T181" s="120"/>
    </row>
    <row r="182" spans="20:20">
      <c r="T182" s="120"/>
    </row>
    <row r="183" spans="20:20">
      <c r="T183" s="120"/>
    </row>
    <row r="184" spans="20:20">
      <c r="T184" s="120"/>
    </row>
    <row r="185" spans="20:20">
      <c r="T185" s="120"/>
    </row>
    <row r="186" spans="20:20">
      <c r="T186" s="120"/>
    </row>
    <row r="187" spans="20:20">
      <c r="T187" s="120"/>
    </row>
    <row r="188" spans="20:20">
      <c r="T188" s="120"/>
    </row>
    <row r="189" spans="20:20">
      <c r="T189" s="120"/>
    </row>
    <row r="190" spans="20:20">
      <c r="T190" s="120"/>
    </row>
    <row r="191" spans="20:20">
      <c r="T191" s="120"/>
    </row>
    <row r="192" spans="20:20">
      <c r="T192" s="120"/>
    </row>
    <row r="193" spans="20:20">
      <c r="T193" s="120"/>
    </row>
    <row r="194" spans="20:20">
      <c r="T194" s="120"/>
    </row>
    <row r="195" spans="20:20">
      <c r="T195" s="120"/>
    </row>
    <row r="196" spans="20:20">
      <c r="T196" s="120"/>
    </row>
    <row r="197" spans="20:20">
      <c r="T197" s="120"/>
    </row>
    <row r="198" spans="20:20">
      <c r="T198" s="120"/>
    </row>
    <row r="199" spans="20:20">
      <c r="T199" s="120"/>
    </row>
    <row r="200" spans="20:20">
      <c r="T200" s="120"/>
    </row>
    <row r="201" spans="20:20">
      <c r="T201" s="120"/>
    </row>
    <row r="202" spans="20:20">
      <c r="T202" s="120"/>
    </row>
    <row r="203" spans="20:20">
      <c r="T203" s="120"/>
    </row>
    <row r="204" spans="20:20">
      <c r="T204" s="120"/>
    </row>
    <row r="205" spans="20:20">
      <c r="T205" s="120"/>
    </row>
    <row r="206" spans="20:20">
      <c r="T206" s="120"/>
    </row>
    <row r="207" spans="20:20">
      <c r="T207" s="120"/>
    </row>
    <row r="208" spans="20:20">
      <c r="T208" s="120"/>
    </row>
    <row r="209" spans="20:20">
      <c r="T209" s="120"/>
    </row>
  </sheetData>
  <mergeCells count="148">
    <mergeCell ref="B1:S1"/>
    <mergeCell ref="A2:A43"/>
    <mergeCell ref="B2:S2"/>
    <mergeCell ref="T2:T43"/>
    <mergeCell ref="V2:AA2"/>
    <mergeCell ref="I3:J3"/>
    <mergeCell ref="K3:L3"/>
    <mergeCell ref="M3:N3"/>
    <mergeCell ref="O3:P3"/>
    <mergeCell ref="Q3:R3"/>
    <mergeCell ref="Q6:R6"/>
    <mergeCell ref="C8:D8"/>
    <mergeCell ref="C9:D9"/>
    <mergeCell ref="C10:D10"/>
    <mergeCell ref="C11:D11"/>
    <mergeCell ref="U11:AB18"/>
    <mergeCell ref="C12:D12"/>
    <mergeCell ref="E6:F6"/>
    <mergeCell ref="G6:H6"/>
    <mergeCell ref="I6:J6"/>
    <mergeCell ref="K6:L6"/>
    <mergeCell ref="M6:N6"/>
    <mergeCell ref="O6:P6"/>
    <mergeCell ref="U3:AB10"/>
    <mergeCell ref="D4:H4"/>
    <mergeCell ref="C5:D6"/>
    <mergeCell ref="E5:F5"/>
    <mergeCell ref="G5:H5"/>
    <mergeCell ref="I5:J5"/>
    <mergeCell ref="K5:L5"/>
    <mergeCell ref="M5:N5"/>
    <mergeCell ref="O5:P5"/>
    <mergeCell ref="Q5:R5"/>
    <mergeCell ref="G22:H22"/>
    <mergeCell ref="I22:J22"/>
    <mergeCell ref="K22:L22"/>
    <mergeCell ref="M22:N22"/>
    <mergeCell ref="O22:P22"/>
    <mergeCell ref="Q22:R22"/>
    <mergeCell ref="U19:AB33"/>
    <mergeCell ref="C21:D22"/>
    <mergeCell ref="E21:F21"/>
    <mergeCell ref="G21:H21"/>
    <mergeCell ref="I21:J21"/>
    <mergeCell ref="K21:L21"/>
    <mergeCell ref="M21:N21"/>
    <mergeCell ref="O21:P21"/>
    <mergeCell ref="Q21:R21"/>
    <mergeCell ref="E22:F22"/>
    <mergeCell ref="C25:D26"/>
    <mergeCell ref="E25:F25"/>
    <mergeCell ref="G25:H25"/>
    <mergeCell ref="I25:J25"/>
    <mergeCell ref="K25:L25"/>
    <mergeCell ref="M25:N25"/>
    <mergeCell ref="O23:P23"/>
    <mergeCell ref="Q23:R23"/>
    <mergeCell ref="E24:F24"/>
    <mergeCell ref="G24:H24"/>
    <mergeCell ref="I24:J24"/>
    <mergeCell ref="K24:L24"/>
    <mergeCell ref="M24:N24"/>
    <mergeCell ref="O24:P24"/>
    <mergeCell ref="Q24:R24"/>
    <mergeCell ref="C23:D24"/>
    <mergeCell ref="E23:F23"/>
    <mergeCell ref="G23:H23"/>
    <mergeCell ref="I23:J23"/>
    <mergeCell ref="K23:L23"/>
    <mergeCell ref="M23:N23"/>
    <mergeCell ref="O25:P25"/>
    <mergeCell ref="Q25:R25"/>
    <mergeCell ref="E26:F26"/>
    <mergeCell ref="G26:H26"/>
    <mergeCell ref="I26:J26"/>
    <mergeCell ref="K26:L26"/>
    <mergeCell ref="M26:N26"/>
    <mergeCell ref="O26:P26"/>
    <mergeCell ref="Q26:R26"/>
    <mergeCell ref="O30:P30"/>
    <mergeCell ref="Q30:R30"/>
    <mergeCell ref="E31:F31"/>
    <mergeCell ref="O28:P28"/>
    <mergeCell ref="Q28:R28"/>
    <mergeCell ref="E29:F29"/>
    <mergeCell ref="G29:H29"/>
    <mergeCell ref="I29:J29"/>
    <mergeCell ref="K29:L29"/>
    <mergeCell ref="M29:N29"/>
    <mergeCell ref="O29:P29"/>
    <mergeCell ref="Q29:R29"/>
    <mergeCell ref="G31:H31"/>
    <mergeCell ref="I31:J31"/>
    <mergeCell ref="K31:L31"/>
    <mergeCell ref="M31:N31"/>
    <mergeCell ref="O31:P31"/>
    <mergeCell ref="Q31:R31"/>
    <mergeCell ref="C30:D31"/>
    <mergeCell ref="E30:F30"/>
    <mergeCell ref="G30:H30"/>
    <mergeCell ref="I30:J30"/>
    <mergeCell ref="K30:L30"/>
    <mergeCell ref="M30:N30"/>
    <mergeCell ref="C28:D29"/>
    <mergeCell ref="E28:F28"/>
    <mergeCell ref="G28:H28"/>
    <mergeCell ref="I28:J28"/>
    <mergeCell ref="K28:L28"/>
    <mergeCell ref="M28:N28"/>
    <mergeCell ref="C38:D38"/>
    <mergeCell ref="U38:AB38"/>
    <mergeCell ref="O32:P32"/>
    <mergeCell ref="Q32:R32"/>
    <mergeCell ref="C33:D33"/>
    <mergeCell ref="C34:D34"/>
    <mergeCell ref="U34:AB34"/>
    <mergeCell ref="C35:D35"/>
    <mergeCell ref="U35:AB35"/>
    <mergeCell ref="C32:D32"/>
    <mergeCell ref="E32:F32"/>
    <mergeCell ref="G32:H32"/>
    <mergeCell ref="I32:J32"/>
    <mergeCell ref="K32:L32"/>
    <mergeCell ref="M32:N32"/>
    <mergeCell ref="C36:D36"/>
    <mergeCell ref="U36:AB36"/>
    <mergeCell ref="C37:D37"/>
    <mergeCell ref="U37:AB37"/>
    <mergeCell ref="C39:D39"/>
    <mergeCell ref="U39:AB39"/>
    <mergeCell ref="U40:AB40"/>
    <mergeCell ref="C41:D41"/>
    <mergeCell ref="E41:F41"/>
    <mergeCell ref="I41:J41"/>
    <mergeCell ref="K41:L41"/>
    <mergeCell ref="M41:N41"/>
    <mergeCell ref="O41:P41"/>
    <mergeCell ref="Q41:R41"/>
    <mergeCell ref="V58:Z62"/>
    <mergeCell ref="W65:Z65"/>
    <mergeCell ref="U41:AB41"/>
    <mergeCell ref="U42:AB42"/>
    <mergeCell ref="B43:S43"/>
    <mergeCell ref="V43:AA43"/>
    <mergeCell ref="B44:S44"/>
    <mergeCell ref="AD47:AH48"/>
    <mergeCell ref="C48:J56"/>
    <mergeCell ref="L48:R56"/>
  </mergeCells>
  <phoneticPr fontId="153" type="noConversion"/>
  <conditionalFormatting sqref="E41:R41">
    <cfRule type="cellIs" dxfId="25" priority="7" operator="between">
      <formula>999999</formula>
      <formula>1000000000</formula>
    </cfRule>
  </conditionalFormatting>
  <conditionalFormatting sqref="Q4:R41">
    <cfRule type="expression" dxfId="24" priority="6">
      <formula>$W$55="FA5L1"</formula>
    </cfRule>
  </conditionalFormatting>
  <conditionalFormatting sqref="O4:P41">
    <cfRule type="expression" dxfId="23" priority="5">
      <formula>$W$54="FA4L1"</formula>
    </cfRule>
  </conditionalFormatting>
  <conditionalFormatting sqref="M4:N41">
    <cfRule type="expression" dxfId="22" priority="4">
      <formula>$W$53="FA3L1"</formula>
    </cfRule>
  </conditionalFormatting>
  <conditionalFormatting sqref="K4:L41">
    <cfRule type="expression" dxfId="21" priority="3">
      <formula>$W$52="FA2L1"</formula>
    </cfRule>
  </conditionalFormatting>
  <conditionalFormatting sqref="I5:J41">
    <cfRule type="expression" dxfId="20" priority="2">
      <formula>$W$51="FA1L1"</formula>
    </cfRule>
  </conditionalFormatting>
  <conditionalFormatting sqref="I4:J4">
    <cfRule type="expression" dxfId="19" priority="1">
      <formula>$W$51="FA1L1"</formula>
    </cfRule>
  </conditionalFormatting>
  <pageMargins left="0.7" right="0.7" top="0.75" bottom="0.75" header="0.3" footer="0.3"/>
  <ignoredErrors>
    <ignoredError sqref="W51:W55 W48:W49 X51:Y56" unlockedFormula="1"/>
  </ignoredError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sheetPr>
  <dimension ref="A1:CI382"/>
  <sheetViews>
    <sheetView workbookViewId="0">
      <selection sqref="A1:I2"/>
    </sheetView>
  </sheetViews>
  <sheetFormatPr baseColWidth="10" defaultColWidth="8.83203125" defaultRowHeight="11" x14ac:dyDescent="0"/>
  <cols>
    <col min="1" max="1" width="6.1640625" customWidth="1"/>
    <col min="2" max="2" width="5.83203125" customWidth="1"/>
    <col min="3" max="3" width="7.1640625" customWidth="1"/>
    <col min="4" max="4" width="12.6640625" customWidth="1"/>
    <col min="5" max="5" width="18.5" customWidth="1"/>
    <col min="6" max="6" width="16" customWidth="1"/>
    <col min="7" max="7" width="22.6640625" customWidth="1"/>
    <col min="8" max="8" width="10.83203125" customWidth="1"/>
    <col min="9" max="9" width="16" customWidth="1"/>
    <col min="10" max="10" width="30.1640625" customWidth="1"/>
    <col min="11" max="11" width="12.6640625" customWidth="1"/>
    <col min="12" max="12" width="18.1640625" customWidth="1"/>
    <col min="13" max="13" width="11.1640625" customWidth="1"/>
    <col min="14" max="14" width="16.1640625" customWidth="1"/>
    <col min="15" max="15" width="19.33203125" customWidth="1"/>
    <col min="16" max="16" width="10.1640625" customWidth="1"/>
    <col min="17" max="17" width="21" customWidth="1"/>
    <col min="18" max="18" width="21.6640625" customWidth="1"/>
    <col min="19" max="19" width="27.5" customWidth="1"/>
    <col min="20" max="20" width="19.33203125" customWidth="1"/>
    <col min="21" max="21" width="19.6640625" customWidth="1"/>
    <col min="22" max="22" width="20.33203125" customWidth="1"/>
    <col min="23" max="23" width="19.83203125" customWidth="1"/>
    <col min="24" max="31" width="20.83203125" customWidth="1"/>
    <col min="32" max="32" width="18.6640625" customWidth="1"/>
    <col min="33" max="33" width="23" customWidth="1"/>
    <col min="35" max="36" width="3.83203125" customWidth="1"/>
    <col min="37" max="37" width="25.6640625" customWidth="1"/>
    <col min="38" max="45" width="12.83203125" customWidth="1"/>
    <col min="46" max="46" width="4.83203125" customWidth="1"/>
    <col min="48" max="48" width="29" customWidth="1"/>
    <col min="49" max="49" width="4.33203125" customWidth="1"/>
    <col min="50" max="50" width="14.83203125" customWidth="1"/>
    <col min="51" max="58" width="20.83203125" customWidth="1"/>
    <col min="59" max="59" width="14.6640625" customWidth="1"/>
    <col min="63" max="63" width="3.83203125" customWidth="1"/>
    <col min="64" max="64" width="25.6640625" customWidth="1"/>
    <col min="65" max="72" width="12.83203125" customWidth="1"/>
  </cols>
  <sheetData>
    <row r="1" spans="1:87" s="3" customFormat="1" ht="20.25" customHeight="1" thickBot="1">
      <c r="A1" s="1818" t="s">
        <v>1230</v>
      </c>
      <c r="B1" s="1818"/>
      <c r="C1" s="1818"/>
      <c r="D1" s="1818"/>
      <c r="E1" s="1818"/>
      <c r="F1" s="1818"/>
      <c r="G1" s="1818"/>
      <c r="H1" s="1818"/>
      <c r="I1" s="1818"/>
      <c r="J1" s="1054"/>
      <c r="K1" s="1054"/>
      <c r="L1" s="1055"/>
      <c r="M1" s="1055"/>
      <c r="N1" s="1054"/>
      <c r="O1" s="1054"/>
      <c r="P1" s="1054"/>
      <c r="Q1" s="1056"/>
      <c r="R1" s="1054"/>
      <c r="S1" s="1054"/>
      <c r="T1" s="1054"/>
      <c r="U1" s="1054"/>
      <c r="V1" s="1054"/>
      <c r="W1" s="1054"/>
      <c r="X1" s="1054"/>
      <c r="Y1" s="1054"/>
      <c r="Z1" s="1054"/>
      <c r="AA1" s="1054"/>
      <c r="AB1" s="1054"/>
      <c r="AC1" s="1054"/>
      <c r="AD1" s="1054"/>
      <c r="AE1" s="1054"/>
      <c r="AF1" s="1054"/>
      <c r="AG1" s="1054"/>
      <c r="AH1" s="1054"/>
      <c r="AI1" s="1057"/>
      <c r="AJ1" s="1887" t="s">
        <v>1181</v>
      </c>
      <c r="AK1" s="1887"/>
      <c r="AL1" s="1887"/>
      <c r="AM1" s="1887"/>
      <c r="AN1" s="1887"/>
      <c r="AO1" s="1887"/>
      <c r="AP1" s="1887"/>
      <c r="AQ1" s="1887"/>
      <c r="AR1" s="1887"/>
      <c r="AS1" s="1887"/>
      <c r="AT1" s="1054"/>
      <c r="AU1" s="1054"/>
      <c r="AV1" s="1829" t="s">
        <v>949</v>
      </c>
      <c r="AW1" s="1829"/>
      <c r="AX1" s="1829"/>
      <c r="AY1" s="1829"/>
      <c r="AZ1" s="1829"/>
      <c r="BA1" s="1829"/>
      <c r="BB1" s="1829"/>
      <c r="BC1" s="1829"/>
      <c r="BD1" s="1829"/>
      <c r="BE1" s="1829"/>
      <c r="BF1" s="1054"/>
      <c r="BG1" s="1054"/>
      <c r="BH1" s="1054"/>
      <c r="BI1" s="1054"/>
      <c r="BJ1" s="1054"/>
      <c r="BK1" s="1885" t="s">
        <v>873</v>
      </c>
      <c r="BL1" s="1885"/>
      <c r="BM1" s="1885"/>
      <c r="BN1" s="1885"/>
      <c r="BO1" s="1885"/>
      <c r="BP1" s="1885"/>
      <c r="BQ1" s="1885"/>
      <c r="BR1" s="1885"/>
      <c r="BS1" s="1885"/>
      <c r="BT1" s="1885"/>
      <c r="BU1" s="1054"/>
      <c r="BV1" s="1054"/>
      <c r="BW1" s="36"/>
      <c r="BX1" s="36"/>
      <c r="BY1" s="36"/>
      <c r="BZ1" s="36"/>
      <c r="CA1" s="36"/>
      <c r="CB1" s="36"/>
      <c r="CC1" s="36"/>
      <c r="CD1" s="36"/>
      <c r="CE1" s="36"/>
      <c r="CF1" s="36"/>
      <c r="CG1" s="36"/>
      <c r="CH1" s="36"/>
      <c r="CI1" s="36"/>
    </row>
    <row r="2" spans="1:87" s="3" customFormat="1" ht="15" customHeight="1" thickTop="1" thickBot="1">
      <c r="A2" s="1818"/>
      <c r="B2" s="1818"/>
      <c r="C2" s="1818"/>
      <c r="D2" s="1818"/>
      <c r="E2" s="1818"/>
      <c r="F2" s="1818"/>
      <c r="G2" s="1818"/>
      <c r="H2" s="1818"/>
      <c r="I2" s="1818"/>
      <c r="J2" s="1058" t="s">
        <v>1233</v>
      </c>
      <c r="K2" s="1059" t="s">
        <v>1406</v>
      </c>
      <c r="L2" s="1060"/>
      <c r="M2" s="1060"/>
      <c r="N2" s="1889" t="s">
        <v>1292</v>
      </c>
      <c r="O2" s="1890"/>
      <c r="P2" s="1061" t="s">
        <v>1232</v>
      </c>
      <c r="Q2" s="1062" t="s">
        <v>1273</v>
      </c>
      <c r="R2" s="1063" t="s">
        <v>1398</v>
      </c>
      <c r="S2" s="1063" t="s">
        <v>1318</v>
      </c>
      <c r="T2" s="1064" t="s">
        <v>1272</v>
      </c>
      <c r="U2" s="1889" t="s">
        <v>1291</v>
      </c>
      <c r="V2" s="1890"/>
      <c r="W2" s="1065" t="s">
        <v>1232</v>
      </c>
      <c r="X2" s="1066" t="s">
        <v>1285</v>
      </c>
      <c r="Y2" s="1066" t="s">
        <v>1286</v>
      </c>
      <c r="Z2" s="1066" t="s">
        <v>1287</v>
      </c>
      <c r="AA2" s="1066" t="s">
        <v>1288</v>
      </c>
      <c r="AB2" s="1066" t="s">
        <v>1182</v>
      </c>
      <c r="AC2" s="1066" t="s">
        <v>1284</v>
      </c>
      <c r="AD2" s="1067" t="s">
        <v>1289</v>
      </c>
      <c r="AE2" s="1063" t="s">
        <v>1398</v>
      </c>
      <c r="AF2" s="1063" t="s">
        <v>1319</v>
      </c>
      <c r="AG2" s="1064" t="s">
        <v>1272</v>
      </c>
      <c r="AH2" s="1054"/>
      <c r="AI2" s="1054"/>
      <c r="AJ2" s="1888"/>
      <c r="AK2" s="1888"/>
      <c r="AL2" s="1888"/>
      <c r="AM2" s="1888"/>
      <c r="AN2" s="1888"/>
      <c r="AO2" s="1888"/>
      <c r="AP2" s="1888"/>
      <c r="AQ2" s="1888"/>
      <c r="AR2" s="1888"/>
      <c r="AS2" s="1888"/>
      <c r="AT2" s="1054"/>
      <c r="AU2" s="1054"/>
      <c r="AV2" s="1829"/>
      <c r="AW2" s="1829"/>
      <c r="AX2" s="1829"/>
      <c r="AY2" s="1829"/>
      <c r="AZ2" s="1829"/>
      <c r="BA2" s="1829"/>
      <c r="BB2" s="1829"/>
      <c r="BC2" s="1829"/>
      <c r="BD2" s="1829"/>
      <c r="BE2" s="1829"/>
      <c r="BF2" s="1068"/>
      <c r="BG2" s="1068"/>
      <c r="BH2" s="1068"/>
      <c r="BI2" s="1069"/>
      <c r="BJ2" s="1054"/>
      <c r="BK2" s="1886"/>
      <c r="BL2" s="1886"/>
      <c r="BM2" s="1886"/>
      <c r="BN2" s="1886"/>
      <c r="BO2" s="1886"/>
      <c r="BP2" s="1886"/>
      <c r="BQ2" s="1886"/>
      <c r="BR2" s="1886"/>
      <c r="BS2" s="1886"/>
      <c r="BT2" s="1886"/>
      <c r="BU2" s="1054"/>
      <c r="BV2" s="1054"/>
      <c r="BW2" s="36"/>
      <c r="BX2" s="36"/>
      <c r="BY2" s="36"/>
      <c r="BZ2" s="36"/>
      <c r="CA2" s="36"/>
      <c r="CB2" s="36"/>
      <c r="CC2" s="36"/>
      <c r="CD2" s="36"/>
      <c r="CE2" s="36"/>
      <c r="CF2" s="36"/>
      <c r="CG2" s="36"/>
      <c r="CH2" s="36"/>
      <c r="CI2" s="36"/>
    </row>
    <row r="3" spans="1:87" s="3" customFormat="1" ht="15" customHeight="1" thickTop="1" thickBot="1">
      <c r="A3" s="1070"/>
      <c r="B3" s="1819" t="s">
        <v>874</v>
      </c>
      <c r="C3" s="1819"/>
      <c r="D3" s="1819"/>
      <c r="E3" s="1819"/>
      <c r="F3" s="1819"/>
      <c r="G3" s="1819"/>
      <c r="H3" s="1819"/>
      <c r="I3" s="1820"/>
      <c r="J3" s="1071" t="s">
        <v>1417</v>
      </c>
      <c r="K3" s="1072" t="s">
        <v>1408</v>
      </c>
      <c r="L3" s="1848" t="s">
        <v>1414</v>
      </c>
      <c r="M3" s="1848"/>
      <c r="N3" s="1847" t="s">
        <v>1099</v>
      </c>
      <c r="O3" s="1848"/>
      <c r="P3" s="1073" t="str">
        <f>IF(AND(R3&gt;-0.01,R3&lt;0.01),"","CHECK!")</f>
        <v/>
      </c>
      <c r="Q3" s="1074">
        <f>SUM($R$36:$R$374)</f>
        <v>5302399724.54</v>
      </c>
      <c r="R3" s="1075">
        <f>Q3-'$REV-DSUM'!F2</f>
        <v>0</v>
      </c>
      <c r="S3" s="1076" t="s">
        <v>1114</v>
      </c>
      <c r="T3" s="1077"/>
      <c r="U3" s="1891" t="s">
        <v>1113</v>
      </c>
      <c r="V3" s="1892"/>
      <c r="W3" s="413"/>
      <c r="X3" s="413"/>
      <c r="Y3" s="413"/>
      <c r="Z3" s="413"/>
      <c r="AA3" s="413"/>
      <c r="AB3" s="413"/>
      <c r="AC3" s="413"/>
      <c r="AD3" s="413"/>
      <c r="AE3" s="413"/>
      <c r="AF3" s="413"/>
      <c r="AG3" s="1078"/>
      <c r="AH3" s="1054"/>
      <c r="AI3" s="1054"/>
      <c r="AJ3" s="1079" t="str">
        <f>'FIG3'!W49</f>
        <v>AR</v>
      </c>
      <c r="AK3" s="1080"/>
      <c r="AL3" s="1081"/>
      <c r="AM3" s="1895" t="s">
        <v>1381</v>
      </c>
      <c r="AN3" s="1896"/>
      <c r="AO3" s="1896"/>
      <c r="AP3" s="1896"/>
      <c r="AQ3" s="1896"/>
      <c r="AR3" s="1897"/>
      <c r="AS3" s="1898" t="s">
        <v>1289</v>
      </c>
      <c r="AT3" s="1054"/>
      <c r="AU3" s="1054"/>
      <c r="AV3" s="1823"/>
      <c r="AW3" s="1824"/>
      <c r="AX3" s="1082" t="s">
        <v>1232</v>
      </c>
      <c r="AY3" s="1083" t="s">
        <v>1285</v>
      </c>
      <c r="AZ3" s="1084" t="s">
        <v>1286</v>
      </c>
      <c r="BA3" s="1084" t="s">
        <v>1287</v>
      </c>
      <c r="BB3" s="1084" t="s">
        <v>1288</v>
      </c>
      <c r="BC3" s="1084" t="s">
        <v>1182</v>
      </c>
      <c r="BD3" s="1084" t="s">
        <v>1284</v>
      </c>
      <c r="BE3" s="1085" t="s">
        <v>1289</v>
      </c>
      <c r="BF3" s="1086" t="s">
        <v>1398</v>
      </c>
      <c r="BG3" s="1087" t="s">
        <v>1319</v>
      </c>
      <c r="BH3" s="1088" t="s">
        <v>1272</v>
      </c>
      <c r="BI3" s="1054"/>
      <c r="BJ3" s="1054"/>
      <c r="BK3" s="1089" t="str">
        <f>AJ3</f>
        <v>AR</v>
      </c>
      <c r="BL3" s="1090"/>
      <c r="BM3" s="1091"/>
      <c r="BN3" s="1874" t="s">
        <v>1381</v>
      </c>
      <c r="BO3" s="1875"/>
      <c r="BP3" s="1875"/>
      <c r="BQ3" s="1875"/>
      <c r="BR3" s="1875"/>
      <c r="BS3" s="1876"/>
      <c r="BT3" s="1877" t="s">
        <v>1289</v>
      </c>
      <c r="BU3" s="1054"/>
      <c r="BV3" s="1054"/>
      <c r="BW3" s="36"/>
      <c r="BX3" s="36"/>
      <c r="BY3" s="36"/>
      <c r="BZ3" s="36"/>
      <c r="CA3" s="36"/>
      <c r="CB3" s="36"/>
      <c r="CC3" s="36"/>
      <c r="CD3" s="36"/>
      <c r="CE3" s="36"/>
      <c r="CF3" s="36"/>
      <c r="CG3" s="36"/>
      <c r="CH3" s="36"/>
      <c r="CI3" s="36"/>
    </row>
    <row r="4" spans="1:87" s="3" customFormat="1" ht="15" customHeight="1">
      <c r="A4" s="1070"/>
      <c r="B4" s="1092" t="s">
        <v>1116</v>
      </c>
      <c r="C4" s="1821" t="s">
        <v>892</v>
      </c>
      <c r="D4" s="1821"/>
      <c r="E4" s="1821"/>
      <c r="F4" s="1821"/>
      <c r="G4" s="1821"/>
      <c r="H4" s="1821"/>
      <c r="I4" s="1822"/>
      <c r="J4" s="1071" t="s">
        <v>1418</v>
      </c>
      <c r="K4" s="1072" t="s">
        <v>1382</v>
      </c>
      <c r="L4" s="1848" t="s">
        <v>1415</v>
      </c>
      <c r="M4" s="1872"/>
      <c r="N4" s="1072" t="s">
        <v>1100</v>
      </c>
      <c r="O4" s="1093"/>
      <c r="P4" s="1073"/>
      <c r="Q4" s="1074">
        <f>SUMIF(L36:L374,"X",R36:R374)</f>
        <v>0</v>
      </c>
      <c r="R4" s="1075"/>
      <c r="S4" s="1076"/>
      <c r="T4" s="1077"/>
      <c r="U4" s="1893"/>
      <c r="V4" s="1894"/>
      <c r="W4" s="1073"/>
      <c r="X4" s="1074"/>
      <c r="Y4" s="1074"/>
      <c r="Z4" s="1074"/>
      <c r="AA4" s="1074"/>
      <c r="AB4" s="1074"/>
      <c r="AC4" s="1074"/>
      <c r="AD4" s="1074"/>
      <c r="AE4" s="1075"/>
      <c r="AF4" s="1076"/>
      <c r="AG4" s="1077"/>
      <c r="AH4" s="1054"/>
      <c r="AI4" s="1054"/>
      <c r="AJ4" s="1094" t="str">
        <f>'FIG3'!W50</f>
        <v>FY2010-11</v>
      </c>
      <c r="AK4" s="1095"/>
      <c r="AL4" s="1096"/>
      <c r="AM4" s="1097"/>
      <c r="AN4" s="1901" t="s">
        <v>1060</v>
      </c>
      <c r="AO4" s="1901"/>
      <c r="AP4" s="1901"/>
      <c r="AQ4" s="1901"/>
      <c r="AR4" s="1077"/>
      <c r="AS4" s="1899"/>
      <c r="AT4" s="1054"/>
      <c r="AU4" s="1054"/>
      <c r="AV4" s="1825"/>
      <c r="AW4" s="1826"/>
      <c r="AX4" s="1098"/>
      <c r="AY4" s="1099"/>
      <c r="AZ4" s="1099"/>
      <c r="BA4" s="1099"/>
      <c r="BB4" s="1099"/>
      <c r="BC4" s="1099"/>
      <c r="BD4" s="1099"/>
      <c r="BE4" s="1100"/>
      <c r="BF4" s="1101"/>
      <c r="BG4" s="1102"/>
      <c r="BH4" s="1103"/>
      <c r="BI4" s="1054"/>
      <c r="BJ4" s="1054"/>
      <c r="BK4" s="1104" t="str">
        <f>AJ4</f>
        <v>FY2010-11</v>
      </c>
      <c r="BL4" s="1105"/>
      <c r="BM4" s="1106"/>
      <c r="BN4" s="1107"/>
      <c r="BO4" s="1880" t="s">
        <v>1060</v>
      </c>
      <c r="BP4" s="1880"/>
      <c r="BQ4" s="1880"/>
      <c r="BR4" s="1880"/>
      <c r="BS4" s="1103"/>
      <c r="BT4" s="1878"/>
      <c r="BU4" s="1054"/>
      <c r="BV4" s="1054"/>
      <c r="BW4" s="36"/>
      <c r="BX4" s="36"/>
      <c r="BY4" s="36"/>
      <c r="BZ4" s="36"/>
      <c r="CA4" s="36"/>
      <c r="CB4" s="36"/>
      <c r="CC4" s="36"/>
      <c r="CD4" s="36"/>
      <c r="CE4" s="36"/>
      <c r="CF4" s="36"/>
      <c r="CG4" s="36"/>
      <c r="CH4" s="36"/>
      <c r="CI4" s="36"/>
    </row>
    <row r="5" spans="1:87" s="3" customFormat="1" ht="15" customHeight="1" thickBot="1">
      <c r="A5" s="1070"/>
      <c r="B5" s="1092" t="s">
        <v>1116</v>
      </c>
      <c r="C5" s="1821" t="s">
        <v>887</v>
      </c>
      <c r="D5" s="1821"/>
      <c r="E5" s="1821"/>
      <c r="F5" s="1821"/>
      <c r="G5" s="1821"/>
      <c r="H5" s="1821"/>
      <c r="I5" s="1822"/>
      <c r="J5" s="1071" t="s">
        <v>1419</v>
      </c>
      <c r="K5" s="1072" t="s">
        <v>1383</v>
      </c>
      <c r="L5" s="1848" t="s">
        <v>1365</v>
      </c>
      <c r="M5" s="1872"/>
      <c r="N5" s="1072" t="s">
        <v>1101</v>
      </c>
      <c r="O5" s="1093"/>
      <c r="P5" s="1073"/>
      <c r="Q5" s="1074">
        <f>Q3-Q4</f>
        <v>5302399724.54</v>
      </c>
      <c r="R5" s="1075"/>
      <c r="S5" s="1076"/>
      <c r="T5" s="1077" t="s">
        <v>1234</v>
      </c>
      <c r="U5" s="1072" t="s">
        <v>1101</v>
      </c>
      <c r="V5" s="1093"/>
      <c r="W5" s="1073" t="str">
        <f>IF(AND(AE5&gt;-0.01,AE5&lt;0.01),"","CHECK!")</f>
        <v/>
      </c>
      <c r="X5" s="1074">
        <f>SUMIFS($R$36:$R$374,$Q$36:$Q$374,"F",$L36:$L$374,"I")</f>
        <v>822946686.90000045</v>
      </c>
      <c r="Y5" s="1074">
        <f>SUMIFS($R$36:$R$374,$Q$36:$Q$374,"S",$L36:$L$374,"I")</f>
        <v>2412170291.9199996</v>
      </c>
      <c r="Z5" s="1074">
        <f>SUMIFS($R$36:$R$374,$Q$36:$Q$374,"L",$L36:$L$374,"I")</f>
        <v>1449262988.8400004</v>
      </c>
      <c r="AA5" s="1074">
        <f>SUMIFS($R$36:$R$374,$Q$36:$Q$374,"O",$L36:$L$374,"I")</f>
        <v>614881869.3099997</v>
      </c>
      <c r="AB5" s="1074">
        <f>SUMIFS($R$36:$R$374,$Q$36:$Q$374,"P",$L36:$L$374,"I")</f>
        <v>3137887.5700000008</v>
      </c>
      <c r="AC5" s="1074">
        <f>SUMIFS($R$36:$R$374,$Q$36:$Q$374,"N",$L36:$L$374,"I")</f>
        <v>0</v>
      </c>
      <c r="AD5" s="1074">
        <f>SUM(X5:AC5)</f>
        <v>5302399724.54</v>
      </c>
      <c r="AE5" s="1075">
        <f>AD5-Q5</f>
        <v>0</v>
      </c>
      <c r="AF5" s="1076" t="s">
        <v>1315</v>
      </c>
      <c r="AG5" s="1077" t="s">
        <v>1234</v>
      </c>
      <c r="AH5" s="1054"/>
      <c r="AI5" s="1054"/>
      <c r="AJ5" s="1094"/>
      <c r="AK5" s="1095"/>
      <c r="AL5" s="1096"/>
      <c r="AM5" s="1108"/>
      <c r="AN5" s="1902"/>
      <c r="AO5" s="1902"/>
      <c r="AP5" s="1902"/>
      <c r="AQ5" s="1902"/>
      <c r="AR5" s="1109"/>
      <c r="AS5" s="1899"/>
      <c r="AT5" s="1054"/>
      <c r="AU5" s="1054"/>
      <c r="AV5" s="1110" t="s">
        <v>1101</v>
      </c>
      <c r="AW5" s="1111"/>
      <c r="AX5" s="1098" t="str">
        <f>IF(AND(BF8&gt;-0.01,BF5&lt;0.01),"","CHECK!")</f>
        <v/>
      </c>
      <c r="AY5" s="1099">
        <f t="shared" ref="AY5:BD5" si="0">X5</f>
        <v>822946686.90000045</v>
      </c>
      <c r="AZ5" s="1099">
        <f t="shared" si="0"/>
        <v>2412170291.9199996</v>
      </c>
      <c r="BA5" s="1099">
        <f t="shared" si="0"/>
        <v>1449262988.8400004</v>
      </c>
      <c r="BB5" s="1099">
        <f t="shared" si="0"/>
        <v>614881869.3099997</v>
      </c>
      <c r="BC5" s="1099">
        <f t="shared" si="0"/>
        <v>3137887.5700000008</v>
      </c>
      <c r="BD5" s="1099">
        <f t="shared" si="0"/>
        <v>0</v>
      </c>
      <c r="BE5" s="1100">
        <f>SUM(AY5:BD5)</f>
        <v>5302399724.54</v>
      </c>
      <c r="BF5" s="1101"/>
      <c r="BG5" s="1102" t="s">
        <v>1314</v>
      </c>
      <c r="BH5" s="1103" t="s">
        <v>1234</v>
      </c>
      <c r="BI5" s="1054"/>
      <c r="BJ5" s="1054"/>
      <c r="BK5" s="1104"/>
      <c r="BL5" s="1105"/>
      <c r="BM5" s="1106"/>
      <c r="BN5" s="1112"/>
      <c r="BO5" s="1881"/>
      <c r="BP5" s="1881"/>
      <c r="BQ5" s="1881"/>
      <c r="BR5" s="1881"/>
      <c r="BS5" s="1087"/>
      <c r="BT5" s="1878"/>
      <c r="BU5" s="1054"/>
      <c r="BV5" s="1054"/>
      <c r="BW5" s="36"/>
      <c r="BX5" s="36"/>
      <c r="BY5" s="36"/>
      <c r="BZ5" s="36"/>
      <c r="CA5" s="36"/>
      <c r="CB5" s="36"/>
      <c r="CC5" s="36"/>
      <c r="CD5" s="36"/>
      <c r="CE5" s="36"/>
      <c r="CF5" s="36"/>
      <c r="CG5" s="36"/>
      <c r="CH5" s="36"/>
      <c r="CI5" s="36"/>
    </row>
    <row r="6" spans="1:87" s="3" customFormat="1" ht="15" customHeight="1" thickTop="1" thickBot="1">
      <c r="A6" s="1070"/>
      <c r="B6" s="1092" t="s">
        <v>1116</v>
      </c>
      <c r="C6" s="1821" t="s">
        <v>1117</v>
      </c>
      <c r="D6" s="1821"/>
      <c r="E6" s="1821"/>
      <c r="F6" s="1821"/>
      <c r="G6" s="1821"/>
      <c r="H6" s="1821"/>
      <c r="I6" s="1822"/>
      <c r="J6" s="1071" t="s">
        <v>1420</v>
      </c>
      <c r="K6" s="1072" t="s">
        <v>1384</v>
      </c>
      <c r="L6" s="1848" t="s">
        <v>1367</v>
      </c>
      <c r="M6" s="1872"/>
      <c r="N6" s="1847" t="s">
        <v>1063</v>
      </c>
      <c r="O6" s="1873"/>
      <c r="P6" s="1113"/>
      <c r="Q6" s="1074">
        <f>SUMIFS($R$36:$R$374,$L$36:$L$374,"I",$P$36:$P$374,"D")</f>
        <v>5249197193.0299997</v>
      </c>
      <c r="R6" s="1075"/>
      <c r="S6" s="1075"/>
      <c r="T6" s="1077" t="s">
        <v>1235</v>
      </c>
      <c r="U6" s="1847" t="s">
        <v>1063</v>
      </c>
      <c r="V6" s="1871"/>
      <c r="W6" s="1114"/>
      <c r="X6" s="1074">
        <f>SUMIFS($R$36:$R$374,$P$36:$P$374,"D",$Q$36:$Q$374,"F",$L$36:$L$374,"I")</f>
        <v>815268896.76000047</v>
      </c>
      <c r="Y6" s="1074">
        <f>SUMIFS($R$36:$R$374,$P$36:$P$374,"D",$Q$36:$Q$374,"S",$L$36:$L$374,"I")</f>
        <v>2372611931.1099997</v>
      </c>
      <c r="Z6" s="1074">
        <f>SUMIFS($R$36:$R$374,$P$36:$P$374,"D",$Q$36:$Q$374,"L",$L$36:$L$374,"I")</f>
        <v>1449262988.8400004</v>
      </c>
      <c r="AA6" s="1074">
        <f>SUMIFS($R$36:$R$374,$P$36:$P$374,"D",$Q$36:$Q$374,"O",$L$36:$L$374,"I")</f>
        <v>608915488.74999976</v>
      </c>
      <c r="AB6" s="1074">
        <f>SUMIFS($R$36:$R$374,$P$36:$P$374,"D",$Q$36:$Q$374,"P",$L$36:$L$374,"I")</f>
        <v>3137887.5700000008</v>
      </c>
      <c r="AC6" s="1074">
        <f>SUMIFS($R$36:$R$374,$P$36:$P$374,"D",$Q$36:$Q$374,"N",$L$36:$L$374,"I")</f>
        <v>0</v>
      </c>
      <c r="AD6" s="1074">
        <f t="shared" ref="AD6:AD27" si="1">SUM(X6:AC6)</f>
        <v>5249197193.0299997</v>
      </c>
      <c r="AE6" s="1075"/>
      <c r="AF6" s="1076"/>
      <c r="AG6" s="1077" t="s">
        <v>1235</v>
      </c>
      <c r="AH6" s="1054"/>
      <c r="AI6" s="1054"/>
      <c r="AJ6" s="1115"/>
      <c r="AK6" s="1116"/>
      <c r="AL6" s="1117"/>
      <c r="AM6" s="1118" t="s">
        <v>1436</v>
      </c>
      <c r="AN6" s="1118" t="s">
        <v>1352</v>
      </c>
      <c r="AO6" s="1118" t="s">
        <v>1353</v>
      </c>
      <c r="AP6" s="1118" t="s">
        <v>1354</v>
      </c>
      <c r="AQ6" s="1118" t="s">
        <v>1355</v>
      </c>
      <c r="AR6" s="1119" t="s">
        <v>1356</v>
      </c>
      <c r="AS6" s="1900"/>
      <c r="AT6" s="1054"/>
      <c r="AU6" s="1054"/>
      <c r="AV6" s="1827" t="s">
        <v>1063</v>
      </c>
      <c r="AW6" s="1828"/>
      <c r="AX6" s="1098" t="str">
        <f t="shared" ref="AX6:AX22" si="2">IF(AND(BF6&gt;-0.01,BF6&lt;0.01),"","CHECK!")</f>
        <v/>
      </c>
      <c r="AY6" s="1099">
        <f>X6+SUMIFS($R$36:$R$374,$S$36:$S$374,"Y",$Q$36:$Q$374,"F",$P$36:$P$374,"C",$L$36:$L$374,"I")</f>
        <v>815268896.76000047</v>
      </c>
      <c r="AZ6" s="1099">
        <f>Y6+SUMIFS($R$36:$R$374,$S$36:$S$374,"Y",$Q$36:$Q$374,"S",$P$36:$P$374,"C",$L$36:$L$374,"I")</f>
        <v>2372611931.1099997</v>
      </c>
      <c r="BA6" s="1099">
        <f>Z6+SUMIFS($R$36:$R$374,$S$36:$S$374,"Y",$Q$36:$Q$374,"L",$P$36:$P$374,"C",$L$36:$L$374,"I")</f>
        <v>1449262988.8400004</v>
      </c>
      <c r="BB6" s="1099">
        <f>AA6+SUMIFS($R$36:$R$374,$S$36:$S$374,"Y",$Q$36:$Q$374,"O",$P$36:$P$374,"C",$L$36:$L$374,"I")</f>
        <v>608915488.74999976</v>
      </c>
      <c r="BC6" s="1099">
        <f>AB6+SUMIFS($R$36:$R$374,$S$36:$S$374,"Y",$Q$36:$Q$374,"P",$P$36:$P$374,"C",$L$36:$L$374,"I")</f>
        <v>3137887.5700000008</v>
      </c>
      <c r="BD6" s="1099">
        <f>AC6+SUMIFS($R$36:$R$374,$S$36:$S$374,"Y",$Q$36:$Q$374,"N",$P$36:$P$374,"C",$L$36:$L$374,"I")</f>
        <v>0</v>
      </c>
      <c r="BE6" s="1100">
        <f t="shared" ref="BE6:BE27" si="3">SUM(AY6:BD6)</f>
        <v>5249197193.0299997</v>
      </c>
      <c r="BF6" s="1101">
        <f>BE6-'$REV-DSUM-CONV'!B16</f>
        <v>0</v>
      </c>
      <c r="BG6" s="1102" t="s">
        <v>1114</v>
      </c>
      <c r="BH6" s="1103" t="s">
        <v>1235</v>
      </c>
      <c r="BI6" s="1054"/>
      <c r="BJ6" s="1054"/>
      <c r="BK6" s="1120"/>
      <c r="BL6" s="1121"/>
      <c r="BM6" s="1122"/>
      <c r="BN6" s="1123" t="s">
        <v>1436</v>
      </c>
      <c r="BO6" s="1123" t="s">
        <v>1352</v>
      </c>
      <c r="BP6" s="1123" t="s">
        <v>1353</v>
      </c>
      <c r="BQ6" s="1123" t="s">
        <v>1354</v>
      </c>
      <c r="BR6" s="1123" t="s">
        <v>1355</v>
      </c>
      <c r="BS6" s="1124" t="s">
        <v>1356</v>
      </c>
      <c r="BT6" s="1879"/>
      <c r="BU6" s="1054"/>
      <c r="BV6" s="1054"/>
      <c r="BW6" s="36"/>
      <c r="BX6" s="36"/>
      <c r="BY6" s="36"/>
      <c r="BZ6" s="36"/>
      <c r="CA6" s="36"/>
      <c r="CB6" s="36"/>
      <c r="CC6" s="36"/>
      <c r="CD6" s="36"/>
      <c r="CE6" s="36"/>
      <c r="CF6" s="36"/>
      <c r="CG6" s="36"/>
      <c r="CH6" s="36"/>
      <c r="CI6" s="36"/>
    </row>
    <row r="7" spans="1:87" s="3" customFormat="1" ht="15" customHeight="1" thickTop="1">
      <c r="A7" s="1070"/>
      <c r="B7" s="1092" t="s">
        <v>1116</v>
      </c>
      <c r="C7" s="1821" t="s">
        <v>894</v>
      </c>
      <c r="D7" s="1821"/>
      <c r="E7" s="1821"/>
      <c r="F7" s="1821"/>
      <c r="G7" s="1821"/>
      <c r="H7" s="1821"/>
      <c r="I7" s="1822"/>
      <c r="J7" s="1071" t="s">
        <v>1186</v>
      </c>
      <c r="K7" s="1072" t="s">
        <v>1409</v>
      </c>
      <c r="L7" s="1848" t="s">
        <v>1416</v>
      </c>
      <c r="M7" s="1872"/>
      <c r="N7" s="1847" t="s">
        <v>1064</v>
      </c>
      <c r="O7" s="1873"/>
      <c r="P7" s="1113"/>
      <c r="Q7" s="1074">
        <f>SUMIFS($R$36:$R$374,$L$36:$L$374,"I",$P$36:$P$374,"C")</f>
        <v>53202531.510000013</v>
      </c>
      <c r="R7" s="1075"/>
      <c r="S7" s="1075"/>
      <c r="T7" s="1077" t="s">
        <v>1236</v>
      </c>
      <c r="U7" s="1847" t="s">
        <v>1064</v>
      </c>
      <c r="V7" s="1871"/>
      <c r="W7" s="1114"/>
      <c r="X7" s="1074">
        <f>SUMIFS($R$36:$R$374,$P$36:$P$374,"C",$Q$36:$Q$374,"F",$L$36:$L$374,"I")</f>
        <v>7677790.1400000015</v>
      </c>
      <c r="Y7" s="1074">
        <f>SUMIFS($R$36:$R$374,$P$36:$P$374,"C",$Q$36:$Q$374,"S",$L$36:$L$374,"I")</f>
        <v>39558360.810000002</v>
      </c>
      <c r="Z7" s="1074">
        <f>SUMIFS($R$36:$R$374,$P$36:$P$374,"C",$Q$36:$Q$374,"L",$L$36:$L$374,"I")</f>
        <v>0</v>
      </c>
      <c r="AA7" s="1074">
        <f>SUMIFS($R$36:$R$374,$P$36:$P$374,"C",$Q$36:$Q$374,"O",$L$36:$L$374,"I")</f>
        <v>5966380.5599999996</v>
      </c>
      <c r="AB7" s="1074">
        <f>SUMIFS($R$36:$R$374,$P$36:$P$374,"C",$Q$36:$Q$374,"P",$L$36:$L$374,"I")</f>
        <v>0</v>
      </c>
      <c r="AC7" s="1074">
        <f>SUMIFS($R$36:$R$374,$P$36:$P$374,"C",$Q$36:$Q$374,"N",$L$36:$L$374,"I")</f>
        <v>0</v>
      </c>
      <c r="AD7" s="1074">
        <f t="shared" si="1"/>
        <v>53202531.510000005</v>
      </c>
      <c r="AE7" s="1075"/>
      <c r="AF7" s="1076"/>
      <c r="AG7" s="1077" t="s">
        <v>1236</v>
      </c>
      <c r="AH7" s="1054"/>
      <c r="AI7" s="1054"/>
      <c r="AJ7" s="1079" t="s">
        <v>1330</v>
      </c>
      <c r="AK7" s="1080"/>
      <c r="AL7" s="1080"/>
      <c r="AM7" s="1125"/>
      <c r="AN7" s="1125"/>
      <c r="AO7" s="1125"/>
      <c r="AP7" s="1125"/>
      <c r="AQ7" s="1125"/>
      <c r="AR7" s="1125"/>
      <c r="AS7" s="1126"/>
      <c r="AT7" s="1054"/>
      <c r="AU7" s="1054"/>
      <c r="AV7" s="1827" t="s">
        <v>1064</v>
      </c>
      <c r="AW7" s="1828"/>
      <c r="AX7" s="1098" t="str">
        <f t="shared" si="2"/>
        <v/>
      </c>
      <c r="AY7" s="1099">
        <f>X7-SUMIFS($R$36:$R$374,$S$36:$S$374,"Y",$Q$36:$Q$374,"F",$P$36:$P$374,"C",$L$36:$L$374,"I")</f>
        <v>7677790.1400000015</v>
      </c>
      <c r="AZ7" s="1099">
        <f>Y7-SUMIFS($R$36:$R$374,$S$36:$S$374,"Y",$Q$36:$Q$374,"S",$P$36:$P$374,"C",$L$36:$L$374,"I")</f>
        <v>39558360.810000002</v>
      </c>
      <c r="BA7" s="1099">
        <f>Z7-SUMIFS($R$36:$R$374,$S$36:$S$374,"Y",$Q$36:$Q$374,"L",$P$36:$P$374,"C",$L$36:$L$374,"I")</f>
        <v>0</v>
      </c>
      <c r="BB7" s="1099">
        <f>AA7-SUMIFS($R$36:$R$374,$S$36:$S$374,"Y",$Q$36:$Q$374,"O",$P$36:$P$374,"C",$L$36:$L$374,"I")</f>
        <v>5966380.5599999996</v>
      </c>
      <c r="BC7" s="1099">
        <f>AB7-SUMIFS($R$36:$R$374,$S$36:$S$374,"Y",$Q$36:$Q$374,"P",$P$36:$P$374,"C",$L$36:$L$374,"I")</f>
        <v>0</v>
      </c>
      <c r="BD7" s="1099">
        <f>AC7-SUMIFS($R$36:$R$374,$S$36:$S$374,"Y",$Q$36:$Q$374,"N",$P$36:$P$374,"C",$L$36:$L$374,"I")</f>
        <v>0</v>
      </c>
      <c r="BE7" s="1100">
        <f t="shared" si="3"/>
        <v>53202531.510000005</v>
      </c>
      <c r="BF7" s="1101">
        <f>BE7-'$REV-DSUM-CONV'!B86</f>
        <v>0</v>
      </c>
      <c r="BG7" s="1102" t="s">
        <v>1114</v>
      </c>
      <c r="BH7" s="1103" t="s">
        <v>1236</v>
      </c>
      <c r="BI7" s="1054"/>
      <c r="BJ7" s="1054"/>
      <c r="BK7" s="1089" t="s">
        <v>1330</v>
      </c>
      <c r="BL7" s="1090"/>
      <c r="BM7" s="1090"/>
      <c r="BN7" s="1127"/>
      <c r="BO7" s="1127"/>
      <c r="BP7" s="1127"/>
      <c r="BQ7" s="1127"/>
      <c r="BR7" s="1127"/>
      <c r="BS7" s="1127"/>
      <c r="BT7" s="1128"/>
      <c r="BU7" s="1054"/>
      <c r="BV7" s="1054"/>
      <c r="BW7" s="36"/>
      <c r="BX7" s="36"/>
      <c r="BY7" s="36"/>
      <c r="BZ7" s="36"/>
      <c r="CA7" s="36"/>
      <c r="CB7" s="36"/>
      <c r="CC7" s="36"/>
      <c r="CD7" s="36"/>
      <c r="CE7" s="36"/>
      <c r="CF7" s="36"/>
      <c r="CG7" s="36"/>
      <c r="CH7" s="36"/>
      <c r="CI7" s="36"/>
    </row>
    <row r="8" spans="1:87" s="3" customFormat="1" ht="15" customHeight="1" thickBot="1">
      <c r="A8" s="1070"/>
      <c r="B8" s="1092" t="s">
        <v>1116</v>
      </c>
      <c r="C8" s="1821" t="s">
        <v>880</v>
      </c>
      <c r="D8" s="1821"/>
      <c r="E8" s="1821"/>
      <c r="F8" s="1821"/>
      <c r="G8" s="1821"/>
      <c r="H8" s="1821"/>
      <c r="I8" s="1822"/>
      <c r="J8" s="1071" t="s">
        <v>1421</v>
      </c>
      <c r="K8" s="1072" t="s">
        <v>1410</v>
      </c>
      <c r="L8" s="1848" t="s">
        <v>1344</v>
      </c>
      <c r="M8" s="1872"/>
      <c r="N8" s="1847" t="s">
        <v>1259</v>
      </c>
      <c r="O8" s="1873"/>
      <c r="P8" s="1073" t="str">
        <f>IF(AND(R8&gt;-0.01,R8&lt;0.01),"","CHECK!")</f>
        <v/>
      </c>
      <c r="Q8" s="1074">
        <f>Q6+Q7</f>
        <v>5302399724.54</v>
      </c>
      <c r="R8" s="1075">
        <f>Q5-Q8</f>
        <v>0</v>
      </c>
      <c r="S8" s="1076" t="s">
        <v>1314</v>
      </c>
      <c r="T8" s="1077" t="s">
        <v>1237</v>
      </c>
      <c r="U8" s="1847" t="s">
        <v>1259</v>
      </c>
      <c r="V8" s="1871"/>
      <c r="W8" s="1073" t="str">
        <f>IF(AND(AE8&gt;-0.01,AE8&lt;0.01),"","CHECK!")</f>
        <v/>
      </c>
      <c r="X8" s="1129">
        <f t="shared" ref="X8:AC8" si="4">SUM(X6:X7)</f>
        <v>822946686.90000045</v>
      </c>
      <c r="Y8" s="1129">
        <f t="shared" si="4"/>
        <v>2412170291.9199996</v>
      </c>
      <c r="Z8" s="1129">
        <f t="shared" si="4"/>
        <v>1449262988.8400004</v>
      </c>
      <c r="AA8" s="1129">
        <f t="shared" si="4"/>
        <v>614881869.3099997</v>
      </c>
      <c r="AB8" s="1129">
        <f t="shared" si="4"/>
        <v>3137887.5700000008</v>
      </c>
      <c r="AC8" s="1129">
        <f t="shared" si="4"/>
        <v>0</v>
      </c>
      <c r="AD8" s="1129">
        <f t="shared" si="1"/>
        <v>5302399724.54</v>
      </c>
      <c r="AE8" s="1075">
        <f>AD5-AD8</f>
        <v>0</v>
      </c>
      <c r="AF8" s="1076" t="s">
        <v>1314</v>
      </c>
      <c r="AG8" s="1077" t="s">
        <v>1237</v>
      </c>
      <c r="AH8" s="1054"/>
      <c r="AI8" s="1054"/>
      <c r="AJ8" s="1130"/>
      <c r="AK8" s="1131" t="s">
        <v>1325</v>
      </c>
      <c r="AL8" s="1131"/>
      <c r="AM8" s="1132">
        <f>'ENR#-DB'!Q22</f>
        <v>3738</v>
      </c>
      <c r="AN8" s="1132">
        <f>'ENR#-DB'!Q10</f>
        <v>2602</v>
      </c>
      <c r="AO8" s="1132">
        <f>'ENR#-DB'!Q12</f>
        <v>0</v>
      </c>
      <c r="AP8" s="1132">
        <f>'ENR#-DB'!Q14</f>
        <v>0</v>
      </c>
      <c r="AQ8" s="1132">
        <f>'ENR#-DB'!Q16</f>
        <v>0</v>
      </c>
      <c r="AR8" s="1132">
        <f>'ENR#-DB'!Q18</f>
        <v>0</v>
      </c>
      <c r="AS8" s="1133">
        <f>SUM(AM8:AR8)</f>
        <v>6340</v>
      </c>
      <c r="AT8" s="1054"/>
      <c r="AU8" s="1054"/>
      <c r="AV8" s="1827" t="s">
        <v>1259</v>
      </c>
      <c r="AW8" s="1828"/>
      <c r="AX8" s="1098" t="str">
        <f t="shared" si="2"/>
        <v/>
      </c>
      <c r="AY8" s="1099">
        <f t="shared" ref="AY8:BD8" si="5">AY6+AY7</f>
        <v>822946686.90000045</v>
      </c>
      <c r="AZ8" s="1099">
        <f t="shared" si="5"/>
        <v>2412170291.9199996</v>
      </c>
      <c r="BA8" s="1099">
        <f t="shared" si="5"/>
        <v>1449262988.8400004</v>
      </c>
      <c r="BB8" s="1099">
        <f t="shared" si="5"/>
        <v>614881869.3099997</v>
      </c>
      <c r="BC8" s="1099">
        <f t="shared" si="5"/>
        <v>3137887.5700000008</v>
      </c>
      <c r="BD8" s="1099">
        <f t="shared" si="5"/>
        <v>0</v>
      </c>
      <c r="BE8" s="1100">
        <f t="shared" si="3"/>
        <v>5302399724.54</v>
      </c>
      <c r="BF8" s="1101">
        <f>BE5-BE8</f>
        <v>0</v>
      </c>
      <c r="BG8" s="1102" t="s">
        <v>1314</v>
      </c>
      <c r="BH8" s="1103" t="s">
        <v>1237</v>
      </c>
      <c r="BI8" s="1054"/>
      <c r="BJ8" s="1054"/>
      <c r="BK8" s="1134"/>
      <c r="BL8" s="1135" t="s">
        <v>1325</v>
      </c>
      <c r="BM8" s="1135"/>
      <c r="BN8" s="1136">
        <f>'ENR#-DB'!Z22</f>
        <v>3738</v>
      </c>
      <c r="BO8" s="1136">
        <f>'ENR#-DB'!Z10</f>
        <v>2602</v>
      </c>
      <c r="BP8" s="1136">
        <f>'ENR#-DB'!Z12</f>
        <v>0</v>
      </c>
      <c r="BQ8" s="1136">
        <f>'ENR#-DB'!Z14</f>
        <v>0</v>
      </c>
      <c r="BR8" s="1136">
        <f>'ENR#-DB'!Z16</f>
        <v>0</v>
      </c>
      <c r="BS8" s="1136">
        <f>'ENR#-DB'!Z18</f>
        <v>0</v>
      </c>
      <c r="BT8" s="1137">
        <f>SUM(BN8:BS8)</f>
        <v>6340</v>
      </c>
      <c r="BU8" s="1054"/>
      <c r="BV8" s="1054"/>
      <c r="BW8" s="36"/>
      <c r="BX8" s="36"/>
      <c r="BY8" s="36"/>
      <c r="BZ8" s="36"/>
      <c r="CA8" s="36"/>
      <c r="CB8" s="36"/>
      <c r="CC8" s="36"/>
      <c r="CD8" s="36"/>
      <c r="CE8" s="36"/>
      <c r="CF8" s="36"/>
      <c r="CG8" s="36"/>
      <c r="CH8" s="36"/>
      <c r="CI8" s="36"/>
    </row>
    <row r="9" spans="1:87" s="3" customFormat="1" ht="15" customHeight="1" thickBot="1">
      <c r="A9" s="1070"/>
      <c r="B9" s="1092" t="s">
        <v>1116</v>
      </c>
      <c r="C9" s="1821" t="s">
        <v>893</v>
      </c>
      <c r="D9" s="1821"/>
      <c r="E9" s="1821"/>
      <c r="F9" s="1821"/>
      <c r="G9" s="1821"/>
      <c r="H9" s="1821"/>
      <c r="I9" s="1822"/>
      <c r="J9" s="1071"/>
      <c r="K9" s="1072" t="s">
        <v>1358</v>
      </c>
      <c r="L9" s="1841" t="s">
        <v>1438</v>
      </c>
      <c r="M9" s="1842"/>
      <c r="N9" s="1847" t="s">
        <v>1260</v>
      </c>
      <c r="O9" s="1848"/>
      <c r="P9" s="1113"/>
      <c r="Q9" s="1074">
        <f>SUMIFS($R$36:$R$374,$O$36:$O$374,"FA1",$P$36:$P$374,"D",$L$36:$L$374,"I")</f>
        <v>349130780.80000001</v>
      </c>
      <c r="R9" s="1075"/>
      <c r="S9" s="1075"/>
      <c r="T9" s="1077" t="s">
        <v>1238</v>
      </c>
      <c r="U9" s="1847" t="s">
        <v>1260</v>
      </c>
      <c r="V9" s="1848"/>
      <c r="W9" s="1114"/>
      <c r="X9" s="1074">
        <f>SUMIFS($R$36:$R$374,$O$36:$O$374,"FA1",$P$36:$P$374,"D",$Q$36:$Q$374,"F",$L$36:$L$374,"I")</f>
        <v>56665217.240000002</v>
      </c>
      <c r="Y9" s="1074">
        <f>SUMIFS($R$36:$R$374,$O$36:$O$374,"FA1",$P$36:$P$374,"D",$Q$36:$Q$374,"S",$L$36:$L$374,"I")</f>
        <v>136201749.15000001</v>
      </c>
      <c r="Z9" s="1074">
        <f>SUMIFS($R$36:$R$374,$O$36:$O$374,"FA1",$P$36:$P$374,"D",$Q$36:$Q$374,"L",$L$36:$L$374,"I")</f>
        <v>139616052.41</v>
      </c>
      <c r="AA9" s="1074">
        <f>SUMIFS($R$36:$R$374,$O$36:$O$374,"FA1",$P$36:$P$374,"D",$Q$36:$Q$374,"O",$L$36:$L$374,"I")</f>
        <v>16626147.98</v>
      </c>
      <c r="AB9" s="1074">
        <f>SUMIFS($R$36:$R$374,$O$36:$O$374,"FA1",$P$36:$P$374,"D",$Q$36:$Q$374,"P",$L$36:$L$374,"I")</f>
        <v>21614.02</v>
      </c>
      <c r="AC9" s="1074">
        <f>SUMIFS($R$36:$R$374,$O$36:$O$374,"FA1",$P$36:$P$374,"D",$Q$36:$Q$374,"N",$L$36:$L$374,"I")</f>
        <v>0</v>
      </c>
      <c r="AD9" s="1074">
        <f t="shared" si="1"/>
        <v>349130780.80000001</v>
      </c>
      <c r="AE9" s="1075"/>
      <c r="AF9" s="1076"/>
      <c r="AG9" s="1077" t="s">
        <v>1238</v>
      </c>
      <c r="AH9" s="1054"/>
      <c r="AI9" s="1054"/>
      <c r="AJ9" s="1138"/>
      <c r="AK9" s="1139" t="s">
        <v>1329</v>
      </c>
      <c r="AL9" s="1139"/>
      <c r="AM9" s="1140">
        <f>AM8/AS8</f>
        <v>0.589589905362776</v>
      </c>
      <c r="AN9" s="1140">
        <f>AN8/AS8</f>
        <v>0.410410094637224</v>
      </c>
      <c r="AO9" s="1140">
        <f>AO8/AS8</f>
        <v>0</v>
      </c>
      <c r="AP9" s="1140">
        <f>AP8/AS8</f>
        <v>0</v>
      </c>
      <c r="AQ9" s="1140">
        <f>AQ8/AS8</f>
        <v>0</v>
      </c>
      <c r="AR9" s="1140">
        <f>AR8/AS8</f>
        <v>0</v>
      </c>
      <c r="AS9" s="1141">
        <f>SUM(AM9:AR9)</f>
        <v>1</v>
      </c>
      <c r="AT9" s="1054"/>
      <c r="AU9" s="1054"/>
      <c r="AV9" s="1839" t="s">
        <v>1260</v>
      </c>
      <c r="AW9" s="1840"/>
      <c r="AX9" s="1098" t="str">
        <f t="shared" si="2"/>
        <v/>
      </c>
      <c r="AY9" s="1142">
        <f>X9+SUMIFS($R$36:$R$374,$S$36:$S$374,"Y",$Q$36:$Q$374,"F",$O$36:$O$374,"FA1",$P$36:$P$374,"C",$L$36:$L$374,"I")</f>
        <v>56665217.240000002</v>
      </c>
      <c r="AZ9" s="1142">
        <f>Y9+SUMIFS($R$36:$R$374,$S$36:$S$374,"Y",$Q$36:$Q$374,"S",$O$36:$O$374,"FA1",$P$36:$P$374,"C",$L$36:$L$374,"I")</f>
        <v>136201749.15000001</v>
      </c>
      <c r="BA9" s="1142">
        <f>Z9+SUMIFS($R$36:$R$374,$S$36:$S$374,"Y",$Q$36:$Q$374,"L",$O$36:$O$374,"FA1",$P$36:$P$374,"C",$L$36:$L$374,"I")</f>
        <v>139616052.41</v>
      </c>
      <c r="BB9" s="1142">
        <f>AA9+SUMIFS($R$36:$R$374,$S$36:$S$374,"Y",$Q$36:$Q$374,"O",$O$36:$O$374,"FA1",$P$36:$P$374,"C",$L$36:$L$374,"I")</f>
        <v>16626147.98</v>
      </c>
      <c r="BC9" s="1142">
        <f>AB9+SUMIFS($R$36:$R$374,$S$36:$S$374,"Y",$Q$36:$Q$374,"P",$O$36:$O$374,"FA1",$P$36:$P$374,"C",$L$36:$L$374,"I")</f>
        <v>21614.02</v>
      </c>
      <c r="BD9" s="1142">
        <f>AC9+SUMIFS($R$36:$R$374,$S$36:$S$374,"Y",$Q$36:$Q$374,"N",$O$36:$O$374,"FA1",$P$36:$P$374,"C",$L$36:$L$374,"I")</f>
        <v>0</v>
      </c>
      <c r="BE9" s="1143">
        <f t="shared" si="3"/>
        <v>349130780.80000001</v>
      </c>
      <c r="BF9" s="1101">
        <f>BE9-'$REV-DSUM-CONV'!B156</f>
        <v>0</v>
      </c>
      <c r="BG9" s="1102" t="s">
        <v>1114</v>
      </c>
      <c r="BH9" s="1103" t="s">
        <v>1238</v>
      </c>
      <c r="BI9" s="1054"/>
      <c r="BJ9" s="1054"/>
      <c r="BK9" s="1144"/>
      <c r="BL9" s="1145" t="s">
        <v>1329</v>
      </c>
      <c r="BM9" s="1145"/>
      <c r="BN9" s="1146">
        <f>BN8/BT8</f>
        <v>0.589589905362776</v>
      </c>
      <c r="BO9" s="1146">
        <f>BO8/BT8</f>
        <v>0.410410094637224</v>
      </c>
      <c r="BP9" s="1146">
        <f>BP8/BT8</f>
        <v>0</v>
      </c>
      <c r="BQ9" s="1146">
        <f>BQ8/BT8</f>
        <v>0</v>
      </c>
      <c r="BR9" s="1146">
        <f>BR8/BT8</f>
        <v>0</v>
      </c>
      <c r="BS9" s="1146">
        <f>BS8/BT8</f>
        <v>0</v>
      </c>
      <c r="BT9" s="1147">
        <f>SUM(BN9:BS9)</f>
        <v>1</v>
      </c>
      <c r="BU9" s="1054"/>
      <c r="BV9" s="1054"/>
      <c r="BW9" s="36"/>
      <c r="BX9" s="36"/>
      <c r="BY9" s="36"/>
      <c r="BZ9" s="36"/>
      <c r="CA9" s="36"/>
      <c r="CB9" s="36"/>
      <c r="CC9" s="36"/>
      <c r="CD9" s="36"/>
      <c r="CE9" s="36"/>
      <c r="CF9" s="36"/>
      <c r="CG9" s="36"/>
      <c r="CH9" s="36"/>
      <c r="CI9" s="36"/>
    </row>
    <row r="10" spans="1:87" s="3" customFormat="1" ht="15" customHeight="1" thickTop="1" thickBot="1">
      <c r="A10" s="1070"/>
      <c r="B10" s="1092" t="s">
        <v>1116</v>
      </c>
      <c r="C10" s="1821" t="s">
        <v>1118</v>
      </c>
      <c r="D10" s="1821"/>
      <c r="E10" s="1821"/>
      <c r="F10" s="1821"/>
      <c r="G10" s="1821"/>
      <c r="H10" s="1821"/>
      <c r="I10" s="1822"/>
      <c r="J10" s="1148" t="s">
        <v>1059</v>
      </c>
      <c r="K10" s="1072" t="s">
        <v>1359</v>
      </c>
      <c r="L10" s="1841" t="s">
        <v>1439</v>
      </c>
      <c r="M10" s="1842"/>
      <c r="N10" s="1847" t="s">
        <v>1261</v>
      </c>
      <c r="O10" s="1848"/>
      <c r="P10" s="1113"/>
      <c r="Q10" s="1074">
        <f>SUMIFS($R$36:$R$374,$O$36:$O$374,"FA1",$P$36:$P$374,"C",$L$36:$L$374,"I")</f>
        <v>21208723.59</v>
      </c>
      <c r="R10" s="1075"/>
      <c r="S10" s="1075"/>
      <c r="T10" s="1077" t="s">
        <v>1239</v>
      </c>
      <c r="U10" s="1847" t="s">
        <v>1261</v>
      </c>
      <c r="V10" s="1848"/>
      <c r="W10" s="1114"/>
      <c r="X10" s="1074">
        <f>SUMIFS($R$36:$R$374,$O$36:$O$374,"FA1",$P$36:$P$374,"C",$Q$36:$Q$374,"F",$L$36:$L$374,"I")</f>
        <v>3368764.11</v>
      </c>
      <c r="Y10" s="1074">
        <f>SUMIFS($R$36:$R$374,$O$36:$O$374,"FA1",$P$36:$P$374,"C",$Q$36:$Q$374,"S",$L$36:$L$374,"I")</f>
        <v>15972602.6</v>
      </c>
      <c r="Z10" s="1074">
        <f>SUMIFS($R$36:$R$374,$O$36:$O$374,"FA1",$P$36:$P$374,"C",$Q$36:$Q$374,"L",$L$36:$L$374,"I")</f>
        <v>0</v>
      </c>
      <c r="AA10" s="1074">
        <f>SUMIFS($R$36:$R$374,$O$36:$O$374,"FA1",$P$36:$P$374,"C",$Q$36:$Q$374,"O",$L$36:$L$374,"I")</f>
        <v>1867356.88</v>
      </c>
      <c r="AB10" s="1074">
        <f>SUMIFS($R$36:$R$374,$O$36:$O$374,"FA1",$P$36:$P$374,"C",$Q$36:$Q$374,"P",$L$36:$L$374,"I")</f>
        <v>0</v>
      </c>
      <c r="AC10" s="1074">
        <f>SUMIFS($R$36:$R$374,$O$36:$O$374,"FA1",$P$36:$P$374,"C",$Q$36:$Q$374,"N",$L$36:$L$374,"I")</f>
        <v>0</v>
      </c>
      <c r="AD10" s="1074">
        <f t="shared" si="1"/>
        <v>21208723.59</v>
      </c>
      <c r="AE10" s="1075"/>
      <c r="AF10" s="1076"/>
      <c r="AG10" s="1077" t="s">
        <v>1239</v>
      </c>
      <c r="AH10" s="1054"/>
      <c r="AI10" s="1054"/>
      <c r="AJ10" s="1130"/>
      <c r="AK10" s="1131"/>
      <c r="AL10" s="1131"/>
      <c r="AM10" s="1131"/>
      <c r="AN10" s="1131"/>
      <c r="AO10" s="1131"/>
      <c r="AP10" s="1131"/>
      <c r="AQ10" s="1131"/>
      <c r="AR10" s="1131"/>
      <c r="AS10" s="1149"/>
      <c r="AT10" s="1054"/>
      <c r="AU10" s="1054"/>
      <c r="AV10" s="1827" t="s">
        <v>1261</v>
      </c>
      <c r="AW10" s="1832"/>
      <c r="AX10" s="1098" t="str">
        <f t="shared" si="2"/>
        <v/>
      </c>
      <c r="AY10" s="1099">
        <f>X10-SUMIFS($R$36:$R$374,$S$36:$S$374,"Y",$Q$36:$Q$374,"F",$O$36:$O$374,"FA1",$P$36:$P$374,"C",$L$36:$L$374,"I")</f>
        <v>3368764.11</v>
      </c>
      <c r="AZ10" s="1099">
        <f>Y10-SUMIFS($R$36:$R$374,$S$36:$S$374,"Y",$Q$36:$Q$374,"S",$O$36:$O$374,"FA1",$P$36:$P$374,"C",$L$36:$L$374,"I")</f>
        <v>15972602.6</v>
      </c>
      <c r="BA10" s="1099">
        <f>Z10-SUMIFS($R$36:$R$374,$S$36:$S$374,"Y",$Q$36:$Q$374,"L",$O$36:$O$374,"FA1",$P$36:$P$374,"C",$L$36:$L$374,"I")</f>
        <v>0</v>
      </c>
      <c r="BB10" s="1099">
        <f>AA10-SUMIFS($R$36:$R$374,$S$36:$S$374,"Y",$Q$36:$Q$374,"O",$O$36:$O$374,"FA1",$P$36:$P$374,"C",$L$36:$L$374,"I")</f>
        <v>1867356.88</v>
      </c>
      <c r="BC10" s="1099">
        <f>AB10-SUMIFS($R$36:$R$374,$S$36:$S$374,"Y",$Q$36:$Q$374,"P",$O$36:$O$374,"FA1",$P$36:$P$374,"C",$L$36:$L$374,"I")</f>
        <v>0</v>
      </c>
      <c r="BD10" s="1099">
        <f>AC10-SUMIFS($R$36:$R$374,$S$36:$S$374,"Y",$Q$36:$Q$374,"N",$O$36:$O$374,"FA1",$P$36:$P$374,"C",$L$36:$L$374,"I")</f>
        <v>0</v>
      </c>
      <c r="BE10" s="1100">
        <f t="shared" si="3"/>
        <v>21208723.59</v>
      </c>
      <c r="BF10" s="1101">
        <f>BE10-'$REV-DSUM-CONV'!B226</f>
        <v>0</v>
      </c>
      <c r="BG10" s="1102" t="s">
        <v>1114</v>
      </c>
      <c r="BH10" s="1103" t="s">
        <v>1239</v>
      </c>
      <c r="BI10" s="1054"/>
      <c r="BJ10" s="1054"/>
      <c r="BK10" s="1134"/>
      <c r="BL10" s="1135"/>
      <c r="BM10" s="1135"/>
      <c r="BN10" s="1135"/>
      <c r="BO10" s="1135"/>
      <c r="BP10" s="1135"/>
      <c r="BQ10" s="1135"/>
      <c r="BR10" s="1135"/>
      <c r="BS10" s="1135"/>
      <c r="BT10" s="1150"/>
      <c r="BU10" s="1054"/>
      <c r="BV10" s="1054"/>
      <c r="BW10" s="36"/>
      <c r="BX10" s="36"/>
      <c r="BY10" s="36"/>
      <c r="BZ10" s="36"/>
      <c r="CA10" s="36"/>
      <c r="CB10" s="36"/>
      <c r="CC10" s="36"/>
      <c r="CD10" s="36"/>
      <c r="CE10" s="36"/>
      <c r="CF10" s="36"/>
      <c r="CG10" s="36"/>
      <c r="CH10" s="36"/>
      <c r="CI10" s="36"/>
    </row>
    <row r="11" spans="1:87" s="3" customFormat="1" ht="15" customHeight="1" thickTop="1">
      <c r="A11" s="1070"/>
      <c r="B11" s="1092" t="s">
        <v>1116</v>
      </c>
      <c r="C11" s="1821" t="s">
        <v>896</v>
      </c>
      <c r="D11" s="1821"/>
      <c r="E11" s="1821"/>
      <c r="F11" s="1821"/>
      <c r="G11" s="1821"/>
      <c r="H11" s="1821"/>
      <c r="I11" s="1822"/>
      <c r="J11" s="1151" t="s">
        <v>789</v>
      </c>
      <c r="K11" s="1072" t="s">
        <v>1360</v>
      </c>
      <c r="L11" s="1841" t="s">
        <v>1440</v>
      </c>
      <c r="M11" s="1842"/>
      <c r="N11" s="1847" t="s">
        <v>1262</v>
      </c>
      <c r="O11" s="1848"/>
      <c r="P11" s="1113"/>
      <c r="Q11" s="1074">
        <f>SUMIFS($R$36:$R$374,$O$36:$O$374,"FA2",$P$36:$P$374,"D",$L$36:$L$374,"I")</f>
        <v>0</v>
      </c>
      <c r="R11" s="1075"/>
      <c r="S11" s="1075"/>
      <c r="T11" s="1077" t="s">
        <v>1240</v>
      </c>
      <c r="U11" s="1847" t="s">
        <v>1262</v>
      </c>
      <c r="V11" s="1848"/>
      <c r="W11" s="1114"/>
      <c r="X11" s="1074">
        <f>SUMIFS($R$36:$R$374,$O$36:$O$374,"FA2",$P$36:$P$374,"D",$Q$36:$Q$374,"F",$L$36:$L$374,"I")</f>
        <v>0</v>
      </c>
      <c r="Y11" s="1074">
        <f>SUMIFS($R$36:$R$374,$O$36:$O$374,"FA2",$P$36:$P$374,"D",$Q$36:$Q$374,"S",$L$36:$L$374,"I")</f>
        <v>0</v>
      </c>
      <c r="Z11" s="1074">
        <f>SUMIFS($R$36:$R$374,$O$36:$O$374,"FA2",$P$36:$P$374,"D",$Q$36:$Q$374,"L",$L$36:$L$374,"I")</f>
        <v>0</v>
      </c>
      <c r="AA11" s="1074">
        <f>SUMIFS($R$36:$R$374,$O$36:$O$374,"FA2",$P$36:$P$374,"D",$Q$36:$Q$374,"O",$L$36:$L$374,"I")</f>
        <v>0</v>
      </c>
      <c r="AB11" s="1074">
        <f>SUMIFS($R$36:$R$374,$O$36:$O$374,"FA2",$P$36:$P$374,"D",$Q$36:$Q$374,"P",$L$36:$L$374,"I")</f>
        <v>0</v>
      </c>
      <c r="AC11" s="1074">
        <f>SUMIFS($R$36:$R$374,$O$36:$O$374,"FA2",$P$36:$P$374,"D",$Q$36:$Q$374,"N",$L$36:$L$374,"I")</f>
        <v>0</v>
      </c>
      <c r="AD11" s="1074">
        <f t="shared" si="1"/>
        <v>0</v>
      </c>
      <c r="AE11" s="1075"/>
      <c r="AF11" s="1076"/>
      <c r="AG11" s="1077" t="s">
        <v>1240</v>
      </c>
      <c r="AH11" s="1054"/>
      <c r="AI11" s="1054"/>
      <c r="AJ11" s="1130" t="s">
        <v>1331</v>
      </c>
      <c r="AK11" s="1131"/>
      <c r="AL11" s="1131"/>
      <c r="AM11" s="1074"/>
      <c r="AN11" s="1074"/>
      <c r="AO11" s="1074"/>
      <c r="AP11" s="1074"/>
      <c r="AQ11" s="1074"/>
      <c r="AR11" s="1074"/>
      <c r="AS11" s="1152"/>
      <c r="AT11" s="1054"/>
      <c r="AU11" s="1054"/>
      <c r="AV11" s="1835" t="s">
        <v>1262</v>
      </c>
      <c r="AW11" s="1836"/>
      <c r="AX11" s="1098" t="str">
        <f t="shared" si="2"/>
        <v/>
      </c>
      <c r="AY11" s="1153">
        <f>X11+SUMIFS($R$36:$R$374,$S$36:$S$374,"Y",$Q$36:$Q$374,"F",$O$36:$O$374,"FA2",$P$36:$P$374,"C",$L$36:$L$374,"I")</f>
        <v>0</v>
      </c>
      <c r="AZ11" s="1153">
        <f>Y11+SUMIFS($R$36:$R$374,$S$36:$S$374,"Y",$Q$36:$Q$374,"S",$O$36:$O$374,"FA2",$P$36:$P$374,"C",$L$36:$L$374,"I")</f>
        <v>0</v>
      </c>
      <c r="BA11" s="1153">
        <f>Z11+SUMIFS($R$36:$R$374,$S$36:$S$374,"Y",$Q$36:$Q$374,"L",$O$36:$O$374,"FA2",$P$36:$P$374,"C",$L$36:$L$374,"I")</f>
        <v>0</v>
      </c>
      <c r="BB11" s="1153">
        <f>AA11+SUMIFS($R$36:$R$374,$S$36:$S$374,"Y",$Q$36:$Q$374,"O",$O$36:$O$374,"FA2",$P$36:$P$374,"C",$L$36:$L$374,"I")</f>
        <v>0</v>
      </c>
      <c r="BC11" s="1153">
        <f>AB11+SUMIFS($R$36:$R$374,$S$36:$S$374,"Y",$Q$36:$Q$374,"P",$O$36:$O$374,"FA2",$P$36:$P$374,"C",$L$36:$L$374,"I")</f>
        <v>0</v>
      </c>
      <c r="BD11" s="1153">
        <f>AC11+SUMIFS($R$36:$R$374,$S$36:$S$374,"Y",$Q$36:$Q$374,"N",$O$36:$O$374,"FA2",$P$36:$P$374,"C",$L$36:$L$374,"I")</f>
        <v>0</v>
      </c>
      <c r="BE11" s="1154">
        <f t="shared" si="3"/>
        <v>0</v>
      </c>
      <c r="BF11" s="1101">
        <f>BE11-'$REV-DSUM-CONV'!B296</f>
        <v>0</v>
      </c>
      <c r="BG11" s="1102" t="s">
        <v>1114</v>
      </c>
      <c r="BH11" s="1103" t="s">
        <v>1240</v>
      </c>
      <c r="BI11" s="1054"/>
      <c r="BJ11" s="1054"/>
      <c r="BK11" s="1134" t="s">
        <v>1331</v>
      </c>
      <c r="BL11" s="1135"/>
      <c r="BM11" s="1135"/>
      <c r="BN11" s="1099"/>
      <c r="BO11" s="1099"/>
      <c r="BP11" s="1099"/>
      <c r="BQ11" s="1099"/>
      <c r="BR11" s="1099"/>
      <c r="BS11" s="1099"/>
      <c r="BT11" s="1100"/>
      <c r="BU11" s="1054"/>
      <c r="BV11" s="1054"/>
      <c r="BW11" s="36"/>
      <c r="BX11" s="36"/>
      <c r="BY11" s="36"/>
      <c r="BZ11" s="36"/>
      <c r="CA11" s="36"/>
      <c r="CB11" s="36"/>
      <c r="CC11" s="36"/>
      <c r="CD11" s="36"/>
      <c r="CE11" s="36"/>
      <c r="CF11" s="36"/>
      <c r="CG11" s="36"/>
      <c r="CH11" s="36"/>
      <c r="CI11" s="36"/>
    </row>
    <row r="12" spans="1:87" s="3" customFormat="1" ht="15" customHeight="1" thickBot="1">
      <c r="A12" s="1070"/>
      <c r="B12" s="1092"/>
      <c r="C12" s="1821" t="s">
        <v>895</v>
      </c>
      <c r="D12" s="1821"/>
      <c r="E12" s="1821"/>
      <c r="F12" s="1821"/>
      <c r="G12" s="1821"/>
      <c r="H12" s="1821"/>
      <c r="I12" s="1822"/>
      <c r="J12" s="1151" t="str">
        <f>'FIG3'!W52</f>
        <v>Little Rock</v>
      </c>
      <c r="K12" s="1072" t="s">
        <v>1411</v>
      </c>
      <c r="L12" s="1841" t="s">
        <v>1422</v>
      </c>
      <c r="M12" s="1842"/>
      <c r="N12" s="1847" t="s">
        <v>1263</v>
      </c>
      <c r="O12" s="1848"/>
      <c r="P12" s="1113"/>
      <c r="Q12" s="1074">
        <f>SUMIFS($R$36:$R$374,$O$36:$O$374,"FA2",$P$36:$P$374,"C",$L$36:$L$374,"I")</f>
        <v>0</v>
      </c>
      <c r="R12" s="1075"/>
      <c r="S12" s="1075"/>
      <c r="T12" s="1077" t="s">
        <v>1241</v>
      </c>
      <c r="U12" s="1847" t="s">
        <v>1263</v>
      </c>
      <c r="V12" s="1848"/>
      <c r="W12" s="1114"/>
      <c r="X12" s="1074">
        <f>SUMIFS($R$36:$R$374,$O$36:$O$374,"FA2",$P$36:$P$374,"C",$Q$36:$Q$374,"F",$L$36:$L$374,"I")</f>
        <v>0</v>
      </c>
      <c r="Y12" s="1074">
        <f>SUMIFS($R$36:$R$374,$O$36:$O$374,"FA2",$P$36:$P$374,"C",$Q$36:$Q$374,"S",$L$36:$L$374,"I")</f>
        <v>0</v>
      </c>
      <c r="Z12" s="1074">
        <f>SUMIFS($R$36:$R$374,$O$36:$O$374,"FA2",$P$36:$P$374,"C",$Q$36:$Q$374,"L",$L$36:$L$374,"I")</f>
        <v>0</v>
      </c>
      <c r="AA12" s="1074">
        <f>SUMIFS($R$36:$R$374,$O$36:$O$374,"FA2",$P$36:$P$374,"C",$Q$36:$Q$374,"O",$L$36:$L$374,"I")</f>
        <v>0</v>
      </c>
      <c r="AB12" s="1074">
        <f>SUMIFS($R$36:$R$374,$O$36:$O$374,"FA2",$P$36:$P$374,"C",$Q$36:$Q$374,"P",$L$36:$L$374,"I")</f>
        <v>0</v>
      </c>
      <c r="AC12" s="1074">
        <f>SUMIFS($R$36:$R$374,$O$36:$O$374,"FA2",$P$36:$P$374,"C",$Q$36:$Q$374,"N",$L$36:$L$374,"I")</f>
        <v>0</v>
      </c>
      <c r="AD12" s="1074">
        <f t="shared" si="1"/>
        <v>0</v>
      </c>
      <c r="AE12" s="1075"/>
      <c r="AF12" s="1076"/>
      <c r="AG12" s="1077" t="s">
        <v>1241</v>
      </c>
      <c r="AH12" s="1054"/>
      <c r="AI12" s="1054"/>
      <c r="AJ12" s="1094"/>
      <c r="AK12" s="1095" t="s">
        <v>1281</v>
      </c>
      <c r="AL12" s="1095"/>
      <c r="AM12" s="1155">
        <f>X21/'ENR#-DB'!Q21</f>
        <v>1734.7720624844223</v>
      </c>
      <c r="AN12" s="1155">
        <f>X9/'ENR#-DB'!Q9</f>
        <v>2339.0249005201026</v>
      </c>
      <c r="AO12" s="1155" t="str">
        <f>IFERROR(X11/'ENR#-DB'!Q11,"")</f>
        <v/>
      </c>
      <c r="AP12" s="1155" t="str">
        <f>IFERROR(X13/'ENR#-DB'!Q13,"")</f>
        <v/>
      </c>
      <c r="AQ12" s="1155" t="str">
        <f>IFERROR(X15/'ENR#-DB'!Q15,"")</f>
        <v/>
      </c>
      <c r="AR12" s="1155" t="str">
        <f>IFERROR(X17/'ENR#-DB'!Q17,"")</f>
        <v/>
      </c>
      <c r="AS12" s="1156">
        <f t="shared" ref="AS12:AS18" si="6">SUM(AM12:AR12)</f>
        <v>4073.796963004525</v>
      </c>
      <c r="AT12" s="1054"/>
      <c r="AU12" s="1054"/>
      <c r="AV12" s="1833" t="s">
        <v>1263</v>
      </c>
      <c r="AW12" s="1834"/>
      <c r="AX12" s="1098" t="str">
        <f t="shared" si="2"/>
        <v/>
      </c>
      <c r="AY12" s="1157">
        <f>X12-SUMIFS($R$36:$R$374,$S$36:$S$374,"Y",$Q$36:$Q$374,"F",$O$36:$O$374,"FA2",$P$36:$P$374,"C",$L$36:$L$374,"I")</f>
        <v>0</v>
      </c>
      <c r="AZ12" s="1157">
        <f>Y12-SUMIFS($R$36:$R$374,$S$36:$S$374,"Y",$Q$36:$Q$374,"S",$O$36:$O$374,"FA2",$P$36:$P$374,"C",$L$36:$L$374,"I")</f>
        <v>0</v>
      </c>
      <c r="BA12" s="1157">
        <f>Z12-SUMIFS($R$36:$R$374,$S$36:$S$374,"Y",$Q$36:$Q$374,"L",$O$36:$O$374,"FA2",$P$36:$P$374,"C",$L$36:$L$374,"I")</f>
        <v>0</v>
      </c>
      <c r="BB12" s="1157">
        <f>AA12-SUMIFS($R$36:$R$374,$S$36:$S$374,"Y",$Q$36:$Q$374,"O",$O$36:$O$374,"FA2",$P$36:$P$374,"C",$L$36:$L$374,"I")</f>
        <v>0</v>
      </c>
      <c r="BC12" s="1157">
        <f>AB12-SUMIFS($R$36:$R$374,$S$36:$S$374,"Y",$Q$36:$Q$374,"P",$O$36:$O$374,"FA2",$P$36:$P$374,"C",$L$36:$L$374,"I")</f>
        <v>0</v>
      </c>
      <c r="BD12" s="1157">
        <f>AC12-SUMIFS($R$36:$R$374,$S$36:$S$374,"Y",$Q$36:$Q$374,"N",$O$36:$O$374,"FA2",$P$36:$P$374,"C",$L$36:$L$374,"I")</f>
        <v>0</v>
      </c>
      <c r="BE12" s="1158">
        <f t="shared" si="3"/>
        <v>0</v>
      </c>
      <c r="BF12" s="1101">
        <f>BE12-'$REV-DSUM-CONV'!B366</f>
        <v>0</v>
      </c>
      <c r="BG12" s="1102" t="s">
        <v>1114</v>
      </c>
      <c r="BH12" s="1103" t="s">
        <v>1241</v>
      </c>
      <c r="BI12" s="1054"/>
      <c r="BJ12" s="1054"/>
      <c r="BK12" s="1104"/>
      <c r="BL12" s="1105" t="s">
        <v>1281</v>
      </c>
      <c r="BM12" s="1105"/>
      <c r="BN12" s="1159">
        <f>AY21/'ENR#-DB'!Z21</f>
        <v>1734.7720624844223</v>
      </c>
      <c r="BO12" s="1159">
        <f>AY9/'ENR#-DB'!Z9</f>
        <v>2339.0249005201026</v>
      </c>
      <c r="BP12" s="1159" t="str">
        <f>IFERROR(AY11/'ENR#-DB'!Z11,"")</f>
        <v/>
      </c>
      <c r="BQ12" s="1159" t="str">
        <f>IFERROR(AY13/'ENR#-DB'!Z13,"")</f>
        <v/>
      </c>
      <c r="BR12" s="1159" t="str">
        <f>IFERROR(AY15/'ENR#-DB'!Z15,"")</f>
        <v/>
      </c>
      <c r="BS12" s="1159" t="str">
        <f>IFERROR(AY17/'ENR#-DB'!Z17,"")</f>
        <v/>
      </c>
      <c r="BT12" s="1160">
        <f t="shared" ref="BT12:BT18" si="7">SUM(BN12:BS12)</f>
        <v>4073.796963004525</v>
      </c>
      <c r="BU12" s="1054"/>
      <c r="BV12" s="1054"/>
      <c r="BW12" s="36"/>
      <c r="BX12" s="36"/>
      <c r="BY12" s="36"/>
      <c r="BZ12" s="36"/>
      <c r="CA12" s="36"/>
      <c r="CB12" s="36"/>
      <c r="CC12" s="36"/>
      <c r="CD12" s="36"/>
      <c r="CE12" s="36"/>
      <c r="CF12" s="36"/>
      <c r="CG12" s="36"/>
      <c r="CH12" s="36"/>
      <c r="CI12" s="36"/>
    </row>
    <row r="13" spans="1:87" s="3" customFormat="1" ht="15" customHeight="1" thickTop="1" thickBot="1">
      <c r="A13" s="1070"/>
      <c r="B13" s="1092" t="s">
        <v>1116</v>
      </c>
      <c r="C13" s="1821" t="s">
        <v>890</v>
      </c>
      <c r="D13" s="1821"/>
      <c r="E13" s="1821"/>
      <c r="F13" s="1821"/>
      <c r="G13" s="1821"/>
      <c r="H13" s="1821"/>
      <c r="I13" s="1822"/>
      <c r="J13" s="1161" t="str">
        <f>'FIG3'!X52</f>
        <v>School District</v>
      </c>
      <c r="K13" s="1072" t="s">
        <v>1412</v>
      </c>
      <c r="L13" s="1841" t="s">
        <v>1423</v>
      </c>
      <c r="M13" s="1842"/>
      <c r="N13" s="1847" t="s">
        <v>1264</v>
      </c>
      <c r="O13" s="1848"/>
      <c r="P13" s="1113"/>
      <c r="Q13" s="1074">
        <f>SUMIFS($R$36:$R$374,$O$36:$O$374,"FA3",$P$36:$P$374,"D",$L$36:$L$374,"I")</f>
        <v>0</v>
      </c>
      <c r="R13" s="1075"/>
      <c r="S13" s="1075"/>
      <c r="T13" s="1077" t="s">
        <v>1242</v>
      </c>
      <c r="U13" s="1847" t="s">
        <v>1264</v>
      </c>
      <c r="V13" s="1848"/>
      <c r="W13" s="1114"/>
      <c r="X13" s="1074">
        <f>SUMIFS($R$36:$R$374,$O$36:$O$374,"FA3",$P$36:$P$374,"D",$Q$36:$Q$374,"F",$L$36:$L$374,"I")</f>
        <v>0</v>
      </c>
      <c r="Y13" s="1074">
        <f>SUMIFS($R$36:$R$374,$O$36:$O$374,"FA3",$P$36:$P$374,"D",$Q$36:$Q$374,"S",$L$36:$L$374,"I")</f>
        <v>0</v>
      </c>
      <c r="Z13" s="1074">
        <f>SUMIFS($R$36:$R$374,$O$36:$O$374,"FA3",$P$36:$P$374,"D",$Q$36:$Q$374,"L",$L$36:$L$374,"I")</f>
        <v>0</v>
      </c>
      <c r="AA13" s="1074">
        <f>SUMIFS($R$36:$R$374,$O$36:$O$374,"FA3",$P$36:$P$374,"D",$Q$36:$Q$374,"O",$L$36:$L$374,"I")</f>
        <v>0</v>
      </c>
      <c r="AB13" s="1074">
        <f>SUMIFS($R$36:$R$374,$O$36:$O$374,"FA3",$P$36:$P$374,"D",$Q$36:$Q$374,"P",$L$36:$L$374,"I")</f>
        <v>0</v>
      </c>
      <c r="AC13" s="1074">
        <f>SUMIFS($R$36:$R$374,$O$36:$O$374,"FA3",$P$36:$P$374,"D",$Q$36:$Q$374,"N",$L$36:$L$374,"I")</f>
        <v>0</v>
      </c>
      <c r="AD13" s="1074">
        <f t="shared" si="1"/>
        <v>0</v>
      </c>
      <c r="AE13" s="1075"/>
      <c r="AF13" s="1076"/>
      <c r="AG13" s="1077" t="s">
        <v>1242</v>
      </c>
      <c r="AH13" s="1162"/>
      <c r="AI13" s="1069"/>
      <c r="AJ13" s="1094"/>
      <c r="AK13" s="1095" t="s">
        <v>1437</v>
      </c>
      <c r="AL13" s="1131"/>
      <c r="AM13" s="1155">
        <f>Y21/'ENR#-DB'!Q21</f>
        <v>5114.2144556624498</v>
      </c>
      <c r="AN13" s="1155">
        <f>Y9/'ENR#-DB'!Q9</f>
        <v>5622.1311462891108</v>
      </c>
      <c r="AO13" s="1155" t="str">
        <f>IFERROR(Y11/'ENR#-DB'!Q11,"")</f>
        <v/>
      </c>
      <c r="AP13" s="1155" t="str">
        <f>IFERROR(Y13/'ENR#-DB'!Q13,"")</f>
        <v/>
      </c>
      <c r="AQ13" s="1155" t="str">
        <f>IFERROR(Y15/'ENR#-DB'!Q15,"")</f>
        <v/>
      </c>
      <c r="AR13" s="1155" t="str">
        <f>IFERROR(Y17/'ENR#-DB'!Q17,"")</f>
        <v/>
      </c>
      <c r="AS13" s="1156">
        <f t="shared" si="6"/>
        <v>10736.345601951562</v>
      </c>
      <c r="AT13" s="1054"/>
      <c r="AU13" s="1054"/>
      <c r="AV13" s="1835" t="s">
        <v>1264</v>
      </c>
      <c r="AW13" s="1836"/>
      <c r="AX13" s="1098" t="str">
        <f t="shared" si="2"/>
        <v/>
      </c>
      <c r="AY13" s="1153">
        <f>X13+SUMIFS($R$36:$R$374,$S$36:$S$374,"Y",$Q$36:$Q$374,"F",$O$36:$O$374,"FA3",$P$36:$P$374,"C",$L$36:$L$374,"I")</f>
        <v>0</v>
      </c>
      <c r="AZ13" s="1153">
        <f>Y13+SUMIFS($R$36:$R$374,$S$36:$S$374,"Y",$Q$36:$Q$374,"S",$O$36:$O$374,"FA3",$P$36:$P$374,"C",$L$36:$L$374,"I")</f>
        <v>0</v>
      </c>
      <c r="BA13" s="1153">
        <f>Z13+SUMIFS($R$36:$R$374,$S$36:$S$374,"Y",$Q$36:$Q$374,"L",$O$36:$O$374,"FA3",$P$36:$P$374,"C",$L$36:$L$374,"I")</f>
        <v>0</v>
      </c>
      <c r="BB13" s="1153">
        <f>AA13+SUMIFS($R$36:$R$374,$S$36:$S$374,"Y",$Q$36:$Q$374,"O",$O$36:$O$374,"FA3",$P$36:$P$374,"C",$L$36:$L$374,"I")</f>
        <v>0</v>
      </c>
      <c r="BC13" s="1153">
        <f>AB13+SUMIFS($R$36:$R$374,$S$36:$S$374,"Y",$Q$36:$Q$374,"P",$O$36:$O$374,"FA3",$P$36:$P$374,"C",$L$36:$L$374,"I")</f>
        <v>0</v>
      </c>
      <c r="BD13" s="1153">
        <f>AC13+SUMIFS($R$36:$R$374,$S$36:$S$374,"Y",$Q$36:$Q$374,"N",$O$36:$O$374,"FA3",$P$36:$P$374,"C",$L$36:$L$374,"I")</f>
        <v>0</v>
      </c>
      <c r="BE13" s="1154">
        <f t="shared" si="3"/>
        <v>0</v>
      </c>
      <c r="BF13" s="1101">
        <f>'$REV-DSUM-CONV'!B436</f>
        <v>0</v>
      </c>
      <c r="BG13" s="1102" t="s">
        <v>1114</v>
      </c>
      <c r="BH13" s="1103" t="s">
        <v>1242</v>
      </c>
      <c r="BI13" s="1054"/>
      <c r="BJ13" s="1054"/>
      <c r="BK13" s="1104"/>
      <c r="BL13" s="1105" t="s">
        <v>1437</v>
      </c>
      <c r="BM13" s="1135"/>
      <c r="BN13" s="1159">
        <f>AZ21/'ENR#-DB'!Z21</f>
        <v>5114.2144556624498</v>
      </c>
      <c r="BO13" s="1159">
        <f>AZ9/'ENR#-DB'!Z9</f>
        <v>5622.1311462891108</v>
      </c>
      <c r="BP13" s="1159" t="str">
        <f>IFERROR(AZ11/'ENR#-DB'!Z11,"")</f>
        <v/>
      </c>
      <c r="BQ13" s="1159" t="str">
        <f>IFERROR(AZ13/'ENR#-DB'!Z13,"")</f>
        <v/>
      </c>
      <c r="BR13" s="1159" t="str">
        <f>IFERROR(AZ15/'ENR#-DB'!Z15,"")</f>
        <v/>
      </c>
      <c r="BS13" s="1159" t="str">
        <f>IFERROR(AZ17/'ENR#-DB'!Z17,"")</f>
        <v/>
      </c>
      <c r="BT13" s="1160">
        <f t="shared" si="7"/>
        <v>10736.345601951562</v>
      </c>
      <c r="BU13" s="1054"/>
      <c r="BV13" s="1054"/>
      <c r="BW13" s="36"/>
      <c r="BX13" s="36"/>
      <c r="BY13" s="36"/>
      <c r="BZ13" s="36"/>
      <c r="CA13" s="36"/>
      <c r="CB13" s="36"/>
      <c r="CC13" s="36"/>
      <c r="CD13" s="36"/>
      <c r="CE13" s="36"/>
      <c r="CF13" s="36"/>
      <c r="CG13" s="36"/>
      <c r="CH13" s="36"/>
      <c r="CI13" s="36"/>
    </row>
    <row r="14" spans="1:87" s="3" customFormat="1" ht="15" customHeight="1" thickBot="1">
      <c r="A14" s="1070"/>
      <c r="B14" s="1092" t="s">
        <v>1116</v>
      </c>
      <c r="C14" s="1821" t="s">
        <v>882</v>
      </c>
      <c r="D14" s="1821"/>
      <c r="E14" s="1821"/>
      <c r="F14" s="1821"/>
      <c r="G14" s="1821"/>
      <c r="H14" s="1821"/>
      <c r="I14" s="1822"/>
      <c r="J14" s="1151" t="str">
        <f>'FIG3'!V53</f>
        <v>FA2</v>
      </c>
      <c r="K14" s="1072" t="s">
        <v>1413</v>
      </c>
      <c r="L14" s="1841" t="s">
        <v>1424</v>
      </c>
      <c r="M14" s="1842"/>
      <c r="N14" s="1847" t="s">
        <v>1265</v>
      </c>
      <c r="O14" s="1848"/>
      <c r="P14" s="1113"/>
      <c r="Q14" s="1074">
        <f>SUMIFS($R$36:$R$374,$O$36:$O$374,"FA3",$P$36:$P$374,"C",$L$36:$L$374,"I")</f>
        <v>0</v>
      </c>
      <c r="R14" s="1075"/>
      <c r="S14" s="1075"/>
      <c r="T14" s="1077" t="s">
        <v>1243</v>
      </c>
      <c r="U14" s="1847" t="s">
        <v>1265</v>
      </c>
      <c r="V14" s="1848"/>
      <c r="W14" s="1114"/>
      <c r="X14" s="1074">
        <f>SUMIFS($R$36:$R$374,$O$36:$O$374,"FA3",$P$36:$P$374,"C",$Q$36:$Q$374,"F",$L$36:$L$374,"I")</f>
        <v>0</v>
      </c>
      <c r="Y14" s="1074">
        <f>SUMIFS($R$36:$R$374,$O$36:$O$374,"FA3",$P$36:$P$374,"C",$Q$36:$Q$374,"S",$L$36:$L$374,"I")</f>
        <v>0</v>
      </c>
      <c r="Z14" s="1074">
        <f>SUMIFS($R$36:$R$374,$O$36:$O$374,"FA3",$P$36:$P$374,"C",$Q$36:$Q$374,"L",$L$36:$L$374,"I")</f>
        <v>0</v>
      </c>
      <c r="AA14" s="1074">
        <f>SUMIFS($R$36:$R$374,$O$36:$O$374,"FA3",$P$36:$P$374,"C",$Q$36:$Q$374,"O",$L$36:$L$374,"I")</f>
        <v>0</v>
      </c>
      <c r="AB14" s="1074">
        <f>SUMIFS($R$36:$R$374,$O$36:$O$374,"FA3",$P$36:$P$374,"C",$Q$36:$Q$374,"P",$L$36:$L$374,"I")</f>
        <v>0</v>
      </c>
      <c r="AC14" s="1074">
        <f>SUMIFS($R$36:$R$374,$O$36:$O$374,"FA3",$P$36:$P$374,"C",$Q$36:$Q$374,"N",$L$36:$L$374,"I")</f>
        <v>0</v>
      </c>
      <c r="AD14" s="1074">
        <f t="shared" si="1"/>
        <v>0</v>
      </c>
      <c r="AE14" s="1075"/>
      <c r="AF14" s="1076"/>
      <c r="AG14" s="1077" t="s">
        <v>1243</v>
      </c>
      <c r="AH14" s="1162"/>
      <c r="AI14" s="1069"/>
      <c r="AJ14" s="1094"/>
      <c r="AK14" s="1095" t="s">
        <v>1282</v>
      </c>
      <c r="AL14" s="1131"/>
      <c r="AM14" s="1155">
        <f>Z21/'ENR#-DB'!Q21</f>
        <v>2994.8957253603426</v>
      </c>
      <c r="AN14" s="1155">
        <f>Z9/'ENR#-DB'!Q9</f>
        <v>5763.0666395608023</v>
      </c>
      <c r="AO14" s="1155" t="str">
        <f>IFERROR(Z11/'ENR#-DB'!Q11,"")</f>
        <v/>
      </c>
      <c r="AP14" s="1155" t="str">
        <f>IFERROR(Z13/'ENR#-DB'!Q13,"")</f>
        <v/>
      </c>
      <c r="AQ14" s="1155" t="str">
        <f>IFERROR(Z15/'ENR#-DB'!Q15,"")</f>
        <v/>
      </c>
      <c r="AR14" s="1155" t="str">
        <f>IFERROR(Z17/'ENR#-DB'!Q17,"")</f>
        <v/>
      </c>
      <c r="AS14" s="1156">
        <f t="shared" si="6"/>
        <v>8757.9623649211444</v>
      </c>
      <c r="AT14" s="1054"/>
      <c r="AU14" s="1054"/>
      <c r="AV14" s="1833" t="s">
        <v>1265</v>
      </c>
      <c r="AW14" s="1834"/>
      <c r="AX14" s="1098" t="str">
        <f t="shared" si="2"/>
        <v/>
      </c>
      <c r="AY14" s="1157">
        <f>X14-SUMIFS($R$36:$R$374,$S$36:$S$374,"Y",$Q$36:$Q$374,"F",$O$36:$O$374,"FA3",$P$36:$P$374,"C",$L$36:$L$374,"I")</f>
        <v>0</v>
      </c>
      <c r="AZ14" s="1157">
        <f>Y14-SUMIFS($R$36:$R$374,$S$36:$S$374,"Y",$Q$36:$Q$374,"S",$O$36:$O$374,"FA3",$P$36:$P$374,"C",$L$36:$L$374,"I")</f>
        <v>0</v>
      </c>
      <c r="BA14" s="1157">
        <f>Z14-SUMIFS($R$36:$R$374,$S$36:$S$374,"Y",$Q$36:$Q$374,"L",$O$36:$O$374,"FA3",$P$36:$P$374,"C",$L$36:$L$374,"I")</f>
        <v>0</v>
      </c>
      <c r="BB14" s="1157">
        <f>AA14-SUMIFS($R$36:$R$374,$S$36:$S$374,"Y",$Q$36:$Q$374,"O",$O$36:$O$374,"FA3",$P$36:$P$374,"C",$L$36:$L$374,"I")</f>
        <v>0</v>
      </c>
      <c r="BC14" s="1157">
        <f>AB14-SUMIFS($R$36:$R$374,$S$36:$S$374,"Y",$Q$36:$Q$374,"P",$O$36:$O$374,"FA3",$P$36:$P$374,"C",$L$36:$L$374,"I")</f>
        <v>0</v>
      </c>
      <c r="BD14" s="1157">
        <f>AC14-SUMIFS($R$36:$R$374,$S$36:$S$374,"Y",$Q$36:$Q$374,"N",$O$36:$O$374,"FA3",$P$36:$P$374,"C",$L$36:$L$374,"I")</f>
        <v>0</v>
      </c>
      <c r="BE14" s="1158">
        <f t="shared" si="3"/>
        <v>0</v>
      </c>
      <c r="BF14" s="1101">
        <f>BE14-'$REV-DSUM-CONV'!B506</f>
        <v>0</v>
      </c>
      <c r="BG14" s="1102" t="s">
        <v>1114</v>
      </c>
      <c r="BH14" s="1103" t="s">
        <v>1243</v>
      </c>
      <c r="BI14" s="1054"/>
      <c r="BJ14" s="1054"/>
      <c r="BK14" s="1104"/>
      <c r="BL14" s="1105" t="s">
        <v>1282</v>
      </c>
      <c r="BM14" s="1135"/>
      <c r="BN14" s="1159">
        <f>BA21/'ENR#-DB'!Z21</f>
        <v>2994.8957253603426</v>
      </c>
      <c r="BO14" s="1159">
        <f>BA9/'ENR#-DB'!Z9</f>
        <v>5763.0666395608023</v>
      </c>
      <c r="BP14" s="1159" t="str">
        <f>IFERROR(BA11/'ENR#-DB'!Z11,"")</f>
        <v/>
      </c>
      <c r="BQ14" s="1159" t="str">
        <f>IFERROR(BA13/'ENR#-DB'!Z13,"")</f>
        <v/>
      </c>
      <c r="BR14" s="1159" t="str">
        <f>IFERROR(BA15/'ENR#-DB'!Z15,"")</f>
        <v/>
      </c>
      <c r="BS14" s="1159" t="str">
        <f>IFERROR(BA17/'ENR#-DB'!Z17,"")</f>
        <v/>
      </c>
      <c r="BT14" s="1160">
        <f t="shared" si="7"/>
        <v>8757.9623649211444</v>
      </c>
      <c r="BU14" s="1054"/>
      <c r="BV14" s="1054"/>
      <c r="BW14" s="36"/>
      <c r="BX14" s="36"/>
      <c r="BY14" s="36"/>
      <c r="BZ14" s="36"/>
      <c r="CA14" s="36"/>
      <c r="CB14" s="36"/>
      <c r="CC14" s="36"/>
      <c r="CD14" s="36"/>
      <c r="CE14" s="36"/>
      <c r="CF14" s="36"/>
      <c r="CG14" s="36"/>
      <c r="CH14" s="36"/>
      <c r="CI14" s="36"/>
    </row>
    <row r="15" spans="1:87" s="3" customFormat="1" ht="15" customHeight="1" thickTop="1">
      <c r="A15" s="1070"/>
      <c r="B15" s="1163"/>
      <c r="C15" s="1821" t="s">
        <v>883</v>
      </c>
      <c r="D15" s="1821"/>
      <c r="E15" s="1821"/>
      <c r="F15" s="1821"/>
      <c r="G15" s="1821"/>
      <c r="H15" s="1821"/>
      <c r="I15" s="1822"/>
      <c r="J15" s="1151" t="str">
        <f>'FIG3'!W53</f>
        <v>FA2L1</v>
      </c>
      <c r="K15" s="1072" t="s">
        <v>1435</v>
      </c>
      <c r="L15" s="1841" t="s">
        <v>1451</v>
      </c>
      <c r="M15" s="1842"/>
      <c r="N15" s="1847" t="s">
        <v>1266</v>
      </c>
      <c r="O15" s="1848"/>
      <c r="P15" s="1113"/>
      <c r="Q15" s="1074">
        <f>SUMIFS($R$36:$R$374,$O$36:$O$374,"FA4",$P$36:$P$374,"D",$L$36:$L$374,"I")</f>
        <v>0</v>
      </c>
      <c r="R15" s="1075"/>
      <c r="S15" s="1075"/>
      <c r="T15" s="1077" t="s">
        <v>1244</v>
      </c>
      <c r="U15" s="1847" t="s">
        <v>1266</v>
      </c>
      <c r="V15" s="1848"/>
      <c r="W15" s="1114"/>
      <c r="X15" s="1074">
        <f>SUMIFS($R$36:$R$374,$O$36:$O$374,"FA4",$P$36:$P$374,"D",$Q$36:$Q$374,"F",$L$36:$L$374,"I")</f>
        <v>0</v>
      </c>
      <c r="Y15" s="1074">
        <f>SUMIFS($R$36:$R$374,$O$36:$O$374,"FA4",$P$36:$P$374,"D",$Q$36:$Q$374,"S",$L$36:$L$374,"I")</f>
        <v>0</v>
      </c>
      <c r="Z15" s="1074">
        <f>SUMIFS($R$36:$R$374,$O$36:$O$374,"FA4",$P$36:$P$374,"D",$Q$36:$Q$374,"L",$L$36:$L$374,"I")</f>
        <v>0</v>
      </c>
      <c r="AA15" s="1074">
        <f>SUMIFS($R$36:$R$374,$O$36:$O$374,"FA4",$P$36:$P$374,"D",$Q$36:$Q$374,"O",$L$36:$L$374,"I")</f>
        <v>0</v>
      </c>
      <c r="AB15" s="1074">
        <f>SUMIFS($R$36:$R$374,$O$36:$O$374,"FA4",$P$36:$P$374,"D",$Q$36:$Q$374,"P",$L$36:$L$374,"I")</f>
        <v>0</v>
      </c>
      <c r="AC15" s="1074">
        <f>SUMIFS($R$36:$R$374,$O$36:$O$374,"FA4",$P$36:$P$374,"D",$Q$36:$Q$374,"N",$L$36:$L$374,"I")</f>
        <v>0</v>
      </c>
      <c r="AD15" s="1074">
        <f t="shared" si="1"/>
        <v>0</v>
      </c>
      <c r="AE15" s="1075"/>
      <c r="AF15" s="1076"/>
      <c r="AG15" s="1077" t="s">
        <v>1244</v>
      </c>
      <c r="AH15" s="1069"/>
      <c r="AI15" s="1069"/>
      <c r="AJ15" s="1094"/>
      <c r="AK15" s="1095" t="s">
        <v>1283</v>
      </c>
      <c r="AL15" s="1131"/>
      <c r="AM15" s="1155">
        <f>AA21/'ENR#-DB'!Q21</f>
        <v>1354.4450534767302</v>
      </c>
      <c r="AN15" s="1155">
        <f>AA9/'ENR#-DB'!Q9</f>
        <v>686.29356806736564</v>
      </c>
      <c r="AO15" s="1155" t="str">
        <f>IFERROR(AA11/'ENR#-DB'!Q11,"")</f>
        <v/>
      </c>
      <c r="AP15" s="1155" t="str">
        <f>IFERROR(AA13/'ENR#-DB'!Q13,"")</f>
        <v/>
      </c>
      <c r="AQ15" s="1155" t="str">
        <f>IFERROR(AA15/'ENR#-DB'!Q15,"")</f>
        <v/>
      </c>
      <c r="AR15" s="1155" t="str">
        <f>IFERROR(AA17/'ENR#-DB'!Q17,"")</f>
        <v/>
      </c>
      <c r="AS15" s="1156">
        <f t="shared" si="6"/>
        <v>2040.7386215440958</v>
      </c>
      <c r="AT15" s="1054"/>
      <c r="AU15" s="1054"/>
      <c r="AV15" s="1835" t="s">
        <v>1266</v>
      </c>
      <c r="AW15" s="1836"/>
      <c r="AX15" s="1098" t="str">
        <f t="shared" si="2"/>
        <v/>
      </c>
      <c r="AY15" s="1153">
        <f>X15+SUMIFS($R$36:$R$374,$S$36:$S$374,"Y",$Q$36:$Q$374,"F",$O$36:$O$374,"FA4",$P$36:$P$374,"C",$L$36:$L$374,"I")</f>
        <v>0</v>
      </c>
      <c r="AZ15" s="1153">
        <f>Y15+SUMIFS($R$36:$R$374,$S$36:$S$374,"Y",$Q$36:$Q$374,"S",$O$36:$O$374,"FA4",$P$36:$P$374,"C",$L$36:$L$374,"I")</f>
        <v>0</v>
      </c>
      <c r="BA15" s="1153">
        <f>Z15+SUMIFS($R$36:$R$374,$S$36:$S$374,"Y",$Q$36:$Q$374,"L",$O$36:$O$374,"FA4",$P$36:$P$374,"C",$L$36:$L$374,"I")</f>
        <v>0</v>
      </c>
      <c r="BB15" s="1153">
        <f>AA15+SUMIFS($R$36:$R$374,$S$36:$S$374,"Y",$Q$36:$Q$374,"O",$O$36:$O$374,"FA4",$P$36:$P$374,"C",$L$36:$L$374,"I")</f>
        <v>0</v>
      </c>
      <c r="BC15" s="1153">
        <f>AB15+SUMIFS($R$36:$R$374,$S$36:$S$374,"Y",$Q$36:$Q$374,"P",$O$36:$O$374,"FA4",$P$36:$P$374,"C",$L$36:$L$374,"I")</f>
        <v>0</v>
      </c>
      <c r="BD15" s="1153">
        <f>AC15+SUMIFS($R$36:$R$374,$S$36:$S$374,"Y",$Q$36:$Q$374,"N",$O$36:$O$374,"FA4",$P$36:$P$374,"C",$L$36:$L$374,"I")</f>
        <v>0</v>
      </c>
      <c r="BE15" s="1154">
        <f t="shared" si="3"/>
        <v>0</v>
      </c>
      <c r="BF15" s="1101">
        <f>BE15-'$REV-DSUM-CONV'!B576</f>
        <v>0</v>
      </c>
      <c r="BG15" s="1102" t="s">
        <v>1114</v>
      </c>
      <c r="BH15" s="1103" t="s">
        <v>1244</v>
      </c>
      <c r="BI15" s="1054"/>
      <c r="BJ15" s="1054"/>
      <c r="BK15" s="1104"/>
      <c r="BL15" s="1105" t="s">
        <v>1283</v>
      </c>
      <c r="BM15" s="1135"/>
      <c r="BN15" s="1159">
        <f>BB21/'ENR#-DB'!Z21</f>
        <v>1354.4450534767302</v>
      </c>
      <c r="BO15" s="1159">
        <f>BB9/'ENR#-DB'!Z9</f>
        <v>686.29356806736564</v>
      </c>
      <c r="BP15" s="1159" t="str">
        <f>IFERROR(BB11/'ENR#-DB'!Z11,"")</f>
        <v/>
      </c>
      <c r="BQ15" s="1159" t="str">
        <f>IFERROR(BB13/'ENR#-DB'!Z13,"")</f>
        <v/>
      </c>
      <c r="BR15" s="1159" t="str">
        <f>IFERROR(BB15/'ENR#-DB'!Z15,"")</f>
        <v/>
      </c>
      <c r="BS15" s="1159" t="str">
        <f>IFERROR(BB17/'ENR#-DB'!Z17,"")</f>
        <v/>
      </c>
      <c r="BT15" s="1160">
        <f t="shared" si="7"/>
        <v>2040.7386215440958</v>
      </c>
      <c r="BU15" s="1054"/>
      <c r="BV15" s="1054"/>
      <c r="BW15" s="36"/>
      <c r="BX15" s="36"/>
      <c r="BY15" s="36"/>
      <c r="BZ15" s="36"/>
      <c r="CA15" s="36"/>
      <c r="CB15" s="36"/>
      <c r="CC15" s="36"/>
      <c r="CD15" s="36"/>
      <c r="CE15" s="36"/>
      <c r="CF15" s="36"/>
      <c r="CG15" s="36"/>
      <c r="CH15" s="36"/>
      <c r="CI15" s="36"/>
    </row>
    <row r="16" spans="1:87" s="3" customFormat="1" ht="15" customHeight="1" thickBot="1">
      <c r="A16" s="1070"/>
      <c r="B16" s="1164"/>
      <c r="C16" s="1821" t="s">
        <v>884</v>
      </c>
      <c r="D16" s="1821"/>
      <c r="E16" s="1821"/>
      <c r="F16" s="1821"/>
      <c r="G16" s="1821"/>
      <c r="H16" s="1821"/>
      <c r="I16" s="1822"/>
      <c r="J16" s="1161" t="str">
        <f>'FIG3'!X53</f>
        <v>FA2L2</v>
      </c>
      <c r="K16" s="1072" t="s">
        <v>1441</v>
      </c>
      <c r="L16" s="1841" t="s">
        <v>1452</v>
      </c>
      <c r="M16" s="1842"/>
      <c r="N16" s="1847" t="s">
        <v>1267</v>
      </c>
      <c r="O16" s="1848"/>
      <c r="P16" s="1113"/>
      <c r="Q16" s="1074">
        <f>SUMIFS($R$36:$R$374,$O$36:$O$374,"FA4",$P$36:$P$374,"C",$L$36:$L$374,"I")</f>
        <v>0</v>
      </c>
      <c r="R16" s="1075"/>
      <c r="S16" s="1075"/>
      <c r="T16" s="1077" t="s">
        <v>1245</v>
      </c>
      <c r="U16" s="1847" t="s">
        <v>1267</v>
      </c>
      <c r="V16" s="1848"/>
      <c r="W16" s="1114"/>
      <c r="X16" s="1074">
        <f>SUMIFS($R$36:$R$374,$O$36:$O$374,"FA4",$P$36:$P$374,"C",$Q$36:$Q$374,"F",$L$36:$L$374,"I")</f>
        <v>0</v>
      </c>
      <c r="Y16" s="1074">
        <f>SUMIFS($R$36:$R$374,$O$36:$O$374,"FA4",$P$36:$P$374,"C",$Q$36:$Q$374,"S",$L$36:$L$374,"I")</f>
        <v>0</v>
      </c>
      <c r="Z16" s="1074">
        <f>SUMIFS($R$36:$R$374,$O$36:$O$374,"FA4",$P$36:$P$374,"C",$Q$36:$Q$374,"L",$L$36:$L$374,"I")</f>
        <v>0</v>
      </c>
      <c r="AA16" s="1074">
        <f>SUMIFS($R$36:$R$374,$O$36:$O$374,"FA4",$P$36:$P$374,"C",$Q$36:$Q$374,"O",$L$36:$L$374,"I")</f>
        <v>0</v>
      </c>
      <c r="AB16" s="1074">
        <f>SUMIFS($R$36:$R$374,$O$36:$O$374,"FA4",$P$36:$P$374,"C",$Q$36:$Q$374,"P",$L$36:$L$374,"I")</f>
        <v>0</v>
      </c>
      <c r="AC16" s="1074">
        <f>SUMIFS($R$36:$R$374,$O$36:$O$374,"FA4",$P$36:$P$374,"C",$Q$36:$Q$374,"N",$L$36:$L$374,"I")</f>
        <v>0</v>
      </c>
      <c r="AD16" s="1074">
        <f t="shared" si="1"/>
        <v>0</v>
      </c>
      <c r="AE16" s="1075"/>
      <c r="AF16" s="1076"/>
      <c r="AG16" s="1077" t="s">
        <v>1245</v>
      </c>
      <c r="AH16" s="1165"/>
      <c r="AI16" s="1165"/>
      <c r="AJ16" s="1094"/>
      <c r="AK16" s="1095" t="s">
        <v>1185</v>
      </c>
      <c r="AL16" s="1131"/>
      <c r="AM16" s="1074">
        <f>AB21/'ENR#-DB'!Q21</f>
        <v>7.1262827211960875</v>
      </c>
      <c r="AN16" s="1074">
        <f>AB9/'ENR#-DB'!Q9</f>
        <v>0.89218277883265917</v>
      </c>
      <c r="AO16" s="1155" t="str">
        <f>IFERROR(AB11/'ENR#-DB'!Q11,"")</f>
        <v/>
      </c>
      <c r="AP16" s="1155" t="str">
        <f>IFERROR(AB13/'ENR#-DB'!Q13,"")</f>
        <v/>
      </c>
      <c r="AQ16" s="1155" t="str">
        <f>IFERROR(AB15/'ENR#-DB'!Q15,"")</f>
        <v/>
      </c>
      <c r="AR16" s="1155" t="str">
        <f>IFERROR(AB17/'ENR#-DB'!Q17,"")</f>
        <v/>
      </c>
      <c r="AS16" s="1156">
        <f t="shared" si="6"/>
        <v>8.0184655000287464</v>
      </c>
      <c r="AT16" s="1054"/>
      <c r="AU16" s="1054"/>
      <c r="AV16" s="1833" t="s">
        <v>1267</v>
      </c>
      <c r="AW16" s="1834"/>
      <c r="AX16" s="1098" t="str">
        <f t="shared" si="2"/>
        <v/>
      </c>
      <c r="AY16" s="1157">
        <f>X16-SUMIFS($R$36:$R$374,$S$36:$S$374,"Y",$Q$36:$Q$374,"F",$O$36:$O$374,"FA4",$P$36:$P$374,"C",$L$36:$L$374,"I")</f>
        <v>0</v>
      </c>
      <c r="AZ16" s="1157">
        <f>Y16-SUMIFS($R$36:$R$374,$S$36:$S$374,"Y",$Q$36:$Q$374,"S",$O$36:$O$374,"FA4",$P$36:$P$374,"C",$L$36:$L$374,"I")</f>
        <v>0</v>
      </c>
      <c r="BA16" s="1157">
        <f>Z16-SUMIFS($R$36:$R$374,$S$36:$S$374,"Y",$Q$36:$Q$374,"L",$O$36:$O$374,"FA4",$P$36:$P$374,"C",$L$36:$L$374,"I")</f>
        <v>0</v>
      </c>
      <c r="BB16" s="1157">
        <f>AA16-SUMIFS($R$36:$R$374,$S$36:$S$374,"Y",$Q$36:$Q$374,"O",$O$36:$O$374,"FA4",$P$36:$P$374,"C",$L$36:$L$374,"I")</f>
        <v>0</v>
      </c>
      <c r="BC16" s="1157">
        <f>AB16-SUMIFS($R$36:$R$374,$S$36:$S$374,"Y",$Q$36:$Q$374,"P",$O$36:$O$374,"FA4",$P$36:$P$374,"C",$L$36:$L$374,"I")</f>
        <v>0</v>
      </c>
      <c r="BD16" s="1157">
        <f>AC16-SUMIFS($R$36:$R$374,$S$36:$S$374,"Y",$Q$36:$Q$374,"N",$O$36:$O$374,"FA4",$P$36:$P$374,"C",$L$36:$L$374,"I")</f>
        <v>0</v>
      </c>
      <c r="BE16" s="1158">
        <f t="shared" si="3"/>
        <v>0</v>
      </c>
      <c r="BF16" s="1101">
        <f>BE16-'$REV-DSUM-CONV'!B646</f>
        <v>0</v>
      </c>
      <c r="BG16" s="1102" t="s">
        <v>1114</v>
      </c>
      <c r="BH16" s="1103" t="s">
        <v>1245</v>
      </c>
      <c r="BI16" s="1054"/>
      <c r="BJ16" s="1054"/>
      <c r="BK16" s="1104"/>
      <c r="BL16" s="1105" t="s">
        <v>1185</v>
      </c>
      <c r="BM16" s="1135"/>
      <c r="BN16" s="1099">
        <f>BC21/'ENR#-DB'!Z21</f>
        <v>7.1262827211960875</v>
      </c>
      <c r="BO16" s="1099">
        <f>BC9/'ENR#-DB'!Z9</f>
        <v>0.89218277883265917</v>
      </c>
      <c r="BP16" s="1159" t="str">
        <f>IFERROR(BC11/'ENR#-DB'!Z11,"")</f>
        <v/>
      </c>
      <c r="BQ16" s="1159" t="str">
        <f>IFERROR(BC13/'ENR#-DB'!Z13,"")</f>
        <v/>
      </c>
      <c r="BR16" s="1159" t="str">
        <f>IFERROR(BC15/'ENR#-DB'!Z15,"")</f>
        <v/>
      </c>
      <c r="BS16" s="1159" t="str">
        <f>IFERROR(BC17/'ENR#-DB'!Z17,"")</f>
        <v/>
      </c>
      <c r="BT16" s="1160">
        <f t="shared" si="7"/>
        <v>8.0184655000287464</v>
      </c>
      <c r="BU16" s="1054"/>
      <c r="BV16" s="1054"/>
      <c r="BW16" s="36"/>
      <c r="BX16" s="36"/>
      <c r="BY16" s="36"/>
      <c r="BZ16" s="36"/>
      <c r="CA16" s="36"/>
      <c r="CB16" s="36"/>
      <c r="CC16" s="36"/>
      <c r="CD16" s="36"/>
      <c r="CE16" s="36"/>
      <c r="CF16" s="36"/>
      <c r="CG16" s="36"/>
      <c r="CH16" s="36"/>
      <c r="CI16" s="36"/>
    </row>
    <row r="17" spans="1:87" s="3" customFormat="1" ht="15" customHeight="1" thickTop="1">
      <c r="A17" s="1070"/>
      <c r="B17" s="1092"/>
      <c r="C17" s="1821"/>
      <c r="D17" s="1821"/>
      <c r="E17" s="1821"/>
      <c r="F17" s="1821"/>
      <c r="G17" s="1821"/>
      <c r="H17" s="1821"/>
      <c r="I17" s="1822"/>
      <c r="J17" s="1151" t="str">
        <f>'FIG3'!V54</f>
        <v>FA3</v>
      </c>
      <c r="K17" s="1072" t="s">
        <v>1442</v>
      </c>
      <c r="L17" s="1841" t="s">
        <v>1453</v>
      </c>
      <c r="M17" s="1842"/>
      <c r="N17" s="1847" t="s">
        <v>1268</v>
      </c>
      <c r="O17" s="1848"/>
      <c r="P17" s="1113"/>
      <c r="Q17" s="1074">
        <f>SUMIFS($R$36:$R$374,$O$36:$O$374,"FA5",$P$36:$P$374,"D",$L$36:$L$374,"I")</f>
        <v>0</v>
      </c>
      <c r="R17" s="1075"/>
      <c r="S17" s="1075"/>
      <c r="T17" s="1077" t="s">
        <v>1246</v>
      </c>
      <c r="U17" s="1847" t="s">
        <v>1268</v>
      </c>
      <c r="V17" s="1848"/>
      <c r="W17" s="1114"/>
      <c r="X17" s="1074">
        <f>SUMIFS($R$36:$R$374,$O$36:$O$374,"FA5",$P$36:$P$374,"D",$Q$36:$Q$374,"F",$L$36:$L$374,"I")</f>
        <v>0</v>
      </c>
      <c r="Y17" s="1074">
        <f>SUMIFS($R$36:$R$374,$O$36:$O$374,"FA5",$P$36:$P$374,"D",$Q$36:$Q$374,"S",$L$36:$L$374,"I")</f>
        <v>0</v>
      </c>
      <c r="Z17" s="1074">
        <f>SUMIFS($R$36:$R$374,$O$36:$O$374,"FA5",$P$36:$P$374,"D",$Q$36:$Q$374,"L",$L$36:$L$374,"I")</f>
        <v>0</v>
      </c>
      <c r="AA17" s="1074">
        <f>SUMIFS($R$36:$R$374,$O$36:$O$374,"FA5",$P$36:$P$374,"D",$Q$36:$Q$374,"O",$L$36:$L$374,"I")</f>
        <v>0</v>
      </c>
      <c r="AB17" s="1074">
        <f>SUMIFS($R$36:$R$374,$O$36:$O$374,"FA5",$P$36:$P$374,"D",$Q$36:$Q$374,"P",$L$36:$L$374,"I")</f>
        <v>0</v>
      </c>
      <c r="AC17" s="1074">
        <f>SUMIFS($R$36:$R$374,$O$36:$O$374,"FA5",$P$36:$P$374,"D",$Q$36:$Q$374,"N",$L$36:$L$374,"I")</f>
        <v>0</v>
      </c>
      <c r="AD17" s="1074">
        <f t="shared" si="1"/>
        <v>0</v>
      </c>
      <c r="AE17" s="1075"/>
      <c r="AF17" s="1076"/>
      <c r="AG17" s="1077" t="s">
        <v>1246</v>
      </c>
      <c r="AH17" s="1165"/>
      <c r="AI17" s="1165"/>
      <c r="AJ17" s="1094"/>
      <c r="AK17" s="1095" t="s">
        <v>1327</v>
      </c>
      <c r="AL17" s="1131"/>
      <c r="AM17" s="1155">
        <f>AC21/'ENR#-DB'!Q21</f>
        <v>0</v>
      </c>
      <c r="AN17" s="1155">
        <f>AC9/'ENR#-DB'!Q9</f>
        <v>0</v>
      </c>
      <c r="AO17" s="1155" t="str">
        <f>IFERROR(AC11/'ENR#-DB'!Q11,"")</f>
        <v/>
      </c>
      <c r="AP17" s="1155" t="str">
        <f>IFERROR(AC13/'ENR#-DB'!Q13,"")</f>
        <v/>
      </c>
      <c r="AQ17" s="1155" t="str">
        <f>IFERROR(AC15/'ENR#-DB'!Q15,"")</f>
        <v/>
      </c>
      <c r="AR17" s="1155" t="str">
        <f>IFERROR(AC17/'ENR#-DB'!Q17,"")</f>
        <v/>
      </c>
      <c r="AS17" s="1156">
        <f t="shared" si="6"/>
        <v>0</v>
      </c>
      <c r="AT17" s="1054"/>
      <c r="AU17" s="1054"/>
      <c r="AV17" s="1835" t="s">
        <v>1268</v>
      </c>
      <c r="AW17" s="1836"/>
      <c r="AX17" s="1098" t="str">
        <f t="shared" si="2"/>
        <v/>
      </c>
      <c r="AY17" s="1153">
        <f>X17+SUMIFS($R$36:$R$374,$S$36:$S$374,"Y",$Q$36:$Q$374,"F",$O$36:$O$374,"FA5",$P$36:$P$374,"C",$L$36:$L$374,"I")</f>
        <v>0</v>
      </c>
      <c r="AZ17" s="1153">
        <f>Y17+SUMIFS($R$36:$R$374,$S$36:$S$374,"Y",$Q$36:$Q$374,"S",$O$36:$O$374,"FA5",$P$36:$P$374,"C",$L$36:$L$374,"I")</f>
        <v>0</v>
      </c>
      <c r="BA17" s="1153">
        <f>Z17+SUMIFS($R$36:$R$374,$S$36:$S$374,"Y",$Q$36:$Q$374,"L",$O$36:$O$374,"FA5",$P$36:$P$374,"C",$L$36:$L$374,"I")</f>
        <v>0</v>
      </c>
      <c r="BB17" s="1153">
        <f>AA17+SUMIFS($R$36:$R$374,$S$36:$S$374,"Y",$Q$36:$Q$374,"O",$O$36:$O$374,"FA5",$P$36:$P$374,"C",$L$36:$L$374,"I")</f>
        <v>0</v>
      </c>
      <c r="BC17" s="1153">
        <f>AB17+SUMIFS($R$36:$R$374,$S$36:$S$374,"Y",$Q$36:$Q$374,"P",$O$36:$O$374,"FA5",$P$36:$P$374,"C",$L$36:$L$374,"I")</f>
        <v>0</v>
      </c>
      <c r="BD17" s="1153">
        <f>AC17+SUMIFS($R$36:$R$374,$S$36:$S$374,"Y",$Q$36:$Q$374,"N",$O$36:$O$374,"FA5",$P$36:$P$374,"C",$L$36:$L$374,"I")</f>
        <v>0</v>
      </c>
      <c r="BE17" s="1154">
        <f t="shared" si="3"/>
        <v>0</v>
      </c>
      <c r="BF17" s="1101">
        <f>BE17-'$REV-DSUM-CONV'!B716</f>
        <v>0</v>
      </c>
      <c r="BG17" s="1102" t="s">
        <v>1114</v>
      </c>
      <c r="BH17" s="1103" t="s">
        <v>1246</v>
      </c>
      <c r="BI17" s="1054"/>
      <c r="BJ17" s="1054"/>
      <c r="BK17" s="1104"/>
      <c r="BL17" s="1105" t="s">
        <v>1327</v>
      </c>
      <c r="BM17" s="1135"/>
      <c r="BN17" s="1159">
        <f>BD21/'ENR#-DB'!Z21</f>
        <v>0</v>
      </c>
      <c r="BO17" s="1159">
        <f>BD9/'ENR#-DB'!Z9</f>
        <v>0</v>
      </c>
      <c r="BP17" s="1159" t="str">
        <f>IFERROR(BD11/'ENR#-DB'!Z11,"")</f>
        <v/>
      </c>
      <c r="BQ17" s="1159" t="str">
        <f>IFERROR(BD13/'ENR#-DB'!Z13,"")</f>
        <v/>
      </c>
      <c r="BR17" s="1159" t="str">
        <f>IFERROR(BD15/'ENR#-DB'!Z15,"")</f>
        <v/>
      </c>
      <c r="BS17" s="1159" t="str">
        <f>IFERROR(BD17/'ENR#-DB'!Z17,"")</f>
        <v/>
      </c>
      <c r="BT17" s="1160">
        <f t="shared" si="7"/>
        <v>0</v>
      </c>
      <c r="BU17" s="1054"/>
      <c r="BV17" s="1054"/>
      <c r="BW17" s="36"/>
      <c r="BX17" s="36"/>
      <c r="BY17" s="36"/>
      <c r="BZ17" s="36"/>
      <c r="CA17" s="36"/>
      <c r="CB17" s="36"/>
      <c r="CC17" s="36"/>
      <c r="CD17" s="36"/>
      <c r="CE17" s="36"/>
      <c r="CF17" s="36"/>
      <c r="CG17" s="36"/>
      <c r="CH17" s="36"/>
      <c r="CI17" s="36"/>
    </row>
    <row r="18" spans="1:87" s="3" customFormat="1" ht="15" customHeight="1" thickBot="1">
      <c r="A18" s="1070"/>
      <c r="B18" s="1166"/>
      <c r="C18" s="1166"/>
      <c r="D18" s="1166"/>
      <c r="E18" s="1166"/>
      <c r="F18" s="1166"/>
      <c r="G18" s="1167"/>
      <c r="H18" s="1166"/>
      <c r="I18" s="1168"/>
      <c r="J18" s="1151" t="str">
        <f>'FIG3'!W54</f>
        <v>FA3L1</v>
      </c>
      <c r="K18" s="1072" t="s">
        <v>1443</v>
      </c>
      <c r="L18" s="1841" t="s">
        <v>1454</v>
      </c>
      <c r="M18" s="1842"/>
      <c r="N18" s="1847" t="s">
        <v>1269</v>
      </c>
      <c r="O18" s="1848"/>
      <c r="P18" s="1113"/>
      <c r="Q18" s="1074">
        <f>SUMIFS($R$36:$R$374,$O$36:$O$374,"FA5",$P$36:$P$374,"C",$L$36:$L$374,"I")</f>
        <v>0</v>
      </c>
      <c r="R18" s="1075"/>
      <c r="S18" s="1075"/>
      <c r="T18" s="1169" t="s">
        <v>1247</v>
      </c>
      <c r="U18" s="1847" t="s">
        <v>1269</v>
      </c>
      <c r="V18" s="1848"/>
      <c r="W18" s="1114"/>
      <c r="X18" s="1074">
        <f>SUMIFS($R$36:$R$374,$O$36:$O$374,"FA5",$P$36:$P$374,"C",$Q$36:$Q$374,"F",$L$36:$L$374,"I")</f>
        <v>0</v>
      </c>
      <c r="Y18" s="1074">
        <f>SUMIFS($R$36:$R$374,$O$36:$O$374,"FA5",$P$36:$P$374,"C",$Q$36:$Q$374,"S",$L$36:$L$374,"I")</f>
        <v>0</v>
      </c>
      <c r="Z18" s="1074">
        <f>SUMIFS($R$36:$R$374,$O$36:$O$374,"FA5",$P$36:$P$374,"C",$Q$36:$Q$374,"L",$L$36:$L$374,"I")</f>
        <v>0</v>
      </c>
      <c r="AA18" s="1074">
        <f>SUMIFS($R$36:$R$374,$O$36:$O$374,"FA5",$P$36:$P$374,"C",$Q$36:$Q$374,"O",$L$36:$L$374,"I")</f>
        <v>0</v>
      </c>
      <c r="AB18" s="1074">
        <f>SUMIFS($R$36:$R$374,$O$36:$O$374,"FA5",$P$36:$P$374,"C",$Q$36:$Q$374,"P",$L$36:$L$374,"I")</f>
        <v>0</v>
      </c>
      <c r="AC18" s="1074">
        <f>SUMIFS($R$36:$R$374,$O$36:$O$374,"FA5",$P$36:$P$374,"C",$Q$36:$Q$374,"N",$L$36:$L$374,"I")</f>
        <v>0</v>
      </c>
      <c r="AD18" s="1170">
        <f t="shared" si="1"/>
        <v>0</v>
      </c>
      <c r="AE18" s="1075"/>
      <c r="AF18" s="1076"/>
      <c r="AG18" s="1169" t="s">
        <v>1247</v>
      </c>
      <c r="AH18" s="1069"/>
      <c r="AI18" s="1069"/>
      <c r="AJ18" s="1094" t="s">
        <v>1289</v>
      </c>
      <c r="AK18" s="1095"/>
      <c r="AL18" s="1131"/>
      <c r="AM18" s="1155">
        <f t="shared" ref="AM18:AR18" si="8">SUM(AM12:AM17)</f>
        <v>11205.453579705141</v>
      </c>
      <c r="AN18" s="1155">
        <f t="shared" si="8"/>
        <v>14411.408437216214</v>
      </c>
      <c r="AO18" s="1155">
        <f t="shared" si="8"/>
        <v>0</v>
      </c>
      <c r="AP18" s="1155">
        <f t="shared" si="8"/>
        <v>0</v>
      </c>
      <c r="AQ18" s="1155">
        <f t="shared" si="8"/>
        <v>0</v>
      </c>
      <c r="AR18" s="1155">
        <f t="shared" si="8"/>
        <v>0</v>
      </c>
      <c r="AS18" s="1156">
        <f t="shared" si="6"/>
        <v>25616.862016921354</v>
      </c>
      <c r="AT18" s="1054"/>
      <c r="AU18" s="1054"/>
      <c r="AV18" s="1833" t="s">
        <v>1269</v>
      </c>
      <c r="AW18" s="1834"/>
      <c r="AX18" s="1098" t="str">
        <f t="shared" si="2"/>
        <v/>
      </c>
      <c r="AY18" s="1157">
        <f>X18-SUMIFS($R$36:$R$374,$S$36:$S$374,"Y",$Q$36:$Q$374,"F",$O$36:$O$374,"FA5",$P$36:$P$374,"C",$L$36:$L$374,"I")</f>
        <v>0</v>
      </c>
      <c r="AZ18" s="1157">
        <f>Y18-SUMIFS($R$36:$R$374,$S$36:$S$374,"Y",$Q$36:$Q$374,"S",$O$36:$O$374,"FA5",$P$36:$P$374,"C",$L$36:$L$374,"I")</f>
        <v>0</v>
      </c>
      <c r="BA18" s="1157">
        <f>Z18-SUMIFS($R$36:$R$374,$S$36:$S$374,"Y",$Q$36:$Q$374,"L",$O$36:$O$374,"FA5",$P$36:$P$374,"C",$L$36:$L$374,"I")</f>
        <v>0</v>
      </c>
      <c r="BB18" s="1157">
        <f>AA18-SUMIFS($R$36:$R$374,$S$36:$S$374,"Y",$Q$36:$Q$374,"O",$O$36:$O$374,"FA5",$P$36:$P$374,"C",$L$36:$L$374,"I")</f>
        <v>0</v>
      </c>
      <c r="BC18" s="1157">
        <f>AB18-SUMIFS($R$36:$R$374,$S$36:$S$374,"Y",$Q$36:$Q$374,"P",$O$36:$O$374,"FA5",$P$36:$P$374,"C",$L$36:$L$374,"I")</f>
        <v>0</v>
      </c>
      <c r="BD18" s="1157">
        <f>AC18-SUMIFS($R$36:$R$374,$S$36:$S$374,"Y",$Q$36:$Q$374,"N",$O$36:$O$374,"FA5",$P$36:$P$374,"C",$L$36:$L$374,"I")</f>
        <v>0</v>
      </c>
      <c r="BE18" s="1158">
        <f t="shared" si="3"/>
        <v>0</v>
      </c>
      <c r="BF18" s="1101">
        <f>BE18-'$REV-DSUM-CONV'!B786</f>
        <v>0</v>
      </c>
      <c r="BG18" s="1102" t="s">
        <v>1114</v>
      </c>
      <c r="BH18" s="1171" t="s">
        <v>1247</v>
      </c>
      <c r="BI18" s="1054"/>
      <c r="BJ18" s="1054"/>
      <c r="BK18" s="1104" t="s">
        <v>1289</v>
      </c>
      <c r="BL18" s="1105"/>
      <c r="BM18" s="1135"/>
      <c r="BN18" s="1159">
        <f t="shared" ref="BN18:BS18" si="9">SUM(BN12:BN17)</f>
        <v>11205.453579705141</v>
      </c>
      <c r="BO18" s="1159">
        <f t="shared" si="9"/>
        <v>14411.408437216214</v>
      </c>
      <c r="BP18" s="1159">
        <f t="shared" si="9"/>
        <v>0</v>
      </c>
      <c r="BQ18" s="1159">
        <f t="shared" si="9"/>
        <v>0</v>
      </c>
      <c r="BR18" s="1159">
        <f t="shared" si="9"/>
        <v>0</v>
      </c>
      <c r="BS18" s="1159">
        <f t="shared" si="9"/>
        <v>0</v>
      </c>
      <c r="BT18" s="1160">
        <f t="shared" si="7"/>
        <v>25616.862016921354</v>
      </c>
      <c r="BU18" s="1054"/>
      <c r="BV18" s="1054"/>
      <c r="BW18" s="36"/>
      <c r="BX18" s="36"/>
      <c r="BY18" s="36"/>
      <c r="BZ18" s="36"/>
      <c r="CA18" s="36"/>
      <c r="CB18" s="36"/>
      <c r="CC18" s="36"/>
      <c r="CD18" s="36"/>
      <c r="CE18" s="36"/>
      <c r="CF18" s="36"/>
      <c r="CG18" s="36"/>
      <c r="CH18" s="36"/>
      <c r="CI18" s="36"/>
    </row>
    <row r="19" spans="1:87" s="3" customFormat="1" ht="15" customHeight="1" thickBot="1">
      <c r="A19" s="1070"/>
      <c r="B19" s="1166"/>
      <c r="C19" s="1166"/>
      <c r="D19" s="1166"/>
      <c r="E19" s="1167"/>
      <c r="F19" s="1166"/>
      <c r="G19" s="1166"/>
      <c r="H19" s="1166"/>
      <c r="I19" s="1168"/>
      <c r="J19" s="1161" t="str">
        <f>'FIG3'!X54</f>
        <v>FA3L2</v>
      </c>
      <c r="K19" s="1072" t="s">
        <v>1444</v>
      </c>
      <c r="L19" s="1841" t="s">
        <v>1455</v>
      </c>
      <c r="M19" s="1842"/>
      <c r="N19" s="1847" t="s">
        <v>1275</v>
      </c>
      <c r="O19" s="1848"/>
      <c r="P19" s="1113"/>
      <c r="Q19" s="1074">
        <f>SUM(Q9,Q11,Q13,Q15,Q17)</f>
        <v>349130780.80000001</v>
      </c>
      <c r="R19" s="1075"/>
      <c r="S19" s="1075"/>
      <c r="T19" s="1169" t="s">
        <v>1248</v>
      </c>
      <c r="U19" s="1847" t="s">
        <v>1275</v>
      </c>
      <c r="V19" s="1848"/>
      <c r="W19" s="1114"/>
      <c r="X19" s="1074">
        <f t="shared" ref="X19:AC20" si="10">SUM(X9,X11,X13,X15,X17)</f>
        <v>56665217.240000002</v>
      </c>
      <c r="Y19" s="1074">
        <f t="shared" si="10"/>
        <v>136201749.15000001</v>
      </c>
      <c r="Z19" s="1074">
        <f t="shared" si="10"/>
        <v>139616052.41</v>
      </c>
      <c r="AA19" s="1074">
        <f t="shared" si="10"/>
        <v>16626147.98</v>
      </c>
      <c r="AB19" s="1074">
        <f t="shared" si="10"/>
        <v>21614.02</v>
      </c>
      <c r="AC19" s="1074">
        <f t="shared" si="10"/>
        <v>0</v>
      </c>
      <c r="AD19" s="1074">
        <f t="shared" si="1"/>
        <v>349130780.80000001</v>
      </c>
      <c r="AE19" s="1075"/>
      <c r="AF19" s="1076"/>
      <c r="AG19" s="1169" t="s">
        <v>1248</v>
      </c>
      <c r="AH19" s="1054"/>
      <c r="AI19" s="1054"/>
      <c r="AJ19" s="1094"/>
      <c r="AK19" s="1095"/>
      <c r="AL19" s="1131"/>
      <c r="AM19" s="1131"/>
      <c r="AN19" s="1131"/>
      <c r="AO19" s="1131"/>
      <c r="AP19" s="1131"/>
      <c r="AQ19" s="1131"/>
      <c r="AR19" s="1131"/>
      <c r="AS19" s="1149"/>
      <c r="AT19" s="1054"/>
      <c r="AU19" s="1054"/>
      <c r="AV19" s="1827" t="s">
        <v>1275</v>
      </c>
      <c r="AW19" s="1832"/>
      <c r="AX19" s="1098" t="str">
        <f t="shared" si="2"/>
        <v/>
      </c>
      <c r="AY19" s="1099">
        <f t="shared" ref="AY19:BD20" si="11">AY9+AY11+AY13+AY15+AY17</f>
        <v>56665217.240000002</v>
      </c>
      <c r="AZ19" s="1099">
        <f t="shared" si="11"/>
        <v>136201749.15000001</v>
      </c>
      <c r="BA19" s="1099">
        <f t="shared" si="11"/>
        <v>139616052.41</v>
      </c>
      <c r="BB19" s="1099">
        <f t="shared" si="11"/>
        <v>16626147.98</v>
      </c>
      <c r="BC19" s="1099">
        <f t="shared" si="11"/>
        <v>21614.02</v>
      </c>
      <c r="BD19" s="1099">
        <f t="shared" si="11"/>
        <v>0</v>
      </c>
      <c r="BE19" s="1100">
        <f t="shared" si="3"/>
        <v>349130780.80000001</v>
      </c>
      <c r="BF19" s="1101">
        <f>BE19-'$REV-DSUM-CONV'!B896</f>
        <v>0</v>
      </c>
      <c r="BG19" s="1102" t="s">
        <v>1114</v>
      </c>
      <c r="BH19" s="1171" t="s">
        <v>1248</v>
      </c>
      <c r="BI19" s="1054"/>
      <c r="BJ19" s="1054"/>
      <c r="BK19" s="1104"/>
      <c r="BL19" s="1105"/>
      <c r="BM19" s="1135"/>
      <c r="BN19" s="1135"/>
      <c r="BO19" s="1135"/>
      <c r="BP19" s="1135"/>
      <c r="BQ19" s="1135"/>
      <c r="BR19" s="1135"/>
      <c r="BS19" s="1135"/>
      <c r="BT19" s="1150"/>
      <c r="BU19" s="1054"/>
      <c r="BV19" s="1054"/>
      <c r="BW19" s="36"/>
      <c r="BX19" s="36"/>
      <c r="BY19" s="36"/>
      <c r="BZ19" s="36"/>
      <c r="CA19" s="36"/>
      <c r="CB19" s="36"/>
      <c r="CC19" s="36"/>
      <c r="CD19" s="36"/>
      <c r="CE19" s="36"/>
      <c r="CF19" s="36"/>
      <c r="CG19" s="36"/>
      <c r="CH19" s="36"/>
      <c r="CI19" s="36"/>
    </row>
    <row r="20" spans="1:87" s="3" customFormat="1" ht="15" customHeight="1" thickTop="1" thickBot="1">
      <c r="A20" s="1070"/>
      <c r="B20" s="1857" t="s">
        <v>841</v>
      </c>
      <c r="C20" s="1858"/>
      <c r="D20" s="1859"/>
      <c r="E20" s="1866" t="s">
        <v>875</v>
      </c>
      <c r="F20" s="1867"/>
      <c r="G20" s="1868"/>
      <c r="H20" s="1869" t="s">
        <v>878</v>
      </c>
      <c r="I20" s="1870"/>
      <c r="J20" s="1151" t="str">
        <f>'FIG3'!V55</f>
        <v>FA4</v>
      </c>
      <c r="K20" s="1072" t="s">
        <v>1445</v>
      </c>
      <c r="L20" s="1841" t="s">
        <v>1456</v>
      </c>
      <c r="M20" s="1842"/>
      <c r="N20" s="1847" t="s">
        <v>1276</v>
      </c>
      <c r="O20" s="1848"/>
      <c r="P20" s="1113"/>
      <c r="Q20" s="1074">
        <f>SUM(Q10,Q12,Q14,Q16,Q18)</f>
        <v>21208723.59</v>
      </c>
      <c r="R20" s="1075"/>
      <c r="S20" s="1075"/>
      <c r="T20" s="1169" t="s">
        <v>1249</v>
      </c>
      <c r="U20" s="1847" t="s">
        <v>1276</v>
      </c>
      <c r="V20" s="1848"/>
      <c r="W20" s="1114"/>
      <c r="X20" s="1170">
        <f t="shared" si="10"/>
        <v>3368764.11</v>
      </c>
      <c r="Y20" s="1170">
        <f t="shared" si="10"/>
        <v>15972602.6</v>
      </c>
      <c r="Z20" s="1170">
        <f t="shared" si="10"/>
        <v>0</v>
      </c>
      <c r="AA20" s="1170">
        <f t="shared" si="10"/>
        <v>1867356.88</v>
      </c>
      <c r="AB20" s="1170">
        <f t="shared" si="10"/>
        <v>0</v>
      </c>
      <c r="AC20" s="1170">
        <f t="shared" si="10"/>
        <v>0</v>
      </c>
      <c r="AD20" s="1170">
        <f t="shared" si="1"/>
        <v>21208723.59</v>
      </c>
      <c r="AE20" s="1075"/>
      <c r="AF20" s="1076"/>
      <c r="AG20" s="1169" t="s">
        <v>1249</v>
      </c>
      <c r="AH20" s="1054"/>
      <c r="AI20" s="1054"/>
      <c r="AJ20" s="1172" t="s">
        <v>1332</v>
      </c>
      <c r="AK20" s="1173"/>
      <c r="AL20" s="1174"/>
      <c r="AM20" s="1172"/>
      <c r="AN20" s="1173"/>
      <c r="AO20" s="1173"/>
      <c r="AP20" s="1173"/>
      <c r="AQ20" s="1173"/>
      <c r="AR20" s="1174"/>
      <c r="AS20" s="1175" t="s">
        <v>1395</v>
      </c>
      <c r="AT20" s="1054"/>
      <c r="AU20" s="1054"/>
      <c r="AV20" s="1827" t="s">
        <v>1276</v>
      </c>
      <c r="AW20" s="1832"/>
      <c r="AX20" s="1098" t="str">
        <f t="shared" si="2"/>
        <v/>
      </c>
      <c r="AY20" s="1099">
        <f t="shared" si="11"/>
        <v>3368764.11</v>
      </c>
      <c r="AZ20" s="1099">
        <f t="shared" si="11"/>
        <v>15972602.6</v>
      </c>
      <c r="BA20" s="1099">
        <f t="shared" si="11"/>
        <v>0</v>
      </c>
      <c r="BB20" s="1099">
        <f t="shared" si="11"/>
        <v>1867356.88</v>
      </c>
      <c r="BC20" s="1099">
        <f t="shared" si="11"/>
        <v>0</v>
      </c>
      <c r="BD20" s="1099">
        <f t="shared" si="11"/>
        <v>0</v>
      </c>
      <c r="BE20" s="1100">
        <f t="shared" si="3"/>
        <v>21208723.59</v>
      </c>
      <c r="BF20" s="1101">
        <f>BE20-'$REV-DSUM-CONV'!B906</f>
        <v>0</v>
      </c>
      <c r="BG20" s="1102" t="s">
        <v>1114</v>
      </c>
      <c r="BH20" s="1171" t="s">
        <v>1249</v>
      </c>
      <c r="BI20" s="1054"/>
      <c r="BJ20" s="1054"/>
      <c r="BK20" s="1176" t="s">
        <v>1332</v>
      </c>
      <c r="BL20" s="1177"/>
      <c r="BM20" s="1178"/>
      <c r="BN20" s="1176"/>
      <c r="BO20" s="1177"/>
      <c r="BP20" s="1177"/>
      <c r="BQ20" s="1177"/>
      <c r="BR20" s="1177"/>
      <c r="BS20" s="1178"/>
      <c r="BT20" s="1179" t="s">
        <v>1395</v>
      </c>
      <c r="BU20" s="1054"/>
      <c r="BV20" s="1054"/>
      <c r="BW20" s="36"/>
      <c r="BX20" s="36"/>
      <c r="BY20" s="36"/>
      <c r="BZ20" s="36"/>
      <c r="CA20" s="36"/>
      <c r="CB20" s="36"/>
      <c r="CC20" s="36"/>
      <c r="CD20" s="36"/>
      <c r="CE20" s="36"/>
      <c r="CF20" s="36"/>
      <c r="CG20" s="36"/>
      <c r="CH20" s="36"/>
      <c r="CI20" s="36"/>
    </row>
    <row r="21" spans="1:87" s="3" customFormat="1" ht="15" customHeight="1" thickTop="1" thickBot="1">
      <c r="A21" s="1070"/>
      <c r="B21" s="1860"/>
      <c r="C21" s="1861"/>
      <c r="D21" s="1862"/>
      <c r="E21" s="1180"/>
      <c r="F21" s="1181" t="s">
        <v>876</v>
      </c>
      <c r="G21" s="1182" t="s">
        <v>877</v>
      </c>
      <c r="H21" s="1183" t="s">
        <v>876</v>
      </c>
      <c r="I21" s="1184" t="s">
        <v>877</v>
      </c>
      <c r="J21" s="1185" t="str">
        <f>'FIG3'!W55</f>
        <v>FA4L1</v>
      </c>
      <c r="K21" s="1072" t="s">
        <v>1433</v>
      </c>
      <c r="L21" s="1841" t="s">
        <v>1457</v>
      </c>
      <c r="M21" s="1842"/>
      <c r="N21" s="1847" t="s">
        <v>1270</v>
      </c>
      <c r="O21" s="1848"/>
      <c r="P21" s="1113"/>
      <c r="Q21" s="1074">
        <f>SUMIFS($R$36:$R$374,$O$36:$O$374,"NFA",$P$36:$P$374,"D",$L$36:$L$374,"I")</f>
        <v>4900066412.2299995</v>
      </c>
      <c r="R21" s="1075"/>
      <c r="S21" s="1075"/>
      <c r="T21" s="1169" t="s">
        <v>1250</v>
      </c>
      <c r="U21" s="1847" t="s">
        <v>1270</v>
      </c>
      <c r="V21" s="1848"/>
      <c r="W21" s="1114"/>
      <c r="X21" s="1074">
        <f>SUMIFS($R$36:$R$374,$O$36:$O$374,"NFA",$P$36:$P$374,"D",$Q$36:$Q$374,"F",$L$36:$L$374,"I")</f>
        <v>758603679.52000046</v>
      </c>
      <c r="Y21" s="1074">
        <f>SUMIFS($R$36:$R$374,$O$36:$O$374,"NFA",$P$36:$P$374,"D",$Q$36:$Q$374,"S",$L$36:$L$374,"I")</f>
        <v>2236410181.9599996</v>
      </c>
      <c r="Z21" s="1074">
        <f>SUMIFS($R$36:$R$374,$O$36:$O$374,"NFA",$P$36:$P$374,"D",$Q$36:$Q$374,"L",$L$36:$L$374,"I")</f>
        <v>1309646936.4300003</v>
      </c>
      <c r="AA21" s="1074">
        <f>SUMIFS($R$36:$R$374,$O$36:$O$374,"NFA",$P$36:$P$374,"D",$Q$36:$Q$374,"O",$L$36:$L$374,"I")</f>
        <v>592289340.76999974</v>
      </c>
      <c r="AB21" s="1074">
        <f>SUMIFS($R$36:$R$374,$O$36:$O$374,"NFA",$P$36:$P$374,"D",$Q$36:$Q$374,"P",$L$36:$L$374,"I")</f>
        <v>3116273.5500000007</v>
      </c>
      <c r="AC21" s="1074">
        <f>SUMIFS($R$36:$R$374,$O$36:$O$374,"NFA",$P$36:$P$374,"D",$Q$36:$Q$374,"N",$L$36:$L$374,"I")</f>
        <v>0</v>
      </c>
      <c r="AD21" s="1074">
        <f t="shared" si="1"/>
        <v>4900066412.2299995</v>
      </c>
      <c r="AE21" s="1075"/>
      <c r="AF21" s="1076"/>
      <c r="AG21" s="1169" t="s">
        <v>1250</v>
      </c>
      <c r="AH21" s="1054"/>
      <c r="AI21" s="1054"/>
      <c r="AJ21" s="1138" t="s">
        <v>1333</v>
      </c>
      <c r="AK21" s="1139"/>
      <c r="AL21" s="1186"/>
      <c r="AM21" s="1849" t="s">
        <v>1334</v>
      </c>
      <c r="AN21" s="1850"/>
      <c r="AO21" s="1850"/>
      <c r="AP21" s="1850"/>
      <c r="AQ21" s="1850"/>
      <c r="AR21" s="1851"/>
      <c r="AS21" s="1187" t="s">
        <v>1326</v>
      </c>
      <c r="AT21" s="1054"/>
      <c r="AU21" s="1054"/>
      <c r="AV21" s="1827" t="s">
        <v>1270</v>
      </c>
      <c r="AW21" s="1832"/>
      <c r="AX21" s="1098" t="str">
        <f t="shared" si="2"/>
        <v/>
      </c>
      <c r="AY21" s="1099">
        <f>X21+SUMIFS($R$36:$R$374,$S$36:$S$374,"Y",$Q$36:$Q$374,"F",$O$36:$O$374,"NFA",$P$36:$P$374,"C",$L$36:$L$374,"I")</f>
        <v>758603679.52000046</v>
      </c>
      <c r="AZ21" s="1099">
        <f>Y21+SUMIFS($R$36:$R$374,$S$36:$S$374,"Y",$Q$36:$Q$374,"S",$O$36:$O$374,"NFA",$P$36:$P$374,"C",$L$36:$L$374,"I")</f>
        <v>2236410181.9599996</v>
      </c>
      <c r="BA21" s="1099">
        <f>Z21+SUMIFS($R$36:$R$374,$S$36:$S$374,"Y",$Q$36:$Q$374,"L",$O$36:$O$374,"NFA",$P$36:$P$374,"C",$L$36:$L$374,"I")</f>
        <v>1309646936.4300003</v>
      </c>
      <c r="BB21" s="1099">
        <f>AA21+SUMIFS($R$36:$R$374,$S$36:$S$374,"Y",$Q$36:$Q$374,"O",$O$36:$O$374,"NFA",$P$36:$P$374,"C",$L$36:$L$374,"I")</f>
        <v>592289340.76999974</v>
      </c>
      <c r="BC21" s="1099">
        <f>AB21+SUMIFS($R$36:$R$374,$S$36:$S$374,"Y",$Q$36:$Q$374,"P",$O$36:$O$374,"NFA",$P$36:$P$374,"C",$L$36:$L$374,"I")</f>
        <v>3116273.5500000007</v>
      </c>
      <c r="BD21" s="1099">
        <f>AC21+SUMIFS($R$36:$R$374,$S$36:$S$374,"Y",$Q$36:$Q$374,"N",$O$36:$O$374,"NFA",$P$36:$P$374,"C",$L$36:$L$374,"I")</f>
        <v>0</v>
      </c>
      <c r="BE21" s="1100">
        <f t="shared" si="3"/>
        <v>4900066412.2299995</v>
      </c>
      <c r="BF21" s="1101">
        <f>BE21-'$REV-DSUM-CONV'!B876</f>
        <v>0</v>
      </c>
      <c r="BG21" s="1102" t="s">
        <v>1114</v>
      </c>
      <c r="BH21" s="1171" t="s">
        <v>1250</v>
      </c>
      <c r="BI21" s="1054"/>
      <c r="BJ21" s="1054"/>
      <c r="BK21" s="1144" t="s">
        <v>1333</v>
      </c>
      <c r="BL21" s="1145"/>
      <c r="BM21" s="1188"/>
      <c r="BN21" s="1882" t="s">
        <v>1334</v>
      </c>
      <c r="BO21" s="1883"/>
      <c r="BP21" s="1883"/>
      <c r="BQ21" s="1883"/>
      <c r="BR21" s="1883"/>
      <c r="BS21" s="1884"/>
      <c r="BT21" s="1189" t="s">
        <v>1326</v>
      </c>
      <c r="BU21" s="1054"/>
      <c r="BV21" s="1054"/>
      <c r="BW21" s="36"/>
      <c r="BX21" s="36"/>
      <c r="BY21" s="36"/>
      <c r="BZ21" s="36"/>
      <c r="CA21" s="36"/>
      <c r="CB21" s="36"/>
      <c r="CC21" s="36"/>
      <c r="CD21" s="36"/>
      <c r="CE21" s="36"/>
      <c r="CF21" s="36"/>
      <c r="CG21" s="36"/>
      <c r="CH21" s="36"/>
      <c r="CI21" s="36"/>
    </row>
    <row r="22" spans="1:87" s="3" customFormat="1" ht="15" customHeight="1" thickBot="1">
      <c r="A22" s="1070"/>
      <c r="B22" s="1860"/>
      <c r="C22" s="1861"/>
      <c r="D22" s="1862"/>
      <c r="E22" s="1190" t="s">
        <v>1395</v>
      </c>
      <c r="F22" s="1191">
        <f t="array" ref="F22">SUM(IF(FREQUENCY(MATCH(I$36:I$374,I$36:I$374,0),IF($L$36:$L$374&amp;$P$36:$P$374="IC",MATCH(I$36:I$374,I$36:I$374,0),0))&gt;0,1),0)-1</f>
        <v>18</v>
      </c>
      <c r="G22" s="1192">
        <f t="array" ref="G22">SUM(IF(FREQUENCY(MATCH(J$36:J$374,J$36:J$374,0),IF($L$36:$L$374&amp;$P$36:$P$374="IC",MATCH(J$36:J$374,J$36:J$374,0),0))&gt;0,1),0)-1</f>
        <v>17</v>
      </c>
      <c r="H22" s="1193">
        <f t="array" ref="H22">F22-(SUM(IF(FREQUENCY(MATCH(I$36:I$374,I$36:I$374,0),IF($L$36:$L$374&amp;$P$36:$P$374&amp;$S$36:$S$374="ICY",MATCH(I$36:I$374,I$36:I$374,0),0))&gt;0,1),0)-1)</f>
        <v>18</v>
      </c>
      <c r="I22" s="1193">
        <f t="array" ref="I22">G22-(SUM(IF(FREQUENCY(MATCH(J$36:J$374,J$36:J$374,0),IF($L$36:$L$374&amp;$P$36:$P$374&amp;$S$36:$S$374="ICY",MATCH(J$36:J$374,J$36:J$374,0),0))&gt;0,1),0)-1)</f>
        <v>17</v>
      </c>
      <c r="J22" s="1194" t="str">
        <f>'FIG3'!X55</f>
        <v>FA4L2</v>
      </c>
      <c r="K22" s="1072" t="s">
        <v>1446</v>
      </c>
      <c r="L22" s="1841" t="s">
        <v>1458</v>
      </c>
      <c r="M22" s="1842"/>
      <c r="N22" s="1847" t="s">
        <v>1271</v>
      </c>
      <c r="O22" s="1848"/>
      <c r="P22" s="1113"/>
      <c r="Q22" s="1074">
        <f>SUMIFS($R$36:$R$374,$O$36:$O$374,"NFA",$P$36:$P$374,"C",$L$36:$L$374,"I")</f>
        <v>31993807.920000009</v>
      </c>
      <c r="R22" s="1075"/>
      <c r="S22" s="1075"/>
      <c r="T22" s="1169" t="s">
        <v>1251</v>
      </c>
      <c r="U22" s="1847" t="s">
        <v>1271</v>
      </c>
      <c r="V22" s="1848"/>
      <c r="W22" s="1114"/>
      <c r="X22" s="1074">
        <f>SUMIFS($R$36:$R$374,$O$36:$O$374,"NFA",$P$36:$P$374,"C",$Q$36:$Q$374,"F",$L$36:$L$374,"I")</f>
        <v>4309026.03</v>
      </c>
      <c r="Y22" s="1074">
        <f>SUMIFS($R$36:$R$374,$O$36:$O$374,"NFA",$P$36:$P$374,"C",$Q$36:$Q$374,"S",$L$36:$L$374,"I")</f>
        <v>23585758.210000005</v>
      </c>
      <c r="Z22" s="1074">
        <f>SUMIFS($R$36:$R$374,$O$36:$O$374,"NFA",$P$36:$P$374,"C",$Q$36:$Q$374,"L",$L$36:$L$374,"I")</f>
        <v>0</v>
      </c>
      <c r="AA22" s="1074">
        <f>SUMIFS($R$36:$R$374,$O$36:$O$374,"NFA",$P$36:$P$374,"C",$Q$36:$Q$374,"O",$L$36:$L$374,"I")</f>
        <v>4099023.68</v>
      </c>
      <c r="AB22" s="1074">
        <f>SUMIFS($R$36:$R$374,$O$36:$O$374,"NFA",$P$36:$P$374,"C",$Q$36:$Q$374,"P",$L$36:$L$374,"I")</f>
        <v>0</v>
      </c>
      <c r="AC22" s="1074">
        <f>SUMIFS($R$36:$R$374,$O$36:$O$374,"NFA",$P$36:$P$374,"C",$Q$36:$Q$374,"N",$L$36:$L$374,"I")</f>
        <v>0</v>
      </c>
      <c r="AD22" s="1170">
        <f t="shared" si="1"/>
        <v>31993807.920000006</v>
      </c>
      <c r="AE22" s="1075"/>
      <c r="AF22" s="1076"/>
      <c r="AG22" s="1169" t="s">
        <v>1251</v>
      </c>
      <c r="AH22" s="1054"/>
      <c r="AI22" s="1054"/>
      <c r="AJ22" s="1094"/>
      <c r="AK22" s="1095" t="s">
        <v>1281</v>
      </c>
      <c r="AL22" s="1095"/>
      <c r="AM22" s="1155">
        <f t="shared" ref="AM22:AN27" si="12">AM12*AM$9</f>
        <v>1022.8040961461783</v>
      </c>
      <c r="AN22" s="1155">
        <f t="shared" si="12"/>
        <v>959.9594307812788</v>
      </c>
      <c r="AO22" s="1155" t="str">
        <f t="shared" ref="AO22:AR27" si="13">IFERROR(AO12*AO$9,"")</f>
        <v/>
      </c>
      <c r="AP22" s="1155" t="str">
        <f t="shared" si="13"/>
        <v/>
      </c>
      <c r="AQ22" s="1155" t="str">
        <f t="shared" si="13"/>
        <v/>
      </c>
      <c r="AR22" s="1155" t="str">
        <f t="shared" si="13"/>
        <v/>
      </c>
      <c r="AS22" s="1195">
        <f t="shared" ref="AS22:AS27" si="14">SUM(AM22:AR22)</f>
        <v>1982.763526927457</v>
      </c>
      <c r="AT22" s="1054"/>
      <c r="AU22" s="1054"/>
      <c r="AV22" s="1827" t="s">
        <v>1271</v>
      </c>
      <c r="AW22" s="1832"/>
      <c r="AX22" s="1098" t="str">
        <f t="shared" si="2"/>
        <v/>
      </c>
      <c r="AY22" s="1099">
        <f>X22-SUMIFS($R$36:$R$374,$S$36:$S$374,"Y",$Q$36:$Q$374,"F",$O$36:$O$374,"NFA",$P$36:$P$374,"C",$L$36:$L$374,"I")</f>
        <v>4309026.03</v>
      </c>
      <c r="AZ22" s="1099">
        <f>Y22-SUMIFS($R$36:$R$374,$S$36:$S$374,"Y",$Q$36:$Q$374,"S",$O$36:$O$374,"NFA",$P$36:$P$374,"C",$L$36:$L$374,"I")</f>
        <v>23585758.210000005</v>
      </c>
      <c r="BA22" s="1099">
        <f>Z22-SUMIFS($R$36:$R$374,$S$36:$S$374,"Y",$Q$36:$Q$374,"L",$O$36:$O$374,"NFA",$P$36:$P$374,"C",$L$36:$L$374,"I")</f>
        <v>0</v>
      </c>
      <c r="BB22" s="1099">
        <f>AA22-SUMIFS($R$36:$R$374,$S$36:$S$374,"Y",$Q$36:$Q$374,"O",$O$36:$O$374,"NFA",$P$36:$P$374,"C",$L$36:$L$374,"I")</f>
        <v>4099023.68</v>
      </c>
      <c r="BC22" s="1099">
        <f>AB22-SUMIFS($R$36:$R$374,$S$36:$S$374,"Y",$Q$36:$Q$374,"P",$O$36:$O$374,"NFA",$P$36:$P$374,"C",$L$36:$L$374,"I")</f>
        <v>0</v>
      </c>
      <c r="BD22" s="1099">
        <f>AC22-SUMIFS($R$36:$R$374,$S$36:$S$374,"Y",$Q$36:$Q$374,"N",$O$36:$O$374,"NFA",$P$36:$P$374,"C",$L$36:$L$374,"I")</f>
        <v>0</v>
      </c>
      <c r="BE22" s="1100">
        <f t="shared" si="3"/>
        <v>31993807.920000006</v>
      </c>
      <c r="BF22" s="1101">
        <f>BE22-'$REV-DSUM-CONV'!B886</f>
        <v>0</v>
      </c>
      <c r="BG22" s="1102" t="s">
        <v>1114</v>
      </c>
      <c r="BH22" s="1171" t="s">
        <v>1251</v>
      </c>
      <c r="BI22" s="1054"/>
      <c r="BJ22" s="1054"/>
      <c r="BK22" s="1104"/>
      <c r="BL22" s="1105" t="s">
        <v>1281</v>
      </c>
      <c r="BM22" s="1105"/>
      <c r="BN22" s="1159">
        <f t="shared" ref="BN22:BO27" si="15">BN12*BN$9</f>
        <v>1022.8040961461783</v>
      </c>
      <c r="BO22" s="1159">
        <f t="shared" si="15"/>
        <v>959.9594307812788</v>
      </c>
      <c r="BP22" s="1159" t="str">
        <f t="shared" ref="BP22:BS27" si="16">IFERROR(BP12*BP$9,"")</f>
        <v/>
      </c>
      <c r="BQ22" s="1159" t="str">
        <f t="shared" si="16"/>
        <v/>
      </c>
      <c r="BR22" s="1159" t="str">
        <f t="shared" si="16"/>
        <v/>
      </c>
      <c r="BS22" s="1159" t="str">
        <f t="shared" si="16"/>
        <v/>
      </c>
      <c r="BT22" s="1160">
        <f t="shared" ref="BT22:BT27" si="17">SUM(BN22:BS22)</f>
        <v>1982.763526927457</v>
      </c>
      <c r="BU22" s="1054"/>
      <c r="BV22" s="1054"/>
      <c r="BW22" s="36"/>
      <c r="BX22" s="36"/>
      <c r="BY22" s="36"/>
      <c r="BZ22" s="36"/>
      <c r="CA22" s="36"/>
      <c r="CB22" s="36"/>
      <c r="CC22" s="36"/>
      <c r="CD22" s="36"/>
      <c r="CE22" s="36"/>
      <c r="CF22" s="36"/>
      <c r="CG22" s="36"/>
      <c r="CH22" s="36"/>
      <c r="CI22" s="36"/>
    </row>
    <row r="23" spans="1:87" s="3" customFormat="1" ht="15" customHeight="1">
      <c r="A23" s="1070"/>
      <c r="B23" s="1860"/>
      <c r="C23" s="1861"/>
      <c r="D23" s="1862"/>
      <c r="E23" s="1196" t="s">
        <v>1352</v>
      </c>
      <c r="F23" s="1197">
        <f t="array" ref="F23">SUM(IF(FREQUENCY(MATCH(I$36:I$374,I$36:I$374,0),IF($L$36:$L$374&amp;$O$36:$O$374&amp;$P$36:$P$374="IFA1C",MATCH(I$36:I$374,I$36:I$374,0),0))&gt;0,1),0)-1</f>
        <v>9</v>
      </c>
      <c r="G23" s="1198">
        <f t="array" ref="G23">SUM(IF(FREQUENCY(MATCH(J$36:J$374,J$36:J$374,0),IF($L$36:$L$374&amp;$O$36:$O$374&amp;$P$36:$P$374="IFA1C",MATCH(J$36:J$374,J$36:J$374,0),0))&gt;0,1),0)-1</f>
        <v>8</v>
      </c>
      <c r="H23" s="1199">
        <f t="array" ref="H23">F23-(SUM(IF(FREQUENCY(MATCH(I$36:I$374,I$36:I$374,0),IF($L$36:$L$374&amp;$O$36:$O$374&amp;$P$36:$P$374&amp;$S$36:$S$374="IFA1CY",MATCH(I$36:I$374,I$36:I$374,0),0))&gt;0,1),0)-1)</f>
        <v>9</v>
      </c>
      <c r="I23" s="1200">
        <f t="array" ref="I23">G23-(SUM(IF(FREQUENCY(MATCH(J$36:J$374,J$36:J$374,0),IF($L$36:$L$374&amp;$O$36:$O$374&amp;$P$36:$P$374&amp;$S$36:$S$374="IFA1CY",MATCH(J$36:J$374,J$36:J$374,0),0))&gt;0,1),0)-1)</f>
        <v>8</v>
      </c>
      <c r="J23" s="1185" t="str">
        <f>'FIG3'!V56</f>
        <v>FA5</v>
      </c>
      <c r="K23" s="1072" t="s">
        <v>1447</v>
      </c>
      <c r="L23" s="1841" t="s">
        <v>1459</v>
      </c>
      <c r="M23" s="1842"/>
      <c r="N23" s="1847" t="s">
        <v>1274</v>
      </c>
      <c r="O23" s="1848"/>
      <c r="P23" s="1073" t="str">
        <f>IF(AND(R23&gt;-0.01,R23&lt;0.01),"","CHECK!")</f>
        <v/>
      </c>
      <c r="Q23" s="1074">
        <f>Q19+Q21</f>
        <v>5249197193.0299997</v>
      </c>
      <c r="R23" s="1075">
        <f>Q6-Q23</f>
        <v>0</v>
      </c>
      <c r="S23" s="1076" t="s">
        <v>1311</v>
      </c>
      <c r="T23" s="1169" t="s">
        <v>1252</v>
      </c>
      <c r="U23" s="1847" t="s">
        <v>1274</v>
      </c>
      <c r="V23" s="1848"/>
      <c r="W23" s="1073" t="str">
        <f>IF(AND(AE23&gt;-0.01,AE23&lt;0.01),"","CHECK!")</f>
        <v/>
      </c>
      <c r="X23" s="1074">
        <f t="shared" ref="X23:AC24" si="18">X19+X21</f>
        <v>815268896.76000047</v>
      </c>
      <c r="Y23" s="1074">
        <f t="shared" si="18"/>
        <v>2372611931.1099997</v>
      </c>
      <c r="Z23" s="1074">
        <f t="shared" si="18"/>
        <v>1449262988.8400004</v>
      </c>
      <c r="AA23" s="1074">
        <f t="shared" si="18"/>
        <v>608915488.74999976</v>
      </c>
      <c r="AB23" s="1074">
        <f t="shared" si="18"/>
        <v>3137887.5700000008</v>
      </c>
      <c r="AC23" s="1074">
        <f t="shared" si="18"/>
        <v>0</v>
      </c>
      <c r="AD23" s="1074">
        <f t="shared" si="1"/>
        <v>5249197193.0299997</v>
      </c>
      <c r="AE23" s="1075">
        <f>X6-X23</f>
        <v>0</v>
      </c>
      <c r="AF23" s="1076" t="s">
        <v>1311</v>
      </c>
      <c r="AG23" s="1169" t="s">
        <v>1252</v>
      </c>
      <c r="AH23" s="1054"/>
      <c r="AI23" s="1054"/>
      <c r="AJ23" s="1094"/>
      <c r="AK23" s="1095" t="s">
        <v>1437</v>
      </c>
      <c r="AL23" s="1131"/>
      <c r="AM23" s="1155">
        <f t="shared" si="12"/>
        <v>3015.2892169189649</v>
      </c>
      <c r="AN23" s="1155">
        <f t="shared" si="12"/>
        <v>2307.3793758113984</v>
      </c>
      <c r="AO23" s="1155" t="str">
        <f t="shared" si="13"/>
        <v/>
      </c>
      <c r="AP23" s="1155" t="str">
        <f t="shared" si="13"/>
        <v/>
      </c>
      <c r="AQ23" s="1155" t="str">
        <f t="shared" si="13"/>
        <v/>
      </c>
      <c r="AR23" s="1155" t="str">
        <f t="shared" si="13"/>
        <v/>
      </c>
      <c r="AS23" s="1195">
        <f t="shared" si="14"/>
        <v>5322.6685927303633</v>
      </c>
      <c r="AT23" s="1054"/>
      <c r="AU23" s="1054"/>
      <c r="AV23" s="1827" t="s">
        <v>1274</v>
      </c>
      <c r="AW23" s="1832"/>
      <c r="AX23" s="1098" t="str">
        <f>IF(AND(BF23&gt;-0.01,BF23&lt;0.01),"","CHECK!")</f>
        <v/>
      </c>
      <c r="AY23" s="1099">
        <f t="shared" ref="AY23:BD24" si="19">AY19+AY21</f>
        <v>815268896.76000047</v>
      </c>
      <c r="AZ23" s="1099">
        <f t="shared" si="19"/>
        <v>2372611931.1099997</v>
      </c>
      <c r="BA23" s="1099">
        <f t="shared" si="19"/>
        <v>1449262988.8400004</v>
      </c>
      <c r="BB23" s="1099">
        <f t="shared" si="19"/>
        <v>608915488.74999976</v>
      </c>
      <c r="BC23" s="1099">
        <f t="shared" si="19"/>
        <v>3137887.5700000008</v>
      </c>
      <c r="BD23" s="1099">
        <f t="shared" si="19"/>
        <v>0</v>
      </c>
      <c r="BE23" s="1100">
        <f t="shared" si="3"/>
        <v>5249197193.0299997</v>
      </c>
      <c r="BF23" s="1101">
        <f>AY6-AY23</f>
        <v>0</v>
      </c>
      <c r="BG23" s="1102" t="s">
        <v>1311</v>
      </c>
      <c r="BH23" s="1171" t="s">
        <v>1252</v>
      </c>
      <c r="BI23" s="1054"/>
      <c r="BJ23" s="1054"/>
      <c r="BK23" s="1104"/>
      <c r="BL23" s="1105" t="s">
        <v>1437</v>
      </c>
      <c r="BM23" s="1135"/>
      <c r="BN23" s="1159">
        <f t="shared" si="15"/>
        <v>3015.2892169189649</v>
      </c>
      <c r="BO23" s="1159">
        <f t="shared" si="15"/>
        <v>2307.3793758113984</v>
      </c>
      <c r="BP23" s="1159" t="str">
        <f t="shared" si="16"/>
        <v/>
      </c>
      <c r="BQ23" s="1159" t="str">
        <f t="shared" si="16"/>
        <v/>
      </c>
      <c r="BR23" s="1159" t="str">
        <f t="shared" si="16"/>
        <v/>
      </c>
      <c r="BS23" s="1159" t="str">
        <f t="shared" si="16"/>
        <v/>
      </c>
      <c r="BT23" s="1160">
        <f t="shared" si="17"/>
        <v>5322.6685927303633</v>
      </c>
      <c r="BU23" s="1054"/>
      <c r="BV23" s="1054"/>
      <c r="BW23" s="36"/>
      <c r="BX23" s="36"/>
      <c r="BY23" s="36"/>
      <c r="BZ23" s="36"/>
      <c r="CA23" s="36"/>
      <c r="CB23" s="36"/>
      <c r="CC23" s="36"/>
      <c r="CD23" s="36"/>
      <c r="CE23" s="36"/>
      <c r="CF23" s="36"/>
      <c r="CG23" s="36"/>
      <c r="CH23" s="36"/>
      <c r="CI23" s="36"/>
    </row>
    <row r="24" spans="1:87" s="3" customFormat="1" ht="15" customHeight="1" thickBot="1">
      <c r="A24" s="1070"/>
      <c r="B24" s="1860"/>
      <c r="C24" s="1861"/>
      <c r="D24" s="1862"/>
      <c r="E24" s="1196" t="s">
        <v>1353</v>
      </c>
      <c r="F24" s="1197">
        <f t="array" ref="F24">SUM(IF(FREQUENCY(MATCH(I$36:I$374,I$36:I$374,0),IF($L$36:$L$374&amp;$O$36:$O$374&amp;$P$36:$P$374="IFA2C",MATCH(I$36:I$374,I$36:I$374,0),0))&gt;0,1),0)-1</f>
        <v>0</v>
      </c>
      <c r="G24" s="1198">
        <f t="array" ref="G24">SUM(IF(FREQUENCY(MATCH(J$36:J$374,J$36:J$374,0),IF($L$36:$L$374&amp;$O$36:$O$374&amp;$P$36:$P$374="IFA2C",MATCH(J$36:J$374,J$36:J$374,0),0))&gt;0,1),0)-1</f>
        <v>0</v>
      </c>
      <c r="H24" s="1199">
        <f t="array" ref="H24">F24-(SUM(IF(FREQUENCY(MATCH(I$36:I$374,I$36:I$374,0),IF($L$36:$L$374&amp;$O$36:$O$374&amp;$P$36:$P$374&amp;$S$36:$S$374="IFA2CY",MATCH(I$36:I$374,I$36:I$374,0),0))&gt;0,1),0)-1)</f>
        <v>0</v>
      </c>
      <c r="I24" s="1200">
        <f t="array" ref="I24">G24-(SUM(IF(FREQUENCY(MATCH(J$36:J$374,J$36:J$374,0),IF($L$36:$L$374&amp;$O$36:$O$374&amp;$P$36:$P$374&amp;$S$36:$S$374="IFA2CY",MATCH(J$36:J$374,J$36:J$374,0),0))&gt;0,1),0)-1)</f>
        <v>0</v>
      </c>
      <c r="J24" s="1185" t="str">
        <f>'FIG3'!W56</f>
        <v>FA5L1</v>
      </c>
      <c r="K24" s="1072" t="s">
        <v>1448</v>
      </c>
      <c r="L24" s="1841" t="s">
        <v>1460</v>
      </c>
      <c r="M24" s="1842"/>
      <c r="N24" s="1847" t="s">
        <v>1277</v>
      </c>
      <c r="O24" s="1848"/>
      <c r="P24" s="1073" t="str">
        <f>IF(AND(R24&gt;-0.01,R24&lt;0.01),"","CHECK!")</f>
        <v/>
      </c>
      <c r="Q24" s="1074">
        <f>Q20+Q22</f>
        <v>53202531.510000005</v>
      </c>
      <c r="R24" s="1075">
        <f>Q7-Q24</f>
        <v>0</v>
      </c>
      <c r="S24" s="1076" t="s">
        <v>1313</v>
      </c>
      <c r="T24" s="1169" t="s">
        <v>1253</v>
      </c>
      <c r="U24" s="1847" t="s">
        <v>1277</v>
      </c>
      <c r="V24" s="1848"/>
      <c r="W24" s="1073" t="str">
        <f>IF(AND(AE24&gt;-0.01,AE24&lt;0.01),"","CHECK!")</f>
        <v/>
      </c>
      <c r="X24" s="1201">
        <f t="shared" si="18"/>
        <v>7677790.1400000006</v>
      </c>
      <c r="Y24" s="1201">
        <f t="shared" si="18"/>
        <v>39558360.810000002</v>
      </c>
      <c r="Z24" s="1201">
        <f t="shared" si="18"/>
        <v>0</v>
      </c>
      <c r="AA24" s="1201">
        <f t="shared" si="18"/>
        <v>5966380.5600000005</v>
      </c>
      <c r="AB24" s="1201">
        <f t="shared" si="18"/>
        <v>0</v>
      </c>
      <c r="AC24" s="1201">
        <f t="shared" si="18"/>
        <v>0</v>
      </c>
      <c r="AD24" s="1201">
        <f t="shared" si="1"/>
        <v>53202531.510000005</v>
      </c>
      <c r="AE24" s="1075">
        <f>X7-X24</f>
        <v>0</v>
      </c>
      <c r="AF24" s="1076" t="s">
        <v>1313</v>
      </c>
      <c r="AG24" s="1169" t="s">
        <v>1253</v>
      </c>
      <c r="AH24" s="1054"/>
      <c r="AI24" s="1054"/>
      <c r="AJ24" s="1094"/>
      <c r="AK24" s="1095" t="s">
        <v>1282</v>
      </c>
      <c r="AL24" s="1131"/>
      <c r="AM24" s="1155">
        <f t="shared" si="12"/>
        <v>1765.7602872865868</v>
      </c>
      <c r="AN24" s="1155">
        <f t="shared" si="12"/>
        <v>2365.2207249427775</v>
      </c>
      <c r="AO24" s="1155" t="str">
        <f t="shared" si="13"/>
        <v/>
      </c>
      <c r="AP24" s="1155" t="str">
        <f t="shared" si="13"/>
        <v/>
      </c>
      <c r="AQ24" s="1155" t="str">
        <f t="shared" si="13"/>
        <v/>
      </c>
      <c r="AR24" s="1155" t="str">
        <f t="shared" si="13"/>
        <v/>
      </c>
      <c r="AS24" s="1195">
        <f t="shared" si="14"/>
        <v>4130.9810122293638</v>
      </c>
      <c r="AT24" s="1054"/>
      <c r="AU24" s="1054"/>
      <c r="AV24" s="1827" t="s">
        <v>1277</v>
      </c>
      <c r="AW24" s="1832"/>
      <c r="AX24" s="1098" t="str">
        <f>IF(AND(BF24&gt;-0.01,BF24&lt;0.01),"","CHECK!")</f>
        <v/>
      </c>
      <c r="AY24" s="1099">
        <f t="shared" si="19"/>
        <v>7677790.1400000006</v>
      </c>
      <c r="AZ24" s="1099">
        <f t="shared" si="19"/>
        <v>39558360.810000002</v>
      </c>
      <c r="BA24" s="1099">
        <f t="shared" si="19"/>
        <v>0</v>
      </c>
      <c r="BB24" s="1099">
        <f t="shared" si="19"/>
        <v>5966380.5600000005</v>
      </c>
      <c r="BC24" s="1099">
        <f t="shared" si="19"/>
        <v>0</v>
      </c>
      <c r="BD24" s="1099">
        <f t="shared" si="19"/>
        <v>0</v>
      </c>
      <c r="BE24" s="1100">
        <f t="shared" si="3"/>
        <v>53202531.510000005</v>
      </c>
      <c r="BF24" s="1101">
        <f>AY7-AY24</f>
        <v>0</v>
      </c>
      <c r="BG24" s="1102" t="s">
        <v>1313</v>
      </c>
      <c r="BH24" s="1171" t="s">
        <v>1253</v>
      </c>
      <c r="BI24" s="1054"/>
      <c r="BJ24" s="1054"/>
      <c r="BK24" s="1104"/>
      <c r="BL24" s="1105" t="s">
        <v>1282</v>
      </c>
      <c r="BM24" s="1135"/>
      <c r="BN24" s="1159">
        <f t="shared" si="15"/>
        <v>1765.7602872865868</v>
      </c>
      <c r="BO24" s="1159">
        <f t="shared" si="15"/>
        <v>2365.2207249427775</v>
      </c>
      <c r="BP24" s="1159" t="str">
        <f t="shared" si="16"/>
        <v/>
      </c>
      <c r="BQ24" s="1159" t="str">
        <f t="shared" si="16"/>
        <v/>
      </c>
      <c r="BR24" s="1159" t="str">
        <f t="shared" si="16"/>
        <v/>
      </c>
      <c r="BS24" s="1159" t="str">
        <f t="shared" si="16"/>
        <v/>
      </c>
      <c r="BT24" s="1160">
        <f t="shared" si="17"/>
        <v>4130.9810122293638</v>
      </c>
      <c r="BU24" s="1054"/>
      <c r="BV24" s="1054"/>
      <c r="BW24" s="36"/>
      <c r="BX24" s="36"/>
      <c r="BY24" s="36"/>
      <c r="BZ24" s="36"/>
      <c r="CA24" s="36"/>
      <c r="CB24" s="36"/>
      <c r="CC24" s="36"/>
      <c r="CD24" s="36"/>
      <c r="CE24" s="36"/>
      <c r="CF24" s="36"/>
      <c r="CG24" s="36"/>
      <c r="CH24" s="36"/>
      <c r="CI24" s="36"/>
    </row>
    <row r="25" spans="1:87" s="3" customFormat="1" ht="15" customHeight="1" thickBot="1">
      <c r="A25" s="1070"/>
      <c r="B25" s="1860"/>
      <c r="C25" s="1861"/>
      <c r="D25" s="1862"/>
      <c r="E25" s="1202" t="s">
        <v>1354</v>
      </c>
      <c r="F25" s="1197">
        <f t="array" ref="F25">SUM(IF(FREQUENCY(MATCH(I$36:I$374,I$36:I$374,0),IF($L$36:$L$374&amp;$O$36:$O$374&amp;$P$36:$P$374="IFA3C",MATCH(I$36:I$374,I$36:I$374,0),0))&gt;0,1),0)-1</f>
        <v>0</v>
      </c>
      <c r="G25" s="1198">
        <f t="array" ref="G25">SUM(IF(FREQUENCY(MATCH(J$36:J$374,J$36:J$374,0),IF($L$36:$L$374&amp;$O$36:$O$374&amp;$P$36:$P$374="IFA3C",MATCH(J$36:J$374,J$36:J$374,0),0))&gt;0,1),0)-1</f>
        <v>0</v>
      </c>
      <c r="H25" s="1200">
        <f t="array" ref="H25">F25-(SUM(IF(FREQUENCY(MATCH(I$36:I$374,I$36:I$374,0),IF($L$36:$L$374&amp;$O$36:$O$374&amp;$P$36:$P$374&amp;$S$36:$S$374="IFA3CY",MATCH(I$36:I$374,I$36:I$374,0),0))&gt;0,1),0)-1)</f>
        <v>0</v>
      </c>
      <c r="I25" s="1200">
        <f t="array" ref="I25">G25-(SUM(IF(FREQUENCY(MATCH(J$36:J$374,J$36:J$374,0),IF($L$36:$L$374&amp;$O$36:$O$374&amp;$P$36:$P$374&amp;$S$36:$S$374="IFA3CY",MATCH(J$36:J$374,J$36:J$374,0),0))&gt;0,1),0)-1)</f>
        <v>0</v>
      </c>
      <c r="J25" s="1194" t="str">
        <f>'FIG3'!X56</f>
        <v>FA5L2</v>
      </c>
      <c r="K25" s="1072" t="s">
        <v>1449</v>
      </c>
      <c r="L25" s="1841" t="s">
        <v>1461</v>
      </c>
      <c r="M25" s="1842"/>
      <c r="N25" s="1847" t="s">
        <v>1280</v>
      </c>
      <c r="O25" s="1848"/>
      <c r="P25" s="1073" t="str">
        <f>IF(AND(R25&gt;-0.01,R25&lt;0.01),"","CHECK!")</f>
        <v/>
      </c>
      <c r="Q25" s="1074">
        <f>Q23+Q24</f>
        <v>5302399724.54</v>
      </c>
      <c r="R25" s="1203">
        <f>Q5-Q25</f>
        <v>0</v>
      </c>
      <c r="S25" s="1109" t="s">
        <v>1320</v>
      </c>
      <c r="T25" s="1169" t="s">
        <v>1254</v>
      </c>
      <c r="U25" s="1843" t="s">
        <v>1280</v>
      </c>
      <c r="V25" s="1844"/>
      <c r="W25" s="1073" t="str">
        <f>IF(AND(AE25&gt;-0.01,AE25&lt;0.01),"","CHECK!")</f>
        <v/>
      </c>
      <c r="X25" s="1204">
        <f t="shared" ref="X25:AC25" si="20">X23+X24</f>
        <v>822946686.90000045</v>
      </c>
      <c r="Y25" s="1204">
        <f t="shared" si="20"/>
        <v>2412170291.9199996</v>
      </c>
      <c r="Z25" s="1204">
        <f t="shared" si="20"/>
        <v>1449262988.8400004</v>
      </c>
      <c r="AA25" s="1204">
        <f t="shared" si="20"/>
        <v>614881869.3099997</v>
      </c>
      <c r="AB25" s="1204">
        <f t="shared" si="20"/>
        <v>3137887.5700000008</v>
      </c>
      <c r="AC25" s="1204">
        <f t="shared" si="20"/>
        <v>0</v>
      </c>
      <c r="AD25" s="1204">
        <f t="shared" si="1"/>
        <v>5302399724.54</v>
      </c>
      <c r="AE25" s="1203">
        <f>X8-X25</f>
        <v>0</v>
      </c>
      <c r="AF25" s="1076" t="s">
        <v>1317</v>
      </c>
      <c r="AG25" s="1205" t="s">
        <v>1254</v>
      </c>
      <c r="AH25" s="1054"/>
      <c r="AI25" s="1054"/>
      <c r="AJ25" s="1094"/>
      <c r="AK25" s="1095" t="s">
        <v>1283</v>
      </c>
      <c r="AL25" s="1131"/>
      <c r="AM25" s="1155">
        <f t="shared" si="12"/>
        <v>798.56713089842549</v>
      </c>
      <c r="AN25" s="1155">
        <f t="shared" si="12"/>
        <v>281.66180821944567</v>
      </c>
      <c r="AO25" s="1155" t="str">
        <f t="shared" si="13"/>
        <v/>
      </c>
      <c r="AP25" s="1155" t="str">
        <f t="shared" si="13"/>
        <v/>
      </c>
      <c r="AQ25" s="1155" t="str">
        <f t="shared" si="13"/>
        <v/>
      </c>
      <c r="AR25" s="1155" t="str">
        <f t="shared" si="13"/>
        <v/>
      </c>
      <c r="AS25" s="1195">
        <f t="shared" si="14"/>
        <v>1080.2289391178711</v>
      </c>
      <c r="AT25" s="1054"/>
      <c r="AU25" s="1054"/>
      <c r="AV25" s="1833" t="s">
        <v>1280</v>
      </c>
      <c r="AW25" s="1834"/>
      <c r="AX25" s="1098" t="str">
        <f>IF(AND(BF25&gt;-0.01,BF25&lt;0.01),"","CHECK!")</f>
        <v/>
      </c>
      <c r="AY25" s="1157">
        <f t="shared" ref="AY25:BD25" si="21">AY23+AY24</f>
        <v>822946686.90000045</v>
      </c>
      <c r="AZ25" s="1157">
        <f t="shared" si="21"/>
        <v>2412170291.9199996</v>
      </c>
      <c r="BA25" s="1157">
        <f t="shared" si="21"/>
        <v>1449262988.8400004</v>
      </c>
      <c r="BB25" s="1157">
        <f t="shared" si="21"/>
        <v>614881869.3099997</v>
      </c>
      <c r="BC25" s="1157">
        <f t="shared" si="21"/>
        <v>3137887.5700000008</v>
      </c>
      <c r="BD25" s="1157">
        <f t="shared" si="21"/>
        <v>0</v>
      </c>
      <c r="BE25" s="1158">
        <f t="shared" si="3"/>
        <v>5302399724.54</v>
      </c>
      <c r="BF25" s="1206">
        <f>AY8-AY25</f>
        <v>0</v>
      </c>
      <c r="BG25" s="1102" t="s">
        <v>1317</v>
      </c>
      <c r="BH25" s="1207" t="s">
        <v>1254</v>
      </c>
      <c r="BI25" s="1054"/>
      <c r="BJ25" s="1054"/>
      <c r="BK25" s="1104"/>
      <c r="BL25" s="1105" t="s">
        <v>1283</v>
      </c>
      <c r="BM25" s="1135"/>
      <c r="BN25" s="1159">
        <f t="shared" si="15"/>
        <v>798.56713089842549</v>
      </c>
      <c r="BO25" s="1159">
        <f t="shared" si="15"/>
        <v>281.66180821944567</v>
      </c>
      <c r="BP25" s="1159" t="str">
        <f t="shared" si="16"/>
        <v/>
      </c>
      <c r="BQ25" s="1159" t="str">
        <f t="shared" si="16"/>
        <v/>
      </c>
      <c r="BR25" s="1159" t="str">
        <f t="shared" si="16"/>
        <v/>
      </c>
      <c r="BS25" s="1159" t="str">
        <f t="shared" si="16"/>
        <v/>
      </c>
      <c r="BT25" s="1160">
        <f t="shared" si="17"/>
        <v>1080.2289391178711</v>
      </c>
      <c r="BU25" s="1054"/>
      <c r="BV25" s="1054"/>
      <c r="BW25" s="36"/>
      <c r="BX25" s="36"/>
      <c r="BY25" s="36"/>
      <c r="BZ25" s="36"/>
      <c r="CA25" s="36"/>
      <c r="CB25" s="36"/>
      <c r="CC25" s="36"/>
      <c r="CD25" s="36"/>
      <c r="CE25" s="36"/>
      <c r="CF25" s="36"/>
      <c r="CG25" s="36"/>
      <c r="CH25" s="36"/>
      <c r="CI25" s="36"/>
    </row>
    <row r="26" spans="1:87" s="3" customFormat="1" ht="15" customHeight="1" thickTop="1">
      <c r="A26" s="1070"/>
      <c r="B26" s="1860"/>
      <c r="C26" s="1861"/>
      <c r="D26" s="1862"/>
      <c r="E26" s="1202" t="s">
        <v>1355</v>
      </c>
      <c r="F26" s="1197">
        <f t="array" ref="F26">SUM(IF(FREQUENCY(MATCH(I$36:I$374,I$36:I$374,0),IF($L$36:$L$374&amp;$O$36:$O$374&amp;$P$36:$P$374="IFA4C",MATCH(I$36:I$374,I$36:I$374,0),0))&gt;0,1),0)-1</f>
        <v>0</v>
      </c>
      <c r="G26" s="1198">
        <f t="array" ref="G26">SUM(IF(FREQUENCY(MATCH(J$36:J$374,J$36:J$374,0),IF($L$36:$L$374&amp;$O$36:$O$374&amp;$P$36:$P$374="IFA4C",MATCH(J$36:J$374,J$36:J$374,0),0))&gt;0,1),0)-1</f>
        <v>0</v>
      </c>
      <c r="H26" s="1200">
        <f t="array" ref="H26">F26-(SUM(IF(FREQUENCY(MATCH(I$36:I$374,I$36:I$374,0),IF($L$36:$L$374&amp;$O$36:$O$374&amp;$P$36:$P$374&amp;$S$36:$S$374="IFA4CY",MATCH(I$36:I$374,I$36:I$374,0),0))&gt;0,1),0)-1)</f>
        <v>0</v>
      </c>
      <c r="I26" s="1200">
        <f t="array" ref="I26">G26-(SUM(IF(FREQUENCY(MATCH(J$36:J$374,J$36:J$374,0),IF($L$36:$L$374&amp;$O$36:$O$374&amp;$P$36:$P$374&amp;$S$36:$S$374="IFA4CY",MATCH(J$36:J$374,J$36:J$374,0),0))&gt;0,1),0)-1)</f>
        <v>0</v>
      </c>
      <c r="J26" s="1208"/>
      <c r="K26" s="1072" t="s">
        <v>1450</v>
      </c>
      <c r="L26" s="1841" t="s">
        <v>1462</v>
      </c>
      <c r="M26" s="1842"/>
      <c r="N26" s="1845" t="s">
        <v>1278</v>
      </c>
      <c r="O26" s="1846"/>
      <c r="P26" s="1209"/>
      <c r="Q26" s="1210">
        <f>SUMIFS($R$36:$R$374,$M$36:$M$374,"ADJ*",$P$36:$P$374,"D")</f>
        <v>0</v>
      </c>
      <c r="R26" s="1075"/>
      <c r="S26" s="1075"/>
      <c r="T26" s="1211" t="s">
        <v>1255</v>
      </c>
      <c r="U26" s="1845" t="s">
        <v>1278</v>
      </c>
      <c r="V26" s="1846"/>
      <c r="W26" s="1212"/>
      <c r="X26" s="1210">
        <f>SUMIFS($R$36:$R$374,$M$36:$M$374,"ADJ*",$P$36:$P$374,"D",$Q$36:$Q$374,"F",$L$36:$L$374,"I")</f>
        <v>0</v>
      </c>
      <c r="Y26" s="1210">
        <f>SUMIFS($R$36:$R$374,$M$36:$M$374,"ADJ*",$P$36:$P$374,"D",$Q$36:$Q$374,"S",$L$36:$L$374,"I")</f>
        <v>0</v>
      </c>
      <c r="Z26" s="1210">
        <f>SUMIFS($R$36:$R$374,$M$36:$M$374,"ADJ*",$P$36:$P$374,"D",$Q$36:$Q$374,"L",$L$36:$L$374,"I")</f>
        <v>0</v>
      </c>
      <c r="AA26" s="1210">
        <f>SUMIFS($R$36:$R$374,$M$36:$M$374,"ADJ*",$P$36:$P$374,"D",$Q$36:$Q$374,"O",$L$36:$L$374,"I")</f>
        <v>0</v>
      </c>
      <c r="AB26" s="1210">
        <f>SUMIFS($R$36:$R$374,$M$36:$M$374,"ADJ*",$P$36:$P$374,"D",$Q$36:$Q$374,"P",$L$36:$L$374,"I")</f>
        <v>0</v>
      </c>
      <c r="AC26" s="1210">
        <f>SUMIFS($R$36:$R$374,$M$36:$M$374,"ADJ*",$P$36:$P$374,"D",$Q$36:$Q$374,"N",$L$36:$L$374,"I")</f>
        <v>0</v>
      </c>
      <c r="AD26" s="1210">
        <f t="shared" si="1"/>
        <v>0</v>
      </c>
      <c r="AE26" s="1075"/>
      <c r="AF26" s="1213"/>
      <c r="AG26" s="1211" t="s">
        <v>1255</v>
      </c>
      <c r="AH26" s="1054"/>
      <c r="AI26" s="1054"/>
      <c r="AJ26" s="1094"/>
      <c r="AK26" s="1095" t="s">
        <v>1185</v>
      </c>
      <c r="AL26" s="1131"/>
      <c r="AM26" s="1155">
        <f t="shared" si="12"/>
        <v>4.2015843551783867</v>
      </c>
      <c r="AN26" s="1155">
        <f t="shared" si="12"/>
        <v>0.36616081869441314</v>
      </c>
      <c r="AO26" s="1155" t="str">
        <f t="shared" si="13"/>
        <v/>
      </c>
      <c r="AP26" s="1155" t="str">
        <f t="shared" si="13"/>
        <v/>
      </c>
      <c r="AQ26" s="1155" t="str">
        <f t="shared" si="13"/>
        <v/>
      </c>
      <c r="AR26" s="1155" t="str">
        <f t="shared" si="13"/>
        <v/>
      </c>
      <c r="AS26" s="1195">
        <f t="shared" si="14"/>
        <v>4.5677451738728001</v>
      </c>
      <c r="AT26" s="1054"/>
      <c r="AU26" s="1054"/>
      <c r="AV26" s="1835" t="s">
        <v>1278</v>
      </c>
      <c r="AW26" s="1836"/>
      <c r="AX26" s="1214"/>
      <c r="AY26" s="1153">
        <f>SUMIFS($R$36:$R$374,$M$36:$M$374,"ADJ*",$P$36:$P$374,"D",$Q$36:$Q$374,"F",$L$36:$L$374,"I")</f>
        <v>0</v>
      </c>
      <c r="AZ26" s="1153">
        <f>SUMIFS($R$36:$R$374,$M$36:$M$374,"ADJ*",$P$36:$P$374,"D",$Q$36:$Q$374,"S",$L$36:$L$374,"I")</f>
        <v>0</v>
      </c>
      <c r="BA26" s="1153">
        <f>SUMIFS($R$36:$R$374,$M$36:$M$374,"ADJ*",$P$36:$P$374,"D",$Q$36:$Q$374,"L",$L$36:$L$374,"I")</f>
        <v>0</v>
      </c>
      <c r="BB26" s="1153">
        <f>SUMIFS($R$36:$R$374,$M$36:$M$374,"ADJ*",$P$36:$P$374,"D",$Q$36:$Q$374,"O",$L$36:$L$374,"I")</f>
        <v>0</v>
      </c>
      <c r="BC26" s="1153">
        <f>SUMIFS($R$36:$R$374,$M$36:$M$374,"ADJ*",$P$36:$P$374,"D",$Q$36:$Q$374,"P",$L$36:$L$374,"I")</f>
        <v>0</v>
      </c>
      <c r="BD26" s="1153">
        <f>SUMIFS($R$36:$R$374,$M$36:$M$374,"ADJ*",$P$36:$P$374,"D",$Q$36:$Q$374,"N",$L$36:$L$374,"I")</f>
        <v>0</v>
      </c>
      <c r="BE26" s="1154">
        <f t="shared" si="3"/>
        <v>0</v>
      </c>
      <c r="BF26" s="1101"/>
      <c r="BG26" s="1215"/>
      <c r="BH26" s="1216" t="s">
        <v>1255</v>
      </c>
      <c r="BI26" s="1054"/>
      <c r="BJ26" s="1054"/>
      <c r="BK26" s="1104"/>
      <c r="BL26" s="1105" t="s">
        <v>1185</v>
      </c>
      <c r="BM26" s="1135"/>
      <c r="BN26" s="1159">
        <f t="shared" si="15"/>
        <v>4.2015843551783867</v>
      </c>
      <c r="BO26" s="1159">
        <f t="shared" si="15"/>
        <v>0.36616081869441314</v>
      </c>
      <c r="BP26" s="1159" t="str">
        <f t="shared" si="16"/>
        <v/>
      </c>
      <c r="BQ26" s="1159" t="str">
        <f t="shared" si="16"/>
        <v/>
      </c>
      <c r="BR26" s="1159" t="str">
        <f t="shared" si="16"/>
        <v/>
      </c>
      <c r="BS26" s="1159" t="str">
        <f t="shared" si="16"/>
        <v/>
      </c>
      <c r="BT26" s="1160">
        <f t="shared" si="17"/>
        <v>4.5677451738728001</v>
      </c>
      <c r="BU26" s="1054"/>
      <c r="BV26" s="1054"/>
      <c r="BW26" s="36"/>
      <c r="BX26" s="36"/>
      <c r="BY26" s="36"/>
      <c r="BZ26" s="36"/>
      <c r="CA26" s="36"/>
      <c r="CB26" s="36"/>
      <c r="CC26" s="36"/>
      <c r="CD26" s="36"/>
      <c r="CE26" s="36"/>
      <c r="CF26" s="36"/>
      <c r="CG26" s="36"/>
      <c r="CH26" s="36"/>
      <c r="CI26" s="36"/>
    </row>
    <row r="27" spans="1:87" s="3" customFormat="1" ht="15" customHeight="1" thickBot="1">
      <c r="A27" s="1070"/>
      <c r="B27" s="1860"/>
      <c r="C27" s="1861"/>
      <c r="D27" s="1862"/>
      <c r="E27" s="1202" t="s">
        <v>1356</v>
      </c>
      <c r="F27" s="1197">
        <f t="array" ref="F27">SUM(IF(FREQUENCY(MATCH(I$36:I$374,I$36:I$374,0),IF($L$36:$L$374&amp;$O$36:$O$374&amp;$P$36:$P$374="IFA5C",MATCH(I$36:I$374,I$36:I$374,0),0))&gt;0,1),0)-1</f>
        <v>0</v>
      </c>
      <c r="G27" s="1198">
        <f t="array" ref="G27">SUM(IF(FREQUENCY(MATCH(J$36:J$374,J$36:J$374,0),IF($L$36:$L$374&amp;$O$36:$O$374&amp;$P$36:$P$374="IFA5C",MATCH(J$36:J$374,J$36:J$374,0),0))&gt;0,1),0)-1</f>
        <v>0</v>
      </c>
      <c r="H27" s="1200">
        <f t="array" ref="H27">F27-(SUM(IF(FREQUENCY(MATCH(I$36:I$374,I$36:I$374,0),IF($L$36:$L$374&amp;$O$36:$O$374&amp;$P$36:$P$374&amp;$S$36:$S$374="IFA5CY",MATCH(I$36:I$374,I$36:I$374,0),0))&gt;0,1),0)-1)</f>
        <v>0</v>
      </c>
      <c r="I27" s="1200">
        <f t="array" ref="I27">G27-(SUM(IF(FREQUENCY(MATCH(J$36:J$374,J$36:J$374,0),IF($L$36:$L$374&amp;$O$36:$O$374&amp;$P$36:$P$374&amp;$S$36:$S$374="IFA5CY",MATCH(J$36:J$374,J$36:J$374,0),0))&gt;0,1),0)-1)</f>
        <v>0</v>
      </c>
      <c r="J27" s="1149"/>
      <c r="K27" s="1072" t="s">
        <v>1110</v>
      </c>
      <c r="L27" s="1841" t="s">
        <v>1106</v>
      </c>
      <c r="M27" s="1842"/>
      <c r="N27" s="1843" t="s">
        <v>1279</v>
      </c>
      <c r="O27" s="1844"/>
      <c r="P27" s="1217"/>
      <c r="Q27" s="1204">
        <f>SUMIFS($R$36:$R$374,$M$36:$M$374,"ADJ*",$P$36:$P$374,"C")</f>
        <v>0</v>
      </c>
      <c r="R27" s="1203"/>
      <c r="S27" s="1203"/>
      <c r="T27" s="1218" t="s">
        <v>1256</v>
      </c>
      <c r="U27" s="1843" t="s">
        <v>1279</v>
      </c>
      <c r="V27" s="1844"/>
      <c r="W27" s="1219"/>
      <c r="X27" s="1204">
        <f>SUMIFS($R$36:$R$374,$M$36:$M$374,"ADJ*",$P$36:$P$374,"C",$Q$36:$Q$374,"F",$L$36:$L$374,"I")</f>
        <v>0</v>
      </c>
      <c r="Y27" s="1204">
        <f>SUMIFS($R$36:$R$374,$M$36:$M$374,"ADJ*",$P$36:$P$374,"C",$Q$36:$Q$374,"S",$L$36:$L$374,"I")</f>
        <v>0</v>
      </c>
      <c r="Z27" s="1204">
        <f>SUMIFS($R$36:$R$374,$M$36:$M$374,"ADJ*",$P$36:$P$374,"C",$Q$36:$Q$374,"L",$L$36:$L$374,"I")</f>
        <v>0</v>
      </c>
      <c r="AA27" s="1204">
        <f>SUMIFS($R$36:$R$374,$M$36:$M$374,"ADJ*",$P$36:$P$374,"C",$Q$36:$Q$374,"O",$L$36:$L$374,"I")</f>
        <v>0</v>
      </c>
      <c r="AB27" s="1204">
        <f>SUMIFS($R$36:$R$374,$M$36:$M$374,"ADJ*",$P$36:$P$374,"C",$Q$36:$Q$374,"P",$L$36:$L$374,"I")</f>
        <v>0</v>
      </c>
      <c r="AC27" s="1204">
        <f>SUMIFS($R$36:$R$374,$M$36:$M$374,"ADJ*",$P$36:$P$374,"C",$Q$36:$Q$374,"N",$L$36:$L$374,"I")</f>
        <v>0</v>
      </c>
      <c r="AD27" s="1204">
        <f t="shared" si="1"/>
        <v>0</v>
      </c>
      <c r="AE27" s="1203"/>
      <c r="AF27" s="1109"/>
      <c r="AG27" s="1218" t="s">
        <v>1256</v>
      </c>
      <c r="AH27" s="1054"/>
      <c r="AI27" s="1054"/>
      <c r="AJ27" s="1094"/>
      <c r="AK27" s="1095" t="s">
        <v>1327</v>
      </c>
      <c r="AL27" s="1131"/>
      <c r="AM27" s="1155">
        <f t="shared" si="12"/>
        <v>0</v>
      </c>
      <c r="AN27" s="1155">
        <f t="shared" si="12"/>
        <v>0</v>
      </c>
      <c r="AO27" s="1155" t="str">
        <f t="shared" si="13"/>
        <v/>
      </c>
      <c r="AP27" s="1155" t="str">
        <f t="shared" si="13"/>
        <v/>
      </c>
      <c r="AQ27" s="1155" t="str">
        <f t="shared" si="13"/>
        <v/>
      </c>
      <c r="AR27" s="1155" t="str">
        <f t="shared" si="13"/>
        <v/>
      </c>
      <c r="AS27" s="1195">
        <f t="shared" si="14"/>
        <v>0</v>
      </c>
      <c r="AT27" s="1054"/>
      <c r="AU27" s="1054"/>
      <c r="AV27" s="1833" t="s">
        <v>1279</v>
      </c>
      <c r="AW27" s="1834"/>
      <c r="AX27" s="1214"/>
      <c r="AY27" s="1157">
        <f>SUMIFS($R$36:$R$374,$M$36:$M$374,"ADJ*",$P$36:$P$374,"C",$Q$36:$Q$374,"F",$L$36:$L$374,"I")</f>
        <v>0</v>
      </c>
      <c r="AZ27" s="1157">
        <f>SUMIFS($R$36:$R$374,$M$36:$M$374,"ADJ*",$P$36:$P$374,"C",$Q$36:$Q$374,"S",$L$36:$L$374,"I")</f>
        <v>0</v>
      </c>
      <c r="BA27" s="1157">
        <f>SUMIFS($R$36:$R$374,$M$36:$M$374,"ADJ*",$P$36:$P$374,"C",$Q$36:$Q$374,"L",$L$36:$L$374,"I")</f>
        <v>0</v>
      </c>
      <c r="BB27" s="1157">
        <f>SUMIFS($R$36:$R$374,$M$36:$M$374,"ADJ*",$P$36:$P$374,"C",$Q$36:$Q$374,"O",$L$36:$L$374,"I")</f>
        <v>0</v>
      </c>
      <c r="BC27" s="1157">
        <f>SUMIFS($R$36:$R$374,$M$36:$M$374,"ADJ*",$P$36:$P$374,"C",$Q$36:$Q$374,"P",$L$36:$L$374,"I")</f>
        <v>0</v>
      </c>
      <c r="BD27" s="1157">
        <f>SUMIFS($R$36:$R$374,$M$36:$M$374,"ADJ*",$P$36:$P$374,"C",$Q$36:$Q$374,"N",$L$36:$L$374,"I")</f>
        <v>0</v>
      </c>
      <c r="BE27" s="1158">
        <f t="shared" si="3"/>
        <v>0</v>
      </c>
      <c r="BF27" s="1206"/>
      <c r="BG27" s="1087"/>
      <c r="BH27" s="1088" t="s">
        <v>1256</v>
      </c>
      <c r="BI27" s="1054"/>
      <c r="BJ27" s="1054"/>
      <c r="BK27" s="1104"/>
      <c r="BL27" s="1105" t="s">
        <v>1327</v>
      </c>
      <c r="BM27" s="1135"/>
      <c r="BN27" s="1159">
        <f t="shared" si="15"/>
        <v>0</v>
      </c>
      <c r="BO27" s="1159">
        <f t="shared" si="15"/>
        <v>0</v>
      </c>
      <c r="BP27" s="1159" t="str">
        <f t="shared" si="16"/>
        <v/>
      </c>
      <c r="BQ27" s="1159" t="str">
        <f t="shared" si="16"/>
        <v/>
      </c>
      <c r="BR27" s="1159" t="str">
        <f t="shared" si="16"/>
        <v/>
      </c>
      <c r="BS27" s="1159" t="str">
        <f t="shared" si="16"/>
        <v/>
      </c>
      <c r="BT27" s="1160">
        <f t="shared" si="17"/>
        <v>0</v>
      </c>
      <c r="BU27" s="1054"/>
      <c r="BV27" s="1054"/>
      <c r="BW27" s="36"/>
      <c r="BX27" s="36"/>
      <c r="BY27" s="36"/>
      <c r="BZ27" s="36"/>
      <c r="CA27" s="36"/>
      <c r="CB27" s="36"/>
      <c r="CC27" s="36"/>
      <c r="CD27" s="36"/>
      <c r="CE27" s="36"/>
      <c r="CF27" s="36"/>
      <c r="CG27" s="36"/>
      <c r="CH27" s="36"/>
      <c r="CI27" s="36"/>
    </row>
    <row r="28" spans="1:87" s="3" customFormat="1" ht="15" customHeight="1" thickTop="1" thickBot="1">
      <c r="A28" s="1070"/>
      <c r="B28" s="1860"/>
      <c r="C28" s="1861"/>
      <c r="D28" s="1862"/>
      <c r="E28" s="1202" t="s">
        <v>1436</v>
      </c>
      <c r="F28" s="1197">
        <f t="array" ref="F28">SUM(IF(FREQUENCY(MATCH(I$36:I$374,I$36:I$374,0),IF($L$36:$L$374&amp;$O$36:$O$374&amp;$P$36:$P$374="INFAC",MATCH(I$36:I$374,I$36:I$374,0),0))&gt;0,1),0)-1</f>
        <v>10</v>
      </c>
      <c r="G28" s="1198">
        <f t="array" ref="G28">SUM(IF(FREQUENCY(MATCH(J$36:J$374,J$36:J$374,0),IF($L$36:$L$374&amp;$O$36:$O$374&amp;$P$36:$P$374="INFAC",MATCH(J$36:J$374,J$36:J$374,0),0))&gt;0,1),0)-1</f>
        <v>9</v>
      </c>
      <c r="H28" s="1199">
        <f t="array" ref="H28">F28-(SUM(IF(FREQUENCY(MATCH(I$36:I$374,I$36:I$374,0),IF($L$36:$L$374&amp;$O$36:$O$374&amp;$P$36:$P$374&amp;$S$36:$S$374="INFACY",MATCH(I$36:I$374,I$36:I$374,0),0))&gt;0,1),0)-1)</f>
        <v>10</v>
      </c>
      <c r="I28" s="1199">
        <f t="array" ref="I28">G28-(SUM(IF(FREQUENCY(MATCH(J$36:J$374,J$36:J$374,0),IF($L$36:$L$374&amp;$O$36:$O$374&amp;$P$36:$P$374&amp;$S$36:$S$374="INFACY",MATCH(J$36:J$374,J$36:J$374,0),0))&gt;0,1),0)-1)</f>
        <v>9</v>
      </c>
      <c r="J28" s="1208" t="s">
        <v>1061</v>
      </c>
      <c r="K28" s="1072" t="s">
        <v>1111</v>
      </c>
      <c r="L28" s="1841" t="s">
        <v>1107</v>
      </c>
      <c r="M28" s="1842"/>
      <c r="N28" s="1845" t="s">
        <v>1115</v>
      </c>
      <c r="O28" s="1846"/>
      <c r="P28" s="1073" t="str">
        <f>IF(AND(R28&gt;-0.01,R28&lt;0.01),"","CHECK!")</f>
        <v/>
      </c>
      <c r="Q28" s="1210"/>
      <c r="R28" s="1220">
        <f>Q19+Q20-AD19-AD20</f>
        <v>0</v>
      </c>
      <c r="S28" s="1221" t="s">
        <v>1316</v>
      </c>
      <c r="T28" s="1222" t="s">
        <v>1257</v>
      </c>
      <c r="U28" s="1845" t="s">
        <v>1115</v>
      </c>
      <c r="V28" s="1846"/>
      <c r="W28" s="1073" t="str">
        <f>IF(AND(AE28&gt;-0.01,AE28&lt;0.01),"","CHECK!")</f>
        <v/>
      </c>
      <c r="X28" s="1210"/>
      <c r="Y28" s="1210"/>
      <c r="Z28" s="1210"/>
      <c r="AA28" s="1223" t="str">
        <f>IF($AD$28=0,"","CHECK TOTALS!")</f>
        <v/>
      </c>
      <c r="AB28" s="1223"/>
      <c r="AC28" s="1224"/>
      <c r="AD28" s="1210"/>
      <c r="AE28" s="1220">
        <f>AD19+AD20-Q19-Q20</f>
        <v>0</v>
      </c>
      <c r="AF28" s="1076" t="s">
        <v>1315</v>
      </c>
      <c r="AG28" s="1222" t="s">
        <v>1257</v>
      </c>
      <c r="AH28" s="1054"/>
      <c r="AI28" s="1054"/>
      <c r="AJ28" s="1094" t="s">
        <v>1289</v>
      </c>
      <c r="AK28" s="1095"/>
      <c r="AL28" s="1131"/>
      <c r="AM28" s="1155">
        <f t="shared" ref="AM28:AS28" si="22">SUM(AM22:AM27)</f>
        <v>6606.6223156053338</v>
      </c>
      <c r="AN28" s="1155">
        <f t="shared" si="22"/>
        <v>5914.5875005735943</v>
      </c>
      <c r="AO28" s="1155">
        <f t="shared" si="22"/>
        <v>0</v>
      </c>
      <c r="AP28" s="1155">
        <f t="shared" si="22"/>
        <v>0</v>
      </c>
      <c r="AQ28" s="1155">
        <f t="shared" si="22"/>
        <v>0</v>
      </c>
      <c r="AR28" s="1155">
        <f t="shared" si="22"/>
        <v>0</v>
      </c>
      <c r="AS28" s="1195">
        <f t="shared" si="22"/>
        <v>12521.209816178927</v>
      </c>
      <c r="AT28" s="1054"/>
      <c r="AU28" s="1054"/>
      <c r="AV28" s="1837" t="s">
        <v>741</v>
      </c>
      <c r="AW28" s="1838"/>
      <c r="AX28" s="1098" t="str">
        <f>IF(AND(BF28&gt;-0.01,BF28&lt;0.01),"","CHECK!")</f>
        <v/>
      </c>
      <c r="AY28" s="1298">
        <f>'$REV-DSUM-CONV'!B926</f>
        <v>0</v>
      </c>
      <c r="AZ28" s="1298">
        <f>'$REV-DSUM-CONV'!B936</f>
        <v>0</v>
      </c>
      <c r="BA28" s="1298">
        <f>'$REV-DSUM-CONV'!B946</f>
        <v>0</v>
      </c>
      <c r="BB28" s="1299">
        <f>'$REV-DSUM-CONV'!B956</f>
        <v>0</v>
      </c>
      <c r="BC28" s="1299">
        <f>'$REV-DSUM-CONV'!B966</f>
        <v>0</v>
      </c>
      <c r="BD28" s="1300">
        <f>'$REV-DSUM-CONV'!B976</f>
        <v>0</v>
      </c>
      <c r="BE28" s="1301">
        <f>SUM(AY28:BD28)</f>
        <v>0</v>
      </c>
      <c r="BF28" s="1302">
        <f>BE28-'$REV-DSUM-CONV'!B916</f>
        <v>0</v>
      </c>
      <c r="BG28" s="1102" t="s">
        <v>1114</v>
      </c>
      <c r="BH28" s="1225" t="s">
        <v>1257</v>
      </c>
      <c r="BI28" s="1054"/>
      <c r="BJ28" s="1054"/>
      <c r="BK28" s="1104" t="s">
        <v>1289</v>
      </c>
      <c r="BL28" s="1105"/>
      <c r="BM28" s="1135"/>
      <c r="BN28" s="1159">
        <f t="shared" ref="BN28:BT28" si="23">SUM(BN22:BN27)</f>
        <v>6606.6223156053338</v>
      </c>
      <c r="BO28" s="1159">
        <f t="shared" si="23"/>
        <v>5914.5875005735943</v>
      </c>
      <c r="BP28" s="1159">
        <f t="shared" si="23"/>
        <v>0</v>
      </c>
      <c r="BQ28" s="1159">
        <f t="shared" si="23"/>
        <v>0</v>
      </c>
      <c r="BR28" s="1159">
        <f t="shared" si="23"/>
        <v>0</v>
      </c>
      <c r="BS28" s="1159">
        <f t="shared" si="23"/>
        <v>0</v>
      </c>
      <c r="BT28" s="1160">
        <f t="shared" si="23"/>
        <v>12521.209816178927</v>
      </c>
      <c r="BU28" s="1054"/>
      <c r="BV28" s="1054"/>
      <c r="BW28" s="36"/>
      <c r="BX28" s="36"/>
      <c r="BY28" s="36"/>
      <c r="BZ28" s="36"/>
      <c r="CA28" s="36"/>
      <c r="CB28" s="36"/>
      <c r="CC28" s="36"/>
      <c r="CD28" s="36"/>
      <c r="CE28" s="36"/>
      <c r="CF28" s="36"/>
      <c r="CG28" s="36"/>
      <c r="CH28" s="36"/>
      <c r="CI28" s="36"/>
    </row>
    <row r="29" spans="1:87" s="3" customFormat="1" ht="15" customHeight="1" thickTop="1" thickBot="1">
      <c r="A29" s="1070"/>
      <c r="B29" s="1860"/>
      <c r="C29" s="1861"/>
      <c r="D29" s="1862"/>
      <c r="E29" s="1226" t="s">
        <v>885</v>
      </c>
      <c r="F29" s="1227">
        <f>SUM(F23:F28)</f>
        <v>19</v>
      </c>
      <c r="G29" s="1228">
        <f>SUM(G23:G28)</f>
        <v>17</v>
      </c>
      <c r="H29" s="1183">
        <f>SUM(H23:H28)</f>
        <v>19</v>
      </c>
      <c r="I29" s="1183">
        <f>SUM(I23:I28)</f>
        <v>17</v>
      </c>
      <c r="J29" s="1149"/>
      <c r="K29" s="1072" t="s">
        <v>1112</v>
      </c>
      <c r="L29" s="1841" t="s">
        <v>1108</v>
      </c>
      <c r="M29" s="1842"/>
      <c r="N29" s="1847" t="s">
        <v>1293</v>
      </c>
      <c r="O29" s="1848"/>
      <c r="P29" s="1073" t="str">
        <f>IF(AND(R29&gt;-0.01,R29&lt;0.01),"","CHECK!")</f>
        <v/>
      </c>
      <c r="Q29" s="1229"/>
      <c r="R29" s="1075">
        <f>Q21+Q22-AD21-AD22</f>
        <v>7.0780515670776367E-8</v>
      </c>
      <c r="S29" s="1221" t="s">
        <v>1316</v>
      </c>
      <c r="T29" s="1077" t="s">
        <v>1258</v>
      </c>
      <c r="U29" s="1847" t="s">
        <v>1293</v>
      </c>
      <c r="V29" s="1848"/>
      <c r="W29" s="1073" t="str">
        <f>IF(AND(AE29&gt;-0.01,AE29&lt;0.01),"","CHECK!")</f>
        <v/>
      </c>
      <c r="X29" s="1074"/>
      <c r="Y29" s="1074"/>
      <c r="Z29" s="1074"/>
      <c r="AA29" s="1230" t="str">
        <f>IF($AD$29=0,"","CHECK TOTALS!")</f>
        <v/>
      </c>
      <c r="AB29" s="1230"/>
      <c r="AC29" s="1231"/>
      <c r="AD29" s="1074"/>
      <c r="AE29" s="1075">
        <f>AD21+AD22-Q21-Q22</f>
        <v>6.7055225372314453E-8</v>
      </c>
      <c r="AF29" s="1076" t="s">
        <v>1315</v>
      </c>
      <c r="AG29" s="1077" t="s">
        <v>1258</v>
      </c>
      <c r="AH29" s="1054"/>
      <c r="AI29" s="1054"/>
      <c r="AJ29" s="1138"/>
      <c r="AK29" s="1139"/>
      <c r="AL29" s="1139"/>
      <c r="AM29" s="1232"/>
      <c r="AN29" s="1232"/>
      <c r="AO29" s="1232"/>
      <c r="AP29" s="1232"/>
      <c r="AQ29" s="1232"/>
      <c r="AR29" s="1232"/>
      <c r="AS29" s="1233"/>
      <c r="AT29" s="1054"/>
      <c r="AU29" s="1054"/>
      <c r="AV29" s="1827"/>
      <c r="AW29" s="1832"/>
      <c r="AX29" s="1098" t="str">
        <f>IF(AND(BF29&gt;-0.01,BF29&lt;0.01),"","CHECK!")</f>
        <v/>
      </c>
      <c r="AY29" s="1099"/>
      <c r="AZ29" s="1099"/>
      <c r="BA29" s="1099"/>
      <c r="BB29" s="1234"/>
      <c r="BC29" s="1234"/>
      <c r="BD29" s="1303"/>
      <c r="BE29" s="1304" t="s">
        <v>742</v>
      </c>
      <c r="BF29" s="1305">
        <f>Q$23-BE$23+BE$28</f>
        <v>0</v>
      </c>
      <c r="BG29" s="1102" t="s">
        <v>1466</v>
      </c>
      <c r="BH29" s="1103" t="s">
        <v>1258</v>
      </c>
      <c r="BI29" s="1054"/>
      <c r="BJ29" s="1054"/>
      <c r="BK29" s="1144"/>
      <c r="BL29" s="1145"/>
      <c r="BM29" s="1145"/>
      <c r="BN29" s="1235"/>
      <c r="BO29" s="1235"/>
      <c r="BP29" s="1235"/>
      <c r="BQ29" s="1235"/>
      <c r="BR29" s="1235"/>
      <c r="BS29" s="1235"/>
      <c r="BT29" s="1236"/>
      <c r="BU29" s="1054"/>
      <c r="BV29" s="1054"/>
      <c r="BW29" s="36"/>
      <c r="BX29" s="36"/>
      <c r="BY29" s="36"/>
      <c r="BZ29" s="36"/>
      <c r="CA29" s="36"/>
      <c r="CB29" s="36"/>
      <c r="CC29" s="36"/>
      <c r="CD29" s="36"/>
      <c r="CE29" s="36"/>
      <c r="CF29" s="36"/>
      <c r="CG29" s="36"/>
      <c r="CH29" s="36"/>
      <c r="CI29" s="36"/>
    </row>
    <row r="30" spans="1:87" s="3" customFormat="1" ht="15" customHeight="1" thickTop="1" thickBot="1">
      <c r="A30" s="1070"/>
      <c r="B30" s="1863" t="s">
        <v>886</v>
      </c>
      <c r="C30" s="1864"/>
      <c r="D30" s="1864"/>
      <c r="E30" s="1864"/>
      <c r="F30" s="1864"/>
      <c r="G30" s="1864"/>
      <c r="H30" s="1864"/>
      <c r="I30" s="1865"/>
      <c r="J30" s="1186"/>
      <c r="K30" s="1237" t="s">
        <v>1434</v>
      </c>
      <c r="L30" s="1841" t="s">
        <v>1109</v>
      </c>
      <c r="M30" s="1842"/>
      <c r="N30" s="1843" t="s">
        <v>1294</v>
      </c>
      <c r="O30" s="1844"/>
      <c r="P30" s="1238"/>
      <c r="Q30" s="1238"/>
      <c r="R30" s="1203">
        <f>Q23+Q24-AD23-AD24</f>
        <v>2.2351741790771484E-7</v>
      </c>
      <c r="S30" s="1139" t="s">
        <v>1316</v>
      </c>
      <c r="T30" s="1218" t="s">
        <v>1290</v>
      </c>
      <c r="U30" s="1843" t="s">
        <v>1294</v>
      </c>
      <c r="V30" s="1844"/>
      <c r="W30" s="1204"/>
      <c r="X30" s="1204"/>
      <c r="Y30" s="1204"/>
      <c r="Z30" s="1204"/>
      <c r="AA30" s="1204"/>
      <c r="AB30" s="1204"/>
      <c r="AC30" s="1239"/>
      <c r="AD30" s="1204"/>
      <c r="AE30" s="1203">
        <f>AD23+AD24-Q23-Q24</f>
        <v>2.2351741790771484E-7</v>
      </c>
      <c r="AF30" s="1109" t="s">
        <v>1315</v>
      </c>
      <c r="AG30" s="1218" t="s">
        <v>1290</v>
      </c>
      <c r="AH30" s="1054"/>
      <c r="AI30" s="1054"/>
      <c r="AJ30" s="1054"/>
      <c r="AK30" s="1054"/>
      <c r="AL30" s="1054"/>
      <c r="AM30" s="1054"/>
      <c r="AN30" s="1054"/>
      <c r="AO30" s="1054"/>
      <c r="AP30" s="1054"/>
      <c r="AQ30" s="1054"/>
      <c r="AR30" s="1054"/>
      <c r="AS30" s="1054"/>
      <c r="AT30" s="1054"/>
      <c r="AU30" s="1054"/>
      <c r="AV30" s="1833"/>
      <c r="AW30" s="1834"/>
      <c r="AX30" s="1306" t="str">
        <f>IF(AND(BF30&gt;-0.01,BF30&lt;0.01),"","CHECK!")</f>
        <v/>
      </c>
      <c r="AY30" s="1157"/>
      <c r="AZ30" s="1157"/>
      <c r="BA30" s="1157"/>
      <c r="BB30" s="1157"/>
      <c r="BC30" s="1157"/>
      <c r="BD30" s="1307"/>
      <c r="BE30" s="1308" t="s">
        <v>743</v>
      </c>
      <c r="BF30" s="1309">
        <f>Q$24-BE$24-BE$28</f>
        <v>0</v>
      </c>
      <c r="BG30" s="1087" t="s">
        <v>1466</v>
      </c>
      <c r="BH30" s="1088" t="s">
        <v>1290</v>
      </c>
      <c r="BI30" s="1054"/>
      <c r="BJ30" s="1054"/>
      <c r="BK30" s="1054"/>
      <c r="BL30" s="1054"/>
      <c r="BM30" s="1054"/>
      <c r="BN30" s="1054"/>
      <c r="BO30" s="1054"/>
      <c r="BP30" s="1054"/>
      <c r="BQ30" s="1054"/>
      <c r="BR30" s="1054"/>
      <c r="BS30" s="1054"/>
      <c r="BT30" s="1054"/>
      <c r="BU30" s="1054"/>
      <c r="BV30" s="1054"/>
      <c r="BW30" s="36"/>
      <c r="BX30" s="36"/>
      <c r="BY30" s="36"/>
      <c r="BZ30" s="36"/>
      <c r="CA30" s="36"/>
      <c r="CB30" s="36"/>
      <c r="CC30" s="36"/>
      <c r="CD30" s="36"/>
      <c r="CE30" s="36"/>
      <c r="CF30" s="36"/>
      <c r="CG30" s="36"/>
      <c r="CH30" s="36"/>
      <c r="CI30" s="36"/>
    </row>
    <row r="31" spans="1:87" s="3" customFormat="1" ht="15" customHeight="1" thickTop="1" thickBot="1">
      <c r="A31" s="1240"/>
      <c r="B31" s="1240"/>
      <c r="C31" s="1240"/>
      <c r="D31" s="1070"/>
      <c r="E31" s="1070"/>
      <c r="F31" s="1070"/>
      <c r="G31" s="1070"/>
      <c r="H31" s="1070"/>
      <c r="I31" s="1241"/>
      <c r="J31" s="1242"/>
      <c r="K31" s="1243"/>
      <c r="L31" s="1244"/>
      <c r="M31" s="1244"/>
      <c r="N31" s="1243"/>
      <c r="O31" s="1243"/>
      <c r="P31" s="1245"/>
      <c r="Q31" s="1246"/>
      <c r="R31" s="1247"/>
      <c r="S31" s="1247"/>
      <c r="T31" s="1830" t="s">
        <v>881</v>
      </c>
      <c r="U31" s="1831"/>
      <c r="V31" s="1831"/>
      <c r="W31" s="1831"/>
      <c r="X31" s="1831"/>
      <c r="Y31" s="1831"/>
      <c r="Z31" s="1831"/>
      <c r="AA31" s="1831"/>
      <c r="AB31" s="1831"/>
      <c r="AC31" s="1831"/>
      <c r="AD31" s="1831"/>
      <c r="AE31" s="1831"/>
      <c r="AF31" s="1831"/>
      <c r="AG31" s="1831"/>
      <c r="AH31" s="1054"/>
      <c r="AI31" s="1242"/>
      <c r="AJ31" s="1054"/>
      <c r="AK31" s="1054"/>
      <c r="AL31" s="1054"/>
      <c r="AM31" s="1054"/>
      <c r="AN31" s="1054"/>
      <c r="AO31" s="1054"/>
      <c r="AP31" s="1054"/>
      <c r="AQ31" s="1054"/>
      <c r="AR31" s="1054"/>
      <c r="AS31" s="1054"/>
      <c r="AT31" s="1054"/>
      <c r="AU31" s="1054"/>
      <c r="AV31" s="1054"/>
      <c r="AW31" s="1054"/>
      <c r="AX31" s="1054"/>
      <c r="AY31" s="1054"/>
      <c r="AZ31" s="1054"/>
      <c r="BA31" s="1054"/>
      <c r="BB31" s="1054"/>
      <c r="BC31" s="1054"/>
      <c r="BD31" s="1054"/>
      <c r="BE31" s="1054"/>
      <c r="BF31" s="1054"/>
      <c r="BG31" s="1054"/>
      <c r="BH31" s="1054"/>
      <c r="BI31" s="1054"/>
      <c r="BJ31" s="1054"/>
      <c r="BK31" s="1054"/>
      <c r="BL31" s="1054"/>
      <c r="BM31" s="1054"/>
      <c r="BN31" s="1054"/>
      <c r="BO31" s="1054"/>
      <c r="BP31" s="1054"/>
      <c r="BQ31" s="1054"/>
      <c r="BR31" s="1054"/>
      <c r="BS31" s="1054"/>
      <c r="BT31" s="1054"/>
      <c r="BU31" s="1054"/>
      <c r="BV31" s="1054"/>
      <c r="BW31" s="36"/>
      <c r="BX31" s="36"/>
      <c r="BY31" s="36"/>
      <c r="BZ31" s="36"/>
      <c r="CA31" s="36"/>
      <c r="CB31" s="36"/>
      <c r="CC31" s="36"/>
      <c r="CD31" s="36"/>
      <c r="CE31" s="36"/>
      <c r="CF31" s="36"/>
      <c r="CG31" s="36"/>
      <c r="CH31" s="36"/>
      <c r="CI31" s="36"/>
    </row>
    <row r="32" spans="1:87" s="3" customFormat="1" ht="16" customHeight="1" thickTop="1" thickBot="1">
      <c r="A32" s="1248" t="s">
        <v>1337</v>
      </c>
      <c r="B32" s="1248" t="s">
        <v>1425</v>
      </c>
      <c r="C32" s="1248" t="s">
        <v>1347</v>
      </c>
      <c r="D32" s="1118" t="s">
        <v>1338</v>
      </c>
      <c r="E32" s="1118" t="s">
        <v>1426</v>
      </c>
      <c r="F32" s="1118" t="s">
        <v>1380</v>
      </c>
      <c r="G32" s="1118" t="s">
        <v>1427</v>
      </c>
      <c r="H32" s="1118" t="s">
        <v>1428</v>
      </c>
      <c r="I32" s="1118" t="s">
        <v>1429</v>
      </c>
      <c r="J32" s="1118" t="s">
        <v>1430</v>
      </c>
      <c r="K32" s="1119" t="s">
        <v>1431</v>
      </c>
      <c r="L32" s="1249" t="s">
        <v>1379</v>
      </c>
      <c r="M32" s="1249" t="s">
        <v>1432</v>
      </c>
      <c r="N32" s="1249" t="s">
        <v>1340</v>
      </c>
      <c r="O32" s="1249" t="s">
        <v>1397</v>
      </c>
      <c r="P32" s="1249" t="s">
        <v>1465</v>
      </c>
      <c r="Q32" s="1249" t="s">
        <v>1466</v>
      </c>
      <c r="R32" s="1249" t="s">
        <v>1297</v>
      </c>
      <c r="S32" s="1250" t="s">
        <v>1339</v>
      </c>
      <c r="T32" s="1064" t="s">
        <v>1298</v>
      </c>
      <c r="U32" s="1118" t="s">
        <v>1299</v>
      </c>
      <c r="V32" s="1118" t="s">
        <v>1300</v>
      </c>
      <c r="W32" s="1118" t="s">
        <v>1301</v>
      </c>
      <c r="X32" s="1118" t="s">
        <v>1302</v>
      </c>
      <c r="Y32" s="1118" t="s">
        <v>1303</v>
      </c>
      <c r="Z32" s="1118" t="s">
        <v>1304</v>
      </c>
      <c r="AA32" s="1118" t="s">
        <v>1305</v>
      </c>
      <c r="AB32" s="1118" t="s">
        <v>1306</v>
      </c>
      <c r="AC32" s="1118" t="s">
        <v>1307</v>
      </c>
      <c r="AD32" s="1118" t="s">
        <v>1308</v>
      </c>
      <c r="AE32" s="1118" t="s">
        <v>1309</v>
      </c>
      <c r="AF32" s="1118" t="s">
        <v>1310</v>
      </c>
      <c r="AG32" s="1118" t="s">
        <v>1190</v>
      </c>
      <c r="AH32" s="1054"/>
      <c r="AI32" s="1054"/>
      <c r="AJ32" s="1242"/>
      <c r="AK32" s="1242"/>
      <c r="AL32" s="1242"/>
      <c r="AM32" s="1242"/>
      <c r="AN32" s="1242"/>
      <c r="AO32" s="1242"/>
      <c r="AP32" s="1242"/>
      <c r="AQ32" s="1242"/>
      <c r="AR32" s="1242"/>
      <c r="AS32" s="1242"/>
      <c r="AT32" s="1242"/>
      <c r="AU32" s="1054"/>
      <c r="AV32" s="1054"/>
      <c r="AW32" s="1054"/>
      <c r="AX32" s="1054"/>
      <c r="AY32" s="1054"/>
      <c r="AZ32" s="1054"/>
      <c r="BA32" s="1054"/>
      <c r="BB32" s="1054"/>
      <c r="BC32" s="1054"/>
      <c r="BD32" s="1054"/>
      <c r="BE32" s="1054"/>
      <c r="BF32" s="1054"/>
      <c r="BG32" s="1054"/>
      <c r="BH32" s="1054"/>
      <c r="BI32" s="1054"/>
      <c r="BJ32" s="1054"/>
      <c r="BK32" s="1054"/>
      <c r="BL32" s="1054"/>
      <c r="BM32" s="1054"/>
      <c r="BN32" s="1054"/>
      <c r="BO32" s="1054"/>
      <c r="BP32" s="1054"/>
      <c r="BQ32" s="1054"/>
      <c r="BR32" s="1054"/>
      <c r="BS32" s="1054"/>
      <c r="BT32" s="1054"/>
      <c r="BU32" s="1054"/>
      <c r="BV32" s="1054"/>
      <c r="BW32" s="36"/>
      <c r="BX32" s="36"/>
      <c r="BY32" s="36"/>
      <c r="BZ32" s="36"/>
      <c r="CA32" s="36"/>
      <c r="CB32" s="36"/>
      <c r="CC32" s="36"/>
      <c r="CD32" s="36"/>
      <c r="CE32" s="36"/>
      <c r="CF32" s="36"/>
      <c r="CG32" s="36"/>
      <c r="CH32" s="36"/>
      <c r="CI32" s="36"/>
    </row>
    <row r="33" spans="1:87" s="3" customFormat="1" ht="16" customHeight="1" thickTop="1" thickBot="1">
      <c r="A33" s="1251" t="s">
        <v>1296</v>
      </c>
      <c r="B33" s="1252"/>
      <c r="C33" s="1253"/>
      <c r="D33" s="1254">
        <f t="shared" ref="D33:AG33" si="24">COUNTBLANK(D36:D374)-2</f>
        <v>337</v>
      </c>
      <c r="E33" s="1254">
        <f t="shared" si="24"/>
        <v>308</v>
      </c>
      <c r="F33" s="1254">
        <f t="shared" si="24"/>
        <v>337</v>
      </c>
      <c r="G33" s="1254">
        <f t="shared" si="24"/>
        <v>337</v>
      </c>
      <c r="H33" s="1254">
        <f t="shared" si="24"/>
        <v>337</v>
      </c>
      <c r="I33" s="1254">
        <f>COUNTBLANK(I36:I374)</f>
        <v>303</v>
      </c>
      <c r="J33" s="1254">
        <f>COUNTBLANK(J36:J374)</f>
        <v>259</v>
      </c>
      <c r="K33" s="1255">
        <f t="shared" si="24"/>
        <v>337</v>
      </c>
      <c r="L33" s="1256">
        <f t="shared" si="24"/>
        <v>259</v>
      </c>
      <c r="M33" s="1256">
        <f t="shared" si="24"/>
        <v>259</v>
      </c>
      <c r="N33" s="1256">
        <f t="shared" si="24"/>
        <v>259</v>
      </c>
      <c r="O33" s="1256">
        <f t="shared" si="24"/>
        <v>259</v>
      </c>
      <c r="P33" s="1256">
        <f t="shared" si="24"/>
        <v>259</v>
      </c>
      <c r="Q33" s="1256">
        <f t="shared" si="24"/>
        <v>259</v>
      </c>
      <c r="R33" s="1256">
        <f t="shared" si="24"/>
        <v>259</v>
      </c>
      <c r="S33" s="1257">
        <f t="shared" si="24"/>
        <v>259</v>
      </c>
      <c r="T33" s="1258">
        <f t="shared" si="24"/>
        <v>320</v>
      </c>
      <c r="U33" s="1254">
        <f t="shared" si="24"/>
        <v>320</v>
      </c>
      <c r="V33" s="1254">
        <f t="shared" si="24"/>
        <v>320</v>
      </c>
      <c r="W33" s="1254">
        <f t="shared" si="24"/>
        <v>320</v>
      </c>
      <c r="X33" s="1254">
        <f t="shared" si="24"/>
        <v>337</v>
      </c>
      <c r="Y33" s="1254">
        <f t="shared" si="24"/>
        <v>337</v>
      </c>
      <c r="Z33" s="1254">
        <f t="shared" si="24"/>
        <v>337</v>
      </c>
      <c r="AA33" s="1254">
        <f t="shared" si="24"/>
        <v>337</v>
      </c>
      <c r="AB33" s="1254">
        <f t="shared" si="24"/>
        <v>337</v>
      </c>
      <c r="AC33" s="1254">
        <f t="shared" si="24"/>
        <v>337</v>
      </c>
      <c r="AD33" s="1254">
        <f t="shared" si="24"/>
        <v>337</v>
      </c>
      <c r="AE33" s="1254">
        <f t="shared" si="24"/>
        <v>337</v>
      </c>
      <c r="AF33" s="1254">
        <f t="shared" si="24"/>
        <v>337</v>
      </c>
      <c r="AG33" s="1254">
        <f t="shared" si="24"/>
        <v>337</v>
      </c>
      <c r="AH33" s="1054"/>
      <c r="AI33" s="1054"/>
      <c r="AJ33" s="1242"/>
      <c r="AK33" s="1242"/>
      <c r="AL33" s="1242"/>
      <c r="AM33" s="1242"/>
      <c r="AN33" s="1242"/>
      <c r="AO33" s="1242"/>
      <c r="AP33" s="1242"/>
      <c r="AQ33" s="1242"/>
      <c r="AR33" s="1242"/>
      <c r="AS33" s="1242"/>
      <c r="AT33" s="1054"/>
      <c r="AU33" s="1054"/>
      <c r="AV33" s="1054"/>
      <c r="AW33" s="1054"/>
      <c r="AX33" s="1054"/>
      <c r="AY33" s="1054"/>
      <c r="AZ33" s="1054"/>
      <c r="BA33" s="1054"/>
      <c r="BB33" s="1054"/>
      <c r="BC33" s="1054"/>
      <c r="BD33" s="1054"/>
      <c r="BE33" s="1054"/>
      <c r="BF33" s="1054"/>
      <c r="BG33" s="1054"/>
      <c r="BH33" s="1054"/>
      <c r="BI33" s="1054"/>
      <c r="BJ33" s="1054"/>
      <c r="BK33" s="1054"/>
      <c r="BL33" s="1054"/>
      <c r="BM33" s="1054"/>
      <c r="BN33" s="1054"/>
      <c r="BO33" s="1054"/>
      <c r="BP33" s="1054"/>
      <c r="BQ33" s="1054"/>
      <c r="BR33" s="1054"/>
      <c r="BS33" s="1054"/>
      <c r="BT33" s="1054"/>
      <c r="BU33" s="1054"/>
      <c r="BV33" s="1054"/>
      <c r="BW33" s="36"/>
      <c r="BX33" s="36"/>
      <c r="BY33" s="36"/>
      <c r="BZ33" s="36"/>
      <c r="CA33" s="36"/>
      <c r="CB33" s="36"/>
      <c r="CC33" s="36"/>
      <c r="CD33" s="36"/>
      <c r="CE33" s="36"/>
      <c r="CF33" s="36"/>
      <c r="CG33" s="36"/>
      <c r="CH33" s="36"/>
      <c r="CI33" s="36"/>
    </row>
    <row r="34" spans="1:87" s="3" customFormat="1" ht="16" customHeight="1" thickTop="1" thickBot="1">
      <c r="A34" s="1221"/>
      <c r="B34" s="1076" t="s">
        <v>1189</v>
      </c>
      <c r="C34" s="1221"/>
      <c r="D34" s="1852" t="s">
        <v>1385</v>
      </c>
      <c r="E34" s="1852"/>
      <c r="F34" s="1852"/>
      <c r="G34" s="1852"/>
      <c r="H34" s="1852" t="s">
        <v>1381</v>
      </c>
      <c r="I34" s="1852"/>
      <c r="J34" s="1852"/>
      <c r="K34" s="1853"/>
      <c r="L34" s="1854" t="s">
        <v>1187</v>
      </c>
      <c r="M34" s="1855"/>
      <c r="N34" s="1855"/>
      <c r="O34" s="1855"/>
      <c r="P34" s="1855"/>
      <c r="Q34" s="1855"/>
      <c r="R34" s="1855"/>
      <c r="S34" s="1856"/>
      <c r="T34" s="1259" t="s">
        <v>793</v>
      </c>
      <c r="U34" s="1259" t="s">
        <v>794</v>
      </c>
      <c r="V34" s="1259" t="s">
        <v>795</v>
      </c>
      <c r="W34" s="1259" t="s">
        <v>796</v>
      </c>
      <c r="X34" s="1259" t="s">
        <v>939</v>
      </c>
      <c r="Y34" s="1259" t="s">
        <v>940</v>
      </c>
      <c r="Z34" s="1259" t="s">
        <v>941</v>
      </c>
      <c r="AA34" s="1259" t="s">
        <v>942</v>
      </c>
      <c r="AB34" s="1259" t="s">
        <v>943</v>
      </c>
      <c r="AC34" s="1259" t="s">
        <v>944</v>
      </c>
      <c r="AD34" s="1259" t="s">
        <v>945</v>
      </c>
      <c r="AE34" s="1259" t="s">
        <v>946</v>
      </c>
      <c r="AF34" s="1259" t="s">
        <v>947</v>
      </c>
      <c r="AG34" s="1259" t="s">
        <v>948</v>
      </c>
      <c r="AH34" s="1054"/>
      <c r="AI34" s="1054"/>
      <c r="AJ34" s="1242"/>
      <c r="AK34" s="1242"/>
      <c r="AL34" s="1242"/>
      <c r="AM34" s="1242"/>
      <c r="AN34" s="1242"/>
      <c r="AO34" s="1242"/>
      <c r="AP34" s="1242"/>
      <c r="AQ34" s="1242"/>
      <c r="AR34" s="1242"/>
      <c r="AS34" s="1242"/>
      <c r="AT34" s="1054"/>
      <c r="AU34" s="1054"/>
      <c r="AV34" s="1054"/>
      <c r="AW34" s="1054"/>
      <c r="AX34" s="1054"/>
      <c r="AY34" s="1054"/>
      <c r="AZ34" s="1054"/>
      <c r="BA34" s="1054"/>
      <c r="BB34" s="1054"/>
      <c r="BC34" s="1054"/>
      <c r="BD34" s="1054"/>
      <c r="BE34" s="1054"/>
      <c r="BF34" s="1054"/>
      <c r="BG34" s="1054"/>
      <c r="BH34" s="1054"/>
      <c r="BI34" s="1054"/>
      <c r="BJ34" s="1054"/>
      <c r="BK34" s="1054"/>
      <c r="BL34" s="1054"/>
      <c r="BM34" s="1054"/>
      <c r="BN34" s="1054"/>
      <c r="BO34" s="1054"/>
      <c r="BP34" s="1054"/>
      <c r="BQ34" s="1054"/>
      <c r="BR34" s="1054"/>
      <c r="BS34" s="1054"/>
      <c r="BT34" s="1054"/>
      <c r="BU34" s="1054"/>
      <c r="BV34" s="1054"/>
      <c r="BW34" s="36"/>
      <c r="BX34" s="36"/>
      <c r="BY34" s="36"/>
      <c r="BZ34" s="36"/>
      <c r="CA34" s="36"/>
      <c r="CB34" s="36"/>
      <c r="CC34" s="36"/>
      <c r="CD34" s="36"/>
      <c r="CE34" s="36"/>
      <c r="CF34" s="36"/>
      <c r="CG34" s="36"/>
      <c r="CH34" s="36"/>
      <c r="CI34" s="36"/>
    </row>
    <row r="35" spans="1:87" s="3" customFormat="1" ht="16" customHeight="1" thickTop="1" thickBot="1">
      <c r="A35" s="1260" t="s">
        <v>1337</v>
      </c>
      <c r="B35" s="1260" t="s">
        <v>1425</v>
      </c>
      <c r="C35" s="1260" t="s">
        <v>1347</v>
      </c>
      <c r="D35" s="1261" t="s">
        <v>1386</v>
      </c>
      <c r="E35" s="1261" t="s">
        <v>1387</v>
      </c>
      <c r="F35" s="1261" t="s">
        <v>1388</v>
      </c>
      <c r="G35" s="1261" t="s">
        <v>1389</v>
      </c>
      <c r="H35" s="1261" t="s">
        <v>1406</v>
      </c>
      <c r="I35" s="1261" t="s">
        <v>1390</v>
      </c>
      <c r="J35" s="1261" t="s">
        <v>1391</v>
      </c>
      <c r="K35" s="1262" t="s">
        <v>1392</v>
      </c>
      <c r="L35" s="1263" t="s">
        <v>1188</v>
      </c>
      <c r="M35" s="1263" t="s">
        <v>1437</v>
      </c>
      <c r="N35" s="1263" t="s">
        <v>1348</v>
      </c>
      <c r="O35" s="1263" t="s">
        <v>1393</v>
      </c>
      <c r="P35" s="1263" t="s">
        <v>1342</v>
      </c>
      <c r="Q35" s="1263" t="s">
        <v>1394</v>
      </c>
      <c r="R35" s="1264" t="s">
        <v>1341</v>
      </c>
      <c r="S35" s="1265" t="s">
        <v>846</v>
      </c>
      <c r="T35" s="1064" t="s">
        <v>935</v>
      </c>
      <c r="U35" s="1118" t="s">
        <v>936</v>
      </c>
      <c r="V35" s="1118" t="s">
        <v>937</v>
      </c>
      <c r="W35" s="1118" t="s">
        <v>938</v>
      </c>
      <c r="X35" s="1118" t="s">
        <v>939</v>
      </c>
      <c r="Y35" s="1118" t="s">
        <v>940</v>
      </c>
      <c r="Z35" s="1118" t="s">
        <v>941</v>
      </c>
      <c r="AA35" s="1118" t="s">
        <v>942</v>
      </c>
      <c r="AB35" s="1118" t="s">
        <v>943</v>
      </c>
      <c r="AC35" s="1118" t="s">
        <v>944</v>
      </c>
      <c r="AD35" s="1118" t="s">
        <v>945</v>
      </c>
      <c r="AE35" s="1118" t="s">
        <v>946</v>
      </c>
      <c r="AF35" s="1118" t="s">
        <v>947</v>
      </c>
      <c r="AG35" s="1118" t="s">
        <v>948</v>
      </c>
      <c r="AH35" s="1054"/>
      <c r="AI35" s="1054"/>
      <c r="AJ35" s="1242"/>
      <c r="AK35" s="1242"/>
      <c r="AL35" s="1242"/>
      <c r="AM35" s="1242"/>
      <c r="AN35" s="1242"/>
      <c r="AO35" s="1242"/>
      <c r="AP35" s="1242"/>
      <c r="AQ35" s="1242"/>
      <c r="AR35" s="1242"/>
      <c r="AS35" s="1242"/>
      <c r="AT35" s="1054"/>
      <c r="AU35" s="1054"/>
      <c r="AV35" s="1054"/>
      <c r="AW35" s="1054"/>
      <c r="AX35" s="1054"/>
      <c r="AY35" s="1054"/>
      <c r="AZ35" s="1054"/>
      <c r="BA35" s="1054"/>
      <c r="BB35" s="1054"/>
      <c r="BC35" s="1054"/>
      <c r="BD35" s="1054"/>
      <c r="BE35" s="1054"/>
      <c r="BF35" s="1054"/>
      <c r="BG35" s="1054"/>
      <c r="BH35" s="1054"/>
      <c r="BI35" s="1054"/>
      <c r="BJ35" s="1054"/>
      <c r="BK35" s="1054"/>
      <c r="BL35" s="1054"/>
      <c r="BM35" s="1054"/>
      <c r="BN35" s="1054"/>
      <c r="BO35" s="1054"/>
      <c r="BP35" s="1054"/>
      <c r="BQ35" s="1054"/>
      <c r="BR35" s="1054"/>
      <c r="BS35" s="1054"/>
      <c r="BT35" s="1054"/>
      <c r="BU35" s="1054"/>
      <c r="BV35" s="1054"/>
      <c r="BW35" s="36"/>
      <c r="BX35" s="36"/>
      <c r="BY35" s="36"/>
      <c r="BZ35" s="36"/>
      <c r="CA35" s="36"/>
      <c r="CB35" s="36"/>
      <c r="CC35" s="36"/>
      <c r="CD35" s="36"/>
      <c r="CE35" s="36"/>
      <c r="CF35" s="36"/>
      <c r="CG35" s="36"/>
      <c r="CH35" s="36"/>
      <c r="CI35" s="36"/>
    </row>
    <row r="36" spans="1:87" s="3" customFormat="1" ht="16" customHeight="1">
      <c r="A36" s="1266" t="s">
        <v>891</v>
      </c>
      <c r="B36" s="1267"/>
      <c r="C36" s="1266"/>
      <c r="D36" s="1268"/>
      <c r="E36" s="1268"/>
      <c r="F36" s="1268"/>
      <c r="G36" s="1268"/>
      <c r="H36" s="1269"/>
      <c r="I36" s="1270">
        <v>0</v>
      </c>
      <c r="J36" s="1270">
        <v>0</v>
      </c>
      <c r="K36" s="1266"/>
      <c r="L36" s="1268"/>
      <c r="M36" s="1269"/>
      <c r="N36" s="1269"/>
      <c r="O36" s="1268"/>
      <c r="P36" s="1268"/>
      <c r="Q36" s="1268"/>
      <c r="R36" s="1271"/>
      <c r="S36" s="1268"/>
      <c r="T36" s="1266"/>
      <c r="U36" s="1268"/>
      <c r="V36" s="1268"/>
      <c r="W36" s="1268"/>
      <c r="X36" s="1268"/>
      <c r="Y36" s="1268"/>
      <c r="Z36" s="1268"/>
      <c r="AA36" s="1268"/>
      <c r="AB36" s="1268"/>
      <c r="AC36" s="1268"/>
      <c r="AD36" s="1268"/>
      <c r="AE36" s="1268"/>
      <c r="AF36" s="1268"/>
      <c r="AG36" s="1268"/>
      <c r="AH36" s="1272"/>
      <c r="AI36" s="1273"/>
      <c r="AJ36" s="1273"/>
      <c r="AK36" s="1273"/>
      <c r="AL36" s="1273"/>
      <c r="AM36" s="1273"/>
      <c r="AN36" s="1273"/>
      <c r="AO36" s="1273"/>
      <c r="AP36" s="1273"/>
      <c r="AQ36" s="1273"/>
      <c r="AR36" s="1273"/>
      <c r="AS36" s="1273"/>
      <c r="AT36" s="1273"/>
      <c r="AU36" s="1274"/>
      <c r="AV36" s="1275"/>
      <c r="AW36" s="1275"/>
      <c r="AX36" s="1275"/>
      <c r="AY36" s="1275"/>
      <c r="AZ36" s="1275"/>
      <c r="BA36" s="1275"/>
      <c r="BB36" s="1275"/>
      <c r="BC36" s="1275"/>
      <c r="BD36" s="1275"/>
      <c r="BE36" s="1275"/>
      <c r="BF36" s="1275"/>
      <c r="BG36" s="1275"/>
      <c r="BH36" s="1275"/>
      <c r="BI36" s="1275"/>
      <c r="BJ36" s="1275"/>
      <c r="BK36" s="1275"/>
      <c r="BL36" s="1275"/>
      <c r="BM36" s="1275"/>
      <c r="BN36" s="1275"/>
      <c r="BO36" s="1275"/>
      <c r="BP36" s="1275"/>
      <c r="BQ36" s="1275"/>
      <c r="BR36" s="1275"/>
      <c r="BS36" s="1275"/>
      <c r="BT36" s="1275"/>
      <c r="BU36" s="1275"/>
      <c r="BV36" s="1275"/>
      <c r="BW36" s="1275"/>
      <c r="BX36" s="1275"/>
    </row>
    <row r="37" spans="1:87" s="1313" customFormat="1" ht="14">
      <c r="E37" s="1313" t="s">
        <v>784</v>
      </c>
      <c r="I37" s="1315" t="s">
        <v>749</v>
      </c>
      <c r="J37" s="1317" t="s">
        <v>766</v>
      </c>
      <c r="L37" s="1313" t="s">
        <v>1429</v>
      </c>
      <c r="M37" s="1313" t="s">
        <v>783</v>
      </c>
      <c r="N37" s="1320" t="s">
        <v>1363</v>
      </c>
      <c r="O37" s="1313" t="s">
        <v>1436</v>
      </c>
      <c r="P37" s="1313" t="s">
        <v>1347</v>
      </c>
      <c r="Q37" s="1380" t="s">
        <v>1380</v>
      </c>
      <c r="R37" s="1335">
        <v>451882.82</v>
      </c>
      <c r="S37" s="1313" t="s">
        <v>1340</v>
      </c>
      <c r="T37" s="1321">
        <v>451882.82</v>
      </c>
      <c r="U37" s="1326">
        <v>0</v>
      </c>
      <c r="V37" s="1329">
        <v>199501.36</v>
      </c>
      <c r="W37" s="1331">
        <v>4505000.16</v>
      </c>
    </row>
    <row r="38" spans="1:87" s="1313" customFormat="1" ht="11" customHeight="1">
      <c r="E38" s="1313" t="s">
        <v>784</v>
      </c>
      <c r="J38" s="1317" t="s">
        <v>766</v>
      </c>
      <c r="L38" s="1313" t="s">
        <v>1429</v>
      </c>
      <c r="M38" s="1313" t="s">
        <v>783</v>
      </c>
      <c r="N38" s="1320" t="s">
        <v>1363</v>
      </c>
      <c r="O38" s="1313" t="s">
        <v>1436</v>
      </c>
      <c r="P38" s="1313" t="s">
        <v>1347</v>
      </c>
      <c r="Q38" s="1381" t="s">
        <v>1379</v>
      </c>
      <c r="R38" s="1382">
        <v>0</v>
      </c>
      <c r="S38" s="1313" t="s">
        <v>1340</v>
      </c>
    </row>
    <row r="39" spans="1:87" s="1313" customFormat="1" ht="11" customHeight="1">
      <c r="E39" s="1313" t="s">
        <v>784</v>
      </c>
      <c r="J39" s="1317" t="s">
        <v>766</v>
      </c>
      <c r="L39" s="1313" t="s">
        <v>1429</v>
      </c>
      <c r="M39" s="1313" t="s">
        <v>783</v>
      </c>
      <c r="N39" s="1320" t="s">
        <v>1363</v>
      </c>
      <c r="O39" s="1313" t="s">
        <v>1436</v>
      </c>
      <c r="P39" s="1313" t="s">
        <v>1347</v>
      </c>
      <c r="Q39" s="1383" t="s">
        <v>1397</v>
      </c>
      <c r="R39" s="1329">
        <v>199501.36</v>
      </c>
      <c r="S39" s="1313" t="s">
        <v>1340</v>
      </c>
      <c r="T39" s="1319"/>
      <c r="V39" s="1319"/>
      <c r="W39" s="1319"/>
    </row>
    <row r="40" spans="1:87" s="1313" customFormat="1" ht="11" customHeight="1">
      <c r="E40" s="1313" t="s">
        <v>784</v>
      </c>
      <c r="I40" s="1319"/>
      <c r="J40" s="1317" t="s">
        <v>766</v>
      </c>
      <c r="L40" s="1313" t="s">
        <v>1429</v>
      </c>
      <c r="M40" s="1313" t="s">
        <v>783</v>
      </c>
      <c r="N40" s="1320" t="s">
        <v>1363</v>
      </c>
      <c r="O40" s="1313" t="s">
        <v>1436</v>
      </c>
      <c r="P40" s="1313" t="s">
        <v>1347</v>
      </c>
      <c r="Q40" s="1334" t="s">
        <v>1339</v>
      </c>
      <c r="R40" s="1331">
        <v>4505000.16</v>
      </c>
      <c r="S40" s="1313" t="s">
        <v>1340</v>
      </c>
      <c r="T40" s="1319"/>
    </row>
    <row r="41" spans="1:87" s="1313" customFormat="1" ht="14">
      <c r="E41" s="1313" t="s">
        <v>785</v>
      </c>
      <c r="I41" s="1315" t="s">
        <v>750</v>
      </c>
      <c r="J41" s="1317" t="s">
        <v>767</v>
      </c>
      <c r="L41" s="1313" t="s">
        <v>1429</v>
      </c>
      <c r="M41" s="1313" t="s">
        <v>783</v>
      </c>
      <c r="N41" s="1320" t="s">
        <v>1363</v>
      </c>
      <c r="O41" s="1313" t="s">
        <v>1436</v>
      </c>
      <c r="P41" s="1313" t="s">
        <v>1347</v>
      </c>
      <c r="Q41" s="1380" t="s">
        <v>1380</v>
      </c>
      <c r="R41" s="1335">
        <v>99356.07</v>
      </c>
      <c r="S41" s="1313" t="s">
        <v>1340</v>
      </c>
      <c r="T41" s="1321">
        <v>99356.07</v>
      </c>
      <c r="U41" s="1326">
        <v>0</v>
      </c>
      <c r="V41" s="1329">
        <v>1816.07</v>
      </c>
      <c r="W41" s="1331">
        <v>458580.04</v>
      </c>
    </row>
    <row r="42" spans="1:87" s="1313" customFormat="1" ht="11" customHeight="1">
      <c r="E42" s="1313" t="s">
        <v>785</v>
      </c>
      <c r="I42" s="1319"/>
      <c r="J42" s="1317" t="s">
        <v>767</v>
      </c>
      <c r="L42" s="1313" t="s">
        <v>1429</v>
      </c>
      <c r="M42" s="1313" t="s">
        <v>783</v>
      </c>
      <c r="N42" s="1320" t="s">
        <v>1363</v>
      </c>
      <c r="O42" s="1313" t="s">
        <v>1436</v>
      </c>
      <c r="P42" s="1313" t="s">
        <v>1347</v>
      </c>
      <c r="Q42" s="1381" t="s">
        <v>1379</v>
      </c>
      <c r="R42" s="1382">
        <v>0</v>
      </c>
      <c r="S42" s="1313" t="s">
        <v>1340</v>
      </c>
      <c r="T42" s="1319"/>
    </row>
    <row r="43" spans="1:87" s="1313" customFormat="1" ht="11" customHeight="1">
      <c r="E43" s="1313" t="s">
        <v>785</v>
      </c>
      <c r="J43" s="1317" t="s">
        <v>767</v>
      </c>
      <c r="L43" s="1313" t="s">
        <v>1429</v>
      </c>
      <c r="M43" s="1313" t="s">
        <v>783</v>
      </c>
      <c r="N43" s="1320" t="s">
        <v>1363</v>
      </c>
      <c r="O43" s="1313" t="s">
        <v>1436</v>
      </c>
      <c r="P43" s="1313" t="s">
        <v>1347</v>
      </c>
      <c r="Q43" s="1383" t="s">
        <v>1397</v>
      </c>
      <c r="R43" s="1329">
        <v>1816.07</v>
      </c>
      <c r="S43" s="1313" t="s">
        <v>1340</v>
      </c>
    </row>
    <row r="44" spans="1:87" s="1313" customFormat="1" ht="11" customHeight="1">
      <c r="E44" s="1313" t="s">
        <v>785</v>
      </c>
      <c r="I44" s="1319"/>
      <c r="J44" s="1317" t="s">
        <v>767</v>
      </c>
      <c r="L44" s="1313" t="s">
        <v>1429</v>
      </c>
      <c r="M44" s="1313" t="s">
        <v>783</v>
      </c>
      <c r="N44" s="1320" t="s">
        <v>1363</v>
      </c>
      <c r="O44" s="1313" t="s">
        <v>1436</v>
      </c>
      <c r="P44" s="1313" t="s">
        <v>1347</v>
      </c>
      <c r="Q44" s="1334" t="s">
        <v>1339</v>
      </c>
      <c r="R44" s="1331">
        <v>458580.04</v>
      </c>
      <c r="S44" s="1313" t="s">
        <v>1340</v>
      </c>
      <c r="T44" s="1319"/>
      <c r="V44" s="1319"/>
      <c r="W44" s="1319"/>
    </row>
    <row r="45" spans="1:87" s="1313" customFormat="1" ht="14" customHeight="1">
      <c r="E45" s="1313" t="s">
        <v>786</v>
      </c>
      <c r="I45" s="1315" t="s">
        <v>751</v>
      </c>
      <c r="J45" s="1317" t="s">
        <v>768</v>
      </c>
      <c r="L45" s="1313" t="s">
        <v>1429</v>
      </c>
      <c r="M45" s="1313" t="s">
        <v>783</v>
      </c>
      <c r="N45" s="1320" t="s">
        <v>1363</v>
      </c>
      <c r="O45" s="1313" t="s">
        <v>1436</v>
      </c>
      <c r="P45" s="1313" t="s">
        <v>1347</v>
      </c>
      <c r="Q45" s="1380" t="s">
        <v>1380</v>
      </c>
      <c r="R45" s="1321">
        <v>57148.82</v>
      </c>
      <c r="S45" s="1313" t="s">
        <v>1340</v>
      </c>
      <c r="T45" s="1321">
        <v>57148.82</v>
      </c>
      <c r="U45" s="1326">
        <v>0</v>
      </c>
      <c r="V45" s="1329">
        <v>63334.64</v>
      </c>
      <c r="W45" s="1331">
        <v>620131.19000000006</v>
      </c>
    </row>
    <row r="46" spans="1:87" s="1313" customFormat="1" ht="11" customHeight="1">
      <c r="E46" s="1313" t="s">
        <v>786</v>
      </c>
      <c r="I46" s="1319"/>
      <c r="J46" s="1317" t="s">
        <v>768</v>
      </c>
      <c r="L46" s="1313" t="s">
        <v>1429</v>
      </c>
      <c r="M46" s="1313" t="s">
        <v>783</v>
      </c>
      <c r="N46" s="1320" t="s">
        <v>1363</v>
      </c>
      <c r="O46" s="1313" t="s">
        <v>1436</v>
      </c>
      <c r="P46" s="1313" t="s">
        <v>1347</v>
      </c>
      <c r="Q46" s="1381" t="s">
        <v>1379</v>
      </c>
      <c r="R46" s="1326">
        <v>0</v>
      </c>
      <c r="S46" s="1313" t="s">
        <v>1340</v>
      </c>
      <c r="T46" s="1319"/>
    </row>
    <row r="47" spans="1:87" s="1313" customFormat="1" ht="11" customHeight="1">
      <c r="E47" s="1313" t="s">
        <v>786</v>
      </c>
      <c r="I47" s="1319"/>
      <c r="J47" s="1317" t="s">
        <v>768</v>
      </c>
      <c r="L47" s="1313" t="s">
        <v>1429</v>
      </c>
      <c r="M47" s="1313" t="s">
        <v>783</v>
      </c>
      <c r="N47" s="1320" t="s">
        <v>1363</v>
      </c>
      <c r="O47" s="1313" t="s">
        <v>1436</v>
      </c>
      <c r="P47" s="1313" t="s">
        <v>1347</v>
      </c>
      <c r="Q47" s="1383" t="s">
        <v>1397</v>
      </c>
      <c r="R47" s="1329">
        <v>63334.64</v>
      </c>
      <c r="S47" s="1313" t="s">
        <v>1340</v>
      </c>
      <c r="T47" s="1319"/>
    </row>
    <row r="48" spans="1:87" s="1313" customFormat="1" ht="11" customHeight="1">
      <c r="E48" s="1313" t="s">
        <v>786</v>
      </c>
      <c r="I48" s="1319"/>
      <c r="J48" s="1317" t="s">
        <v>768</v>
      </c>
      <c r="L48" s="1313" t="s">
        <v>1429</v>
      </c>
      <c r="M48" s="1313" t="s">
        <v>783</v>
      </c>
      <c r="N48" s="1320" t="s">
        <v>1363</v>
      </c>
      <c r="O48" s="1313" t="s">
        <v>1436</v>
      </c>
      <c r="P48" s="1313" t="s">
        <v>1347</v>
      </c>
      <c r="Q48" s="1334" t="s">
        <v>1339</v>
      </c>
      <c r="R48" s="1331">
        <v>620131.19000000006</v>
      </c>
      <c r="S48" s="1313" t="s">
        <v>1340</v>
      </c>
      <c r="T48" s="1319"/>
    </row>
    <row r="49" spans="5:23" s="1313" customFormat="1" ht="14">
      <c r="E49" s="377" t="s">
        <v>791</v>
      </c>
      <c r="I49" s="1315" t="s">
        <v>763</v>
      </c>
      <c r="J49" s="1317" t="s">
        <v>780</v>
      </c>
      <c r="L49" s="1313" t="s">
        <v>1429</v>
      </c>
      <c r="M49" s="1313" t="s">
        <v>783</v>
      </c>
      <c r="N49" s="1320" t="s">
        <v>1363</v>
      </c>
      <c r="O49" s="1313" t="s">
        <v>1436</v>
      </c>
      <c r="P49" s="1313" t="s">
        <v>1347</v>
      </c>
      <c r="Q49" s="1380" t="s">
        <v>1380</v>
      </c>
      <c r="R49" s="1335">
        <v>475783.75</v>
      </c>
      <c r="S49" s="1313" t="s">
        <v>1340</v>
      </c>
      <c r="T49" s="1321">
        <v>475783.75</v>
      </c>
      <c r="U49" s="1326">
        <v>0</v>
      </c>
      <c r="V49" s="1329">
        <v>1198026.82</v>
      </c>
      <c r="W49" s="1331">
        <v>2465968.6</v>
      </c>
    </row>
    <row r="50" spans="5:23" s="1313" customFormat="1" ht="11" customHeight="1">
      <c r="E50" s="377" t="s">
        <v>791</v>
      </c>
      <c r="J50" s="1317" t="s">
        <v>780</v>
      </c>
      <c r="L50" s="1313" t="s">
        <v>1429</v>
      </c>
      <c r="M50" s="1313" t="s">
        <v>783</v>
      </c>
      <c r="N50" s="1320" t="s">
        <v>1363</v>
      </c>
      <c r="O50" s="1313" t="s">
        <v>1436</v>
      </c>
      <c r="P50" s="1313" t="s">
        <v>1347</v>
      </c>
      <c r="Q50" s="1381" t="s">
        <v>1379</v>
      </c>
      <c r="R50" s="1382">
        <v>0</v>
      </c>
      <c r="S50" s="1313" t="s">
        <v>1340</v>
      </c>
    </row>
    <row r="51" spans="5:23" s="1313" customFormat="1" ht="11" customHeight="1">
      <c r="E51" s="377" t="s">
        <v>791</v>
      </c>
      <c r="I51" s="1319"/>
      <c r="J51" s="1317" t="s">
        <v>780</v>
      </c>
      <c r="L51" s="1313" t="s">
        <v>1429</v>
      </c>
      <c r="M51" s="1313" t="s">
        <v>783</v>
      </c>
      <c r="N51" s="1320" t="s">
        <v>1363</v>
      </c>
      <c r="O51" s="1313" t="s">
        <v>1436</v>
      </c>
      <c r="P51" s="1313" t="s">
        <v>1347</v>
      </c>
      <c r="Q51" s="1383" t="s">
        <v>1397</v>
      </c>
      <c r="R51" s="1329">
        <v>1198026.82</v>
      </c>
      <c r="S51" s="1313" t="s">
        <v>1340</v>
      </c>
      <c r="T51" s="1319"/>
    </row>
    <row r="52" spans="5:23" s="1313" customFormat="1" ht="11" customHeight="1">
      <c r="E52" s="377" t="s">
        <v>791</v>
      </c>
      <c r="I52" s="1319"/>
      <c r="J52" s="1317" t="s">
        <v>780</v>
      </c>
      <c r="L52" s="1313" t="s">
        <v>1429</v>
      </c>
      <c r="M52" s="1313" t="s">
        <v>783</v>
      </c>
      <c r="N52" s="1320" t="s">
        <v>1363</v>
      </c>
      <c r="O52" s="1313" t="s">
        <v>1436</v>
      </c>
      <c r="P52" s="1313" t="s">
        <v>1347</v>
      </c>
      <c r="Q52" s="1334" t="s">
        <v>1339</v>
      </c>
      <c r="R52" s="1331">
        <v>2465968.6</v>
      </c>
      <c r="S52" s="1313" t="s">
        <v>1340</v>
      </c>
      <c r="T52" s="1319"/>
    </row>
    <row r="53" spans="5:23" s="1313" customFormat="1" ht="14" customHeight="1">
      <c r="E53" s="377" t="s">
        <v>789</v>
      </c>
      <c r="I53" s="1315" t="s">
        <v>764</v>
      </c>
      <c r="J53" s="1317" t="s">
        <v>781</v>
      </c>
      <c r="L53" s="1313" t="s">
        <v>1429</v>
      </c>
      <c r="M53" s="1313" t="s">
        <v>783</v>
      </c>
      <c r="N53" s="1320" t="s">
        <v>1363</v>
      </c>
      <c r="O53" s="377" t="s">
        <v>1352</v>
      </c>
      <c r="P53" s="1313" t="s">
        <v>1347</v>
      </c>
      <c r="Q53" s="1380" t="s">
        <v>1380</v>
      </c>
      <c r="R53" s="1335">
        <v>402738.77</v>
      </c>
      <c r="S53" s="1313" t="s">
        <v>1340</v>
      </c>
      <c r="T53" s="1321">
        <v>402738.77</v>
      </c>
      <c r="U53" s="1326">
        <v>0</v>
      </c>
      <c r="V53" s="1329">
        <v>72448.61</v>
      </c>
      <c r="W53" s="1331">
        <v>1628197</v>
      </c>
    </row>
    <row r="54" spans="5:23" s="1313" customFormat="1" ht="11" customHeight="1">
      <c r="I54" s="1319"/>
      <c r="J54" s="1317" t="s">
        <v>781</v>
      </c>
      <c r="L54" s="1313" t="s">
        <v>1429</v>
      </c>
      <c r="M54" s="1313" t="s">
        <v>783</v>
      </c>
      <c r="N54" s="1320" t="s">
        <v>1363</v>
      </c>
      <c r="O54" s="377" t="s">
        <v>1352</v>
      </c>
      <c r="P54" s="1313" t="s">
        <v>1347</v>
      </c>
      <c r="Q54" s="1381" t="s">
        <v>1379</v>
      </c>
      <c r="R54" s="1382">
        <v>0</v>
      </c>
      <c r="S54" s="1313" t="s">
        <v>1340</v>
      </c>
      <c r="T54" s="1319"/>
    </row>
    <row r="55" spans="5:23" s="1313" customFormat="1" ht="11" customHeight="1">
      <c r="I55" s="1319"/>
      <c r="J55" s="1317" t="s">
        <v>781</v>
      </c>
      <c r="L55" s="1313" t="s">
        <v>1429</v>
      </c>
      <c r="M55" s="1313" t="s">
        <v>783</v>
      </c>
      <c r="N55" s="1320" t="s">
        <v>1363</v>
      </c>
      <c r="O55" s="377" t="s">
        <v>1352</v>
      </c>
      <c r="P55" s="1313" t="s">
        <v>1347</v>
      </c>
      <c r="Q55" s="1383" t="s">
        <v>1397</v>
      </c>
      <c r="R55" s="1329">
        <v>72448.61</v>
      </c>
      <c r="S55" s="1313" t="s">
        <v>1340</v>
      </c>
      <c r="T55" s="1319"/>
    </row>
    <row r="56" spans="5:23" s="1313" customFormat="1" ht="14">
      <c r="I56" s="1319"/>
      <c r="J56" s="1317" t="s">
        <v>781</v>
      </c>
      <c r="L56" s="1313" t="s">
        <v>1429</v>
      </c>
      <c r="M56" s="1313" t="s">
        <v>783</v>
      </c>
      <c r="N56" s="1320" t="s">
        <v>1363</v>
      </c>
      <c r="O56" s="377" t="s">
        <v>1352</v>
      </c>
      <c r="P56" s="1313" t="s">
        <v>1347</v>
      </c>
      <c r="Q56" s="1334" t="s">
        <v>1339</v>
      </c>
      <c r="R56" s="1331">
        <v>1628197</v>
      </c>
      <c r="S56" s="1313" t="s">
        <v>1340</v>
      </c>
      <c r="T56" s="1319"/>
    </row>
    <row r="57" spans="5:23" s="1313" customFormat="1" ht="14" customHeight="1">
      <c r="E57" s="377" t="s">
        <v>792</v>
      </c>
      <c r="I57" s="1319" t="s">
        <v>765</v>
      </c>
      <c r="J57" s="1317" t="s">
        <v>782</v>
      </c>
      <c r="L57" s="1313" t="s">
        <v>1429</v>
      </c>
      <c r="M57" s="1313" t="s">
        <v>783</v>
      </c>
      <c r="N57" s="1320" t="s">
        <v>1363</v>
      </c>
      <c r="O57" s="377" t="s">
        <v>1436</v>
      </c>
      <c r="P57" s="1313" t="s">
        <v>1347</v>
      </c>
      <c r="Q57" s="1380" t="s">
        <v>1380</v>
      </c>
      <c r="R57" s="1335">
        <v>37686</v>
      </c>
      <c r="S57" s="1313" t="s">
        <v>1340</v>
      </c>
      <c r="T57" s="1322">
        <v>37686</v>
      </c>
      <c r="U57" s="1326">
        <v>0</v>
      </c>
      <c r="V57" s="1330">
        <v>191850.46</v>
      </c>
      <c r="W57" s="1332">
        <v>1751253</v>
      </c>
    </row>
    <row r="58" spans="5:23" s="1313" customFormat="1" ht="11" customHeight="1">
      <c r="I58" s="1319"/>
      <c r="J58" s="1317" t="s">
        <v>782</v>
      </c>
      <c r="L58" s="1313" t="s">
        <v>1429</v>
      </c>
      <c r="M58" s="1313" t="s">
        <v>783</v>
      </c>
      <c r="N58" s="1320" t="s">
        <v>1363</v>
      </c>
      <c r="O58" s="377" t="s">
        <v>1436</v>
      </c>
      <c r="P58" s="1313" t="s">
        <v>1347</v>
      </c>
      <c r="Q58" s="1381" t="s">
        <v>1379</v>
      </c>
      <c r="R58" s="1382">
        <v>0</v>
      </c>
      <c r="S58" s="1313" t="s">
        <v>1340</v>
      </c>
      <c r="T58" s="1319"/>
    </row>
    <row r="59" spans="5:23" s="1313" customFormat="1" ht="11" customHeight="1">
      <c r="I59" s="1319"/>
      <c r="J59" s="1317" t="s">
        <v>782</v>
      </c>
      <c r="L59" s="1313" t="s">
        <v>1429</v>
      </c>
      <c r="M59" s="1313" t="s">
        <v>783</v>
      </c>
      <c r="N59" s="1320" t="s">
        <v>1363</v>
      </c>
      <c r="O59" s="377" t="s">
        <v>1436</v>
      </c>
      <c r="P59" s="1313" t="s">
        <v>1347</v>
      </c>
      <c r="Q59" s="1383" t="s">
        <v>1397</v>
      </c>
      <c r="R59" s="1329">
        <v>191850.46</v>
      </c>
      <c r="S59" s="1313" t="s">
        <v>1340</v>
      </c>
      <c r="T59" s="1319"/>
    </row>
    <row r="60" spans="5:23" s="1313" customFormat="1" ht="14">
      <c r="I60" s="1319"/>
      <c r="J60" s="1317" t="s">
        <v>782</v>
      </c>
      <c r="L60" s="1313" t="s">
        <v>1429</v>
      </c>
      <c r="M60" s="1313" t="s">
        <v>783</v>
      </c>
      <c r="N60" s="1320" t="s">
        <v>1363</v>
      </c>
      <c r="O60" s="377" t="s">
        <v>1436</v>
      </c>
      <c r="P60" s="1313" t="s">
        <v>1347</v>
      </c>
      <c r="Q60" s="1334" t="s">
        <v>1339</v>
      </c>
      <c r="R60" s="1331">
        <v>1751253</v>
      </c>
      <c r="S60" s="1313" t="s">
        <v>1340</v>
      </c>
      <c r="T60" s="1319"/>
    </row>
    <row r="61" spans="5:23" s="1313" customFormat="1" ht="14" customHeight="1">
      <c r="E61" s="377" t="s">
        <v>787</v>
      </c>
      <c r="I61" s="1315" t="s">
        <v>752</v>
      </c>
      <c r="J61" s="1317" t="s">
        <v>769</v>
      </c>
      <c r="L61" s="1313" t="s">
        <v>1429</v>
      </c>
      <c r="M61" s="1313" t="s">
        <v>783</v>
      </c>
      <c r="N61" s="1320" t="s">
        <v>1363</v>
      </c>
      <c r="O61" s="377" t="s">
        <v>1436</v>
      </c>
      <c r="P61" s="1313" t="s">
        <v>1347</v>
      </c>
      <c r="Q61" s="1380" t="s">
        <v>1380</v>
      </c>
      <c r="R61" s="1321">
        <v>2053022.97</v>
      </c>
      <c r="S61" s="1313" t="s">
        <v>1340</v>
      </c>
      <c r="T61" s="1321">
        <v>2053022.97</v>
      </c>
      <c r="U61" s="1326">
        <v>0</v>
      </c>
      <c r="V61" s="1329">
        <v>2127456.2999999998</v>
      </c>
      <c r="W61" s="1331">
        <v>4412080.6300000008</v>
      </c>
    </row>
    <row r="62" spans="5:23" s="1313" customFormat="1" ht="14">
      <c r="I62" s="1319"/>
      <c r="J62" s="1317" t="s">
        <v>769</v>
      </c>
      <c r="L62" s="1313" t="s">
        <v>1429</v>
      </c>
      <c r="M62" s="1313" t="s">
        <v>783</v>
      </c>
      <c r="N62" s="1320" t="s">
        <v>1363</v>
      </c>
      <c r="O62" s="377" t="s">
        <v>1436</v>
      </c>
      <c r="P62" s="1313" t="s">
        <v>1347</v>
      </c>
      <c r="Q62" s="1381" t="s">
        <v>1379</v>
      </c>
      <c r="R62" s="1382">
        <v>0</v>
      </c>
      <c r="S62" s="1313" t="s">
        <v>1340</v>
      </c>
      <c r="T62" s="1319"/>
    </row>
    <row r="63" spans="5:23" s="1313" customFormat="1" ht="11" customHeight="1">
      <c r="I63" s="1319"/>
      <c r="J63" s="1317" t="s">
        <v>769</v>
      </c>
      <c r="L63" s="1313" t="s">
        <v>1429</v>
      </c>
      <c r="M63" s="1313" t="s">
        <v>783</v>
      </c>
      <c r="N63" s="1320" t="s">
        <v>1363</v>
      </c>
      <c r="O63" s="377" t="s">
        <v>1436</v>
      </c>
      <c r="P63" s="1313" t="s">
        <v>1347</v>
      </c>
      <c r="Q63" s="1383" t="s">
        <v>1397</v>
      </c>
      <c r="R63" s="1329">
        <v>2127456.2999999998</v>
      </c>
      <c r="S63" s="1313" t="s">
        <v>1340</v>
      </c>
      <c r="T63" s="1319"/>
    </row>
    <row r="64" spans="5:23" s="1313" customFormat="1" ht="11" customHeight="1">
      <c r="I64" s="1319"/>
      <c r="J64" s="1317" t="s">
        <v>769</v>
      </c>
      <c r="L64" s="1313" t="s">
        <v>1429</v>
      </c>
      <c r="M64" s="1313" t="s">
        <v>783</v>
      </c>
      <c r="N64" s="1320" t="s">
        <v>1363</v>
      </c>
      <c r="O64" s="377" t="s">
        <v>1436</v>
      </c>
      <c r="P64" s="1313" t="s">
        <v>1347</v>
      </c>
      <c r="Q64" s="1334" t="s">
        <v>1339</v>
      </c>
      <c r="R64" s="1331">
        <v>4412080.6300000008</v>
      </c>
      <c r="S64" s="1313" t="s">
        <v>1340</v>
      </c>
      <c r="T64" s="1319"/>
    </row>
    <row r="65" spans="5:23" s="1313" customFormat="1" ht="14" customHeight="1">
      <c r="E65" s="377" t="s">
        <v>788</v>
      </c>
      <c r="I65" s="1315" t="s">
        <v>753</v>
      </c>
      <c r="J65" s="1317" t="s">
        <v>770</v>
      </c>
      <c r="L65" s="1313" t="s">
        <v>1429</v>
      </c>
      <c r="M65" s="1313" t="s">
        <v>783</v>
      </c>
      <c r="N65" s="1320" t="s">
        <v>1363</v>
      </c>
      <c r="O65" s="377" t="s">
        <v>1436</v>
      </c>
      <c r="P65" s="1313" t="s">
        <v>1347</v>
      </c>
      <c r="Q65" s="1380" t="s">
        <v>1380</v>
      </c>
      <c r="R65" s="1321">
        <v>428911.75</v>
      </c>
      <c r="S65" s="1313" t="s">
        <v>1340</v>
      </c>
      <c r="T65" s="1321">
        <v>428911.75</v>
      </c>
      <c r="U65" s="1326">
        <v>0</v>
      </c>
      <c r="V65" s="1329">
        <v>210426.26</v>
      </c>
      <c r="W65" s="1331">
        <v>3787371.58</v>
      </c>
    </row>
    <row r="66" spans="5:23" s="1313" customFormat="1" ht="11" customHeight="1">
      <c r="I66" s="1319"/>
      <c r="J66" s="1317" t="s">
        <v>770</v>
      </c>
      <c r="L66" s="1313" t="s">
        <v>1429</v>
      </c>
      <c r="M66" s="1313" t="s">
        <v>783</v>
      </c>
      <c r="N66" s="1320" t="s">
        <v>1363</v>
      </c>
      <c r="O66" s="377" t="s">
        <v>1436</v>
      </c>
      <c r="P66" s="1313" t="s">
        <v>1347</v>
      </c>
      <c r="Q66" s="1381" t="s">
        <v>1379</v>
      </c>
      <c r="R66" s="1382">
        <v>0</v>
      </c>
      <c r="S66" s="1313" t="s">
        <v>1340</v>
      </c>
      <c r="T66" s="1319"/>
    </row>
    <row r="67" spans="5:23" s="1313" customFormat="1" ht="11" customHeight="1">
      <c r="I67" s="1319"/>
      <c r="J67" s="1317" t="s">
        <v>770</v>
      </c>
      <c r="L67" s="1313" t="s">
        <v>1429</v>
      </c>
      <c r="M67" s="1313" t="s">
        <v>783</v>
      </c>
      <c r="N67" s="1320" t="s">
        <v>1363</v>
      </c>
      <c r="O67" s="377" t="s">
        <v>1436</v>
      </c>
      <c r="P67" s="1313" t="s">
        <v>1347</v>
      </c>
      <c r="Q67" s="1383" t="s">
        <v>1397</v>
      </c>
      <c r="R67" s="1329">
        <v>210426.26</v>
      </c>
      <c r="S67" s="1313" t="s">
        <v>1340</v>
      </c>
      <c r="T67" s="1319"/>
      <c r="V67" s="1319"/>
      <c r="W67" s="1319"/>
    </row>
    <row r="68" spans="5:23" s="1313" customFormat="1" ht="14">
      <c r="J68" s="1317" t="s">
        <v>770</v>
      </c>
      <c r="L68" s="1313" t="s">
        <v>1429</v>
      </c>
      <c r="M68" s="1313" t="s">
        <v>783</v>
      </c>
      <c r="N68" s="1320" t="s">
        <v>1363</v>
      </c>
      <c r="O68" s="377" t="s">
        <v>1436</v>
      </c>
      <c r="P68" s="1313" t="s">
        <v>1347</v>
      </c>
      <c r="Q68" s="1334" t="s">
        <v>1339</v>
      </c>
      <c r="R68" s="1331">
        <v>3787371.58</v>
      </c>
      <c r="S68" s="1313" t="s">
        <v>1340</v>
      </c>
      <c r="T68" s="1319"/>
      <c r="V68" s="1319"/>
      <c r="W68" s="1319"/>
    </row>
    <row r="69" spans="5:23" s="1313" customFormat="1" ht="14" customHeight="1">
      <c r="E69" s="377" t="s">
        <v>789</v>
      </c>
      <c r="I69" s="1315" t="s">
        <v>754</v>
      </c>
      <c r="J69" s="1317" t="s">
        <v>771</v>
      </c>
      <c r="L69" s="1313" t="s">
        <v>1429</v>
      </c>
      <c r="M69" s="1313" t="s">
        <v>783</v>
      </c>
      <c r="N69" s="1320" t="s">
        <v>1363</v>
      </c>
      <c r="O69" s="377" t="s">
        <v>1352</v>
      </c>
      <c r="P69" s="1313" t="s">
        <v>1347</v>
      </c>
      <c r="Q69" s="1380" t="s">
        <v>1380</v>
      </c>
      <c r="R69" s="1321">
        <v>422058.07</v>
      </c>
      <c r="S69" s="1313" t="s">
        <v>1340</v>
      </c>
      <c r="T69" s="1321">
        <v>422058.07</v>
      </c>
      <c r="U69" s="1326">
        <v>0</v>
      </c>
      <c r="V69" s="1329">
        <v>193613.61</v>
      </c>
      <c r="W69" s="1331">
        <v>2955360.18</v>
      </c>
    </row>
    <row r="70" spans="5:23" s="1313" customFormat="1" ht="14">
      <c r="J70" s="1317" t="s">
        <v>771</v>
      </c>
      <c r="L70" s="1313" t="s">
        <v>1429</v>
      </c>
      <c r="M70" s="1313" t="s">
        <v>783</v>
      </c>
      <c r="N70" s="1320" t="s">
        <v>1363</v>
      </c>
      <c r="O70" s="377" t="s">
        <v>1352</v>
      </c>
      <c r="P70" s="1313" t="s">
        <v>1347</v>
      </c>
      <c r="Q70" s="1381" t="s">
        <v>1379</v>
      </c>
      <c r="R70" s="1326">
        <v>0</v>
      </c>
      <c r="S70" s="1313" t="s">
        <v>1340</v>
      </c>
    </row>
    <row r="71" spans="5:23" s="1313" customFormat="1" ht="14">
      <c r="J71" s="1317" t="s">
        <v>771</v>
      </c>
      <c r="L71" s="1313" t="s">
        <v>1429</v>
      </c>
      <c r="M71" s="1313" t="s">
        <v>783</v>
      </c>
      <c r="N71" s="1320" t="s">
        <v>1363</v>
      </c>
      <c r="O71" s="377" t="s">
        <v>1352</v>
      </c>
      <c r="P71" s="1313" t="s">
        <v>1347</v>
      </c>
      <c r="Q71" s="1383" t="s">
        <v>1397</v>
      </c>
      <c r="R71" s="1329">
        <v>193613.61</v>
      </c>
      <c r="S71" s="1313" t="s">
        <v>1340</v>
      </c>
    </row>
    <row r="72" spans="5:23" s="1313" customFormat="1" ht="14">
      <c r="J72" s="1317" t="s">
        <v>771</v>
      </c>
      <c r="L72" s="1313" t="s">
        <v>1429</v>
      </c>
      <c r="M72" s="1313" t="s">
        <v>783</v>
      </c>
      <c r="N72" s="1320" t="s">
        <v>1363</v>
      </c>
      <c r="O72" s="377" t="s">
        <v>1352</v>
      </c>
      <c r="P72" s="1313" t="s">
        <v>1347</v>
      </c>
      <c r="Q72" s="1334" t="s">
        <v>1339</v>
      </c>
      <c r="R72" s="1331">
        <v>2955360.18</v>
      </c>
      <c r="S72" s="1313" t="s">
        <v>1340</v>
      </c>
    </row>
    <row r="73" spans="5:23" s="1313" customFormat="1" ht="14" customHeight="1">
      <c r="E73" s="377" t="s">
        <v>789</v>
      </c>
      <c r="I73" s="1315" t="s">
        <v>755</v>
      </c>
      <c r="J73" s="1317" t="s">
        <v>772</v>
      </c>
      <c r="L73" s="1313" t="s">
        <v>1429</v>
      </c>
      <c r="M73" s="1313" t="s">
        <v>783</v>
      </c>
      <c r="N73" s="1320" t="s">
        <v>1363</v>
      </c>
      <c r="O73" s="377" t="s">
        <v>1352</v>
      </c>
      <c r="P73" s="1313" t="s">
        <v>1347</v>
      </c>
      <c r="Q73" s="1380" t="s">
        <v>1380</v>
      </c>
      <c r="R73" s="1321">
        <v>804657.28</v>
      </c>
      <c r="S73" s="1313" t="s">
        <v>1340</v>
      </c>
      <c r="T73" s="1321">
        <v>804657.28</v>
      </c>
      <c r="U73" s="1326">
        <v>0</v>
      </c>
      <c r="V73" s="1329">
        <v>12740.91</v>
      </c>
      <c r="W73" s="1331">
        <v>2062360.3</v>
      </c>
    </row>
    <row r="74" spans="5:23" s="1313" customFormat="1" ht="14">
      <c r="J74" s="1317" t="s">
        <v>772</v>
      </c>
      <c r="L74" s="1313" t="s">
        <v>1429</v>
      </c>
      <c r="M74" s="1313" t="s">
        <v>783</v>
      </c>
      <c r="N74" s="1320" t="s">
        <v>1363</v>
      </c>
      <c r="O74" s="377" t="s">
        <v>1352</v>
      </c>
      <c r="P74" s="1313" t="s">
        <v>1347</v>
      </c>
      <c r="Q74" s="1381" t="s">
        <v>1379</v>
      </c>
      <c r="R74" s="1326">
        <v>0</v>
      </c>
      <c r="S74" s="1313" t="s">
        <v>1340</v>
      </c>
    </row>
    <row r="75" spans="5:23" s="1313" customFormat="1" ht="14">
      <c r="J75" s="1317" t="s">
        <v>772</v>
      </c>
      <c r="L75" s="1313" t="s">
        <v>1429</v>
      </c>
      <c r="M75" s="1313" t="s">
        <v>783</v>
      </c>
      <c r="N75" s="1320" t="s">
        <v>1363</v>
      </c>
      <c r="O75" s="377" t="s">
        <v>1352</v>
      </c>
      <c r="P75" s="1313" t="s">
        <v>1347</v>
      </c>
      <c r="Q75" s="1383" t="s">
        <v>1397</v>
      </c>
      <c r="R75" s="1329">
        <v>12740.91</v>
      </c>
      <c r="S75" s="1313" t="s">
        <v>1340</v>
      </c>
    </row>
    <row r="76" spans="5:23" s="1313" customFormat="1" ht="14">
      <c r="J76" s="1317" t="s">
        <v>772</v>
      </c>
      <c r="L76" s="1313" t="s">
        <v>1429</v>
      </c>
      <c r="M76" s="1313" t="s">
        <v>783</v>
      </c>
      <c r="N76" s="1320" t="s">
        <v>1363</v>
      </c>
      <c r="O76" s="377" t="s">
        <v>1352</v>
      </c>
      <c r="P76" s="1313" t="s">
        <v>1347</v>
      </c>
      <c r="Q76" s="1334" t="s">
        <v>1339</v>
      </c>
      <c r="R76" s="1331">
        <v>2062360.3</v>
      </c>
      <c r="S76" s="1313" t="s">
        <v>1340</v>
      </c>
    </row>
    <row r="77" spans="5:23" s="1313" customFormat="1" ht="14" customHeight="1">
      <c r="E77" s="377" t="s">
        <v>790</v>
      </c>
      <c r="I77" s="1315" t="s">
        <v>756</v>
      </c>
      <c r="J77" s="1317" t="s">
        <v>773</v>
      </c>
      <c r="L77" s="1313" t="s">
        <v>1429</v>
      </c>
      <c r="M77" s="1313" t="s">
        <v>783</v>
      </c>
      <c r="N77" s="1320" t="s">
        <v>1363</v>
      </c>
      <c r="O77" s="377" t="s">
        <v>1436</v>
      </c>
      <c r="P77" s="1313" t="s">
        <v>1347</v>
      </c>
      <c r="Q77" s="1380" t="s">
        <v>1380</v>
      </c>
      <c r="R77" s="1321">
        <v>377803.53</v>
      </c>
      <c r="S77" s="1313" t="s">
        <v>1340</v>
      </c>
      <c r="T77" s="1321">
        <v>377803.53</v>
      </c>
      <c r="U77" s="1326">
        <v>0</v>
      </c>
      <c r="V77" s="1329">
        <v>914.93</v>
      </c>
      <c r="W77" s="1331">
        <v>3014325.85</v>
      </c>
    </row>
    <row r="78" spans="5:23" s="1313" customFormat="1" ht="14">
      <c r="J78" s="1317" t="s">
        <v>773</v>
      </c>
      <c r="L78" s="1313" t="s">
        <v>1429</v>
      </c>
      <c r="M78" s="1313" t="s">
        <v>783</v>
      </c>
      <c r="N78" s="1320" t="s">
        <v>1363</v>
      </c>
      <c r="O78" s="377" t="s">
        <v>1436</v>
      </c>
      <c r="P78" s="1313" t="s">
        <v>1347</v>
      </c>
      <c r="Q78" s="1381" t="s">
        <v>1379</v>
      </c>
      <c r="R78" s="1326">
        <v>0</v>
      </c>
      <c r="S78" s="1313" t="s">
        <v>1340</v>
      </c>
    </row>
    <row r="79" spans="5:23" s="1313" customFormat="1" ht="14">
      <c r="J79" s="1317" t="s">
        <v>773</v>
      </c>
      <c r="L79" s="1313" t="s">
        <v>1429</v>
      </c>
      <c r="M79" s="1313" t="s">
        <v>783</v>
      </c>
      <c r="N79" s="1320" t="s">
        <v>1363</v>
      </c>
      <c r="O79" s="377" t="s">
        <v>1436</v>
      </c>
      <c r="P79" s="1313" t="s">
        <v>1347</v>
      </c>
      <c r="Q79" s="1383" t="s">
        <v>1397</v>
      </c>
      <c r="R79" s="1329">
        <v>914.93</v>
      </c>
      <c r="S79" s="1313" t="s">
        <v>1340</v>
      </c>
    </row>
    <row r="80" spans="5:23" s="1313" customFormat="1" ht="14">
      <c r="J80" s="1317" t="s">
        <v>773</v>
      </c>
      <c r="L80" s="1313" t="s">
        <v>1429</v>
      </c>
      <c r="M80" s="1313" t="s">
        <v>783</v>
      </c>
      <c r="N80" s="1320" t="s">
        <v>1363</v>
      </c>
      <c r="O80" s="377" t="s">
        <v>1436</v>
      </c>
      <c r="P80" s="1313" t="s">
        <v>1347</v>
      </c>
      <c r="Q80" s="1334" t="s">
        <v>1339</v>
      </c>
      <c r="R80" s="1331">
        <v>3014325.85</v>
      </c>
      <c r="S80" s="1313" t="s">
        <v>1340</v>
      </c>
    </row>
    <row r="81" spans="5:23" s="1313" customFormat="1" ht="14" customHeight="1">
      <c r="E81" s="377" t="s">
        <v>789</v>
      </c>
      <c r="I81" s="1315" t="s">
        <v>757</v>
      </c>
      <c r="J81" s="1317" t="s">
        <v>774</v>
      </c>
      <c r="L81" s="1313" t="s">
        <v>1429</v>
      </c>
      <c r="M81" s="1313" t="s">
        <v>783</v>
      </c>
      <c r="N81" s="1320" t="s">
        <v>1363</v>
      </c>
      <c r="O81" s="377" t="s">
        <v>1352</v>
      </c>
      <c r="P81" s="1313" t="s">
        <v>1347</v>
      </c>
      <c r="Q81" s="1380" t="s">
        <v>1380</v>
      </c>
      <c r="R81" s="1321">
        <v>349526.22</v>
      </c>
      <c r="S81" s="1313" t="s">
        <v>1340</v>
      </c>
      <c r="T81" s="1321">
        <v>349526.22</v>
      </c>
      <c r="U81" s="1326">
        <v>0</v>
      </c>
      <c r="V81" s="1329">
        <v>28418.61</v>
      </c>
      <c r="W81" s="1331">
        <v>1216431.8199999998</v>
      </c>
    </row>
    <row r="82" spans="5:23" s="1313" customFormat="1" ht="14">
      <c r="J82" s="1317" t="s">
        <v>774</v>
      </c>
      <c r="L82" s="1313" t="s">
        <v>1429</v>
      </c>
      <c r="M82" s="1313" t="s">
        <v>783</v>
      </c>
      <c r="N82" s="1320" t="s">
        <v>1363</v>
      </c>
      <c r="O82" s="377" t="s">
        <v>1352</v>
      </c>
      <c r="P82" s="1313" t="s">
        <v>1347</v>
      </c>
      <c r="Q82" s="1381" t="s">
        <v>1379</v>
      </c>
      <c r="R82" s="1326">
        <v>0</v>
      </c>
      <c r="S82" s="1313" t="s">
        <v>1340</v>
      </c>
    </row>
    <row r="83" spans="5:23" s="1313" customFormat="1" ht="14">
      <c r="J83" s="1317" t="s">
        <v>774</v>
      </c>
      <c r="L83" s="1313" t="s">
        <v>1429</v>
      </c>
      <c r="M83" s="1313" t="s">
        <v>783</v>
      </c>
      <c r="N83" s="1320" t="s">
        <v>1363</v>
      </c>
      <c r="O83" s="377" t="s">
        <v>1352</v>
      </c>
      <c r="P83" s="1313" t="s">
        <v>1347</v>
      </c>
      <c r="Q83" s="1383" t="s">
        <v>1397</v>
      </c>
      <c r="R83" s="1329">
        <v>28418.61</v>
      </c>
      <c r="S83" s="1313" t="s">
        <v>1340</v>
      </c>
    </row>
    <row r="84" spans="5:23" s="1313" customFormat="1" ht="14">
      <c r="J84" s="1317" t="s">
        <v>774</v>
      </c>
      <c r="L84" s="1313" t="s">
        <v>1429</v>
      </c>
      <c r="M84" s="1313" t="s">
        <v>783</v>
      </c>
      <c r="N84" s="1320" t="s">
        <v>1363</v>
      </c>
      <c r="O84" s="377" t="s">
        <v>1352</v>
      </c>
      <c r="P84" s="1313" t="s">
        <v>1347</v>
      </c>
      <c r="Q84" s="1334" t="s">
        <v>1339</v>
      </c>
      <c r="R84" s="1331">
        <v>1216431.8199999998</v>
      </c>
      <c r="S84" s="1313" t="s">
        <v>1340</v>
      </c>
    </row>
    <row r="85" spans="5:23" s="1313" customFormat="1" ht="14" customHeight="1">
      <c r="E85" s="377" t="s">
        <v>789</v>
      </c>
      <c r="I85" s="1315" t="s">
        <v>758</v>
      </c>
      <c r="J85" s="1317" t="s">
        <v>775</v>
      </c>
      <c r="L85" s="1313" t="s">
        <v>1429</v>
      </c>
      <c r="M85" s="1313" t="s">
        <v>783</v>
      </c>
      <c r="N85" s="1320" t="s">
        <v>1363</v>
      </c>
      <c r="O85" s="377" t="s">
        <v>1352</v>
      </c>
      <c r="P85" s="1313" t="s">
        <v>1347</v>
      </c>
      <c r="Q85" s="1380" t="s">
        <v>1380</v>
      </c>
      <c r="R85" s="1321">
        <v>363164.43</v>
      </c>
      <c r="S85" s="1313" t="s">
        <v>1340</v>
      </c>
      <c r="T85" s="1321">
        <v>363164.43</v>
      </c>
      <c r="U85" s="1326">
        <v>0</v>
      </c>
      <c r="V85" s="1329">
        <v>627367.25</v>
      </c>
      <c r="W85" s="1331">
        <v>2259541.09</v>
      </c>
    </row>
    <row r="86" spans="5:23" s="1313" customFormat="1" ht="14">
      <c r="J86" s="1317" t="s">
        <v>775</v>
      </c>
      <c r="L86" s="1313" t="s">
        <v>1429</v>
      </c>
      <c r="M86" s="1313" t="s">
        <v>783</v>
      </c>
      <c r="N86" s="1320" t="s">
        <v>1363</v>
      </c>
      <c r="O86" s="377" t="s">
        <v>1352</v>
      </c>
      <c r="P86" s="1313" t="s">
        <v>1347</v>
      </c>
      <c r="Q86" s="1381" t="s">
        <v>1379</v>
      </c>
      <c r="R86" s="1326">
        <v>0</v>
      </c>
      <c r="S86" s="1313" t="s">
        <v>1340</v>
      </c>
    </row>
    <row r="87" spans="5:23" s="1313" customFormat="1" ht="14">
      <c r="J87" s="1317" t="s">
        <v>775</v>
      </c>
      <c r="L87" s="1313" t="s">
        <v>1429</v>
      </c>
      <c r="M87" s="1313" t="s">
        <v>783</v>
      </c>
      <c r="N87" s="1320" t="s">
        <v>1363</v>
      </c>
      <c r="O87" s="377" t="s">
        <v>1352</v>
      </c>
      <c r="P87" s="1313" t="s">
        <v>1347</v>
      </c>
      <c r="Q87" s="1383" t="s">
        <v>1397</v>
      </c>
      <c r="R87" s="1329">
        <v>627367.25</v>
      </c>
      <c r="S87" s="1313" t="s">
        <v>1340</v>
      </c>
    </row>
    <row r="88" spans="5:23" s="1313" customFormat="1" ht="14">
      <c r="J88" s="1317" t="s">
        <v>775</v>
      </c>
      <c r="L88" s="1313" t="s">
        <v>1429</v>
      </c>
      <c r="M88" s="1313" t="s">
        <v>783</v>
      </c>
      <c r="N88" s="1320" t="s">
        <v>1363</v>
      </c>
      <c r="O88" s="377" t="s">
        <v>1352</v>
      </c>
      <c r="P88" s="1313" t="s">
        <v>1347</v>
      </c>
      <c r="Q88" s="1334" t="s">
        <v>1339</v>
      </c>
      <c r="R88" s="1331">
        <v>2259541.09</v>
      </c>
      <c r="S88" s="1313" t="s">
        <v>1340</v>
      </c>
    </row>
    <row r="89" spans="5:23" s="1313" customFormat="1" ht="14" customHeight="1">
      <c r="E89" s="377" t="s">
        <v>789</v>
      </c>
      <c r="I89" s="1315" t="s">
        <v>759</v>
      </c>
      <c r="J89" s="1317" t="s">
        <v>776</v>
      </c>
      <c r="L89" s="1313" t="s">
        <v>1429</v>
      </c>
      <c r="M89" s="1313" t="s">
        <v>783</v>
      </c>
      <c r="N89" s="1320" t="s">
        <v>1363</v>
      </c>
      <c r="O89" s="377" t="s">
        <v>1352</v>
      </c>
      <c r="P89" s="1313" t="s">
        <v>1347</v>
      </c>
      <c r="Q89" s="1380" t="s">
        <v>1380</v>
      </c>
      <c r="R89" s="1321">
        <v>539204.03</v>
      </c>
      <c r="S89" s="1313" t="s">
        <v>1340</v>
      </c>
      <c r="T89" s="1321">
        <v>539204.03</v>
      </c>
      <c r="U89" s="1326">
        <v>0</v>
      </c>
      <c r="V89" s="1329">
        <v>231636.89</v>
      </c>
      <c r="W89" s="1331">
        <v>3100358.38</v>
      </c>
    </row>
    <row r="90" spans="5:23" s="1313" customFormat="1" ht="14">
      <c r="I90" s="1315" t="s">
        <v>759</v>
      </c>
      <c r="J90" s="1317" t="s">
        <v>776</v>
      </c>
      <c r="L90" s="1313" t="s">
        <v>1429</v>
      </c>
      <c r="M90" s="1313" t="s">
        <v>783</v>
      </c>
      <c r="N90" s="1320" t="s">
        <v>1363</v>
      </c>
      <c r="O90" s="377" t="s">
        <v>1352</v>
      </c>
      <c r="P90" s="1313" t="s">
        <v>1347</v>
      </c>
      <c r="Q90" s="1381" t="s">
        <v>1379</v>
      </c>
      <c r="R90" s="1326">
        <v>0</v>
      </c>
      <c r="S90" s="1313" t="s">
        <v>1340</v>
      </c>
    </row>
    <row r="91" spans="5:23" s="1313" customFormat="1" ht="14">
      <c r="I91" s="1315" t="s">
        <v>759</v>
      </c>
      <c r="J91" s="1317" t="s">
        <v>776</v>
      </c>
      <c r="L91" s="1313" t="s">
        <v>1429</v>
      </c>
      <c r="M91" s="1313" t="s">
        <v>783</v>
      </c>
      <c r="N91" s="1320" t="s">
        <v>1363</v>
      </c>
      <c r="O91" s="377" t="s">
        <v>1352</v>
      </c>
      <c r="P91" s="1313" t="s">
        <v>1347</v>
      </c>
      <c r="Q91" s="1383" t="s">
        <v>1397</v>
      </c>
      <c r="R91" s="1329">
        <v>231636.89</v>
      </c>
      <c r="S91" s="1313" t="s">
        <v>1340</v>
      </c>
    </row>
    <row r="92" spans="5:23" s="1313" customFormat="1" ht="14">
      <c r="I92" s="1315" t="s">
        <v>759</v>
      </c>
      <c r="J92" s="1317" t="s">
        <v>776</v>
      </c>
      <c r="L92" s="1313" t="s">
        <v>1429</v>
      </c>
      <c r="M92" s="1313" t="s">
        <v>783</v>
      </c>
      <c r="N92" s="1320" t="s">
        <v>1363</v>
      </c>
      <c r="O92" s="377" t="s">
        <v>1352</v>
      </c>
      <c r="P92" s="1313" t="s">
        <v>1347</v>
      </c>
      <c r="Q92" s="1334" t="s">
        <v>1339</v>
      </c>
      <c r="R92" s="1331">
        <v>3100358.38</v>
      </c>
      <c r="S92" s="1313" t="s">
        <v>1340</v>
      </c>
    </row>
    <row r="93" spans="5:23" s="1313" customFormat="1" ht="14" customHeight="1">
      <c r="E93" s="377" t="s">
        <v>789</v>
      </c>
      <c r="I93" s="1315" t="s">
        <v>760</v>
      </c>
      <c r="J93" s="1317" t="s">
        <v>777</v>
      </c>
      <c r="L93" s="1313" t="s">
        <v>1429</v>
      </c>
      <c r="M93" s="1313" t="s">
        <v>783</v>
      </c>
      <c r="N93" s="1320" t="s">
        <v>1363</v>
      </c>
      <c r="O93" s="377" t="s">
        <v>1352</v>
      </c>
      <c r="P93" s="1313" t="s">
        <v>1347</v>
      </c>
      <c r="Q93" s="1380" t="s">
        <v>1380</v>
      </c>
      <c r="R93" s="1321">
        <v>284760.69</v>
      </c>
      <c r="S93" s="1313" t="s">
        <v>1340</v>
      </c>
      <c r="T93" s="1321">
        <v>284760.69</v>
      </c>
      <c r="U93" s="1326">
        <v>0</v>
      </c>
      <c r="V93" s="1329">
        <v>466073.63</v>
      </c>
      <c r="W93" s="1331">
        <v>2223688.17</v>
      </c>
    </row>
    <row r="94" spans="5:23" s="1313" customFormat="1" ht="14">
      <c r="I94" s="1315" t="s">
        <v>760</v>
      </c>
      <c r="J94" s="1317" t="s">
        <v>777</v>
      </c>
      <c r="L94" s="1313" t="s">
        <v>1429</v>
      </c>
      <c r="M94" s="1313" t="s">
        <v>783</v>
      </c>
      <c r="N94" s="1320" t="s">
        <v>1363</v>
      </c>
      <c r="O94" s="377" t="s">
        <v>1352</v>
      </c>
      <c r="P94" s="1313" t="s">
        <v>1347</v>
      </c>
      <c r="Q94" s="1381" t="s">
        <v>1379</v>
      </c>
      <c r="R94" s="1326">
        <v>0</v>
      </c>
      <c r="S94" s="1313" t="s">
        <v>1340</v>
      </c>
    </row>
    <row r="95" spans="5:23" s="1313" customFormat="1" ht="14">
      <c r="I95" s="1315" t="s">
        <v>760</v>
      </c>
      <c r="J95" s="1317" t="s">
        <v>777</v>
      </c>
      <c r="L95" s="1313" t="s">
        <v>1429</v>
      </c>
      <c r="M95" s="1313" t="s">
        <v>783</v>
      </c>
      <c r="N95" s="1320" t="s">
        <v>1363</v>
      </c>
      <c r="O95" s="377" t="s">
        <v>1352</v>
      </c>
      <c r="P95" s="1313" t="s">
        <v>1347</v>
      </c>
      <c r="Q95" s="1383" t="s">
        <v>1397</v>
      </c>
      <c r="R95" s="1329">
        <v>466073.63</v>
      </c>
      <c r="S95" s="1313" t="s">
        <v>1340</v>
      </c>
    </row>
    <row r="96" spans="5:23" s="1313" customFormat="1" ht="14">
      <c r="I96" s="1315" t="s">
        <v>760</v>
      </c>
      <c r="J96" s="1317" t="s">
        <v>777</v>
      </c>
      <c r="L96" s="1313" t="s">
        <v>1429</v>
      </c>
      <c r="M96" s="1313" t="s">
        <v>783</v>
      </c>
      <c r="N96" s="1320" t="s">
        <v>1363</v>
      </c>
      <c r="O96" s="377" t="s">
        <v>1352</v>
      </c>
      <c r="P96" s="1313" t="s">
        <v>1347</v>
      </c>
      <c r="Q96" s="1334" t="s">
        <v>1339</v>
      </c>
      <c r="R96" s="1331">
        <v>2223688.17</v>
      </c>
      <c r="S96" s="1313" t="s">
        <v>1340</v>
      </c>
    </row>
    <row r="97" spans="1:46" s="1313" customFormat="1" ht="14" customHeight="1">
      <c r="E97" s="377" t="s">
        <v>790</v>
      </c>
      <c r="I97" s="1315" t="s">
        <v>761</v>
      </c>
      <c r="J97" s="1317" t="s">
        <v>778</v>
      </c>
      <c r="L97" s="1313" t="s">
        <v>1429</v>
      </c>
      <c r="M97" s="1313" t="s">
        <v>783</v>
      </c>
      <c r="N97" s="1320" t="s">
        <v>1363</v>
      </c>
      <c r="O97" s="377" t="s">
        <v>1436</v>
      </c>
      <c r="P97" s="1313" t="s">
        <v>1347</v>
      </c>
      <c r="Q97" s="1380" t="s">
        <v>1380</v>
      </c>
      <c r="R97" s="1321">
        <v>327430.32</v>
      </c>
      <c r="S97" s="1313" t="s">
        <v>1340</v>
      </c>
      <c r="T97" s="1321">
        <v>327430.32</v>
      </c>
      <c r="U97" s="1326">
        <v>0</v>
      </c>
      <c r="V97" s="1329">
        <v>105696.84</v>
      </c>
      <c r="W97" s="1331">
        <v>2571047.1599999997</v>
      </c>
    </row>
    <row r="98" spans="1:46" s="1313" customFormat="1" ht="14">
      <c r="I98" s="1315" t="s">
        <v>761</v>
      </c>
      <c r="J98" s="1317" t="s">
        <v>778</v>
      </c>
      <c r="L98" s="1313" t="s">
        <v>1429</v>
      </c>
      <c r="M98" s="1313" t="s">
        <v>783</v>
      </c>
      <c r="N98" s="1320" t="s">
        <v>1363</v>
      </c>
      <c r="O98" s="377" t="s">
        <v>1436</v>
      </c>
      <c r="P98" s="1313" t="s">
        <v>1347</v>
      </c>
      <c r="Q98" s="1381" t="s">
        <v>1379</v>
      </c>
      <c r="R98" s="1326">
        <v>0</v>
      </c>
      <c r="S98" s="1313" t="s">
        <v>1340</v>
      </c>
    </row>
    <row r="99" spans="1:46" s="1313" customFormat="1" ht="14">
      <c r="I99" s="1315" t="s">
        <v>761</v>
      </c>
      <c r="J99" s="1317" t="s">
        <v>778</v>
      </c>
      <c r="L99" s="1313" t="s">
        <v>1429</v>
      </c>
      <c r="M99" s="1313" t="s">
        <v>783</v>
      </c>
      <c r="N99" s="1320" t="s">
        <v>1363</v>
      </c>
      <c r="O99" s="377" t="s">
        <v>1436</v>
      </c>
      <c r="P99" s="1313" t="s">
        <v>1347</v>
      </c>
      <c r="Q99" s="1383" t="s">
        <v>1397</v>
      </c>
      <c r="R99" s="1329">
        <v>105696.84</v>
      </c>
      <c r="S99" s="1313" t="s">
        <v>1340</v>
      </c>
    </row>
    <row r="100" spans="1:46" s="1313" customFormat="1" ht="14">
      <c r="I100" s="1315" t="s">
        <v>761</v>
      </c>
      <c r="J100" s="1317" t="s">
        <v>778</v>
      </c>
      <c r="L100" s="1313" t="s">
        <v>1429</v>
      </c>
      <c r="M100" s="1313" t="s">
        <v>783</v>
      </c>
      <c r="N100" s="1320" t="s">
        <v>1363</v>
      </c>
      <c r="O100" s="377" t="s">
        <v>1436</v>
      </c>
      <c r="P100" s="1313" t="s">
        <v>1347</v>
      </c>
      <c r="Q100" s="1334" t="s">
        <v>1339</v>
      </c>
      <c r="R100" s="1331">
        <v>2571047.1599999997</v>
      </c>
      <c r="S100" s="1313" t="s">
        <v>1340</v>
      </c>
    </row>
    <row r="101" spans="1:46" s="1313" customFormat="1" ht="14" customHeight="1">
      <c r="E101" s="377" t="s">
        <v>789</v>
      </c>
      <c r="I101" s="1315" t="s">
        <v>762</v>
      </c>
      <c r="J101" s="1317" t="s">
        <v>779</v>
      </c>
      <c r="L101" s="1313" t="s">
        <v>1429</v>
      </c>
      <c r="M101" s="1313" t="s">
        <v>783</v>
      </c>
      <c r="N101" s="1320" t="s">
        <v>1363</v>
      </c>
      <c r="O101" s="377" t="s">
        <v>1352</v>
      </c>
      <c r="P101" s="1313" t="s">
        <v>1347</v>
      </c>
      <c r="Q101" s="1380" t="s">
        <v>1380</v>
      </c>
      <c r="R101" s="1321">
        <v>202654.62</v>
      </c>
      <c r="S101" s="1313" t="s">
        <v>1340</v>
      </c>
      <c r="T101" s="1321">
        <v>202654.62</v>
      </c>
      <c r="U101" s="1326">
        <v>0</v>
      </c>
      <c r="V101" s="1329">
        <v>235057.37</v>
      </c>
      <c r="W101" s="1331">
        <v>526665.65999999992</v>
      </c>
    </row>
    <row r="102" spans="1:46" s="1313" customFormat="1" ht="14">
      <c r="I102" s="1315" t="s">
        <v>762</v>
      </c>
      <c r="J102" s="1317" t="s">
        <v>779</v>
      </c>
      <c r="L102" s="1313" t="s">
        <v>1429</v>
      </c>
      <c r="M102" s="1313" t="s">
        <v>783</v>
      </c>
      <c r="N102" s="1320" t="s">
        <v>1363</v>
      </c>
      <c r="O102" s="377" t="s">
        <v>1352</v>
      </c>
      <c r="P102" s="1313" t="s">
        <v>1347</v>
      </c>
      <c r="Q102" s="1381" t="s">
        <v>1379</v>
      </c>
      <c r="R102" s="1326">
        <v>0</v>
      </c>
      <c r="S102" s="1313" t="s">
        <v>1340</v>
      </c>
    </row>
    <row r="103" spans="1:46" s="1313" customFormat="1" ht="14">
      <c r="I103" s="1315" t="s">
        <v>762</v>
      </c>
      <c r="J103" s="1317" t="s">
        <v>779</v>
      </c>
      <c r="L103" s="1313" t="s">
        <v>1429</v>
      </c>
      <c r="M103" s="1313" t="s">
        <v>783</v>
      </c>
      <c r="N103" s="1320" t="s">
        <v>1363</v>
      </c>
      <c r="O103" s="377" t="s">
        <v>1352</v>
      </c>
      <c r="P103" s="1313" t="s">
        <v>1347</v>
      </c>
      <c r="Q103" s="1383" t="s">
        <v>1397</v>
      </c>
      <c r="R103" s="1329">
        <v>235057.37</v>
      </c>
      <c r="S103" s="1313" t="s">
        <v>1340</v>
      </c>
    </row>
    <row r="104" spans="1:46" s="1313" customFormat="1" ht="14">
      <c r="I104" s="1315" t="s">
        <v>762</v>
      </c>
      <c r="J104" s="1317" t="s">
        <v>779</v>
      </c>
      <c r="L104" s="1313" t="s">
        <v>1429</v>
      </c>
      <c r="M104" s="1313" t="s">
        <v>783</v>
      </c>
      <c r="N104" s="1320" t="s">
        <v>1363</v>
      </c>
      <c r="O104" s="377" t="s">
        <v>1352</v>
      </c>
      <c r="P104" s="1313" t="s">
        <v>1347</v>
      </c>
      <c r="Q104" s="1334" t="s">
        <v>1339</v>
      </c>
      <c r="R104" s="1331">
        <v>526665.65999999992</v>
      </c>
      <c r="S104" s="1313" t="s">
        <v>1340</v>
      </c>
    </row>
    <row r="105" spans="1:46" s="1313" customFormat="1"/>
    <row r="106" spans="1:46" s="1313" customFormat="1" ht="12">
      <c r="A106" s="142"/>
      <c r="B106" s="142"/>
      <c r="C106" s="142"/>
      <c r="D106" s="142"/>
      <c r="E106" s="142"/>
      <c r="F106" s="142"/>
      <c r="G106" s="501"/>
      <c r="H106" s="142"/>
      <c r="I106" s="142"/>
      <c r="J106" s="502"/>
      <c r="K106" s="503"/>
      <c r="L106" s="503"/>
      <c r="M106" s="502"/>
      <c r="N106" s="502"/>
      <c r="O106" s="502"/>
      <c r="P106" s="504"/>
      <c r="Q106" s="502"/>
      <c r="R106" s="502"/>
      <c r="S106" s="50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c r="AR106" s="142"/>
      <c r="AS106" s="142"/>
      <c r="AT106" s="3"/>
    </row>
    <row r="107" spans="1:46" s="1313" customFormat="1" ht="14">
      <c r="I107" s="1313" t="s">
        <v>249</v>
      </c>
      <c r="J107" s="1313" t="s">
        <v>250</v>
      </c>
      <c r="L107" s="1314" t="s">
        <v>1429</v>
      </c>
      <c r="M107" s="1314" t="s">
        <v>783</v>
      </c>
      <c r="N107" s="1320" t="s">
        <v>1363</v>
      </c>
      <c r="O107" s="377" t="s">
        <v>1352</v>
      </c>
      <c r="P107" s="1314" t="s">
        <v>1338</v>
      </c>
      <c r="Q107" s="1313" t="s">
        <v>1380</v>
      </c>
      <c r="R107" s="1475">
        <v>56665217.240000002</v>
      </c>
      <c r="S107" s="1314" t="s">
        <v>1340</v>
      </c>
    </row>
    <row r="108" spans="1:46" s="1313" customFormat="1" ht="14">
      <c r="I108" s="1314" t="s">
        <v>249</v>
      </c>
      <c r="J108" s="1314" t="s">
        <v>250</v>
      </c>
      <c r="L108" s="1314" t="s">
        <v>1429</v>
      </c>
      <c r="M108" s="1314" t="s">
        <v>783</v>
      </c>
      <c r="N108" s="1320" t="s">
        <v>1363</v>
      </c>
      <c r="O108" s="377" t="s">
        <v>1352</v>
      </c>
      <c r="P108" s="1314" t="s">
        <v>1338</v>
      </c>
      <c r="Q108" s="1313" t="s">
        <v>1339</v>
      </c>
      <c r="R108" s="1475">
        <v>136201749.15000001</v>
      </c>
      <c r="S108" s="1314" t="s">
        <v>1340</v>
      </c>
    </row>
    <row r="109" spans="1:46" s="1313" customFormat="1" ht="14">
      <c r="I109" s="1314" t="s">
        <v>249</v>
      </c>
      <c r="J109" s="1314" t="s">
        <v>250</v>
      </c>
      <c r="L109" s="1314" t="s">
        <v>1429</v>
      </c>
      <c r="M109" s="1314" t="s">
        <v>783</v>
      </c>
      <c r="N109" s="1320" t="s">
        <v>1363</v>
      </c>
      <c r="O109" s="377" t="s">
        <v>1352</v>
      </c>
      <c r="P109" s="1314" t="s">
        <v>1338</v>
      </c>
      <c r="Q109" s="1313" t="s">
        <v>1379</v>
      </c>
      <c r="R109" s="1475">
        <v>139616052.41</v>
      </c>
      <c r="S109" s="1314" t="s">
        <v>1340</v>
      </c>
    </row>
    <row r="110" spans="1:46" s="1313" customFormat="1" ht="14">
      <c r="I110" s="1314" t="s">
        <v>249</v>
      </c>
      <c r="J110" s="1314" t="s">
        <v>250</v>
      </c>
      <c r="L110" s="1314" t="s">
        <v>1429</v>
      </c>
      <c r="M110" s="1314" t="s">
        <v>783</v>
      </c>
      <c r="N110" s="1320" t="s">
        <v>1363</v>
      </c>
      <c r="O110" s="377" t="s">
        <v>1352</v>
      </c>
      <c r="P110" s="1314" t="s">
        <v>1338</v>
      </c>
      <c r="Q110" s="1313" t="s">
        <v>1397</v>
      </c>
      <c r="R110" s="1475">
        <v>16626147.98</v>
      </c>
      <c r="S110" s="1314" t="s">
        <v>1340</v>
      </c>
    </row>
    <row r="111" spans="1:46" s="1313" customFormat="1" ht="14">
      <c r="I111" s="1314" t="s">
        <v>249</v>
      </c>
      <c r="J111" s="1314" t="s">
        <v>250</v>
      </c>
      <c r="L111" s="1314" t="s">
        <v>1429</v>
      </c>
      <c r="M111" s="1314" t="s">
        <v>783</v>
      </c>
      <c r="N111" s="1320" t="s">
        <v>1363</v>
      </c>
      <c r="O111" s="377" t="s">
        <v>1352</v>
      </c>
      <c r="P111" s="1314" t="s">
        <v>1338</v>
      </c>
      <c r="Q111" s="1313" t="s">
        <v>1465</v>
      </c>
      <c r="R111" s="1475">
        <v>21614.02</v>
      </c>
      <c r="S111" s="1314" t="s">
        <v>1340</v>
      </c>
    </row>
    <row r="112" spans="1:46" s="1313" customFormat="1" ht="14">
      <c r="J112" s="1313" t="s">
        <v>48</v>
      </c>
      <c r="L112" s="1314" t="s">
        <v>1429</v>
      </c>
      <c r="M112" s="1314" t="s">
        <v>783</v>
      </c>
      <c r="N112" s="1320" t="s">
        <v>1363</v>
      </c>
      <c r="O112" s="377" t="s">
        <v>1436</v>
      </c>
      <c r="P112" s="1314" t="s">
        <v>1338</v>
      </c>
      <c r="Q112" s="1314" t="s">
        <v>1380</v>
      </c>
      <c r="R112" s="1475">
        <v>758603679.52000046</v>
      </c>
      <c r="S112" s="1314" t="s">
        <v>1340</v>
      </c>
    </row>
    <row r="113" spans="10:19" s="1313" customFormat="1" ht="14">
      <c r="J113" s="1314" t="s">
        <v>48</v>
      </c>
      <c r="L113" s="1314" t="s">
        <v>1429</v>
      </c>
      <c r="M113" s="1314" t="s">
        <v>783</v>
      </c>
      <c r="N113" s="1320" t="s">
        <v>1363</v>
      </c>
      <c r="O113" s="377" t="s">
        <v>1436</v>
      </c>
      <c r="P113" s="1314" t="s">
        <v>1338</v>
      </c>
      <c r="Q113" s="1314" t="s">
        <v>1339</v>
      </c>
      <c r="R113" s="1475">
        <v>2236410181.9599996</v>
      </c>
      <c r="S113" s="1314" t="s">
        <v>1340</v>
      </c>
    </row>
    <row r="114" spans="10:19" s="1313" customFormat="1" ht="14">
      <c r="J114" s="1314" t="s">
        <v>48</v>
      </c>
      <c r="L114" s="1314" t="s">
        <v>1429</v>
      </c>
      <c r="M114" s="1314" t="s">
        <v>783</v>
      </c>
      <c r="N114" s="1320" t="s">
        <v>1363</v>
      </c>
      <c r="O114" s="377" t="s">
        <v>1436</v>
      </c>
      <c r="P114" s="1314" t="s">
        <v>1338</v>
      </c>
      <c r="Q114" s="1314" t="s">
        <v>1379</v>
      </c>
      <c r="R114" s="1475">
        <v>1309646936.4300003</v>
      </c>
      <c r="S114" s="1314" t="s">
        <v>1340</v>
      </c>
    </row>
    <row r="115" spans="10:19" s="1313" customFormat="1" ht="14">
      <c r="J115" s="1314" t="s">
        <v>48</v>
      </c>
      <c r="L115" s="1314" t="s">
        <v>1429</v>
      </c>
      <c r="M115" s="1314" t="s">
        <v>783</v>
      </c>
      <c r="N115" s="1320" t="s">
        <v>1363</v>
      </c>
      <c r="O115" s="377" t="s">
        <v>1436</v>
      </c>
      <c r="P115" s="1314" t="s">
        <v>1338</v>
      </c>
      <c r="Q115" s="1314" t="s">
        <v>1397</v>
      </c>
      <c r="R115" s="1475">
        <v>592289340.76999974</v>
      </c>
      <c r="S115" s="1314" t="s">
        <v>1340</v>
      </c>
    </row>
    <row r="116" spans="10:19" s="1313" customFormat="1" ht="14">
      <c r="J116" s="1314" t="s">
        <v>48</v>
      </c>
      <c r="L116" s="1314" t="s">
        <v>1429</v>
      </c>
      <c r="M116" s="1314" t="s">
        <v>783</v>
      </c>
      <c r="N116" s="1320" t="s">
        <v>1363</v>
      </c>
      <c r="O116" s="377" t="s">
        <v>1436</v>
      </c>
      <c r="P116" s="1314" t="s">
        <v>1338</v>
      </c>
      <c r="Q116" s="1314" t="s">
        <v>1465</v>
      </c>
      <c r="R116" s="1475">
        <v>3116273.5500000007</v>
      </c>
      <c r="S116" s="1314" t="s">
        <v>1340</v>
      </c>
    </row>
    <row r="117" spans="10:19" s="1313" customFormat="1"/>
    <row r="118" spans="10:19" s="1313" customFormat="1"/>
    <row r="119" spans="10:19" s="1313" customFormat="1"/>
    <row r="120" spans="10:19" s="1313" customFormat="1"/>
    <row r="121" spans="10:19" s="1313" customFormat="1"/>
    <row r="122" spans="10:19" s="1313" customFormat="1"/>
    <row r="123" spans="10:19" s="1313" customFormat="1"/>
    <row r="124" spans="10:19" s="1313" customFormat="1"/>
    <row r="125" spans="10:19" s="1313" customFormat="1"/>
    <row r="126" spans="10:19" s="1313" customFormat="1"/>
    <row r="127" spans="10:19" s="1313" customFormat="1"/>
    <row r="128" spans="10:19" s="1313" customFormat="1"/>
    <row r="129" s="1313" customFormat="1"/>
    <row r="130" s="1313" customFormat="1"/>
    <row r="131" s="1313" customFormat="1"/>
    <row r="132" s="1313" customFormat="1"/>
    <row r="133" s="1313" customFormat="1"/>
    <row r="134" s="1313" customFormat="1"/>
    <row r="135" s="1313" customFormat="1"/>
    <row r="136" s="1313" customFormat="1"/>
    <row r="137" s="1313" customFormat="1"/>
    <row r="138" s="1313" customFormat="1"/>
    <row r="139" s="1313" customFormat="1"/>
    <row r="140" s="1313" customFormat="1"/>
    <row r="141" s="1313" customFormat="1"/>
    <row r="142" s="1313" customFormat="1"/>
    <row r="143" s="1313" customFormat="1"/>
    <row r="144" s="1313" customFormat="1"/>
    <row r="145" s="1313" customFormat="1"/>
    <row r="146" s="1313" customFormat="1"/>
    <row r="147" s="1313" customFormat="1"/>
    <row r="148" s="1313" customFormat="1"/>
    <row r="149" s="1313" customFormat="1"/>
    <row r="150" s="1313" customFormat="1"/>
    <row r="151" s="1313" customFormat="1"/>
    <row r="152" s="1313" customFormat="1"/>
    <row r="153" s="1313" customFormat="1"/>
    <row r="154" s="1313" customFormat="1"/>
    <row r="155" s="1313" customFormat="1"/>
    <row r="156" s="1313" customFormat="1"/>
    <row r="157" s="1313" customFormat="1"/>
    <row r="158" s="1313" customFormat="1"/>
    <row r="159" s="1313" customFormat="1"/>
    <row r="160" s="1313" customFormat="1"/>
    <row r="161" s="1313" customFormat="1"/>
    <row r="162" s="1313" customFormat="1"/>
    <row r="163" s="1313" customFormat="1"/>
    <row r="164" s="1313" customFormat="1"/>
    <row r="165" s="1313" customFormat="1"/>
    <row r="166" s="1313" customFormat="1"/>
    <row r="167" s="1313" customFormat="1"/>
    <row r="168" s="1313" customFormat="1"/>
    <row r="169" s="1313" customFormat="1"/>
    <row r="170" s="1313" customFormat="1"/>
    <row r="171" s="1313" customFormat="1"/>
    <row r="172" s="1313" customFormat="1"/>
    <row r="173" s="1313" customFormat="1"/>
    <row r="174" s="1313" customFormat="1"/>
    <row r="175" s="1313" customFormat="1"/>
    <row r="176" s="1313" customFormat="1"/>
    <row r="177" s="1313" customFormat="1"/>
    <row r="178" s="1313" customFormat="1"/>
    <row r="179" s="1313" customFormat="1"/>
    <row r="180" s="1313" customFormat="1"/>
    <row r="181" s="1313" customFormat="1"/>
    <row r="182" s="1313" customFormat="1"/>
    <row r="183" s="1313" customFormat="1"/>
    <row r="184" s="1313" customFormat="1"/>
    <row r="185" s="1313" customFormat="1"/>
    <row r="186" s="1313" customFormat="1"/>
    <row r="187" s="1313" customFormat="1"/>
    <row r="188" s="1313" customFormat="1"/>
    <row r="189" s="1313" customFormat="1"/>
    <row r="190" s="1313" customFormat="1"/>
    <row r="191" s="1313" customFormat="1"/>
    <row r="192" s="1313" customFormat="1"/>
    <row r="193" s="1313" customFormat="1"/>
    <row r="194" s="1313" customFormat="1"/>
    <row r="195" s="1313" customFormat="1"/>
    <row r="196" s="1313" customFormat="1"/>
    <row r="197" s="1313" customFormat="1"/>
    <row r="198" s="1313" customFormat="1"/>
    <row r="199" s="1313" customFormat="1"/>
    <row r="200" s="1313" customFormat="1"/>
    <row r="201" s="1313" customFormat="1"/>
    <row r="202" s="1313" customFormat="1"/>
    <row r="203" s="1313" customFormat="1"/>
    <row r="204" s="1313" customFormat="1"/>
    <row r="205" s="1313" customFormat="1"/>
    <row r="206" s="1313" customFormat="1"/>
    <row r="207" s="1313" customFormat="1"/>
    <row r="208" s="1313" customFormat="1"/>
    <row r="209" s="1313" customFormat="1"/>
    <row r="210" s="1313" customFormat="1"/>
    <row r="211" s="1313" customFormat="1"/>
    <row r="212" s="1313" customFormat="1"/>
    <row r="213" s="1313" customFormat="1"/>
    <row r="214" s="1313" customFormat="1"/>
    <row r="215" s="1313" customFormat="1"/>
    <row r="216" s="1313" customFormat="1"/>
    <row r="217" s="1313" customFormat="1"/>
    <row r="218" s="1313" customFormat="1"/>
    <row r="219" s="1313" customFormat="1"/>
    <row r="220" s="1313" customFormat="1"/>
    <row r="221" s="1313" customFormat="1"/>
    <row r="222" s="1313" customFormat="1"/>
    <row r="223" s="1313" customFormat="1"/>
    <row r="224" s="1313" customFormat="1"/>
    <row r="225" s="1313" customFormat="1"/>
    <row r="226" s="1313" customFormat="1"/>
    <row r="227" s="1313" customFormat="1"/>
    <row r="228" s="1313" customFormat="1"/>
    <row r="229" s="1313" customFormat="1"/>
    <row r="230" s="1313" customFormat="1"/>
    <row r="231" s="1313" customFormat="1"/>
    <row r="232" s="1313" customFormat="1"/>
    <row r="233" s="1313" customFormat="1"/>
    <row r="234" s="1313" customFormat="1"/>
    <row r="235" s="1313" customFormat="1"/>
    <row r="236" s="1313" customFormat="1"/>
    <row r="237" s="1313" customFormat="1"/>
    <row r="238" s="1313" customFormat="1"/>
    <row r="239" s="1313" customFormat="1"/>
    <row r="240" s="1313" customFormat="1"/>
    <row r="241" s="1313" customFormat="1"/>
    <row r="242" s="1313" customFormat="1"/>
    <row r="243" s="1313" customFormat="1"/>
    <row r="244" s="1313" customFormat="1"/>
    <row r="245" s="1313" customFormat="1"/>
    <row r="246" s="1313" customFormat="1"/>
    <row r="247" s="1313" customFormat="1"/>
    <row r="248" s="1313" customFormat="1"/>
    <row r="249" s="1313" customFormat="1"/>
    <row r="250" s="1313" customFormat="1"/>
    <row r="251" s="1313" customFormat="1"/>
    <row r="252" s="1313" customFormat="1"/>
    <row r="253" s="1313" customFormat="1"/>
    <row r="254" s="1313" customFormat="1"/>
    <row r="255" s="1313" customFormat="1"/>
    <row r="256" s="1313" customFormat="1"/>
    <row r="257" s="1313" customFormat="1"/>
    <row r="258" s="1313" customFormat="1"/>
    <row r="259" s="1313" customFormat="1"/>
    <row r="260" s="1313" customFormat="1"/>
    <row r="261" s="1313" customFormat="1"/>
    <row r="262" s="1313" customFormat="1"/>
    <row r="263" s="1313" customFormat="1"/>
    <row r="264" s="1313" customFormat="1"/>
    <row r="265" s="1313" customFormat="1"/>
    <row r="266" s="1313" customFormat="1"/>
    <row r="267" s="1313" customFormat="1"/>
    <row r="268" s="1313" customFormat="1"/>
    <row r="269" s="1313" customFormat="1"/>
    <row r="270" s="1313" customFormat="1"/>
    <row r="271" s="1313" customFormat="1"/>
    <row r="272" s="1313" customFormat="1"/>
    <row r="273" s="1313" customFormat="1"/>
    <row r="274" s="1313" customFormat="1"/>
    <row r="275" s="1313" customFormat="1"/>
    <row r="276" s="1313" customFormat="1"/>
    <row r="277" s="1313" customFormat="1"/>
    <row r="278" s="1313" customFormat="1"/>
    <row r="279" s="1313" customFormat="1"/>
    <row r="280" s="1313" customFormat="1"/>
    <row r="281" s="1313" customFormat="1"/>
    <row r="282" s="1313" customFormat="1"/>
    <row r="283" s="1313" customFormat="1"/>
    <row r="284" s="1313" customFormat="1"/>
    <row r="285" s="1313" customFormat="1"/>
    <row r="286" s="1313" customFormat="1"/>
    <row r="287" s="1313" customFormat="1"/>
    <row r="288" s="1313" customFormat="1"/>
    <row r="289" s="1313" customFormat="1"/>
    <row r="290" s="1313" customFormat="1"/>
    <row r="291" s="1313" customFormat="1"/>
    <row r="292" s="1313" customFormat="1"/>
    <row r="293" s="1313" customFormat="1"/>
    <row r="294" s="1313" customFormat="1"/>
    <row r="295" s="1313" customFormat="1"/>
    <row r="296" s="1313" customFormat="1"/>
    <row r="297" s="1313" customFormat="1"/>
    <row r="298" s="1313" customFormat="1"/>
    <row r="299" s="1313" customFormat="1"/>
    <row r="300" s="1313" customFormat="1"/>
    <row r="301" s="1313" customFormat="1"/>
    <row r="302" s="1313" customFormat="1"/>
    <row r="303" s="1313" customFormat="1"/>
    <row r="304" s="1313" customFormat="1"/>
    <row r="305" s="1313" customFormat="1"/>
    <row r="306" s="1313" customFormat="1"/>
    <row r="307" s="1313" customFormat="1"/>
    <row r="308" s="1313" customFormat="1"/>
    <row r="309" s="1313" customFormat="1"/>
    <row r="310" s="1313" customFormat="1"/>
    <row r="311" s="1313" customFormat="1"/>
    <row r="312" s="1313" customFormat="1"/>
    <row r="313" s="1313" customFormat="1"/>
    <row r="314" s="1313" customFormat="1"/>
    <row r="315" s="1313" customFormat="1"/>
    <row r="316" s="1313" customFormat="1"/>
    <row r="317" s="1313" customFormat="1"/>
    <row r="318" s="1313" customFormat="1"/>
    <row r="319" s="1313" customFormat="1"/>
    <row r="320" s="1313" customFormat="1"/>
    <row r="321" s="1313" customFormat="1"/>
    <row r="322" s="1313" customFormat="1"/>
    <row r="323" s="1313" customFormat="1"/>
    <row r="324" s="1313" customFormat="1"/>
    <row r="325" s="1313" customFormat="1"/>
    <row r="326" s="1313" customFormat="1"/>
    <row r="327" s="1313" customFormat="1"/>
    <row r="328" s="1313" customFormat="1"/>
    <row r="329" s="1313" customFormat="1"/>
    <row r="330" s="1313" customFormat="1"/>
    <row r="331" s="1313" customFormat="1"/>
    <row r="332" s="1313" customFormat="1"/>
    <row r="333" s="1313" customFormat="1"/>
    <row r="334" s="1313" customFormat="1"/>
    <row r="335" s="1313" customFormat="1"/>
    <row r="336" s="1313" customFormat="1"/>
    <row r="337" s="1313" customFormat="1"/>
    <row r="338" s="1313" customFormat="1"/>
    <row r="339" s="1313" customFormat="1"/>
    <row r="340" s="1313" customFormat="1"/>
    <row r="341" s="1313" customFormat="1"/>
    <row r="342" s="1313" customFormat="1"/>
    <row r="343" s="1313" customFormat="1"/>
    <row r="344" s="1313" customFormat="1"/>
    <row r="345" s="1313" customFormat="1"/>
    <row r="346" s="1313" customFormat="1"/>
    <row r="347" s="1313" customFormat="1"/>
    <row r="348" s="1313" customFormat="1"/>
    <row r="349" s="1313" customFormat="1"/>
    <row r="350" s="1313" customFormat="1"/>
    <row r="351" s="1313" customFormat="1"/>
    <row r="352" s="1313" customFormat="1"/>
    <row r="353" s="1313" customFormat="1"/>
    <row r="354" s="1313" customFormat="1"/>
    <row r="355" s="1313" customFormat="1"/>
    <row r="356" s="1313" customFormat="1"/>
    <row r="357" s="1313" customFormat="1"/>
    <row r="358" s="1313" customFormat="1"/>
    <row r="359" s="1313" customFormat="1"/>
    <row r="360" s="1313" customFormat="1"/>
    <row r="361" s="1313" customFormat="1"/>
    <row r="362" s="1313" customFormat="1"/>
    <row r="363" s="1313" customFormat="1"/>
    <row r="364" s="1313" customFormat="1"/>
    <row r="365" s="1313" customFormat="1"/>
    <row r="366" s="1313" customFormat="1"/>
    <row r="367" s="1313" customFormat="1"/>
    <row r="368" s="1313" customFormat="1"/>
    <row r="369" spans="1:76" s="1313" customFormat="1"/>
    <row r="370" spans="1:76" s="1313" customFormat="1"/>
    <row r="371" spans="1:76" s="1313" customFormat="1"/>
    <row r="372" spans="1:76" s="1313" customFormat="1"/>
    <row r="373" spans="1:76" s="1313" customFormat="1"/>
    <row r="374" spans="1:76" s="3" customFormat="1" ht="16" customHeight="1">
      <c r="A374" s="1276" t="s">
        <v>1119</v>
      </c>
      <c r="B374" s="1277" t="s">
        <v>879</v>
      </c>
      <c r="C374" s="1277"/>
      <c r="D374" s="1278"/>
      <c r="E374" s="1268"/>
      <c r="F374" s="1268"/>
      <c r="G374" s="1268"/>
      <c r="H374" s="1269"/>
      <c r="I374" s="1270" t="s">
        <v>898</v>
      </c>
      <c r="J374" s="1270" t="s">
        <v>898</v>
      </c>
      <c r="K374" s="1266"/>
      <c r="L374" s="1268"/>
      <c r="M374" s="1269"/>
      <c r="N374" s="1269"/>
      <c r="O374" s="1269"/>
      <c r="P374" s="1269"/>
      <c r="Q374" s="1269"/>
      <c r="R374" s="1271"/>
      <c r="S374" s="1268"/>
      <c r="T374" s="1266"/>
      <c r="U374" s="1268"/>
      <c r="V374" s="1268"/>
      <c r="W374" s="1268"/>
      <c r="X374" s="1268"/>
      <c r="Y374" s="1266"/>
      <c r="Z374" s="1268"/>
      <c r="AA374" s="1268"/>
      <c r="AB374" s="1268"/>
      <c r="AC374" s="1268"/>
      <c r="AD374" s="1268"/>
      <c r="AE374" s="1268"/>
      <c r="AF374" s="1268"/>
      <c r="AG374" s="1268"/>
      <c r="AH374" s="1272"/>
      <c r="AI374" s="1273"/>
      <c r="AJ374" s="1279"/>
      <c r="AK374" s="1279"/>
      <c r="AL374" s="1279"/>
      <c r="AM374" s="1279"/>
      <c r="AN374" s="1279"/>
      <c r="AO374" s="1279"/>
      <c r="AP374" s="1279"/>
      <c r="AQ374" s="1279"/>
      <c r="AR374" s="1279"/>
      <c r="AS374" s="1279"/>
      <c r="AT374" s="1273"/>
      <c r="AU374" s="1274"/>
      <c r="AV374" s="1275"/>
      <c r="AW374" s="1275"/>
      <c r="AX374" s="1275"/>
      <c r="AY374" s="1275"/>
      <c r="AZ374" s="1275"/>
      <c r="BA374" s="1275"/>
      <c r="BB374" s="1275"/>
      <c r="BC374" s="1275"/>
      <c r="BD374" s="1275"/>
      <c r="BE374" s="1275"/>
      <c r="BF374" s="1275"/>
      <c r="BG374" s="1275"/>
      <c r="BH374" s="1275"/>
      <c r="BI374" s="1275"/>
      <c r="BJ374" s="1275"/>
      <c r="BK374" s="1280"/>
      <c r="BL374" s="1280"/>
      <c r="BM374" s="1280"/>
      <c r="BN374" s="1280"/>
      <c r="BO374" s="1280"/>
      <c r="BP374" s="1280"/>
      <c r="BQ374" s="1280"/>
      <c r="BR374" s="1281"/>
      <c r="BS374" s="1281"/>
      <c r="BT374" s="1281"/>
      <c r="BU374" s="1275"/>
      <c r="BV374" s="1275"/>
      <c r="BW374" s="1275"/>
      <c r="BX374" s="1275"/>
    </row>
    <row r="375" spans="1:76" s="3" customFormat="1" ht="15" customHeight="1">
      <c r="A375" s="1282"/>
      <c r="B375" s="1282"/>
      <c r="C375" s="1282"/>
      <c r="D375" s="1282"/>
      <c r="E375" s="1282"/>
      <c r="F375" s="1282"/>
      <c r="G375" s="1282"/>
      <c r="H375" s="1283"/>
      <c r="I375" s="1282"/>
      <c r="J375" s="1282"/>
      <c r="K375" s="1284"/>
      <c r="L375" s="1285"/>
      <c r="M375" s="1285"/>
      <c r="N375" s="1284"/>
      <c r="O375" s="1284"/>
      <c r="P375" s="1284"/>
      <c r="Q375" s="1286"/>
      <c r="R375" s="1284"/>
      <c r="S375" s="1284"/>
      <c r="T375" s="1284"/>
      <c r="U375" s="1287"/>
      <c r="V375" s="1282"/>
      <c r="W375" s="1282"/>
      <c r="X375" s="1282"/>
      <c r="Y375" s="1282"/>
      <c r="Z375" s="1282"/>
      <c r="AA375" s="1282"/>
      <c r="AB375" s="1282"/>
      <c r="AC375" s="1282"/>
      <c r="AD375" s="1282"/>
      <c r="AE375" s="1282"/>
      <c r="AF375" s="1282"/>
      <c r="AG375" s="1280"/>
      <c r="AH375" s="1280"/>
      <c r="AI375" s="1280"/>
      <c r="AJ375" s="1280"/>
      <c r="AK375" s="1280"/>
      <c r="AL375" s="1280"/>
      <c r="AM375" s="1280"/>
      <c r="AN375" s="1280"/>
      <c r="AO375" s="1280"/>
      <c r="AP375" s="1280"/>
      <c r="AQ375" s="1281"/>
      <c r="AR375" s="1281"/>
      <c r="AS375" s="1281"/>
      <c r="AT375" s="1281"/>
      <c r="AU375" s="1274"/>
      <c r="AV375" s="1275"/>
      <c r="AW375" s="1275"/>
      <c r="AX375" s="1275"/>
      <c r="AY375" s="1275"/>
      <c r="AZ375" s="1275"/>
      <c r="BA375" s="1275"/>
      <c r="BB375" s="1275"/>
      <c r="BC375" s="1275"/>
      <c r="BD375" s="1275"/>
      <c r="BE375" s="1275"/>
      <c r="BF375" s="1275"/>
      <c r="BG375" s="1275"/>
      <c r="BH375" s="1275"/>
      <c r="BI375" s="1275"/>
      <c r="BJ375" s="1275"/>
      <c r="BK375" s="1275"/>
      <c r="BL375" s="1275"/>
      <c r="BM375" s="1275"/>
      <c r="BN375" s="1275"/>
      <c r="BO375" s="1275"/>
      <c r="BP375" s="1275"/>
      <c r="BQ375" s="1275"/>
      <c r="BR375" s="1275"/>
      <c r="BS375" s="1275"/>
      <c r="BT375" s="1275"/>
      <c r="BU375" s="1275"/>
      <c r="BV375" s="1275"/>
      <c r="BW375" s="1275"/>
      <c r="BX375" s="1275"/>
    </row>
    <row r="376" spans="1:76" s="3" customFormat="1" ht="30" customHeight="1">
      <c r="A376" s="1288" t="s">
        <v>929</v>
      </c>
      <c r="B376" s="1288" t="s">
        <v>929</v>
      </c>
      <c r="C376" s="1288" t="s">
        <v>929</v>
      </c>
      <c r="D376" s="1288" t="s">
        <v>929</v>
      </c>
      <c r="E376" s="1288" t="s">
        <v>929</v>
      </c>
      <c r="F376" s="1288" t="s">
        <v>929</v>
      </c>
      <c r="G376" s="1288" t="s">
        <v>929</v>
      </c>
      <c r="H376" s="1288" t="s">
        <v>929</v>
      </c>
      <c r="I376" s="1288" t="s">
        <v>929</v>
      </c>
      <c r="J376" s="1288" t="s">
        <v>929</v>
      </c>
      <c r="K376" s="1288" t="s">
        <v>929</v>
      </c>
      <c r="L376" s="1288" t="s">
        <v>929</v>
      </c>
      <c r="M376" s="1288" t="s">
        <v>929</v>
      </c>
      <c r="N376" s="1288" t="s">
        <v>929</v>
      </c>
      <c r="O376" s="1288" t="s">
        <v>929</v>
      </c>
      <c r="P376" s="1288" t="s">
        <v>929</v>
      </c>
      <c r="Q376" s="1288" t="s">
        <v>929</v>
      </c>
      <c r="R376" s="1288" t="s">
        <v>929</v>
      </c>
      <c r="S376" s="1288" t="s">
        <v>929</v>
      </c>
      <c r="T376" s="1288" t="s">
        <v>929</v>
      </c>
      <c r="U376" s="1288" t="s">
        <v>929</v>
      </c>
      <c r="V376" s="1288" t="s">
        <v>929</v>
      </c>
      <c r="W376" s="1288" t="s">
        <v>929</v>
      </c>
      <c r="X376" s="1288" t="s">
        <v>929</v>
      </c>
      <c r="Y376" s="1288" t="s">
        <v>929</v>
      </c>
      <c r="Z376" s="1288" t="s">
        <v>929</v>
      </c>
      <c r="AA376" s="1288" t="s">
        <v>929</v>
      </c>
      <c r="AB376" s="1288" t="s">
        <v>929</v>
      </c>
      <c r="AC376" s="1288" t="s">
        <v>929</v>
      </c>
      <c r="AD376" s="1288" t="s">
        <v>929</v>
      </c>
      <c r="AE376" s="1288" t="s">
        <v>929</v>
      </c>
      <c r="AF376" s="1288" t="s">
        <v>929</v>
      </c>
      <c r="AG376" s="1288" t="s">
        <v>929</v>
      </c>
      <c r="AH376" s="1282"/>
      <c r="AI376" s="1282"/>
      <c r="AJ376" s="1282"/>
      <c r="AK376" s="1282"/>
      <c r="AL376" s="1282"/>
      <c r="AM376" s="1282"/>
      <c r="AN376" s="1282"/>
      <c r="AO376" s="1282"/>
      <c r="AP376" s="1282"/>
      <c r="AQ376" s="1282"/>
      <c r="AR376" s="1282"/>
      <c r="AS376" s="1282"/>
      <c r="AT376" s="1282"/>
      <c r="AU376" s="1275"/>
      <c r="AV376" s="1275"/>
      <c r="AW376" s="1275"/>
      <c r="AX376" s="1275"/>
      <c r="AY376" s="1275"/>
      <c r="AZ376" s="1275"/>
      <c r="BA376" s="1275"/>
      <c r="BB376" s="1275"/>
      <c r="BC376" s="1275"/>
      <c r="BD376" s="1275"/>
      <c r="BE376" s="1275"/>
      <c r="BF376" s="1275"/>
      <c r="BG376" s="1275"/>
      <c r="BH376" s="1275"/>
      <c r="BI376" s="1275"/>
      <c r="BJ376" s="1275"/>
      <c r="BK376" s="1275"/>
      <c r="BL376" s="1275"/>
      <c r="BM376" s="1275"/>
      <c r="BN376" s="1275"/>
      <c r="BO376" s="1275"/>
      <c r="BP376" s="1275"/>
      <c r="BQ376" s="1275"/>
      <c r="BR376" s="1275"/>
      <c r="BS376" s="1275"/>
      <c r="BT376" s="1275"/>
      <c r="BU376" s="1275"/>
      <c r="BV376" s="1275"/>
      <c r="BW376" s="1275"/>
      <c r="BX376" s="1275"/>
    </row>
    <row r="377" spans="1:76" s="3" customFormat="1" ht="30" customHeight="1">
      <c r="A377" s="1288" t="s">
        <v>929</v>
      </c>
      <c r="B377" s="1288" t="s">
        <v>929</v>
      </c>
      <c r="C377" s="1288" t="s">
        <v>929</v>
      </c>
      <c r="D377" s="1288" t="s">
        <v>929</v>
      </c>
      <c r="E377" s="1288" t="s">
        <v>929</v>
      </c>
      <c r="F377" s="1288" t="s">
        <v>929</v>
      </c>
      <c r="G377" s="1288" t="s">
        <v>929</v>
      </c>
      <c r="H377" s="1288" t="s">
        <v>929</v>
      </c>
      <c r="I377" s="1288" t="s">
        <v>929</v>
      </c>
      <c r="J377" s="1288" t="s">
        <v>929</v>
      </c>
      <c r="K377" s="1288" t="s">
        <v>929</v>
      </c>
      <c r="L377" s="1288" t="s">
        <v>929</v>
      </c>
      <c r="M377" s="1288" t="s">
        <v>929</v>
      </c>
      <c r="N377" s="1288" t="s">
        <v>929</v>
      </c>
      <c r="O377" s="1288" t="s">
        <v>929</v>
      </c>
      <c r="P377" s="1288" t="s">
        <v>929</v>
      </c>
      <c r="Q377" s="1288" t="s">
        <v>929</v>
      </c>
      <c r="R377" s="1288" t="s">
        <v>929</v>
      </c>
      <c r="S377" s="1288" t="s">
        <v>929</v>
      </c>
      <c r="T377" s="1288" t="s">
        <v>929</v>
      </c>
      <c r="U377" s="1288" t="s">
        <v>929</v>
      </c>
      <c r="V377" s="1288" t="s">
        <v>929</v>
      </c>
      <c r="W377" s="1288" t="s">
        <v>929</v>
      </c>
      <c r="X377" s="1288" t="s">
        <v>929</v>
      </c>
      <c r="Y377" s="1288" t="s">
        <v>929</v>
      </c>
      <c r="Z377" s="1288" t="s">
        <v>929</v>
      </c>
      <c r="AA377" s="1288" t="s">
        <v>929</v>
      </c>
      <c r="AB377" s="1288" t="s">
        <v>929</v>
      </c>
      <c r="AC377" s="1288" t="s">
        <v>929</v>
      </c>
      <c r="AD377" s="1288" t="s">
        <v>929</v>
      </c>
      <c r="AE377" s="1288" t="s">
        <v>929</v>
      </c>
      <c r="AF377" s="1288" t="s">
        <v>929</v>
      </c>
      <c r="AG377" s="1288" t="s">
        <v>929</v>
      </c>
      <c r="AH377" s="1282"/>
      <c r="AI377" s="1282"/>
      <c r="AJ377" s="1282"/>
      <c r="AK377" s="1282"/>
      <c r="AL377" s="1282"/>
      <c r="AM377" s="1282"/>
      <c r="AN377" s="1282"/>
      <c r="AO377" s="1282"/>
      <c r="AP377" s="1282"/>
      <c r="AQ377" s="1282"/>
      <c r="AR377" s="1282"/>
      <c r="AS377" s="1282"/>
      <c r="AT377" s="1282"/>
      <c r="AU377" s="1275"/>
      <c r="AV377" s="1275"/>
      <c r="AW377" s="1275"/>
      <c r="AX377" s="1275"/>
      <c r="AY377" s="1275"/>
      <c r="AZ377" s="1275"/>
      <c r="BA377" s="1275"/>
      <c r="BB377" s="1275"/>
      <c r="BC377" s="1275"/>
      <c r="BD377" s="1275"/>
      <c r="BE377" s="1275"/>
      <c r="BF377" s="1275"/>
      <c r="BG377" s="1275"/>
      <c r="BH377" s="1275"/>
      <c r="BI377" s="1275"/>
      <c r="BJ377" s="1275"/>
      <c r="BK377" s="1275"/>
      <c r="BL377" s="1275"/>
      <c r="BM377" s="1275"/>
      <c r="BN377" s="1275"/>
      <c r="BO377" s="1275"/>
      <c r="BP377" s="1275"/>
      <c r="BQ377" s="1275"/>
      <c r="BR377" s="1275"/>
      <c r="BS377" s="1275"/>
      <c r="BT377" s="1275"/>
      <c r="BU377" s="1275"/>
      <c r="BV377" s="1275"/>
      <c r="BW377" s="1275"/>
      <c r="BX377" s="1275"/>
    </row>
    <row r="378" spans="1:76" s="3" customFormat="1" ht="30" customHeight="1">
      <c r="A378" s="1288" t="s">
        <v>929</v>
      </c>
      <c r="B378" s="1288" t="s">
        <v>929</v>
      </c>
      <c r="C378" s="1288" t="s">
        <v>929</v>
      </c>
      <c r="D378" s="1288" t="s">
        <v>929</v>
      </c>
      <c r="E378" s="1288" t="s">
        <v>929</v>
      </c>
      <c r="F378" s="1288" t="s">
        <v>929</v>
      </c>
      <c r="G378" s="1288" t="s">
        <v>929</v>
      </c>
      <c r="H378" s="1288" t="s">
        <v>929</v>
      </c>
      <c r="I378" s="1288" t="s">
        <v>929</v>
      </c>
      <c r="J378" s="1288" t="s">
        <v>929</v>
      </c>
      <c r="K378" s="1288" t="s">
        <v>929</v>
      </c>
      <c r="L378" s="1288" t="s">
        <v>929</v>
      </c>
      <c r="M378" s="1288" t="s">
        <v>929</v>
      </c>
      <c r="N378" s="1288" t="s">
        <v>929</v>
      </c>
      <c r="O378" s="1288" t="s">
        <v>929</v>
      </c>
      <c r="P378" s="1288" t="s">
        <v>929</v>
      </c>
      <c r="Q378" s="1288" t="s">
        <v>929</v>
      </c>
      <c r="R378" s="1288" t="s">
        <v>929</v>
      </c>
      <c r="S378" s="1288" t="s">
        <v>929</v>
      </c>
      <c r="T378" s="1288" t="s">
        <v>929</v>
      </c>
      <c r="U378" s="1288" t="s">
        <v>929</v>
      </c>
      <c r="V378" s="1288" t="s">
        <v>929</v>
      </c>
      <c r="W378" s="1288" t="s">
        <v>929</v>
      </c>
      <c r="X378" s="1288" t="s">
        <v>929</v>
      </c>
      <c r="Y378" s="1288" t="s">
        <v>929</v>
      </c>
      <c r="Z378" s="1288" t="s">
        <v>929</v>
      </c>
      <c r="AA378" s="1288" t="s">
        <v>929</v>
      </c>
      <c r="AB378" s="1288" t="s">
        <v>929</v>
      </c>
      <c r="AC378" s="1288" t="s">
        <v>929</v>
      </c>
      <c r="AD378" s="1288" t="s">
        <v>929</v>
      </c>
      <c r="AE378" s="1288" t="s">
        <v>929</v>
      </c>
      <c r="AF378" s="1288" t="s">
        <v>929</v>
      </c>
      <c r="AG378" s="1288" t="s">
        <v>929</v>
      </c>
      <c r="AH378" s="1282"/>
      <c r="AI378" s="1282"/>
      <c r="AJ378" s="1282"/>
      <c r="AK378" s="1282"/>
      <c r="AL378" s="1282"/>
      <c r="AM378" s="1282"/>
      <c r="AN378" s="1282"/>
      <c r="AO378" s="1282"/>
      <c r="AP378" s="1282"/>
      <c r="AQ378" s="1282"/>
      <c r="AR378" s="1282"/>
      <c r="AS378" s="1282"/>
      <c r="AT378" s="1282"/>
      <c r="AU378" s="1275"/>
      <c r="AV378" s="1275"/>
      <c r="AW378" s="1275"/>
      <c r="AX378" s="1275"/>
      <c r="AY378" s="1275"/>
      <c r="AZ378" s="1275"/>
      <c r="BA378" s="1275"/>
      <c r="BB378" s="1275"/>
      <c r="BC378" s="1275"/>
      <c r="BD378" s="1275"/>
      <c r="BE378" s="1275"/>
      <c r="BF378" s="1275"/>
      <c r="BG378" s="1275"/>
      <c r="BH378" s="1275"/>
      <c r="BI378" s="1275"/>
      <c r="BJ378" s="1275"/>
      <c r="BK378" s="1275"/>
      <c r="BL378" s="1275"/>
      <c r="BM378" s="1275"/>
      <c r="BN378" s="1275"/>
      <c r="BO378" s="1275"/>
      <c r="BP378" s="1275"/>
      <c r="BQ378" s="1275"/>
      <c r="BR378" s="1275"/>
      <c r="BS378" s="1275"/>
      <c r="BT378" s="1275"/>
      <c r="BU378" s="1275"/>
      <c r="BV378" s="1275"/>
      <c r="BW378" s="1275"/>
      <c r="BX378" s="1275"/>
    </row>
    <row r="379" spans="1:76" s="3" customFormat="1" ht="30" customHeight="1">
      <c r="A379" s="1288" t="s">
        <v>929</v>
      </c>
      <c r="B379" s="1288" t="s">
        <v>929</v>
      </c>
      <c r="C379" s="1288" t="s">
        <v>929</v>
      </c>
      <c r="D379" s="1288" t="s">
        <v>929</v>
      </c>
      <c r="E379" s="1288" t="s">
        <v>929</v>
      </c>
      <c r="F379" s="1288" t="s">
        <v>929</v>
      </c>
      <c r="G379" s="1288" t="s">
        <v>929</v>
      </c>
      <c r="H379" s="1288" t="s">
        <v>929</v>
      </c>
      <c r="I379" s="1288" t="s">
        <v>929</v>
      </c>
      <c r="J379" s="1288" t="s">
        <v>929</v>
      </c>
      <c r="K379" s="1288" t="s">
        <v>929</v>
      </c>
      <c r="L379" s="1288" t="s">
        <v>929</v>
      </c>
      <c r="M379" s="1288" t="s">
        <v>929</v>
      </c>
      <c r="N379" s="1288" t="s">
        <v>929</v>
      </c>
      <c r="O379" s="1288" t="s">
        <v>929</v>
      </c>
      <c r="P379" s="1288" t="s">
        <v>929</v>
      </c>
      <c r="Q379" s="1288" t="s">
        <v>929</v>
      </c>
      <c r="R379" s="1288" t="s">
        <v>929</v>
      </c>
      <c r="S379" s="1288" t="s">
        <v>929</v>
      </c>
      <c r="T379" s="1288" t="s">
        <v>929</v>
      </c>
      <c r="U379" s="1288" t="s">
        <v>929</v>
      </c>
      <c r="V379" s="1288" t="s">
        <v>929</v>
      </c>
      <c r="W379" s="1288" t="s">
        <v>929</v>
      </c>
      <c r="X379" s="1288" t="s">
        <v>929</v>
      </c>
      <c r="Y379" s="1288" t="s">
        <v>929</v>
      </c>
      <c r="Z379" s="1288" t="s">
        <v>929</v>
      </c>
      <c r="AA379" s="1288" t="s">
        <v>929</v>
      </c>
      <c r="AB379" s="1288" t="s">
        <v>929</v>
      </c>
      <c r="AC379" s="1288" t="s">
        <v>929</v>
      </c>
      <c r="AD379" s="1288" t="s">
        <v>929</v>
      </c>
      <c r="AE379" s="1288" t="s">
        <v>929</v>
      </c>
      <c r="AF379" s="1288" t="s">
        <v>929</v>
      </c>
      <c r="AG379" s="1288" t="s">
        <v>929</v>
      </c>
      <c r="AH379" s="1282"/>
      <c r="AI379" s="1282"/>
      <c r="AJ379" s="1282"/>
      <c r="AK379" s="1282"/>
      <c r="AL379" s="1282"/>
      <c r="AM379" s="1282"/>
      <c r="AN379" s="1282"/>
      <c r="AO379" s="1282"/>
      <c r="AP379" s="1282"/>
      <c r="AQ379" s="1282"/>
      <c r="AR379" s="1282"/>
      <c r="AS379" s="1282"/>
      <c r="AT379" s="1282"/>
      <c r="AU379" s="1275"/>
      <c r="AV379" s="1275"/>
      <c r="AW379" s="1275"/>
      <c r="AX379" s="1275"/>
      <c r="AY379" s="1275"/>
      <c r="AZ379" s="1275"/>
      <c r="BA379" s="1275"/>
      <c r="BB379" s="1275"/>
      <c r="BC379" s="1275"/>
      <c r="BD379" s="1275"/>
      <c r="BE379" s="1275"/>
      <c r="BF379" s="1275"/>
      <c r="BG379" s="1275"/>
      <c r="BH379" s="1275"/>
      <c r="BI379" s="1275"/>
      <c r="BJ379" s="1275"/>
      <c r="BK379" s="1275"/>
      <c r="BL379" s="1275"/>
      <c r="BM379" s="1275"/>
      <c r="BN379" s="1275"/>
      <c r="BO379" s="1275"/>
      <c r="BP379" s="1275"/>
      <c r="BQ379" s="1275"/>
      <c r="BR379" s="1275"/>
      <c r="BS379" s="1275"/>
      <c r="BT379" s="1275"/>
      <c r="BU379" s="1275"/>
      <c r="BV379" s="1275"/>
      <c r="BW379" s="1275"/>
      <c r="BX379" s="1275"/>
    </row>
    <row r="380" spans="1:76" s="3" customFormat="1" ht="30" customHeight="1">
      <c r="A380" s="1288" t="s">
        <v>929</v>
      </c>
      <c r="B380" s="1288" t="s">
        <v>929</v>
      </c>
      <c r="C380" s="1288" t="s">
        <v>929</v>
      </c>
      <c r="D380" s="1288" t="s">
        <v>929</v>
      </c>
      <c r="E380" s="1288" t="s">
        <v>929</v>
      </c>
      <c r="F380" s="1288" t="s">
        <v>929</v>
      </c>
      <c r="G380" s="1288" t="s">
        <v>929</v>
      </c>
      <c r="H380" s="1288" t="s">
        <v>929</v>
      </c>
      <c r="I380" s="1288" t="s">
        <v>929</v>
      </c>
      <c r="J380" s="1288" t="s">
        <v>929</v>
      </c>
      <c r="K380" s="1288" t="s">
        <v>929</v>
      </c>
      <c r="L380" s="1288" t="s">
        <v>929</v>
      </c>
      <c r="M380" s="1288" t="s">
        <v>929</v>
      </c>
      <c r="N380" s="1288" t="s">
        <v>929</v>
      </c>
      <c r="O380" s="1288" t="s">
        <v>929</v>
      </c>
      <c r="P380" s="1288" t="s">
        <v>929</v>
      </c>
      <c r="Q380" s="1288" t="s">
        <v>929</v>
      </c>
      <c r="R380" s="1288" t="s">
        <v>929</v>
      </c>
      <c r="S380" s="1288" t="s">
        <v>929</v>
      </c>
      <c r="T380" s="1288" t="s">
        <v>929</v>
      </c>
      <c r="U380" s="1288" t="s">
        <v>929</v>
      </c>
      <c r="V380" s="1288" t="s">
        <v>929</v>
      </c>
      <c r="W380" s="1288" t="s">
        <v>929</v>
      </c>
      <c r="X380" s="1288" t="s">
        <v>929</v>
      </c>
      <c r="Y380" s="1288" t="s">
        <v>929</v>
      </c>
      <c r="Z380" s="1288" t="s">
        <v>929</v>
      </c>
      <c r="AA380" s="1288" t="s">
        <v>929</v>
      </c>
      <c r="AB380" s="1288" t="s">
        <v>929</v>
      </c>
      <c r="AC380" s="1288" t="s">
        <v>929</v>
      </c>
      <c r="AD380" s="1288" t="s">
        <v>929</v>
      </c>
      <c r="AE380" s="1288" t="s">
        <v>929</v>
      </c>
      <c r="AF380" s="1288" t="s">
        <v>929</v>
      </c>
      <c r="AG380" s="1288" t="s">
        <v>929</v>
      </c>
      <c r="AH380" s="1282"/>
      <c r="AI380" s="1282"/>
      <c r="AJ380" s="1282"/>
      <c r="AK380" s="1282"/>
      <c r="AL380" s="1282"/>
      <c r="AM380" s="1282"/>
      <c r="AN380" s="1282"/>
      <c r="AO380" s="1282"/>
      <c r="AP380" s="1282"/>
      <c r="AQ380" s="1282"/>
      <c r="AR380" s="1282"/>
      <c r="AS380" s="1282"/>
      <c r="AT380" s="1282"/>
      <c r="AU380" s="1275"/>
      <c r="AV380" s="1275"/>
      <c r="AW380" s="1275"/>
      <c r="AX380" s="1275"/>
      <c r="AY380" s="1275"/>
      <c r="AZ380" s="1275"/>
      <c r="BA380" s="1275"/>
      <c r="BB380" s="1275"/>
      <c r="BC380" s="1275"/>
      <c r="BD380" s="1275"/>
      <c r="BE380" s="1275"/>
      <c r="BF380" s="1275"/>
      <c r="BG380" s="1275"/>
      <c r="BH380" s="1275"/>
      <c r="BI380" s="1275"/>
      <c r="BJ380" s="1275"/>
      <c r="BK380" s="1275"/>
      <c r="BL380" s="1275"/>
      <c r="BM380" s="1275"/>
      <c r="BN380" s="1275"/>
      <c r="BO380" s="1275"/>
      <c r="BP380" s="1275"/>
      <c r="BQ380" s="1275"/>
      <c r="BR380" s="1275"/>
      <c r="BS380" s="1275"/>
      <c r="BT380" s="1275"/>
      <c r="BU380" s="1275"/>
      <c r="BV380" s="1275"/>
      <c r="BW380" s="1275"/>
      <c r="BX380" s="1275"/>
    </row>
    <row r="381" spans="1:76">
      <c r="A381" s="760"/>
      <c r="B381" s="760"/>
      <c r="C381" s="760"/>
      <c r="D381" s="760"/>
      <c r="E381" s="760"/>
      <c r="F381" s="760"/>
      <c r="G381" s="760"/>
      <c r="H381" s="760"/>
      <c r="I381" s="760"/>
      <c r="J381" s="760"/>
      <c r="K381" s="760"/>
      <c r="L381" s="760"/>
      <c r="M381" s="760"/>
      <c r="N381" s="760"/>
      <c r="O381" s="760"/>
      <c r="P381" s="760"/>
      <c r="Q381" s="760"/>
      <c r="R381" s="760"/>
      <c r="S381" s="760"/>
      <c r="T381" s="760"/>
      <c r="U381" s="760"/>
      <c r="V381" s="760"/>
      <c r="W381" s="760"/>
      <c r="X381" s="760"/>
      <c r="Y381" s="760"/>
      <c r="Z381" s="760"/>
      <c r="AA381" s="760"/>
      <c r="AB381" s="760"/>
      <c r="AC381" s="760"/>
      <c r="AD381" s="760"/>
      <c r="AE381" s="760"/>
      <c r="AF381" s="760"/>
      <c r="AG381" s="760"/>
      <c r="AH381" s="760"/>
      <c r="AI381" s="760"/>
      <c r="AJ381" s="760"/>
      <c r="AK381" s="760"/>
      <c r="AL381" s="760"/>
      <c r="AM381" s="760"/>
      <c r="AN381" s="760"/>
      <c r="AO381" s="760"/>
      <c r="AP381" s="760"/>
      <c r="AQ381" s="760"/>
      <c r="AR381" s="760"/>
      <c r="AS381" s="760"/>
      <c r="AT381" s="760"/>
      <c r="AU381" s="760"/>
      <c r="AV381" s="760"/>
      <c r="AW381" s="760"/>
      <c r="AX381" s="760"/>
      <c r="AY381" s="760"/>
      <c r="AZ381" s="760"/>
      <c r="BA381" s="760"/>
      <c r="BB381" s="760"/>
      <c r="BC381" s="760"/>
      <c r="BD381" s="760"/>
      <c r="BE381" s="760"/>
      <c r="BF381" s="760"/>
      <c r="BG381" s="760"/>
      <c r="BH381" s="760"/>
      <c r="BI381" s="760"/>
      <c r="BJ381" s="760"/>
      <c r="BK381" s="760"/>
      <c r="BL381" s="760"/>
      <c r="BM381" s="760"/>
      <c r="BN381" s="760"/>
      <c r="BO381" s="760"/>
      <c r="BP381" s="760"/>
      <c r="BQ381" s="760"/>
      <c r="BR381" s="760"/>
      <c r="BS381" s="760"/>
      <c r="BT381" s="760"/>
      <c r="BU381" s="760"/>
      <c r="BV381" s="760"/>
      <c r="BW381" s="760"/>
      <c r="BX381" s="760"/>
    </row>
    <row r="382" spans="1:76" ht="12">
      <c r="A382" s="142"/>
      <c r="B382" s="142"/>
      <c r="C382" s="142"/>
      <c r="D382" s="142"/>
      <c r="E382" s="142"/>
      <c r="F382" s="142"/>
      <c r="G382" s="501"/>
      <c r="H382" s="142"/>
      <c r="I382" s="142"/>
      <c r="J382" s="502"/>
      <c r="K382" s="503"/>
      <c r="L382" s="503"/>
      <c r="M382" s="502"/>
      <c r="N382" s="502"/>
      <c r="O382" s="502"/>
      <c r="P382" s="504"/>
      <c r="Q382" s="502"/>
      <c r="R382" s="502"/>
      <c r="S382" s="502"/>
      <c r="T382" s="142"/>
      <c r="U382" s="142"/>
      <c r="V382" s="142"/>
      <c r="W382" s="142"/>
      <c r="X382" s="142"/>
      <c r="Y382" s="142"/>
      <c r="Z382" s="142"/>
      <c r="AA382" s="142"/>
      <c r="AB382" s="142"/>
      <c r="AC382" s="142"/>
      <c r="AD382" s="142"/>
      <c r="AE382" s="142"/>
      <c r="AF382" s="142"/>
      <c r="AG382" s="142"/>
      <c r="AH382" s="142"/>
      <c r="AI382" s="142"/>
      <c r="AJ382" s="142"/>
      <c r="AK382" s="142"/>
      <c r="AL382" s="142"/>
      <c r="AM382" s="142"/>
      <c r="AN382" s="142"/>
      <c r="AO382" s="142"/>
      <c r="AP382" s="142"/>
      <c r="AQ382" s="142"/>
      <c r="AR382" s="142"/>
      <c r="AS382" s="142"/>
      <c r="AT382" s="3"/>
    </row>
  </sheetData>
  <autoFilter ref="A35:AG374"/>
  <sortState ref="A36:AG46">
    <sortCondition ref="I36:I46"/>
  </sortState>
  <mergeCells count="143">
    <mergeCell ref="BN3:BS3"/>
    <mergeCell ref="BT3:BT6"/>
    <mergeCell ref="BO4:BR5"/>
    <mergeCell ref="BN21:BS21"/>
    <mergeCell ref="BK1:BT2"/>
    <mergeCell ref="AJ1:AS2"/>
    <mergeCell ref="N2:O2"/>
    <mergeCell ref="U2:V2"/>
    <mergeCell ref="L3:M3"/>
    <mergeCell ref="N3:O3"/>
    <mergeCell ref="U3:V4"/>
    <mergeCell ref="AM3:AR3"/>
    <mergeCell ref="AS3:AS6"/>
    <mergeCell ref="L4:M4"/>
    <mergeCell ref="L8:M8"/>
    <mergeCell ref="N8:O8"/>
    <mergeCell ref="U8:V8"/>
    <mergeCell ref="L9:M9"/>
    <mergeCell ref="N9:O9"/>
    <mergeCell ref="U9:V9"/>
    <mergeCell ref="AN4:AQ5"/>
    <mergeCell ref="L5:M5"/>
    <mergeCell ref="L6:M6"/>
    <mergeCell ref="N6:O6"/>
    <mergeCell ref="U6:V6"/>
    <mergeCell ref="L7:M7"/>
    <mergeCell ref="N7:O7"/>
    <mergeCell ref="U7:V7"/>
    <mergeCell ref="L12:M12"/>
    <mergeCell ref="N12:O12"/>
    <mergeCell ref="U12:V12"/>
    <mergeCell ref="L13:M13"/>
    <mergeCell ref="N13:O13"/>
    <mergeCell ref="U13:V13"/>
    <mergeCell ref="L10:M10"/>
    <mergeCell ref="N10:O10"/>
    <mergeCell ref="U10:V10"/>
    <mergeCell ref="L11:M11"/>
    <mergeCell ref="N11:O11"/>
    <mergeCell ref="U11:V11"/>
    <mergeCell ref="L14:M14"/>
    <mergeCell ref="N14:O14"/>
    <mergeCell ref="U14:V14"/>
    <mergeCell ref="L15:M15"/>
    <mergeCell ref="N15:O15"/>
    <mergeCell ref="U15:V15"/>
    <mergeCell ref="C15:I15"/>
    <mergeCell ref="C16:I16"/>
    <mergeCell ref="C17:I17"/>
    <mergeCell ref="L18:M18"/>
    <mergeCell ref="N18:O18"/>
    <mergeCell ref="U18:V18"/>
    <mergeCell ref="L19:M19"/>
    <mergeCell ref="N19:O19"/>
    <mergeCell ref="U19:V19"/>
    <mergeCell ref="H20:I20"/>
    <mergeCell ref="L16:M16"/>
    <mergeCell ref="N16:O16"/>
    <mergeCell ref="U16:V16"/>
    <mergeCell ref="L17:M17"/>
    <mergeCell ref="N17:O17"/>
    <mergeCell ref="U17:V17"/>
    <mergeCell ref="L22:M22"/>
    <mergeCell ref="N22:O22"/>
    <mergeCell ref="U22:V22"/>
    <mergeCell ref="L23:M23"/>
    <mergeCell ref="N23:O23"/>
    <mergeCell ref="U23:V23"/>
    <mergeCell ref="B20:D29"/>
    <mergeCell ref="B30:I30"/>
    <mergeCell ref="E20:G20"/>
    <mergeCell ref="L20:M20"/>
    <mergeCell ref="N20:O20"/>
    <mergeCell ref="U20:V20"/>
    <mergeCell ref="L21:M21"/>
    <mergeCell ref="N21:O21"/>
    <mergeCell ref="U21:V21"/>
    <mergeCell ref="D34:G34"/>
    <mergeCell ref="H34:K34"/>
    <mergeCell ref="L34:S34"/>
    <mergeCell ref="L28:M28"/>
    <mergeCell ref="N28:O28"/>
    <mergeCell ref="U28:V28"/>
    <mergeCell ref="L29:M29"/>
    <mergeCell ref="N29:O29"/>
    <mergeCell ref="U29:V29"/>
    <mergeCell ref="AV22:AW22"/>
    <mergeCell ref="AV7:AW7"/>
    <mergeCell ref="AV8:AW8"/>
    <mergeCell ref="AV9:AW9"/>
    <mergeCell ref="AV10:AW10"/>
    <mergeCell ref="AV11:AW11"/>
    <mergeCell ref="AV12:AW12"/>
    <mergeCell ref="AV13:AW13"/>
    <mergeCell ref="L30:M30"/>
    <mergeCell ref="N30:O30"/>
    <mergeCell ref="U30:V30"/>
    <mergeCell ref="L26:M26"/>
    <mergeCell ref="N26:O26"/>
    <mergeCell ref="U26:V26"/>
    <mergeCell ref="L27:M27"/>
    <mergeCell ref="N27:O27"/>
    <mergeCell ref="U27:V27"/>
    <mergeCell ref="L24:M24"/>
    <mergeCell ref="N24:O24"/>
    <mergeCell ref="U24:V24"/>
    <mergeCell ref="L25:M25"/>
    <mergeCell ref="N25:O25"/>
    <mergeCell ref="U25:V25"/>
    <mergeCell ref="AM21:AR21"/>
    <mergeCell ref="C11:I11"/>
    <mergeCell ref="C12:I12"/>
    <mergeCell ref="C13:I13"/>
    <mergeCell ref="C14:I14"/>
    <mergeCell ref="AV3:AW4"/>
    <mergeCell ref="AV6:AW6"/>
    <mergeCell ref="AV1:BE2"/>
    <mergeCell ref="T31:AG31"/>
    <mergeCell ref="AV23:AW23"/>
    <mergeCell ref="AV24:AW24"/>
    <mergeCell ref="AV25:AW25"/>
    <mergeCell ref="AV26:AW26"/>
    <mergeCell ref="AV27:AW27"/>
    <mergeCell ref="AV28:AW28"/>
    <mergeCell ref="AV29:AW29"/>
    <mergeCell ref="AV30:AW30"/>
    <mergeCell ref="AV14:AW14"/>
    <mergeCell ref="AV15:AW15"/>
    <mergeCell ref="AV16:AW16"/>
    <mergeCell ref="AV17:AW17"/>
    <mergeCell ref="AV18:AW18"/>
    <mergeCell ref="AV19:AW19"/>
    <mergeCell ref="AV20:AW20"/>
    <mergeCell ref="AV21:AW21"/>
    <mergeCell ref="A1:I2"/>
    <mergeCell ref="B3:I3"/>
    <mergeCell ref="C4:I4"/>
    <mergeCell ref="C5:I5"/>
    <mergeCell ref="C6:I6"/>
    <mergeCell ref="C7:I7"/>
    <mergeCell ref="C8:I8"/>
    <mergeCell ref="C9:I9"/>
    <mergeCell ref="C10:I10"/>
  </mergeCells>
  <phoneticPr fontId="153" type="noConversion"/>
  <conditionalFormatting sqref="S6:S7 S9:S22 S26:S27 S31 R3:R31 D33:AG33 AE4:AE30">
    <cfRule type="cellIs" dxfId="18" priority="3" operator="notBetween">
      <formula>-0.01</formula>
      <formula>0.01</formula>
    </cfRule>
  </conditionalFormatting>
  <conditionalFormatting sqref="BF4:BF27">
    <cfRule type="cellIs" dxfId="17" priority="2" operator="notBetween">
      <formula>-0.01</formula>
      <formula>0.01</formula>
    </cfRule>
  </conditionalFormatting>
  <conditionalFormatting sqref="BF28:BF30">
    <cfRule type="cellIs" dxfId="16" priority="1" operator="notBetween">
      <formula>-0.01</formula>
      <formula>0.01</formula>
    </cfRule>
  </conditionalFormatting>
  <pageMargins left="0.7" right="0.7" top="0.75" bottom="0.75" header="0.3" footer="0.3"/>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AH872"/>
  <sheetViews>
    <sheetView workbookViewId="0"/>
  </sheetViews>
  <sheetFormatPr baseColWidth="10" defaultColWidth="8.83203125" defaultRowHeight="11" x14ac:dyDescent="0"/>
  <cols>
    <col min="1" max="1" width="4.83203125" style="3" customWidth="1"/>
    <col min="2" max="2" width="43" style="3" customWidth="1"/>
    <col min="3" max="3" width="1.6640625" style="3" customWidth="1"/>
    <col min="4" max="4" width="11.1640625" style="3" customWidth="1"/>
    <col min="5" max="5" width="18.1640625" style="3" customWidth="1"/>
    <col min="6" max="6" width="19.1640625" style="5" customWidth="1"/>
    <col min="7" max="7" width="23" style="3" customWidth="1"/>
    <col min="8" max="8" width="9.6640625" style="5" customWidth="1"/>
    <col min="9" max="9" width="17.5" style="5" customWidth="1"/>
    <col min="10" max="10" width="19" style="3" customWidth="1"/>
    <col min="11" max="11" width="10.83203125" style="3" customWidth="1"/>
    <col min="12" max="12" width="17.5" style="3" customWidth="1"/>
    <col min="13" max="13" width="12.5" style="5" customWidth="1"/>
    <col min="14" max="14" width="19.33203125" style="5" bestFit="1" customWidth="1"/>
    <col min="15" max="15" width="18.5" style="3" customWidth="1"/>
    <col min="16" max="16" width="14.6640625" style="5" customWidth="1"/>
    <col min="17" max="17" width="10.83203125" style="5" customWidth="1"/>
    <col min="18" max="18" width="21.33203125" style="3" customWidth="1"/>
    <col min="19" max="19" width="25.5" style="3" customWidth="1"/>
    <col min="20" max="22" width="10.83203125" style="3" customWidth="1"/>
    <col min="23" max="23" width="12.6640625" style="3" customWidth="1"/>
    <col min="24" max="33" width="10.83203125" style="3" customWidth="1"/>
    <col min="34" max="34" width="8.83203125" style="3"/>
    <col min="35" max="35" width="14.6640625" style="3" customWidth="1"/>
    <col min="36" max="16384" width="8.83203125" style="3"/>
  </cols>
  <sheetData>
    <row r="1" spans="1:34" ht="16" customHeight="1" thickTop="1" thickBot="1">
      <c r="A1" s="206"/>
      <c r="B1" s="207" t="s">
        <v>1400</v>
      </c>
      <c r="C1" s="207"/>
      <c r="D1" s="207"/>
      <c r="E1" s="334" t="s">
        <v>1232</v>
      </c>
      <c r="F1" s="207"/>
      <c r="G1" s="208"/>
      <c r="H1" s="209" t="s">
        <v>1398</v>
      </c>
      <c r="I1" s="1909"/>
      <c r="J1" s="1910"/>
      <c r="K1" s="1910"/>
      <c r="L1" s="1911"/>
      <c r="M1" s="79" t="str">
        <f>'$REV-DSUM'!B153</f>
        <v>FA1 = Little Rock School District</v>
      </c>
      <c r="N1" s="305"/>
      <c r="O1" s="306" t="s">
        <v>1398</v>
      </c>
      <c r="P1" s="1903" t="str">
        <f>IF(B293="FA2 = FA2 FA2L2","",B293)</f>
        <v>FA2 = FA2L1 FA2L2</v>
      </c>
      <c r="Q1" s="1904"/>
      <c r="R1" s="81"/>
      <c r="S1" s="306" t="s">
        <v>1398</v>
      </c>
      <c r="T1" s="79" t="str">
        <f>IF(B433="FA3 = FA3 FA3L2","",B433)</f>
        <v>FA3 = FA3L1 FA3L2</v>
      </c>
      <c r="U1" s="81"/>
      <c r="V1" s="81"/>
      <c r="W1" s="81"/>
      <c r="X1" s="306" t="s">
        <v>1398</v>
      </c>
      <c r="Y1" s="79" t="str">
        <f>IF(B573="FA4 = FA4 FA4L2","",B573)</f>
        <v>FA4 = FA4L1 FA4L2</v>
      </c>
      <c r="Z1" s="81"/>
      <c r="AA1" s="81"/>
      <c r="AB1" s="306" t="s">
        <v>1398</v>
      </c>
      <c r="AC1" s="79" t="str">
        <f>IF(B713="FA5 = FA5 FA5L2","",B713)</f>
        <v>FA5 = FA5L1 FA5L2</v>
      </c>
      <c r="AD1" s="81"/>
      <c r="AE1" s="81"/>
      <c r="AF1" s="305" t="s">
        <v>1398</v>
      </c>
      <c r="AG1" s="97"/>
    </row>
    <row r="2" spans="1:34" ht="16" customHeight="1" thickTop="1">
      <c r="A2" s="72"/>
      <c r="B2" s="64" t="s">
        <v>1099</v>
      </c>
      <c r="C2" s="64"/>
      <c r="D2" s="64"/>
      <c r="E2" s="85"/>
      <c r="F2" s="91">
        <f>B866</f>
        <v>5302399724.54</v>
      </c>
      <c r="G2" s="300"/>
      <c r="H2" s="99"/>
      <c r="I2" s="1912"/>
      <c r="J2" s="1913"/>
      <c r="K2" s="1913"/>
      <c r="L2" s="1914"/>
      <c r="M2" s="72"/>
      <c r="N2" s="300"/>
      <c r="O2" s="99"/>
      <c r="P2" s="302"/>
      <c r="Q2" s="303"/>
      <c r="R2" s="71"/>
      <c r="S2" s="101"/>
      <c r="T2" s="70"/>
      <c r="U2" s="71"/>
      <c r="V2" s="71"/>
      <c r="W2" s="71"/>
      <c r="X2" s="101"/>
      <c r="Y2" s="70"/>
      <c r="Z2" s="71"/>
      <c r="AA2" s="71"/>
      <c r="AB2" s="101"/>
      <c r="AC2" s="70"/>
      <c r="AD2" s="71"/>
      <c r="AE2" s="71"/>
      <c r="AF2" s="75"/>
      <c r="AG2" s="93"/>
    </row>
    <row r="3" spans="1:34" ht="16" customHeight="1">
      <c r="A3" s="72"/>
      <c r="B3" s="64" t="s">
        <v>1100</v>
      </c>
      <c r="C3" s="64"/>
      <c r="D3" s="64"/>
      <c r="E3" s="85"/>
      <c r="F3" s="91">
        <f>B856</f>
        <v>0</v>
      </c>
      <c r="G3" s="300"/>
      <c r="H3" s="99"/>
      <c r="I3" s="1912"/>
      <c r="J3" s="1913"/>
      <c r="K3" s="1913"/>
      <c r="L3" s="1914"/>
      <c r="M3" s="72"/>
      <c r="N3" s="300"/>
      <c r="O3" s="99"/>
      <c r="P3" s="297"/>
      <c r="Q3" s="298"/>
      <c r="R3" s="64"/>
      <c r="S3" s="99"/>
      <c r="T3" s="72"/>
      <c r="U3" s="64"/>
      <c r="V3" s="64"/>
      <c r="W3" s="64"/>
      <c r="X3" s="99"/>
      <c r="Y3" s="72"/>
      <c r="Z3" s="64"/>
      <c r="AA3" s="64"/>
      <c r="AB3" s="99"/>
      <c r="AC3" s="72"/>
      <c r="AD3" s="64"/>
      <c r="AE3" s="64"/>
      <c r="AF3" s="300"/>
      <c r="AG3" s="94"/>
    </row>
    <row r="4" spans="1:34" ht="16" customHeight="1" thickBot="1">
      <c r="A4" s="72"/>
      <c r="B4" s="335" t="s">
        <v>1101</v>
      </c>
      <c r="C4" s="335"/>
      <c r="D4" s="335"/>
      <c r="E4" s="336"/>
      <c r="F4" s="337">
        <f>F2-F3</f>
        <v>5302399724.54</v>
      </c>
      <c r="G4" s="338"/>
      <c r="H4" s="339"/>
      <c r="I4" s="1915"/>
      <c r="J4" s="1916"/>
      <c r="K4" s="1916"/>
      <c r="L4" s="1917"/>
      <c r="M4" s="340"/>
      <c r="N4" s="338"/>
      <c r="O4" s="339"/>
      <c r="P4" s="353"/>
      <c r="Q4" s="354"/>
      <c r="R4" s="335"/>
      <c r="S4" s="339"/>
      <c r="T4" s="340"/>
      <c r="U4" s="335"/>
      <c r="V4" s="335"/>
      <c r="W4" s="335"/>
      <c r="X4" s="339"/>
      <c r="Y4" s="340"/>
      <c r="Z4" s="335"/>
      <c r="AA4" s="335"/>
      <c r="AB4" s="339"/>
      <c r="AC4" s="340"/>
      <c r="AD4" s="335"/>
      <c r="AE4" s="335"/>
      <c r="AF4" s="338"/>
      <c r="AG4" s="341"/>
    </row>
    <row r="5" spans="1:34" ht="16" customHeight="1" thickBot="1">
      <c r="A5" s="72"/>
      <c r="B5" s="64" t="s">
        <v>1184</v>
      </c>
      <c r="C5" s="64"/>
      <c r="D5" s="64"/>
      <c r="E5" s="85"/>
      <c r="F5" s="91">
        <f>'$REV-DB'!$Q$23</f>
        <v>5249197193.0299997</v>
      </c>
      <c r="G5" s="205"/>
      <c r="H5" s="210"/>
      <c r="I5" s="212"/>
      <c r="J5" s="90"/>
      <c r="K5" s="90"/>
      <c r="L5" s="92"/>
      <c r="M5" s="215"/>
      <c r="N5" s="91">
        <f>'$REV-DB'!Q9</f>
        <v>349130780.80000001</v>
      </c>
      <c r="O5" s="210"/>
      <c r="P5" s="217"/>
      <c r="Q5" s="218"/>
      <c r="R5" s="91">
        <f>'$REV-DB'!Q11</f>
        <v>0</v>
      </c>
      <c r="S5" s="211"/>
      <c r="T5" s="217"/>
      <c r="U5" s="218"/>
      <c r="V5" s="108"/>
      <c r="W5" s="91">
        <f>'$REV-DB'!Q13</f>
        <v>0</v>
      </c>
      <c r="X5" s="211"/>
      <c r="Y5" s="220"/>
      <c r="Z5" s="106"/>
      <c r="AA5" s="91">
        <f>'$REV-DB'!Q15</f>
        <v>0</v>
      </c>
      <c r="AB5" s="211"/>
      <c r="AC5" s="220"/>
      <c r="AD5" s="106"/>
      <c r="AE5" s="91">
        <f>'$REV-DB'!Q17</f>
        <v>0</v>
      </c>
      <c r="AF5" s="108"/>
      <c r="AG5" s="95"/>
    </row>
    <row r="6" spans="1:34" ht="16" customHeight="1" thickTop="1" thickBot="1">
      <c r="A6" s="72"/>
      <c r="B6" s="64" t="s">
        <v>1463</v>
      </c>
      <c r="C6" s="64"/>
      <c r="D6" s="64"/>
      <c r="E6" s="85" t="str">
        <f>IF(AND(H6&gt;-0.005,H6&lt;0.005),"","ERROR!")</f>
        <v/>
      </c>
      <c r="F6" s="69">
        <f>B16</f>
        <v>5249197193.0299997</v>
      </c>
      <c r="G6" s="205"/>
      <c r="H6" s="211">
        <f>F5-F6</f>
        <v>0</v>
      </c>
      <c r="I6" s="74" t="s">
        <v>1163</v>
      </c>
      <c r="J6" s="355" t="str">
        <f>'FIG3'!W50</f>
        <v>FY2010-11</v>
      </c>
      <c r="K6" s="90"/>
      <c r="L6" s="92"/>
      <c r="M6" s="215" t="str">
        <f>IF(AND(O6&gt;-0.005,O6&lt;0.005),"","ERROR!")</f>
        <v/>
      </c>
      <c r="N6" s="69">
        <f>B156</f>
        <v>349130780.80000001</v>
      </c>
      <c r="O6" s="211">
        <f>N5-N6</f>
        <v>0</v>
      </c>
      <c r="P6" s="215" t="str">
        <f>IF(AND(S6&gt;-0.005,S6&lt;0.005),"","ERROR!")</f>
        <v/>
      </c>
      <c r="Q6" s="216"/>
      <c r="R6" s="69">
        <f>B296</f>
        <v>0</v>
      </c>
      <c r="S6" s="211">
        <f>R5-R6</f>
        <v>0</v>
      </c>
      <c r="T6" s="217"/>
      <c r="U6" s="85" t="str">
        <f>IF(AND(X6&gt;-0.005,X6&lt;0.005),"","ERROR!")</f>
        <v/>
      </c>
      <c r="V6" s="108" t="str">
        <f>IF(X6=0,"","ERROR!")</f>
        <v/>
      </c>
      <c r="W6" s="69">
        <f>B436</f>
        <v>0</v>
      </c>
      <c r="X6" s="211">
        <f>W5-W6</f>
        <v>0</v>
      </c>
      <c r="Y6" s="215" t="str">
        <f>IF(AND(AB6&gt;-0.005,AB6&lt;0.005),"","ERROR!")</f>
        <v/>
      </c>
      <c r="Z6" s="219"/>
      <c r="AA6" s="69">
        <f>B576</f>
        <v>0</v>
      </c>
      <c r="AB6" s="211">
        <f>AA5-AA6</f>
        <v>0</v>
      </c>
      <c r="AC6" s="215" t="str">
        <f>IF(AND(AF6&gt;-0.005,AF6&lt;0.005),"","ERROR!")</f>
        <v/>
      </c>
      <c r="AD6" s="219"/>
      <c r="AE6" s="69">
        <f>B716</f>
        <v>0</v>
      </c>
      <c r="AF6" s="108">
        <f>AE5-AE6</f>
        <v>0</v>
      </c>
      <c r="AG6" s="95"/>
    </row>
    <row r="7" spans="1:34" ht="16" customHeight="1" thickTop="1" thickBot="1">
      <c r="A7" s="72"/>
      <c r="B7" s="335" t="s">
        <v>1179</v>
      </c>
      <c r="C7" s="335"/>
      <c r="D7" s="335"/>
      <c r="E7" s="336" t="str">
        <f>IF(AND(H7&gt;-0.005,H7&lt;0.005),"","ERROR!")</f>
        <v/>
      </c>
      <c r="F7" s="337">
        <f>B26+B36+B46+B56+B66+B76</f>
        <v>5249197193.0299997</v>
      </c>
      <c r="G7" s="342"/>
      <c r="H7" s="343">
        <f>F6-F7</f>
        <v>0</v>
      </c>
      <c r="I7" s="344"/>
      <c r="J7" s="345"/>
      <c r="K7" s="345"/>
      <c r="L7" s="346"/>
      <c r="M7" s="347" t="str">
        <f>IF(AND(O7&gt;-0.005,O7&lt;0.005),"","ERROR!")</f>
        <v>ERROR!</v>
      </c>
      <c r="N7" s="337">
        <f>B166+B176+B186+B196+B216</f>
        <v>349109166.78000003</v>
      </c>
      <c r="O7" s="343">
        <f>N6-N7</f>
        <v>21614.019999980927</v>
      </c>
      <c r="P7" s="347" t="str">
        <f>IF(AND(S7&gt;-0.005,S7&lt;0.005),"","ERROR!")</f>
        <v/>
      </c>
      <c r="Q7" s="348"/>
      <c r="R7" s="337">
        <f>B306+B316+B326+B336+B356</f>
        <v>0</v>
      </c>
      <c r="S7" s="343">
        <f>R6-R7</f>
        <v>0</v>
      </c>
      <c r="T7" s="349"/>
      <c r="U7" s="336" t="str">
        <f>IF(AND(X7&gt;-0.005,X7&lt;0.005),"","ERROR!")</f>
        <v/>
      </c>
      <c r="V7" s="350" t="str">
        <f>IF(X7=0,"","ERROR!")</f>
        <v/>
      </c>
      <c r="W7" s="337">
        <f>B446+B456+B466+B476+B496</f>
        <v>0</v>
      </c>
      <c r="X7" s="343">
        <f>W6-W7</f>
        <v>0</v>
      </c>
      <c r="Y7" s="347" t="str">
        <f>IF(AND(AB7&gt;-0.005,AB7&lt;0.005),"","ERROR!")</f>
        <v/>
      </c>
      <c r="Z7" s="351"/>
      <c r="AA7" s="337">
        <f>B586+B596+B606+B616+B636</f>
        <v>0</v>
      </c>
      <c r="AB7" s="343">
        <f>AA6-AA7</f>
        <v>0</v>
      </c>
      <c r="AC7" s="347" t="str">
        <f>IF(AND(AF7&gt;-0.005,AF7&lt;0.005),"","ERROR!")</f>
        <v/>
      </c>
      <c r="AD7" s="351"/>
      <c r="AE7" s="337">
        <f>B726+B736+B746+B756+B776</f>
        <v>0</v>
      </c>
      <c r="AF7" s="350">
        <f>AE6-AE7</f>
        <v>0</v>
      </c>
      <c r="AG7" s="352"/>
    </row>
    <row r="8" spans="1:34" ht="16" customHeight="1">
      <c r="A8" s="72"/>
      <c r="B8" s="64" t="s">
        <v>1183</v>
      </c>
      <c r="C8" s="64"/>
      <c r="D8" s="64"/>
      <c r="E8" s="85"/>
      <c r="F8" s="91">
        <f>'$REV-DB'!$Q$24</f>
        <v>53202531.510000005</v>
      </c>
      <c r="G8" s="205"/>
      <c r="H8" s="211"/>
      <c r="I8" s="1906" t="s">
        <v>1164</v>
      </c>
      <c r="J8" s="1907"/>
      <c r="K8" s="1907"/>
      <c r="L8" s="1908"/>
      <c r="M8" s="215"/>
      <c r="N8" s="91">
        <f>'$REV-DB'!Q10</f>
        <v>21208723.59</v>
      </c>
      <c r="O8" s="211"/>
      <c r="P8" s="217"/>
      <c r="Q8" s="218"/>
      <c r="R8" s="91">
        <f>'$REV-DB'!Q12</f>
        <v>0</v>
      </c>
      <c r="S8" s="211"/>
      <c r="T8" s="217"/>
      <c r="U8" s="218"/>
      <c r="V8" s="108"/>
      <c r="W8" s="91">
        <f>'$REV-DB'!Q14</f>
        <v>0</v>
      </c>
      <c r="X8" s="211"/>
      <c r="Y8" s="220"/>
      <c r="Z8" s="106"/>
      <c r="AA8" s="91">
        <f>'$REV-DB'!Q16</f>
        <v>0</v>
      </c>
      <c r="AB8" s="211"/>
      <c r="AC8" s="220"/>
      <c r="AD8" s="106"/>
      <c r="AE8" s="91">
        <f>'$REV-DB'!Q18</f>
        <v>0</v>
      </c>
      <c r="AF8" s="108"/>
      <c r="AG8" s="95"/>
    </row>
    <row r="9" spans="1:34" ht="16" customHeight="1">
      <c r="A9" s="72"/>
      <c r="B9" s="64" t="s">
        <v>1464</v>
      </c>
      <c r="C9" s="64"/>
      <c r="D9" s="64"/>
      <c r="E9" s="85" t="str">
        <f>IF(AND(H9&gt;-0.005,H9&lt;0.005),"","ERROR!")</f>
        <v/>
      </c>
      <c r="F9" s="63">
        <f>B86</f>
        <v>53202531.510000013</v>
      </c>
      <c r="G9" s="205"/>
      <c r="H9" s="211">
        <f>F8-F9</f>
        <v>0</v>
      </c>
      <c r="I9" s="1906" t="s">
        <v>1062</v>
      </c>
      <c r="J9" s="1907"/>
      <c r="K9" s="1907"/>
      <c r="L9" s="1908"/>
      <c r="M9" s="215" t="str">
        <f>IF(AND(O9&gt;-0.005,O9&lt;0.005),"","ERROR!")</f>
        <v/>
      </c>
      <c r="N9" s="69">
        <f>B226</f>
        <v>21208723.59</v>
      </c>
      <c r="O9" s="211">
        <f>N8-N9</f>
        <v>0</v>
      </c>
      <c r="P9" s="215" t="str">
        <f>IF(AND(S9&gt;-0.005,S9&lt;0.005),"","ERROR!")</f>
        <v/>
      </c>
      <c r="Q9" s="216"/>
      <c r="R9" s="69">
        <f>B366</f>
        <v>0</v>
      </c>
      <c r="S9" s="211">
        <f>R8-R9</f>
        <v>0</v>
      </c>
      <c r="T9" s="217"/>
      <c r="U9" s="85" t="str">
        <f>IF(AND(X9&gt;-0.005,X9&lt;0.005),"","ERROR!")</f>
        <v/>
      </c>
      <c r="V9" s="108" t="str">
        <f>IF(X9=0,"","ERROR!")</f>
        <v/>
      </c>
      <c r="W9" s="69">
        <f>B506</f>
        <v>0</v>
      </c>
      <c r="X9" s="211">
        <f>W8-W9</f>
        <v>0</v>
      </c>
      <c r="Y9" s="215" t="str">
        <f>IF(AND(AB9&gt;-0.005,AB9&lt;0.005),"","ERROR!")</f>
        <v/>
      </c>
      <c r="Z9" s="219"/>
      <c r="AA9" s="69">
        <f>B646</f>
        <v>0</v>
      </c>
      <c r="AB9" s="211">
        <f>AA8-AA9</f>
        <v>0</v>
      </c>
      <c r="AC9" s="215" t="str">
        <f>IF(AND(AF9&gt;-0.005,AF9&lt;0.005),"","ERROR!")</f>
        <v/>
      </c>
      <c r="AD9" s="219"/>
      <c r="AE9" s="69">
        <f>B786</f>
        <v>0</v>
      </c>
      <c r="AF9" s="108">
        <f>AE8-AE9</f>
        <v>0</v>
      </c>
      <c r="AG9" s="95"/>
    </row>
    <row r="10" spans="1:34" ht="16" customHeight="1">
      <c r="A10" s="72"/>
      <c r="B10" s="64" t="s">
        <v>1180</v>
      </c>
      <c r="C10" s="64"/>
      <c r="D10" s="64"/>
      <c r="E10" s="85" t="str">
        <f>IF(AND(H10&gt;-0.005,H10&lt;0.005),"","ERROR!")</f>
        <v/>
      </c>
      <c r="F10" s="91">
        <f>B96+B106+B116+B126+B136+B146</f>
        <v>53202531.510000005</v>
      </c>
      <c r="G10" s="205"/>
      <c r="H10" s="211">
        <f>F8-F10</f>
        <v>0</v>
      </c>
      <c r="I10" s="1906" t="s">
        <v>1165</v>
      </c>
      <c r="J10" s="1907"/>
      <c r="K10" s="1907"/>
      <c r="L10" s="1908"/>
      <c r="M10" s="215" t="str">
        <f>IF(AND(O10&gt;-0.005,O10&lt;0.005),"","ERROR!")</f>
        <v/>
      </c>
      <c r="N10" s="91">
        <f>B236+B246+B256+B266+B286</f>
        <v>21208723.59</v>
      </c>
      <c r="O10" s="211">
        <f>N8-N10</f>
        <v>0</v>
      </c>
      <c r="P10" s="215" t="str">
        <f>IF(AND(S10&gt;-0.005,S10&lt;0.005),"","ERROR!")</f>
        <v/>
      </c>
      <c r="Q10" s="216"/>
      <c r="R10" s="91">
        <f>B376+B386+B396+B406+B426</f>
        <v>0</v>
      </c>
      <c r="S10" s="211">
        <f>R8-R10</f>
        <v>0</v>
      </c>
      <c r="T10" s="217"/>
      <c r="U10" s="85" t="str">
        <f>IF(AND(X10&gt;-0.005,X10&lt;0.005),"","ERROR!")</f>
        <v/>
      </c>
      <c r="V10" s="108" t="str">
        <f>IF(X10=0,"","ERROR!")</f>
        <v/>
      </c>
      <c r="W10" s="91">
        <f>B516+B526+B536+B546+B566</f>
        <v>0</v>
      </c>
      <c r="X10" s="211">
        <f>W5-W10</f>
        <v>0</v>
      </c>
      <c r="Y10" s="215" t="str">
        <f>IF(AND(AB10&gt;-0.005,AB10&lt;0.005),"","ERROR!")</f>
        <v/>
      </c>
      <c r="Z10" s="219"/>
      <c r="AA10" s="91">
        <f>B656+B666+B676+B686+B706</f>
        <v>0</v>
      </c>
      <c r="AB10" s="211">
        <f>AA5-AA10</f>
        <v>0</v>
      </c>
      <c r="AC10" s="215" t="str">
        <f>IF(AND(AF10&gt;-0.005,AF10&lt;0.005),"","ERROR!")</f>
        <v/>
      </c>
      <c r="AD10" s="219"/>
      <c r="AE10" s="91">
        <f>B796+B806+B816+B826+B846</f>
        <v>0</v>
      </c>
      <c r="AF10" s="108">
        <f>AE5-AE10</f>
        <v>0</v>
      </c>
      <c r="AG10" s="95"/>
    </row>
    <row r="11" spans="1:34" ht="16" customHeight="1">
      <c r="A11" s="72"/>
      <c r="B11" s="64"/>
      <c r="C11" s="64"/>
      <c r="D11" s="64"/>
      <c r="E11" s="85"/>
      <c r="F11" s="164"/>
      <c r="G11" s="205"/>
      <c r="H11" s="210"/>
      <c r="I11" s="221"/>
      <c r="J11" s="103"/>
      <c r="K11" s="103"/>
      <c r="L11" s="222"/>
      <c r="M11" s="215"/>
      <c r="N11" s="69"/>
      <c r="O11" s="210"/>
      <c r="P11" s="223"/>
      <c r="Q11" s="85"/>
      <c r="R11" s="69"/>
      <c r="S11" s="211"/>
      <c r="T11" s="224"/>
      <c r="U11" s="84"/>
      <c r="V11" s="108"/>
      <c r="W11" s="69"/>
      <c r="X11" s="211"/>
      <c r="Y11" s="165"/>
      <c r="Z11" s="108"/>
      <c r="AA11" s="69"/>
      <c r="AB11" s="211"/>
      <c r="AC11" s="165"/>
      <c r="AD11" s="108"/>
      <c r="AE11" s="69"/>
      <c r="AF11" s="108"/>
      <c r="AG11" s="95"/>
    </row>
    <row r="12" spans="1:34" ht="16" customHeight="1" thickBot="1">
      <c r="A12" s="78"/>
      <c r="B12" s="104"/>
      <c r="C12" s="104"/>
      <c r="D12" s="104"/>
      <c r="E12" s="104"/>
      <c r="F12" s="109"/>
      <c r="G12" s="225"/>
      <c r="H12" s="226"/>
      <c r="I12" s="213"/>
      <c r="J12" s="104"/>
      <c r="K12" s="104"/>
      <c r="L12" s="214"/>
      <c r="M12" s="213"/>
      <c r="N12" s="109"/>
      <c r="O12" s="214"/>
      <c r="P12" s="213"/>
      <c r="Q12" s="109"/>
      <c r="R12" s="104"/>
      <c r="S12" s="214"/>
      <c r="T12" s="78"/>
      <c r="U12" s="104"/>
      <c r="V12" s="104"/>
      <c r="W12" s="104"/>
      <c r="X12" s="214"/>
      <c r="Y12" s="78"/>
      <c r="Z12" s="104"/>
      <c r="AA12" s="104"/>
      <c r="AB12" s="214"/>
      <c r="AC12" s="78"/>
      <c r="AD12" s="104"/>
      <c r="AE12" s="104"/>
      <c r="AF12" s="104"/>
      <c r="AG12" s="214"/>
    </row>
    <row r="13" spans="1:34" ht="16" customHeight="1" thickTop="1" thickBot="1">
      <c r="A13" s="7"/>
      <c r="B13" s="19" t="s">
        <v>1395</v>
      </c>
      <c r="C13" s="7"/>
      <c r="D13" s="17"/>
      <c r="E13" s="17"/>
      <c r="F13" s="18"/>
      <c r="G13" s="17"/>
      <c r="H13" s="18"/>
      <c r="I13" s="18"/>
      <c r="J13" s="17"/>
      <c r="K13" s="17"/>
      <c r="L13" s="17"/>
      <c r="M13" s="18"/>
      <c r="N13" s="9"/>
      <c r="O13" s="17"/>
      <c r="P13" s="18"/>
      <c r="Q13" s="18"/>
      <c r="R13" s="17"/>
      <c r="S13" s="880"/>
      <c r="T13" s="881" t="str">
        <f>'$REV-DB'!$T$34</f>
        <v>Federal Revenues</v>
      </c>
      <c r="U13" s="881" t="str">
        <f>'$REV-DB'!$U$34</f>
        <v>local Revenues</v>
      </c>
      <c r="V13" s="881" t="str">
        <f>'$REV-DB'!$V$34</f>
        <v>Other Revenues</v>
      </c>
      <c r="W13" s="881" t="str">
        <f>'$REV-DB'!$W$34</f>
        <v>State revenues</v>
      </c>
      <c r="X13" s="881" t="str">
        <f>'$REV-DB'!$X$34</f>
        <v>UD5</v>
      </c>
      <c r="Y13" s="881" t="str">
        <f>'$REV-DB'!$Y$34</f>
        <v>UD6</v>
      </c>
      <c r="Z13" s="881" t="str">
        <f>'$REV-DB'!$Z$34</f>
        <v>UD7</v>
      </c>
      <c r="AA13" s="881" t="str">
        <f>'$REV-DB'!$AA$34</f>
        <v>UD8</v>
      </c>
      <c r="AB13" s="881" t="str">
        <f>'$REV-DB'!$AB$34</f>
        <v>UD9</v>
      </c>
      <c r="AC13" s="881" t="str">
        <f>'$REV-DB'!$AC$34</f>
        <v>UD10</v>
      </c>
      <c r="AD13" s="881" t="str">
        <f>'$REV-DB'!$AD$34</f>
        <v>UD11</v>
      </c>
      <c r="AE13" s="881" t="str">
        <f>'$REV-DB'!$AE$34</f>
        <v>UD12</v>
      </c>
      <c r="AF13" s="881" t="str">
        <f>'$REV-DB'!$AF$34</f>
        <v>UD13</v>
      </c>
      <c r="AG13" s="881" t="str">
        <f>'$REV-DB'!$AG$34</f>
        <v>UD14</v>
      </c>
    </row>
    <row r="14" spans="1:34" ht="16" customHeight="1" thickTop="1" thickBot="1">
      <c r="A14" s="7"/>
      <c r="B14" s="20" t="s">
        <v>1399</v>
      </c>
      <c r="C14" s="15"/>
      <c r="D14" s="105" t="s">
        <v>1386</v>
      </c>
      <c r="E14" s="105" t="s">
        <v>1387</v>
      </c>
      <c r="F14" s="105" t="s">
        <v>1388</v>
      </c>
      <c r="G14" s="105" t="s">
        <v>1389</v>
      </c>
      <c r="H14" s="276" t="s">
        <v>1406</v>
      </c>
      <c r="I14" s="105" t="s">
        <v>1390</v>
      </c>
      <c r="J14" s="105" t="s">
        <v>1391</v>
      </c>
      <c r="K14" s="105" t="s">
        <v>1392</v>
      </c>
      <c r="L14" s="276" t="s">
        <v>1188</v>
      </c>
      <c r="M14" s="276" t="s">
        <v>1437</v>
      </c>
      <c r="N14" s="105" t="s">
        <v>1348</v>
      </c>
      <c r="O14" s="105" t="s">
        <v>1393</v>
      </c>
      <c r="P14" s="105" t="s">
        <v>1342</v>
      </c>
      <c r="Q14" s="105" t="s">
        <v>1394</v>
      </c>
      <c r="R14" s="112" t="s">
        <v>1341</v>
      </c>
      <c r="S14" s="112" t="s">
        <v>846</v>
      </c>
      <c r="T14" s="873" t="s">
        <v>935</v>
      </c>
      <c r="U14" s="873" t="s">
        <v>936</v>
      </c>
      <c r="V14" s="873" t="s">
        <v>937</v>
      </c>
      <c r="W14" s="873" t="s">
        <v>938</v>
      </c>
      <c r="X14" s="873" t="s">
        <v>939</v>
      </c>
      <c r="Y14" s="873" t="s">
        <v>940</v>
      </c>
      <c r="Z14" s="873" t="s">
        <v>941</v>
      </c>
      <c r="AA14" s="873" t="s">
        <v>942</v>
      </c>
      <c r="AB14" s="873" t="s">
        <v>943</v>
      </c>
      <c r="AC14" s="873" t="s">
        <v>944</v>
      </c>
      <c r="AD14" s="873" t="s">
        <v>945</v>
      </c>
      <c r="AE14" s="873" t="s">
        <v>946</v>
      </c>
      <c r="AF14" s="873" t="s">
        <v>947</v>
      </c>
      <c r="AG14" s="873" t="s">
        <v>948</v>
      </c>
      <c r="AH14" s="6"/>
    </row>
    <row r="15" spans="1:34" ht="16" customHeight="1" thickTop="1">
      <c r="A15" s="7"/>
      <c r="B15" s="19" t="s">
        <v>1346</v>
      </c>
      <c r="C15" s="12"/>
      <c r="D15" s="186"/>
      <c r="E15" s="186"/>
      <c r="F15" s="186"/>
      <c r="G15" s="186"/>
      <c r="H15" s="186"/>
      <c r="I15" s="186"/>
      <c r="J15" s="186"/>
      <c r="K15" s="186"/>
      <c r="L15" s="278" t="s">
        <v>1429</v>
      </c>
      <c r="M15" s="186"/>
      <c r="N15" s="37" t="str">
        <f>J$6</f>
        <v>FY2010-11</v>
      </c>
      <c r="O15" s="186"/>
      <c r="P15" s="37" t="s">
        <v>1338</v>
      </c>
      <c r="Q15" s="186"/>
      <c r="R15" s="186"/>
      <c r="S15" s="187"/>
      <c r="T15" s="187"/>
      <c r="U15" s="187"/>
      <c r="V15" s="188"/>
      <c r="W15" s="188"/>
      <c r="X15" s="188"/>
      <c r="Y15" s="188"/>
      <c r="Z15" s="188"/>
      <c r="AA15" s="188"/>
      <c r="AB15" s="188"/>
      <c r="AC15" s="188"/>
      <c r="AD15" s="188"/>
      <c r="AE15" s="188"/>
      <c r="AF15" s="188"/>
      <c r="AG15" s="188"/>
      <c r="AH15" s="6"/>
    </row>
    <row r="16" spans="1:34" ht="16" customHeight="1">
      <c r="A16" s="7"/>
      <c r="B16" s="16">
        <f>DSUM('$REV-DB'!D35:AG374,"AMOUNT",'$REV-DSUM'!D14:AG21)</f>
        <v>5249197193.0299997</v>
      </c>
      <c r="C16" s="12"/>
      <c r="D16" s="186"/>
      <c r="E16" s="186"/>
      <c r="F16" s="186"/>
      <c r="G16" s="186"/>
      <c r="H16" s="186"/>
      <c r="I16" s="186"/>
      <c r="J16" s="186"/>
      <c r="K16" s="186"/>
      <c r="L16" s="278" t="s">
        <v>1429</v>
      </c>
      <c r="M16" s="186"/>
      <c r="N16" s="37" t="str">
        <f t="shared" ref="N16:N21" si="0">J$6</f>
        <v>FY2010-11</v>
      </c>
      <c r="O16" s="186"/>
      <c r="P16" s="37" t="s">
        <v>1338</v>
      </c>
      <c r="Q16" s="186"/>
      <c r="R16" s="186"/>
      <c r="S16" s="187"/>
      <c r="T16" s="187"/>
      <c r="U16" s="187"/>
      <c r="V16" s="188"/>
      <c r="W16" s="188"/>
      <c r="X16" s="188"/>
      <c r="Y16" s="188"/>
      <c r="Z16" s="188"/>
      <c r="AA16" s="188"/>
      <c r="AB16" s="188"/>
      <c r="AC16" s="188"/>
      <c r="AD16" s="188"/>
      <c r="AE16" s="188"/>
      <c r="AF16" s="188"/>
      <c r="AG16" s="188"/>
      <c r="AH16" s="6"/>
    </row>
    <row r="17" spans="1:34" ht="16" customHeight="1">
      <c r="A17" s="7"/>
      <c r="B17" s="10"/>
      <c r="C17" s="12"/>
      <c r="D17" s="186"/>
      <c r="E17" s="186"/>
      <c r="F17" s="186"/>
      <c r="G17" s="186"/>
      <c r="H17" s="186"/>
      <c r="I17" s="186"/>
      <c r="J17" s="186"/>
      <c r="K17" s="186"/>
      <c r="L17" s="278" t="s">
        <v>1429</v>
      </c>
      <c r="M17" s="186"/>
      <c r="N17" s="37" t="str">
        <f t="shared" si="0"/>
        <v>FY2010-11</v>
      </c>
      <c r="O17" s="186"/>
      <c r="P17" s="37" t="s">
        <v>1338</v>
      </c>
      <c r="Q17" s="186"/>
      <c r="R17" s="186"/>
      <c r="S17" s="187"/>
      <c r="T17" s="187"/>
      <c r="U17" s="187"/>
      <c r="V17" s="188"/>
      <c r="W17" s="188"/>
      <c r="X17" s="188"/>
      <c r="Y17" s="188"/>
      <c r="Z17" s="188"/>
      <c r="AA17" s="188"/>
      <c r="AB17" s="188"/>
      <c r="AC17" s="188"/>
      <c r="AD17" s="188"/>
      <c r="AE17" s="188"/>
      <c r="AF17" s="188"/>
      <c r="AG17" s="188"/>
    </row>
    <row r="18" spans="1:34" ht="16" customHeight="1">
      <c r="A18" s="7"/>
      <c r="B18" s="1905" t="s">
        <v>1105</v>
      </c>
      <c r="C18" s="12"/>
      <c r="D18" s="186"/>
      <c r="E18" s="186"/>
      <c r="F18" s="186"/>
      <c r="G18" s="186"/>
      <c r="H18" s="186"/>
      <c r="I18" s="186"/>
      <c r="J18" s="186"/>
      <c r="K18" s="186"/>
      <c r="L18" s="278" t="s">
        <v>1429</v>
      </c>
      <c r="M18" s="186"/>
      <c r="N18" s="37" t="str">
        <f t="shared" si="0"/>
        <v>FY2010-11</v>
      </c>
      <c r="O18" s="186"/>
      <c r="P18" s="37" t="s">
        <v>1338</v>
      </c>
      <c r="Q18" s="186"/>
      <c r="R18" s="186"/>
      <c r="S18" s="187"/>
      <c r="T18" s="187"/>
      <c r="U18" s="187"/>
      <c r="V18" s="188"/>
      <c r="W18" s="188"/>
      <c r="X18" s="188"/>
      <c r="Y18" s="188"/>
      <c r="Z18" s="188"/>
      <c r="AA18" s="188"/>
      <c r="AB18" s="188"/>
      <c r="AC18" s="188"/>
      <c r="AD18" s="188"/>
      <c r="AE18" s="188"/>
      <c r="AF18" s="188"/>
      <c r="AG18" s="188"/>
    </row>
    <row r="19" spans="1:34" ht="16" customHeight="1">
      <c r="A19" s="7"/>
      <c r="B19" s="1905"/>
      <c r="C19" s="12"/>
      <c r="D19" s="186"/>
      <c r="E19" s="186"/>
      <c r="F19" s="186"/>
      <c r="G19" s="186"/>
      <c r="H19" s="186"/>
      <c r="I19" s="186"/>
      <c r="J19" s="186"/>
      <c r="K19" s="186"/>
      <c r="L19" s="278" t="s">
        <v>1429</v>
      </c>
      <c r="M19" s="186"/>
      <c r="N19" s="37" t="str">
        <f t="shared" si="0"/>
        <v>FY2010-11</v>
      </c>
      <c r="O19" s="186"/>
      <c r="P19" s="37" t="s">
        <v>1338</v>
      </c>
      <c r="Q19" s="186"/>
      <c r="R19" s="186"/>
      <c r="S19" s="187"/>
      <c r="T19" s="187"/>
      <c r="U19" s="187"/>
      <c r="V19" s="188"/>
      <c r="W19" s="188"/>
      <c r="X19" s="188"/>
      <c r="Y19" s="188"/>
      <c r="Z19" s="188"/>
      <c r="AA19" s="188"/>
      <c r="AB19" s="188"/>
      <c r="AC19" s="188"/>
      <c r="AD19" s="188"/>
      <c r="AE19" s="188"/>
      <c r="AF19" s="188"/>
      <c r="AG19" s="188"/>
    </row>
    <row r="20" spans="1:34" ht="16" customHeight="1">
      <c r="A20" s="7"/>
      <c r="B20" s="1905"/>
      <c r="C20" s="12"/>
      <c r="D20" s="186"/>
      <c r="E20" s="186"/>
      <c r="F20" s="186"/>
      <c r="G20" s="186"/>
      <c r="H20" s="186"/>
      <c r="I20" s="186"/>
      <c r="J20" s="186"/>
      <c r="K20" s="186"/>
      <c r="L20" s="278" t="s">
        <v>1429</v>
      </c>
      <c r="M20" s="186"/>
      <c r="N20" s="37" t="str">
        <f t="shared" si="0"/>
        <v>FY2010-11</v>
      </c>
      <c r="O20" s="186"/>
      <c r="P20" s="37" t="s">
        <v>1338</v>
      </c>
      <c r="Q20" s="186"/>
      <c r="R20" s="186"/>
      <c r="S20" s="187"/>
      <c r="T20" s="187"/>
      <c r="U20" s="187"/>
      <c r="V20" s="188"/>
      <c r="W20" s="188"/>
      <c r="X20" s="188"/>
      <c r="Y20" s="188"/>
      <c r="Z20" s="188"/>
      <c r="AA20" s="188"/>
      <c r="AB20" s="188"/>
      <c r="AC20" s="188"/>
      <c r="AD20" s="188"/>
      <c r="AE20" s="188"/>
      <c r="AF20" s="188"/>
      <c r="AG20" s="188"/>
    </row>
    <row r="21" spans="1:34" ht="16" customHeight="1">
      <c r="A21" s="7"/>
      <c r="B21" s="1905"/>
      <c r="C21" s="12"/>
      <c r="D21" s="186"/>
      <c r="E21" s="186"/>
      <c r="F21" s="186"/>
      <c r="G21" s="186"/>
      <c r="H21" s="186"/>
      <c r="I21" s="186"/>
      <c r="J21" s="186"/>
      <c r="K21" s="186"/>
      <c r="L21" s="278" t="s">
        <v>1429</v>
      </c>
      <c r="M21" s="186"/>
      <c r="N21" s="37" t="str">
        <f t="shared" si="0"/>
        <v>FY2010-11</v>
      </c>
      <c r="O21" s="186"/>
      <c r="P21" s="37" t="s">
        <v>1338</v>
      </c>
      <c r="Q21" s="186"/>
      <c r="R21" s="186"/>
      <c r="S21" s="187"/>
      <c r="T21" s="187"/>
      <c r="U21" s="187"/>
      <c r="V21" s="188"/>
      <c r="W21" s="188"/>
      <c r="X21" s="188"/>
      <c r="Y21" s="188"/>
      <c r="Z21" s="188"/>
      <c r="AA21" s="188"/>
      <c r="AB21" s="188"/>
      <c r="AC21" s="188"/>
      <c r="AD21" s="188"/>
      <c r="AE21" s="188"/>
      <c r="AF21" s="188"/>
      <c r="AG21" s="188"/>
    </row>
    <row r="22" spans="1:34" ht="16" customHeight="1">
      <c r="A22" s="11"/>
      <c r="B22" s="12"/>
      <c r="C22" s="12"/>
      <c r="D22" s="13"/>
      <c r="E22" s="13"/>
      <c r="F22" s="14"/>
      <c r="G22" s="13"/>
      <c r="H22" s="14"/>
      <c r="I22" s="14"/>
      <c r="J22" s="13"/>
      <c r="K22" s="13"/>
      <c r="L22" s="13"/>
      <c r="M22" s="14"/>
      <c r="N22" s="14"/>
      <c r="O22" s="13"/>
      <c r="P22" s="14"/>
      <c r="Q22" s="14"/>
      <c r="R22" s="13"/>
      <c r="S22" s="13"/>
      <c r="T22" s="13"/>
      <c r="U22" s="13"/>
      <c r="V22" s="11"/>
      <c r="W22" s="11"/>
      <c r="X22" s="11"/>
      <c r="Y22" s="11"/>
      <c r="Z22" s="11"/>
      <c r="AA22" s="11"/>
      <c r="AB22" s="11"/>
      <c r="AC22" s="11"/>
      <c r="AD22" s="11"/>
      <c r="AE22" s="11"/>
      <c r="AF22" s="11"/>
      <c r="AG22" s="11"/>
    </row>
    <row r="23" spans="1:34" ht="16" customHeight="1" thickBot="1">
      <c r="A23" s="7"/>
      <c r="B23" s="19" t="s">
        <v>1395</v>
      </c>
      <c r="C23" s="7"/>
      <c r="D23" s="8"/>
      <c r="E23" s="8"/>
      <c r="F23" s="9"/>
      <c r="G23" s="8"/>
      <c r="H23" s="9"/>
      <c r="I23" s="9"/>
      <c r="J23" s="8"/>
      <c r="K23" s="8"/>
      <c r="L23" s="8"/>
      <c r="M23" s="9"/>
      <c r="N23" s="9"/>
      <c r="O23" s="8"/>
      <c r="P23" s="9"/>
      <c r="Q23" s="9"/>
      <c r="R23" s="8"/>
      <c r="S23" s="882"/>
      <c r="T23" s="883" t="str">
        <f>'$REV-DB'!$T$34</f>
        <v>Federal Revenues</v>
      </c>
      <c r="U23" s="883" t="str">
        <f>'$REV-DB'!$U$34</f>
        <v>local Revenues</v>
      </c>
      <c r="V23" s="883" t="str">
        <f>'$REV-DB'!$V$34</f>
        <v>Other Revenues</v>
      </c>
      <c r="W23" s="883" t="str">
        <f>'$REV-DB'!$W$34</f>
        <v>State revenues</v>
      </c>
      <c r="X23" s="883" t="str">
        <f>'$REV-DB'!$X$34</f>
        <v>UD5</v>
      </c>
      <c r="Y23" s="883" t="str">
        <f>'$REV-DB'!$Y$34</f>
        <v>UD6</v>
      </c>
      <c r="Z23" s="883" t="str">
        <f>'$REV-DB'!$Z$34</f>
        <v>UD7</v>
      </c>
      <c r="AA23" s="883" t="str">
        <f>'$REV-DB'!$AA$34</f>
        <v>UD8</v>
      </c>
      <c r="AB23" s="883" t="str">
        <f>'$REV-DB'!$AB$34</f>
        <v>UD9</v>
      </c>
      <c r="AC23" s="883" t="str">
        <f>'$REV-DB'!$AC$34</f>
        <v>UD10</v>
      </c>
      <c r="AD23" s="883" t="str">
        <f>'$REV-DB'!$AD$34</f>
        <v>UD11</v>
      </c>
      <c r="AE23" s="883" t="str">
        <f>'$REV-DB'!$AE$34</f>
        <v>UD12</v>
      </c>
      <c r="AF23" s="883" t="str">
        <f>'$REV-DB'!$AF$34</f>
        <v>UD13</v>
      </c>
      <c r="AG23" s="883" t="str">
        <f>'$REV-DB'!$AG$34</f>
        <v>UD14</v>
      </c>
    </row>
    <row r="24" spans="1:34" ht="16" customHeight="1" thickTop="1" thickBot="1">
      <c r="A24" s="7"/>
      <c r="B24" s="20" t="s">
        <v>1399</v>
      </c>
      <c r="C24" s="15"/>
      <c r="D24" s="105" t="s">
        <v>1386</v>
      </c>
      <c r="E24" s="105" t="s">
        <v>1387</v>
      </c>
      <c r="F24" s="105" t="s">
        <v>1388</v>
      </c>
      <c r="G24" s="105" t="s">
        <v>1389</v>
      </c>
      <c r="H24" s="105" t="s">
        <v>1406</v>
      </c>
      <c r="I24" s="105" t="s">
        <v>1390</v>
      </c>
      <c r="J24" s="105" t="s">
        <v>1391</v>
      </c>
      <c r="K24" s="105" t="s">
        <v>1392</v>
      </c>
      <c r="L24" s="276" t="s">
        <v>1188</v>
      </c>
      <c r="M24" s="105" t="s">
        <v>1437</v>
      </c>
      <c r="N24" s="105" t="s">
        <v>1348</v>
      </c>
      <c r="O24" s="105" t="s">
        <v>1393</v>
      </c>
      <c r="P24" s="105" t="s">
        <v>1342</v>
      </c>
      <c r="Q24" s="105" t="s">
        <v>1394</v>
      </c>
      <c r="R24" s="112" t="s">
        <v>1341</v>
      </c>
      <c r="S24" s="112" t="s">
        <v>846</v>
      </c>
      <c r="T24" s="873" t="s">
        <v>935</v>
      </c>
      <c r="U24" s="873" t="s">
        <v>936</v>
      </c>
      <c r="V24" s="873" t="s">
        <v>937</v>
      </c>
      <c r="W24" s="873" t="s">
        <v>938</v>
      </c>
      <c r="X24" s="873" t="s">
        <v>939</v>
      </c>
      <c r="Y24" s="873" t="s">
        <v>940</v>
      </c>
      <c r="Z24" s="873" t="s">
        <v>941</v>
      </c>
      <c r="AA24" s="873" t="s">
        <v>942</v>
      </c>
      <c r="AB24" s="873" t="s">
        <v>943</v>
      </c>
      <c r="AC24" s="873" t="s">
        <v>944</v>
      </c>
      <c r="AD24" s="873" t="s">
        <v>945</v>
      </c>
      <c r="AE24" s="873" t="s">
        <v>946</v>
      </c>
      <c r="AF24" s="873" t="s">
        <v>947</v>
      </c>
      <c r="AG24" s="873" t="s">
        <v>948</v>
      </c>
      <c r="AH24" s="6"/>
    </row>
    <row r="25" spans="1:34" ht="16" customHeight="1" thickTop="1">
      <c r="A25" s="7"/>
      <c r="B25" s="19" t="s">
        <v>1345</v>
      </c>
      <c r="C25" s="12"/>
      <c r="D25" s="186"/>
      <c r="E25" s="186"/>
      <c r="F25" s="186"/>
      <c r="G25" s="186"/>
      <c r="H25" s="186"/>
      <c r="I25" s="186"/>
      <c r="J25" s="186"/>
      <c r="K25" s="186"/>
      <c r="L25" s="278" t="s">
        <v>1429</v>
      </c>
      <c r="M25" s="186"/>
      <c r="N25" s="37" t="str">
        <f>J$6</f>
        <v>FY2010-11</v>
      </c>
      <c r="O25" s="186"/>
      <c r="P25" s="37" t="s">
        <v>1338</v>
      </c>
      <c r="Q25" s="189" t="s">
        <v>1380</v>
      </c>
      <c r="R25" s="186"/>
      <c r="S25" s="187"/>
      <c r="T25" s="187"/>
      <c r="U25" s="187"/>
      <c r="V25" s="188"/>
      <c r="W25" s="188"/>
      <c r="X25" s="188"/>
      <c r="Y25" s="188"/>
      <c r="Z25" s="188"/>
      <c r="AA25" s="188"/>
      <c r="AB25" s="188"/>
      <c r="AC25" s="188"/>
      <c r="AD25" s="188"/>
      <c r="AE25" s="188"/>
      <c r="AF25" s="188"/>
      <c r="AG25" s="188"/>
      <c r="AH25" s="6"/>
    </row>
    <row r="26" spans="1:34" ht="16" customHeight="1">
      <c r="A26" s="7"/>
      <c r="B26" s="16">
        <f>DSUM('$REV-DB'!D35:AG374,"AMOUNT",'$REV-DSUM'!D24:AG31)</f>
        <v>815268896.76000047</v>
      </c>
      <c r="C26" s="12"/>
      <c r="D26" s="186"/>
      <c r="E26" s="186"/>
      <c r="F26" s="186"/>
      <c r="G26" s="186"/>
      <c r="H26" s="186"/>
      <c r="I26" s="186"/>
      <c r="J26" s="186"/>
      <c r="K26" s="186"/>
      <c r="L26" s="278" t="s">
        <v>1429</v>
      </c>
      <c r="M26" s="186"/>
      <c r="N26" s="37" t="str">
        <f t="shared" ref="N26:N31" si="1">J$6</f>
        <v>FY2010-11</v>
      </c>
      <c r="O26" s="186"/>
      <c r="P26" s="37" t="s">
        <v>1338</v>
      </c>
      <c r="Q26" s="189" t="s">
        <v>1380</v>
      </c>
      <c r="R26" s="186"/>
      <c r="S26" s="187"/>
      <c r="T26" s="187"/>
      <c r="U26" s="187"/>
      <c r="V26" s="188"/>
      <c r="W26" s="188"/>
      <c r="X26" s="188"/>
      <c r="Y26" s="188"/>
      <c r="Z26" s="188"/>
      <c r="AA26" s="188"/>
      <c r="AB26" s="188"/>
      <c r="AC26" s="188"/>
      <c r="AD26" s="188"/>
      <c r="AE26" s="188"/>
      <c r="AF26" s="188"/>
      <c r="AG26" s="188"/>
      <c r="AH26" s="6"/>
    </row>
    <row r="27" spans="1:34" ht="16" customHeight="1">
      <c r="A27" s="7"/>
      <c r="B27" s="10"/>
      <c r="C27" s="12"/>
      <c r="D27" s="186"/>
      <c r="E27" s="186"/>
      <c r="F27" s="186"/>
      <c r="G27" s="186"/>
      <c r="H27" s="186"/>
      <c r="I27" s="186"/>
      <c r="J27" s="186"/>
      <c r="K27" s="186"/>
      <c r="L27" s="278" t="s">
        <v>1429</v>
      </c>
      <c r="M27" s="186"/>
      <c r="N27" s="37" t="str">
        <f t="shared" si="1"/>
        <v>FY2010-11</v>
      </c>
      <c r="O27" s="186"/>
      <c r="P27" s="37" t="s">
        <v>1338</v>
      </c>
      <c r="Q27" s="189" t="s">
        <v>1380</v>
      </c>
      <c r="R27" s="186"/>
      <c r="S27" s="187"/>
      <c r="T27" s="187"/>
      <c r="U27" s="187"/>
      <c r="V27" s="188"/>
      <c r="W27" s="188"/>
      <c r="X27" s="188"/>
      <c r="Y27" s="188"/>
      <c r="Z27" s="188"/>
      <c r="AA27" s="188"/>
      <c r="AB27" s="188"/>
      <c r="AC27" s="188"/>
      <c r="AD27" s="188"/>
      <c r="AE27" s="188"/>
      <c r="AF27" s="188"/>
      <c r="AG27" s="188"/>
    </row>
    <row r="28" spans="1:34" ht="16" customHeight="1">
      <c r="A28" s="7"/>
      <c r="B28" s="10"/>
      <c r="C28" s="12"/>
      <c r="D28" s="186"/>
      <c r="E28" s="186"/>
      <c r="F28" s="186"/>
      <c r="G28" s="186"/>
      <c r="H28" s="186"/>
      <c r="I28" s="186"/>
      <c r="J28" s="186"/>
      <c r="K28" s="186"/>
      <c r="L28" s="278" t="s">
        <v>1429</v>
      </c>
      <c r="M28" s="186"/>
      <c r="N28" s="37" t="str">
        <f t="shared" si="1"/>
        <v>FY2010-11</v>
      </c>
      <c r="O28" s="186"/>
      <c r="P28" s="37" t="s">
        <v>1338</v>
      </c>
      <c r="Q28" s="189" t="s">
        <v>1380</v>
      </c>
      <c r="R28" s="186"/>
      <c r="S28" s="187"/>
      <c r="T28" s="187"/>
      <c r="U28" s="187"/>
      <c r="V28" s="188"/>
      <c r="W28" s="188"/>
      <c r="X28" s="188"/>
      <c r="Y28" s="188"/>
      <c r="Z28" s="188"/>
      <c r="AA28" s="188"/>
      <c r="AB28" s="188"/>
      <c r="AC28" s="188"/>
      <c r="AD28" s="188"/>
      <c r="AE28" s="188"/>
      <c r="AF28" s="188"/>
      <c r="AG28" s="188"/>
    </row>
    <row r="29" spans="1:34" ht="16" customHeight="1">
      <c r="A29" s="7"/>
      <c r="B29" s="10"/>
      <c r="C29" s="12"/>
      <c r="D29" s="186"/>
      <c r="E29" s="186"/>
      <c r="F29" s="186"/>
      <c r="G29" s="186"/>
      <c r="H29" s="186"/>
      <c r="I29" s="186"/>
      <c r="J29" s="186"/>
      <c r="K29" s="186"/>
      <c r="L29" s="278" t="s">
        <v>1429</v>
      </c>
      <c r="M29" s="186"/>
      <c r="N29" s="37" t="str">
        <f t="shared" si="1"/>
        <v>FY2010-11</v>
      </c>
      <c r="O29" s="186"/>
      <c r="P29" s="37" t="s">
        <v>1338</v>
      </c>
      <c r="Q29" s="189" t="s">
        <v>1380</v>
      </c>
      <c r="R29" s="186"/>
      <c r="S29" s="187"/>
      <c r="T29" s="187"/>
      <c r="U29" s="187"/>
      <c r="V29" s="188"/>
      <c r="W29" s="188"/>
      <c r="X29" s="188"/>
      <c r="Y29" s="188"/>
      <c r="Z29" s="188"/>
      <c r="AA29" s="188"/>
      <c r="AB29" s="188"/>
      <c r="AC29" s="188"/>
      <c r="AD29" s="188"/>
      <c r="AE29" s="188"/>
      <c r="AF29" s="188"/>
      <c r="AG29" s="188"/>
    </row>
    <row r="30" spans="1:34" ht="16" customHeight="1">
      <c r="A30" s="7"/>
      <c r="B30" s="10"/>
      <c r="C30" s="12"/>
      <c r="D30" s="186"/>
      <c r="E30" s="186"/>
      <c r="F30" s="186"/>
      <c r="G30" s="186"/>
      <c r="H30" s="186"/>
      <c r="I30" s="186"/>
      <c r="J30" s="186"/>
      <c r="K30" s="186"/>
      <c r="L30" s="278" t="s">
        <v>1429</v>
      </c>
      <c r="M30" s="186"/>
      <c r="N30" s="37" t="str">
        <f t="shared" si="1"/>
        <v>FY2010-11</v>
      </c>
      <c r="O30" s="186"/>
      <c r="P30" s="37" t="s">
        <v>1338</v>
      </c>
      <c r="Q30" s="189" t="s">
        <v>1380</v>
      </c>
      <c r="R30" s="186"/>
      <c r="S30" s="187"/>
      <c r="T30" s="187"/>
      <c r="U30" s="187"/>
      <c r="V30" s="188"/>
      <c r="W30" s="188"/>
      <c r="X30" s="188"/>
      <c r="Y30" s="188"/>
      <c r="Z30" s="188"/>
      <c r="AA30" s="188"/>
      <c r="AB30" s="188"/>
      <c r="AC30" s="188"/>
      <c r="AD30" s="188"/>
      <c r="AE30" s="188"/>
      <c r="AF30" s="188"/>
      <c r="AG30" s="188"/>
    </row>
    <row r="31" spans="1:34" ht="16" customHeight="1">
      <c r="A31" s="7"/>
      <c r="B31" s="10"/>
      <c r="C31" s="12"/>
      <c r="D31" s="186"/>
      <c r="E31" s="186"/>
      <c r="F31" s="186"/>
      <c r="G31" s="186"/>
      <c r="H31" s="186"/>
      <c r="I31" s="186"/>
      <c r="J31" s="186"/>
      <c r="K31" s="186"/>
      <c r="L31" s="278" t="s">
        <v>1429</v>
      </c>
      <c r="M31" s="186"/>
      <c r="N31" s="37" t="str">
        <f t="shared" si="1"/>
        <v>FY2010-11</v>
      </c>
      <c r="O31" s="186"/>
      <c r="P31" s="37" t="s">
        <v>1338</v>
      </c>
      <c r="Q31" s="189" t="s">
        <v>1380</v>
      </c>
      <c r="R31" s="186"/>
      <c r="S31" s="187"/>
      <c r="T31" s="187"/>
      <c r="U31" s="187"/>
      <c r="V31" s="188"/>
      <c r="W31" s="188"/>
      <c r="X31" s="188"/>
      <c r="Y31" s="188"/>
      <c r="Z31" s="188"/>
      <c r="AA31" s="188"/>
      <c r="AB31" s="188"/>
      <c r="AC31" s="188"/>
      <c r="AD31" s="188"/>
      <c r="AE31" s="188"/>
      <c r="AF31" s="188"/>
      <c r="AG31" s="188"/>
    </row>
    <row r="32" spans="1:34" ht="16" customHeight="1">
      <c r="A32" s="11"/>
      <c r="B32" s="12"/>
      <c r="C32" s="12"/>
      <c r="D32" s="13"/>
      <c r="E32" s="13"/>
      <c r="F32" s="14"/>
      <c r="G32" s="13"/>
      <c r="H32" s="14"/>
      <c r="I32" s="14"/>
      <c r="J32" s="13"/>
      <c r="K32" s="13"/>
      <c r="L32" s="13"/>
      <c r="M32" s="14"/>
      <c r="N32" s="14"/>
      <c r="O32" s="13"/>
      <c r="P32" s="14"/>
      <c r="Q32" s="14"/>
      <c r="R32" s="13"/>
      <c r="S32" s="13"/>
      <c r="T32" s="13"/>
      <c r="U32" s="13"/>
      <c r="V32" s="11"/>
      <c r="W32" s="11"/>
      <c r="X32" s="11"/>
      <c r="Y32" s="11"/>
      <c r="Z32" s="11"/>
      <c r="AA32" s="11"/>
      <c r="AB32" s="11"/>
      <c r="AC32" s="11"/>
      <c r="AD32" s="11"/>
      <c r="AE32" s="11"/>
      <c r="AF32" s="11"/>
      <c r="AG32" s="11"/>
    </row>
    <row r="33" spans="1:34" ht="16" customHeight="1" thickBot="1">
      <c r="A33" s="7"/>
      <c r="B33" s="19" t="s">
        <v>1395</v>
      </c>
      <c r="C33" s="7"/>
      <c r="D33" s="8"/>
      <c r="E33" s="8"/>
      <c r="F33" s="9"/>
      <c r="G33" s="8"/>
      <c r="H33" s="9"/>
      <c r="I33" s="9"/>
      <c r="J33" s="8"/>
      <c r="K33" s="8"/>
      <c r="L33" s="8"/>
      <c r="M33" s="9"/>
      <c r="N33" s="9"/>
      <c r="O33" s="8"/>
      <c r="P33" s="9"/>
      <c r="Q33" s="9"/>
      <c r="R33" s="8"/>
      <c r="S33" s="882"/>
      <c r="T33" s="883" t="str">
        <f>'$REV-DB'!$T$34</f>
        <v>Federal Revenues</v>
      </c>
      <c r="U33" s="883" t="str">
        <f>'$REV-DB'!$U$34</f>
        <v>local Revenues</v>
      </c>
      <c r="V33" s="883" t="str">
        <f>'$REV-DB'!$V$34</f>
        <v>Other Revenues</v>
      </c>
      <c r="W33" s="883" t="str">
        <f>'$REV-DB'!$W$34</f>
        <v>State revenues</v>
      </c>
      <c r="X33" s="883" t="str">
        <f>'$REV-DB'!$X$34</f>
        <v>UD5</v>
      </c>
      <c r="Y33" s="883" t="str">
        <f>'$REV-DB'!$Y$34</f>
        <v>UD6</v>
      </c>
      <c r="Z33" s="883" t="str">
        <f>'$REV-DB'!$Z$34</f>
        <v>UD7</v>
      </c>
      <c r="AA33" s="883" t="str">
        <f>'$REV-DB'!$AA$34</f>
        <v>UD8</v>
      </c>
      <c r="AB33" s="883" t="str">
        <f>'$REV-DB'!$AB$34</f>
        <v>UD9</v>
      </c>
      <c r="AC33" s="883" t="str">
        <f>'$REV-DB'!$AC$34</f>
        <v>UD10</v>
      </c>
      <c r="AD33" s="883" t="str">
        <f>'$REV-DB'!$AD$34</f>
        <v>UD11</v>
      </c>
      <c r="AE33" s="883" t="str">
        <f>'$REV-DB'!$AE$34</f>
        <v>UD12</v>
      </c>
      <c r="AF33" s="883" t="str">
        <f>'$REV-DB'!$AF$34</f>
        <v>UD13</v>
      </c>
      <c r="AG33" s="883" t="str">
        <f>'$REV-DB'!$AG$34</f>
        <v>UD14</v>
      </c>
    </row>
    <row r="34" spans="1:34" ht="16" customHeight="1" thickTop="1" thickBot="1">
      <c r="A34" s="7"/>
      <c r="B34" s="20" t="s">
        <v>1399</v>
      </c>
      <c r="C34" s="15"/>
      <c r="D34" s="105" t="s">
        <v>1386</v>
      </c>
      <c r="E34" s="105" t="s">
        <v>1387</v>
      </c>
      <c r="F34" s="105" t="s">
        <v>1388</v>
      </c>
      <c r="G34" s="105" t="s">
        <v>1389</v>
      </c>
      <c r="H34" s="301" t="s">
        <v>1406</v>
      </c>
      <c r="I34" s="301" t="s">
        <v>1390</v>
      </c>
      <c r="J34" s="301" t="s">
        <v>1391</v>
      </c>
      <c r="K34" s="301" t="s">
        <v>1392</v>
      </c>
      <c r="L34" s="301" t="s">
        <v>1188</v>
      </c>
      <c r="M34" s="301" t="s">
        <v>1437</v>
      </c>
      <c r="N34" s="105" t="s">
        <v>1348</v>
      </c>
      <c r="O34" s="105" t="s">
        <v>1393</v>
      </c>
      <c r="P34" s="105" t="s">
        <v>1342</v>
      </c>
      <c r="Q34" s="105" t="s">
        <v>1394</v>
      </c>
      <c r="R34" s="112" t="s">
        <v>1341</v>
      </c>
      <c r="S34" s="112" t="s">
        <v>846</v>
      </c>
      <c r="T34" s="873" t="s">
        <v>935</v>
      </c>
      <c r="U34" s="873" t="s">
        <v>936</v>
      </c>
      <c r="V34" s="873" t="s">
        <v>937</v>
      </c>
      <c r="W34" s="873" t="s">
        <v>938</v>
      </c>
      <c r="X34" s="873" t="s">
        <v>939</v>
      </c>
      <c r="Y34" s="873" t="s">
        <v>940</v>
      </c>
      <c r="Z34" s="873" t="s">
        <v>941</v>
      </c>
      <c r="AA34" s="873" t="s">
        <v>942</v>
      </c>
      <c r="AB34" s="873" t="s">
        <v>943</v>
      </c>
      <c r="AC34" s="873" t="s">
        <v>944</v>
      </c>
      <c r="AD34" s="873" t="s">
        <v>945</v>
      </c>
      <c r="AE34" s="873" t="s">
        <v>946</v>
      </c>
      <c r="AF34" s="873" t="s">
        <v>947</v>
      </c>
      <c r="AG34" s="873" t="s">
        <v>948</v>
      </c>
      <c r="AH34" s="6"/>
    </row>
    <row r="35" spans="1:34" ht="16" customHeight="1" thickTop="1">
      <c r="A35" s="7"/>
      <c r="B35" s="19" t="s">
        <v>1344</v>
      </c>
      <c r="C35" s="12"/>
      <c r="D35" s="186"/>
      <c r="E35" s="186"/>
      <c r="F35" s="186"/>
      <c r="G35" s="186"/>
      <c r="H35" s="186"/>
      <c r="I35" s="186"/>
      <c r="J35" s="186"/>
      <c r="K35" s="186"/>
      <c r="L35" s="278" t="s">
        <v>1429</v>
      </c>
      <c r="M35" s="186"/>
      <c r="N35" s="37" t="str">
        <f>J$6</f>
        <v>FY2010-11</v>
      </c>
      <c r="O35" s="186"/>
      <c r="P35" s="37" t="s">
        <v>1338</v>
      </c>
      <c r="Q35" s="189" t="s">
        <v>1339</v>
      </c>
      <c r="R35" s="186"/>
      <c r="S35" s="187"/>
      <c r="T35" s="187"/>
      <c r="U35" s="187"/>
      <c r="V35" s="188"/>
      <c r="W35" s="188"/>
      <c r="X35" s="188"/>
      <c r="Y35" s="188"/>
      <c r="Z35" s="188"/>
      <c r="AA35" s="188"/>
      <c r="AB35" s="188"/>
      <c r="AC35" s="188"/>
      <c r="AD35" s="188"/>
      <c r="AE35" s="188"/>
      <c r="AF35" s="188"/>
      <c r="AG35" s="188"/>
      <c r="AH35" s="6"/>
    </row>
    <row r="36" spans="1:34" ht="16" customHeight="1">
      <c r="A36" s="7"/>
      <c r="B36" s="16">
        <f>DSUM('$REV-DB'!D35:AG374,"AMOUNT",'$REV-DSUM'!D34:AG41)</f>
        <v>2372611931.1099997</v>
      </c>
      <c r="C36" s="12"/>
      <c r="D36" s="186"/>
      <c r="E36" s="186"/>
      <c r="F36" s="186"/>
      <c r="G36" s="186"/>
      <c r="H36" s="186"/>
      <c r="I36" s="186"/>
      <c r="J36" s="186"/>
      <c r="K36" s="186"/>
      <c r="L36" s="278" t="s">
        <v>1429</v>
      </c>
      <c r="M36" s="186"/>
      <c r="N36" s="37" t="str">
        <f t="shared" ref="N36:N41" si="2">J$6</f>
        <v>FY2010-11</v>
      </c>
      <c r="O36" s="186"/>
      <c r="P36" s="37" t="s">
        <v>1338</v>
      </c>
      <c r="Q36" s="189" t="s">
        <v>1339</v>
      </c>
      <c r="R36" s="186"/>
      <c r="S36" s="187"/>
      <c r="T36" s="187"/>
      <c r="U36" s="187"/>
      <c r="V36" s="188"/>
      <c r="W36" s="188"/>
      <c r="X36" s="188"/>
      <c r="Y36" s="188"/>
      <c r="Z36" s="188"/>
      <c r="AA36" s="188"/>
      <c r="AB36" s="188"/>
      <c r="AC36" s="188"/>
      <c r="AD36" s="188"/>
      <c r="AE36" s="188"/>
      <c r="AF36" s="188"/>
      <c r="AG36" s="188"/>
      <c r="AH36" s="6"/>
    </row>
    <row r="37" spans="1:34" ht="16" customHeight="1">
      <c r="A37" s="7"/>
      <c r="B37" s="10"/>
      <c r="C37" s="12"/>
      <c r="D37" s="186"/>
      <c r="E37" s="186"/>
      <c r="F37" s="186"/>
      <c r="G37" s="186"/>
      <c r="H37" s="186"/>
      <c r="I37" s="186"/>
      <c r="J37" s="186"/>
      <c r="K37" s="186"/>
      <c r="L37" s="278" t="s">
        <v>1429</v>
      </c>
      <c r="M37" s="186"/>
      <c r="N37" s="37" t="str">
        <f t="shared" si="2"/>
        <v>FY2010-11</v>
      </c>
      <c r="O37" s="186"/>
      <c r="P37" s="37" t="s">
        <v>1338</v>
      </c>
      <c r="Q37" s="189" t="s">
        <v>1339</v>
      </c>
      <c r="R37" s="186"/>
      <c r="S37" s="187"/>
      <c r="T37" s="187"/>
      <c r="U37" s="187"/>
      <c r="V37" s="188"/>
      <c r="W37" s="188"/>
      <c r="X37" s="188"/>
      <c r="Y37" s="188"/>
      <c r="Z37" s="188"/>
      <c r="AA37" s="188"/>
      <c r="AB37" s="188"/>
      <c r="AC37" s="188"/>
      <c r="AD37" s="188"/>
      <c r="AE37" s="188"/>
      <c r="AF37" s="188"/>
      <c r="AG37" s="188"/>
    </row>
    <row r="38" spans="1:34" ht="16" customHeight="1">
      <c r="A38" s="7"/>
      <c r="B38" s="10"/>
      <c r="C38" s="12"/>
      <c r="D38" s="186"/>
      <c r="E38" s="186"/>
      <c r="F38" s="186"/>
      <c r="G38" s="186"/>
      <c r="H38" s="186"/>
      <c r="I38" s="186"/>
      <c r="J38" s="186"/>
      <c r="K38" s="186"/>
      <c r="L38" s="278" t="s">
        <v>1429</v>
      </c>
      <c r="M38" s="186"/>
      <c r="N38" s="37" t="str">
        <f t="shared" si="2"/>
        <v>FY2010-11</v>
      </c>
      <c r="O38" s="186"/>
      <c r="P38" s="37" t="s">
        <v>1338</v>
      </c>
      <c r="Q38" s="189" t="s">
        <v>1339</v>
      </c>
      <c r="R38" s="186"/>
      <c r="S38" s="187"/>
      <c r="T38" s="187"/>
      <c r="U38" s="187"/>
      <c r="V38" s="188"/>
      <c r="W38" s="188"/>
      <c r="X38" s="188"/>
      <c r="Y38" s="188"/>
      <c r="Z38" s="188"/>
      <c r="AA38" s="188"/>
      <c r="AB38" s="188"/>
      <c r="AC38" s="188"/>
      <c r="AD38" s="188"/>
      <c r="AE38" s="188"/>
      <c r="AF38" s="188"/>
      <c r="AG38" s="188"/>
    </row>
    <row r="39" spans="1:34" ht="16" customHeight="1">
      <c r="A39" s="7"/>
      <c r="B39" s="10"/>
      <c r="C39" s="12"/>
      <c r="D39" s="186"/>
      <c r="E39" s="186"/>
      <c r="F39" s="186"/>
      <c r="G39" s="186"/>
      <c r="H39" s="186"/>
      <c r="I39" s="186"/>
      <c r="J39" s="186"/>
      <c r="K39" s="186"/>
      <c r="L39" s="278" t="s">
        <v>1429</v>
      </c>
      <c r="M39" s="186"/>
      <c r="N39" s="37" t="str">
        <f t="shared" si="2"/>
        <v>FY2010-11</v>
      </c>
      <c r="O39" s="186"/>
      <c r="P39" s="37" t="s">
        <v>1338</v>
      </c>
      <c r="Q39" s="189" t="s">
        <v>1339</v>
      </c>
      <c r="R39" s="186"/>
      <c r="S39" s="187"/>
      <c r="T39" s="187"/>
      <c r="U39" s="187"/>
      <c r="V39" s="188"/>
      <c r="W39" s="188"/>
      <c r="X39" s="188"/>
      <c r="Y39" s="188"/>
      <c r="Z39" s="188"/>
      <c r="AA39" s="188"/>
      <c r="AB39" s="188"/>
      <c r="AC39" s="188"/>
      <c r="AD39" s="188"/>
      <c r="AE39" s="188"/>
      <c r="AF39" s="188"/>
      <c r="AG39" s="188"/>
    </row>
    <row r="40" spans="1:34" ht="16" customHeight="1">
      <c r="A40" s="7"/>
      <c r="B40" s="10"/>
      <c r="C40" s="12"/>
      <c r="D40" s="186"/>
      <c r="E40" s="186"/>
      <c r="F40" s="186"/>
      <c r="G40" s="186"/>
      <c r="H40" s="186"/>
      <c r="I40" s="186"/>
      <c r="J40" s="186"/>
      <c r="K40" s="186"/>
      <c r="L40" s="278" t="s">
        <v>1429</v>
      </c>
      <c r="M40" s="186"/>
      <c r="N40" s="37" t="str">
        <f t="shared" si="2"/>
        <v>FY2010-11</v>
      </c>
      <c r="O40" s="186"/>
      <c r="P40" s="37" t="s">
        <v>1338</v>
      </c>
      <c r="Q40" s="189" t="s">
        <v>1339</v>
      </c>
      <c r="R40" s="186"/>
      <c r="S40" s="187"/>
      <c r="T40" s="187"/>
      <c r="U40" s="187"/>
      <c r="V40" s="188"/>
      <c r="W40" s="188"/>
      <c r="X40" s="188"/>
      <c r="Y40" s="188"/>
      <c r="Z40" s="188"/>
      <c r="AA40" s="188"/>
      <c r="AB40" s="188"/>
      <c r="AC40" s="188"/>
      <c r="AD40" s="188"/>
      <c r="AE40" s="188"/>
      <c r="AF40" s="188"/>
      <c r="AG40" s="188"/>
    </row>
    <row r="41" spans="1:34" ht="16" customHeight="1">
      <c r="A41" s="7"/>
      <c r="B41" s="10"/>
      <c r="C41" s="12"/>
      <c r="D41" s="186"/>
      <c r="E41" s="186"/>
      <c r="F41" s="186"/>
      <c r="G41" s="186"/>
      <c r="H41" s="186"/>
      <c r="I41" s="186"/>
      <c r="J41" s="186"/>
      <c r="K41" s="186"/>
      <c r="L41" s="278" t="s">
        <v>1429</v>
      </c>
      <c r="M41" s="186"/>
      <c r="N41" s="37" t="str">
        <f t="shared" si="2"/>
        <v>FY2010-11</v>
      </c>
      <c r="O41" s="186"/>
      <c r="P41" s="37" t="s">
        <v>1338</v>
      </c>
      <c r="Q41" s="189" t="s">
        <v>1339</v>
      </c>
      <c r="R41" s="186"/>
      <c r="S41" s="187"/>
      <c r="T41" s="187"/>
      <c r="U41" s="187"/>
      <c r="V41" s="188"/>
      <c r="W41" s="188"/>
      <c r="X41" s="188"/>
      <c r="Y41" s="188"/>
      <c r="Z41" s="188"/>
      <c r="AA41" s="188"/>
      <c r="AB41" s="188"/>
      <c r="AC41" s="188"/>
      <c r="AD41" s="188"/>
      <c r="AE41" s="188"/>
      <c r="AF41" s="188"/>
      <c r="AG41" s="188"/>
    </row>
    <row r="42" spans="1:34" ht="16" customHeight="1">
      <c r="A42" s="11"/>
      <c r="B42" s="12"/>
      <c r="C42" s="12"/>
      <c r="D42" s="13"/>
      <c r="E42" s="13"/>
      <c r="F42" s="14"/>
      <c r="G42" s="13"/>
      <c r="H42" s="14"/>
      <c r="I42" s="14"/>
      <c r="J42" s="13"/>
      <c r="K42" s="13"/>
      <c r="L42" s="279"/>
      <c r="M42" s="14"/>
      <c r="N42" s="14"/>
      <c r="O42" s="13"/>
      <c r="P42" s="14"/>
      <c r="Q42" s="14"/>
      <c r="R42" s="13"/>
      <c r="S42" s="13"/>
      <c r="T42" s="13"/>
      <c r="U42" s="13"/>
      <c r="V42" s="11"/>
      <c r="W42" s="11"/>
      <c r="X42" s="11"/>
      <c r="Y42" s="11"/>
      <c r="Z42" s="11"/>
      <c r="AA42" s="11"/>
      <c r="AB42" s="11"/>
      <c r="AC42" s="11"/>
      <c r="AD42" s="11"/>
      <c r="AE42" s="11"/>
      <c r="AF42" s="11"/>
      <c r="AG42" s="11"/>
    </row>
    <row r="43" spans="1:34" ht="16" customHeight="1" thickBot="1">
      <c r="A43" s="7"/>
      <c r="B43" s="19" t="s">
        <v>1395</v>
      </c>
      <c r="C43" s="7"/>
      <c r="D43" s="8"/>
      <c r="E43" s="8"/>
      <c r="F43" s="9"/>
      <c r="G43" s="8"/>
      <c r="H43" s="9"/>
      <c r="I43" s="9"/>
      <c r="J43" s="8"/>
      <c r="K43" s="8"/>
      <c r="L43" s="280"/>
      <c r="M43" s="9"/>
      <c r="N43" s="9"/>
      <c r="O43" s="8"/>
      <c r="P43" s="9"/>
      <c r="Q43" s="9"/>
      <c r="R43" s="8"/>
      <c r="S43" s="882"/>
      <c r="T43" s="883" t="str">
        <f>'$REV-DB'!$T$34</f>
        <v>Federal Revenues</v>
      </c>
      <c r="U43" s="883" t="str">
        <f>'$REV-DB'!$U$34</f>
        <v>local Revenues</v>
      </c>
      <c r="V43" s="883" t="str">
        <f>'$REV-DB'!$V$34</f>
        <v>Other Revenues</v>
      </c>
      <c r="W43" s="883" t="str">
        <f>'$REV-DB'!$W$34</f>
        <v>State revenues</v>
      </c>
      <c r="X43" s="883" t="str">
        <f>'$REV-DB'!$X$34</f>
        <v>UD5</v>
      </c>
      <c r="Y43" s="883" t="str">
        <f>'$REV-DB'!$Y$34</f>
        <v>UD6</v>
      </c>
      <c r="Z43" s="883" t="str">
        <f>'$REV-DB'!$Z$34</f>
        <v>UD7</v>
      </c>
      <c r="AA43" s="883" t="str">
        <f>'$REV-DB'!$AA$34</f>
        <v>UD8</v>
      </c>
      <c r="AB43" s="883" t="str">
        <f>'$REV-DB'!$AB$34</f>
        <v>UD9</v>
      </c>
      <c r="AC43" s="883" t="str">
        <f>'$REV-DB'!$AC$34</f>
        <v>UD10</v>
      </c>
      <c r="AD43" s="883" t="str">
        <f>'$REV-DB'!$AD$34</f>
        <v>UD11</v>
      </c>
      <c r="AE43" s="883" t="str">
        <f>'$REV-DB'!$AE$34</f>
        <v>UD12</v>
      </c>
      <c r="AF43" s="883" t="str">
        <f>'$REV-DB'!$AF$34</f>
        <v>UD13</v>
      </c>
      <c r="AG43" s="883" t="str">
        <f>'$REV-DB'!$AG$34</f>
        <v>UD14</v>
      </c>
    </row>
    <row r="44" spans="1:34" ht="16" customHeight="1" thickTop="1" thickBot="1">
      <c r="A44" s="7"/>
      <c r="B44" s="20" t="s">
        <v>1399</v>
      </c>
      <c r="C44" s="15"/>
      <c r="D44" s="105" t="s">
        <v>1386</v>
      </c>
      <c r="E44" s="105" t="s">
        <v>1387</v>
      </c>
      <c r="F44" s="105" t="s">
        <v>1388</v>
      </c>
      <c r="G44" s="105" t="s">
        <v>1389</v>
      </c>
      <c r="H44" s="301" t="s">
        <v>1406</v>
      </c>
      <c r="I44" s="301" t="s">
        <v>1390</v>
      </c>
      <c r="J44" s="301" t="s">
        <v>1391</v>
      </c>
      <c r="K44" s="301" t="s">
        <v>1392</v>
      </c>
      <c r="L44" s="301" t="s">
        <v>1188</v>
      </c>
      <c r="M44" s="301" t="s">
        <v>1437</v>
      </c>
      <c r="N44" s="105" t="s">
        <v>1348</v>
      </c>
      <c r="O44" s="105" t="s">
        <v>1393</v>
      </c>
      <c r="P44" s="105" t="s">
        <v>1342</v>
      </c>
      <c r="Q44" s="105" t="s">
        <v>1394</v>
      </c>
      <c r="R44" s="112" t="s">
        <v>1341</v>
      </c>
      <c r="S44" s="112" t="s">
        <v>846</v>
      </c>
      <c r="T44" s="873" t="s">
        <v>935</v>
      </c>
      <c r="U44" s="873" t="s">
        <v>936</v>
      </c>
      <c r="V44" s="873" t="s">
        <v>937</v>
      </c>
      <c r="W44" s="873" t="s">
        <v>938</v>
      </c>
      <c r="X44" s="873" t="s">
        <v>939</v>
      </c>
      <c r="Y44" s="873" t="s">
        <v>940</v>
      </c>
      <c r="Z44" s="873" t="s">
        <v>941</v>
      </c>
      <c r="AA44" s="873" t="s">
        <v>942</v>
      </c>
      <c r="AB44" s="873" t="s">
        <v>943</v>
      </c>
      <c r="AC44" s="873" t="s">
        <v>944</v>
      </c>
      <c r="AD44" s="873" t="s">
        <v>945</v>
      </c>
      <c r="AE44" s="873" t="s">
        <v>946</v>
      </c>
      <c r="AF44" s="873" t="s">
        <v>947</v>
      </c>
      <c r="AG44" s="873" t="s">
        <v>948</v>
      </c>
      <c r="AH44" s="6"/>
    </row>
    <row r="45" spans="1:34" ht="16" customHeight="1" thickTop="1">
      <c r="A45" s="7"/>
      <c r="B45" s="19" t="s">
        <v>1343</v>
      </c>
      <c r="C45" s="12"/>
      <c r="D45" s="186"/>
      <c r="E45" s="186"/>
      <c r="F45" s="186"/>
      <c r="G45" s="186"/>
      <c r="H45" s="186"/>
      <c r="I45" s="186"/>
      <c r="J45" s="186"/>
      <c r="K45" s="186"/>
      <c r="L45" s="278" t="s">
        <v>1429</v>
      </c>
      <c r="M45" s="186"/>
      <c r="N45" s="37" t="str">
        <f>J$6</f>
        <v>FY2010-11</v>
      </c>
      <c r="O45" s="186"/>
      <c r="P45" s="37" t="s">
        <v>1338</v>
      </c>
      <c r="Q45" s="189" t="s">
        <v>1379</v>
      </c>
      <c r="R45" s="186"/>
      <c r="S45" s="187"/>
      <c r="T45" s="187"/>
      <c r="U45" s="187"/>
      <c r="V45" s="188"/>
      <c r="W45" s="188"/>
      <c r="X45" s="188"/>
      <c r="Y45" s="188"/>
      <c r="Z45" s="188"/>
      <c r="AA45" s="188"/>
      <c r="AB45" s="188"/>
      <c r="AC45" s="188"/>
      <c r="AD45" s="188"/>
      <c r="AE45" s="188"/>
      <c r="AF45" s="188"/>
      <c r="AG45" s="188"/>
      <c r="AH45" s="6"/>
    </row>
    <row r="46" spans="1:34" ht="16" customHeight="1">
      <c r="A46" s="7"/>
      <c r="B46" s="16">
        <f>DSUM('$REV-DB'!D35:AG374,"AMOUNT",'$REV-DSUM'!D44:AG51)</f>
        <v>1449262988.8400004</v>
      </c>
      <c r="C46" s="12"/>
      <c r="D46" s="186"/>
      <c r="E46" s="186"/>
      <c r="F46" s="186"/>
      <c r="G46" s="186"/>
      <c r="H46" s="186"/>
      <c r="I46" s="186"/>
      <c r="J46" s="186"/>
      <c r="K46" s="186"/>
      <c r="L46" s="278" t="s">
        <v>1429</v>
      </c>
      <c r="M46" s="186"/>
      <c r="N46" s="37" t="str">
        <f t="shared" ref="N46:N51" si="3">J$6</f>
        <v>FY2010-11</v>
      </c>
      <c r="O46" s="186"/>
      <c r="P46" s="37" t="s">
        <v>1338</v>
      </c>
      <c r="Q46" s="189" t="s">
        <v>1379</v>
      </c>
      <c r="R46" s="186"/>
      <c r="S46" s="187"/>
      <c r="T46" s="187"/>
      <c r="U46" s="187"/>
      <c r="V46" s="188"/>
      <c r="W46" s="188"/>
      <c r="X46" s="188"/>
      <c r="Y46" s="188"/>
      <c r="Z46" s="188"/>
      <c r="AA46" s="188"/>
      <c r="AB46" s="188"/>
      <c r="AC46" s="188"/>
      <c r="AD46" s="188"/>
      <c r="AE46" s="188"/>
      <c r="AF46" s="188"/>
      <c r="AG46" s="188"/>
      <c r="AH46" s="6"/>
    </row>
    <row r="47" spans="1:34" ht="16" customHeight="1">
      <c r="A47" s="7"/>
      <c r="B47" s="10"/>
      <c r="C47" s="12"/>
      <c r="D47" s="186"/>
      <c r="E47" s="186"/>
      <c r="F47" s="186"/>
      <c r="G47" s="186"/>
      <c r="H47" s="186"/>
      <c r="I47" s="186"/>
      <c r="J47" s="186"/>
      <c r="K47" s="186"/>
      <c r="L47" s="278" t="s">
        <v>1429</v>
      </c>
      <c r="M47" s="186"/>
      <c r="N47" s="37" t="str">
        <f t="shared" si="3"/>
        <v>FY2010-11</v>
      </c>
      <c r="O47" s="186"/>
      <c r="P47" s="37" t="s">
        <v>1338</v>
      </c>
      <c r="Q47" s="189" t="s">
        <v>1379</v>
      </c>
      <c r="R47" s="186"/>
      <c r="S47" s="187"/>
      <c r="T47" s="187"/>
      <c r="U47" s="187"/>
      <c r="V47" s="188"/>
      <c r="W47" s="188"/>
      <c r="X47" s="188"/>
      <c r="Y47" s="188"/>
      <c r="Z47" s="188"/>
      <c r="AA47" s="188"/>
      <c r="AB47" s="188"/>
      <c r="AC47" s="188"/>
      <c r="AD47" s="188"/>
      <c r="AE47" s="188"/>
      <c r="AF47" s="188"/>
      <c r="AG47" s="188"/>
    </row>
    <row r="48" spans="1:34" ht="16" customHeight="1">
      <c r="A48" s="7"/>
      <c r="B48" s="10"/>
      <c r="C48" s="12"/>
      <c r="D48" s="186"/>
      <c r="E48" s="186"/>
      <c r="F48" s="186"/>
      <c r="G48" s="186"/>
      <c r="H48" s="186"/>
      <c r="I48" s="186"/>
      <c r="J48" s="186"/>
      <c r="K48" s="186"/>
      <c r="L48" s="278" t="s">
        <v>1429</v>
      </c>
      <c r="M48" s="186"/>
      <c r="N48" s="37" t="str">
        <f t="shared" si="3"/>
        <v>FY2010-11</v>
      </c>
      <c r="O48" s="186"/>
      <c r="P48" s="37" t="s">
        <v>1338</v>
      </c>
      <c r="Q48" s="189" t="s">
        <v>1379</v>
      </c>
      <c r="R48" s="186"/>
      <c r="S48" s="187"/>
      <c r="T48" s="187"/>
      <c r="U48" s="187"/>
      <c r="V48" s="188"/>
      <c r="W48" s="188"/>
      <c r="X48" s="188"/>
      <c r="Y48" s="188"/>
      <c r="Z48" s="188"/>
      <c r="AA48" s="188"/>
      <c r="AB48" s="188"/>
      <c r="AC48" s="188"/>
      <c r="AD48" s="188"/>
      <c r="AE48" s="188"/>
      <c r="AF48" s="188"/>
      <c r="AG48" s="188"/>
    </row>
    <row r="49" spans="1:34" ht="16" customHeight="1">
      <c r="A49" s="7"/>
      <c r="B49" s="10"/>
      <c r="C49" s="12"/>
      <c r="D49" s="186"/>
      <c r="E49" s="186"/>
      <c r="F49" s="186"/>
      <c r="G49" s="186"/>
      <c r="H49" s="186"/>
      <c r="I49" s="186"/>
      <c r="J49" s="186"/>
      <c r="K49" s="186"/>
      <c r="L49" s="278" t="s">
        <v>1429</v>
      </c>
      <c r="M49" s="186"/>
      <c r="N49" s="37" t="str">
        <f t="shared" si="3"/>
        <v>FY2010-11</v>
      </c>
      <c r="O49" s="186"/>
      <c r="P49" s="37" t="s">
        <v>1338</v>
      </c>
      <c r="Q49" s="189" t="s">
        <v>1379</v>
      </c>
      <c r="R49" s="186"/>
      <c r="S49" s="187"/>
      <c r="T49" s="187"/>
      <c r="U49" s="187"/>
      <c r="V49" s="188"/>
      <c r="W49" s="188"/>
      <c r="X49" s="188"/>
      <c r="Y49" s="188"/>
      <c r="Z49" s="188"/>
      <c r="AA49" s="188"/>
      <c r="AB49" s="188"/>
      <c r="AC49" s="188"/>
      <c r="AD49" s="188"/>
      <c r="AE49" s="188"/>
      <c r="AF49" s="188"/>
      <c r="AG49" s="188"/>
    </row>
    <row r="50" spans="1:34" ht="16" customHeight="1">
      <c r="A50" s="7"/>
      <c r="B50" s="10"/>
      <c r="C50" s="12"/>
      <c r="D50" s="186"/>
      <c r="E50" s="186"/>
      <c r="F50" s="186"/>
      <c r="G50" s="186"/>
      <c r="H50" s="186"/>
      <c r="I50" s="186"/>
      <c r="J50" s="186"/>
      <c r="K50" s="186"/>
      <c r="L50" s="278" t="s">
        <v>1429</v>
      </c>
      <c r="M50" s="186"/>
      <c r="N50" s="37" t="str">
        <f t="shared" si="3"/>
        <v>FY2010-11</v>
      </c>
      <c r="O50" s="186"/>
      <c r="P50" s="37" t="s">
        <v>1338</v>
      </c>
      <c r="Q50" s="189" t="s">
        <v>1379</v>
      </c>
      <c r="R50" s="186"/>
      <c r="S50" s="187"/>
      <c r="T50" s="187"/>
      <c r="U50" s="187"/>
      <c r="V50" s="188"/>
      <c r="W50" s="188"/>
      <c r="X50" s="188"/>
      <c r="Y50" s="188"/>
      <c r="Z50" s="188"/>
      <c r="AA50" s="188"/>
      <c r="AB50" s="188"/>
      <c r="AC50" s="188"/>
      <c r="AD50" s="188"/>
      <c r="AE50" s="188"/>
      <c r="AF50" s="188"/>
      <c r="AG50" s="188"/>
    </row>
    <row r="51" spans="1:34" ht="16" customHeight="1">
      <c r="A51" s="7"/>
      <c r="B51" s="10"/>
      <c r="C51" s="12"/>
      <c r="D51" s="186"/>
      <c r="E51" s="186"/>
      <c r="F51" s="186"/>
      <c r="G51" s="186"/>
      <c r="H51" s="186"/>
      <c r="I51" s="186"/>
      <c r="J51" s="186"/>
      <c r="K51" s="186"/>
      <c r="L51" s="278" t="s">
        <v>1429</v>
      </c>
      <c r="M51" s="186"/>
      <c r="N51" s="37" t="str">
        <f t="shared" si="3"/>
        <v>FY2010-11</v>
      </c>
      <c r="O51" s="186"/>
      <c r="P51" s="37" t="s">
        <v>1338</v>
      </c>
      <c r="Q51" s="189" t="s">
        <v>1379</v>
      </c>
      <c r="R51" s="186"/>
      <c r="S51" s="187"/>
      <c r="T51" s="187"/>
      <c r="U51" s="187"/>
      <c r="V51" s="188"/>
      <c r="W51" s="188"/>
      <c r="X51" s="188"/>
      <c r="Y51" s="188"/>
      <c r="Z51" s="188"/>
      <c r="AA51" s="188"/>
      <c r="AB51" s="188"/>
      <c r="AC51" s="188"/>
      <c r="AD51" s="188"/>
      <c r="AE51" s="188"/>
      <c r="AF51" s="188"/>
      <c r="AG51" s="188"/>
    </row>
    <row r="52" spans="1:34" ht="16" customHeight="1">
      <c r="A52" s="11"/>
      <c r="B52" s="12"/>
      <c r="C52" s="12"/>
      <c r="D52" s="13"/>
      <c r="E52" s="13"/>
      <c r="F52" s="14"/>
      <c r="G52" s="13"/>
      <c r="H52" s="14"/>
      <c r="I52" s="14"/>
      <c r="J52" s="13"/>
      <c r="K52" s="13"/>
      <c r="L52" s="279"/>
      <c r="M52" s="14"/>
      <c r="N52" s="14"/>
      <c r="O52" s="13"/>
      <c r="P52" s="14"/>
      <c r="Q52" s="14"/>
      <c r="R52" s="13"/>
      <c r="S52" s="13"/>
      <c r="T52" s="13"/>
      <c r="U52" s="13"/>
      <c r="V52" s="11"/>
      <c r="W52" s="11"/>
      <c r="X52" s="11"/>
      <c r="Y52" s="11"/>
      <c r="Z52" s="11"/>
      <c r="AA52" s="11"/>
      <c r="AB52" s="11"/>
      <c r="AC52" s="11"/>
      <c r="AD52" s="11"/>
      <c r="AE52" s="11"/>
      <c r="AF52" s="11"/>
      <c r="AG52" s="11"/>
    </row>
    <row r="53" spans="1:34" ht="16" customHeight="1" thickBot="1">
      <c r="A53" s="7"/>
      <c r="B53" s="19" t="s">
        <v>1395</v>
      </c>
      <c r="C53" s="7"/>
      <c r="D53" s="8"/>
      <c r="E53" s="8"/>
      <c r="F53" s="9"/>
      <c r="G53" s="8"/>
      <c r="H53" s="9"/>
      <c r="I53" s="9"/>
      <c r="J53" s="8"/>
      <c r="K53" s="8"/>
      <c r="L53" s="280"/>
      <c r="M53" s="9"/>
      <c r="N53" s="9"/>
      <c r="O53" s="8"/>
      <c r="P53" s="9"/>
      <c r="Q53" s="9"/>
      <c r="R53" s="8"/>
      <c r="S53" s="882"/>
      <c r="T53" s="883" t="str">
        <f>'$REV-DB'!$T$34</f>
        <v>Federal Revenues</v>
      </c>
      <c r="U53" s="883" t="str">
        <f>'$REV-DB'!$U$34</f>
        <v>local Revenues</v>
      </c>
      <c r="V53" s="883" t="str">
        <f>'$REV-DB'!$V$34</f>
        <v>Other Revenues</v>
      </c>
      <c r="W53" s="883" t="str">
        <f>'$REV-DB'!$W$34</f>
        <v>State revenues</v>
      </c>
      <c r="X53" s="883" t="str">
        <f>'$REV-DB'!$X$34</f>
        <v>UD5</v>
      </c>
      <c r="Y53" s="883" t="str">
        <f>'$REV-DB'!$Y$34</f>
        <v>UD6</v>
      </c>
      <c r="Z53" s="883" t="str">
        <f>'$REV-DB'!$Z$34</f>
        <v>UD7</v>
      </c>
      <c r="AA53" s="883" t="str">
        <f>'$REV-DB'!$AA$34</f>
        <v>UD8</v>
      </c>
      <c r="AB53" s="883" t="str">
        <f>'$REV-DB'!$AB$34</f>
        <v>UD9</v>
      </c>
      <c r="AC53" s="883" t="str">
        <f>'$REV-DB'!$AC$34</f>
        <v>UD10</v>
      </c>
      <c r="AD53" s="883" t="str">
        <f>'$REV-DB'!$AD$34</f>
        <v>UD11</v>
      </c>
      <c r="AE53" s="883" t="str">
        <f>'$REV-DB'!$AE$34</f>
        <v>UD12</v>
      </c>
      <c r="AF53" s="883" t="str">
        <f>'$REV-DB'!$AF$34</f>
        <v>UD13</v>
      </c>
      <c r="AG53" s="883" t="str">
        <f>'$REV-DB'!$AG$34</f>
        <v>UD14</v>
      </c>
    </row>
    <row r="54" spans="1:34" ht="16" customHeight="1" thickTop="1" thickBot="1">
      <c r="A54" s="7"/>
      <c r="B54" s="20" t="s">
        <v>1399</v>
      </c>
      <c r="C54" s="15"/>
      <c r="D54" s="105" t="s">
        <v>1386</v>
      </c>
      <c r="E54" s="105" t="s">
        <v>1387</v>
      </c>
      <c r="F54" s="105" t="s">
        <v>1388</v>
      </c>
      <c r="G54" s="105" t="s">
        <v>1389</v>
      </c>
      <c r="H54" s="301" t="s">
        <v>1406</v>
      </c>
      <c r="I54" s="301" t="s">
        <v>1390</v>
      </c>
      <c r="J54" s="301" t="s">
        <v>1391</v>
      </c>
      <c r="K54" s="301" t="s">
        <v>1392</v>
      </c>
      <c r="L54" s="301" t="s">
        <v>1188</v>
      </c>
      <c r="M54" s="301" t="s">
        <v>1437</v>
      </c>
      <c r="N54" s="105" t="s">
        <v>1348</v>
      </c>
      <c r="O54" s="105" t="s">
        <v>1393</v>
      </c>
      <c r="P54" s="105" t="s">
        <v>1342</v>
      </c>
      <c r="Q54" s="105" t="s">
        <v>1394</v>
      </c>
      <c r="R54" s="112" t="s">
        <v>1341</v>
      </c>
      <c r="S54" s="112" t="s">
        <v>846</v>
      </c>
      <c r="T54" s="873" t="s">
        <v>935</v>
      </c>
      <c r="U54" s="873" t="s">
        <v>936</v>
      </c>
      <c r="V54" s="873" t="s">
        <v>937</v>
      </c>
      <c r="W54" s="873" t="s">
        <v>938</v>
      </c>
      <c r="X54" s="873" t="s">
        <v>939</v>
      </c>
      <c r="Y54" s="873" t="s">
        <v>940</v>
      </c>
      <c r="Z54" s="873" t="s">
        <v>941</v>
      </c>
      <c r="AA54" s="873" t="s">
        <v>942</v>
      </c>
      <c r="AB54" s="873" t="s">
        <v>943</v>
      </c>
      <c r="AC54" s="873" t="s">
        <v>944</v>
      </c>
      <c r="AD54" s="873" t="s">
        <v>945</v>
      </c>
      <c r="AE54" s="873" t="s">
        <v>946</v>
      </c>
      <c r="AF54" s="873" t="s">
        <v>947</v>
      </c>
      <c r="AG54" s="873" t="s">
        <v>948</v>
      </c>
      <c r="AH54" s="6"/>
    </row>
    <row r="55" spans="1:34" ht="16" customHeight="1" thickTop="1">
      <c r="A55" s="7"/>
      <c r="B55" s="19" t="s">
        <v>1349</v>
      </c>
      <c r="C55" s="12"/>
      <c r="D55" s="186"/>
      <c r="E55" s="186"/>
      <c r="F55" s="186"/>
      <c r="G55" s="186"/>
      <c r="H55" s="186"/>
      <c r="I55" s="186"/>
      <c r="J55" s="186"/>
      <c r="K55" s="186"/>
      <c r="L55" s="278" t="s">
        <v>1429</v>
      </c>
      <c r="M55" s="186"/>
      <c r="N55" s="37" t="str">
        <f>J$6</f>
        <v>FY2010-11</v>
      </c>
      <c r="O55" s="186"/>
      <c r="P55" s="37" t="s">
        <v>1338</v>
      </c>
      <c r="Q55" s="189" t="s">
        <v>1397</v>
      </c>
      <c r="R55" s="186"/>
      <c r="S55" s="187"/>
      <c r="T55" s="187"/>
      <c r="U55" s="187"/>
      <c r="V55" s="188"/>
      <c r="W55" s="188"/>
      <c r="X55" s="188"/>
      <c r="Y55" s="188"/>
      <c r="Z55" s="188"/>
      <c r="AA55" s="188"/>
      <c r="AB55" s="188"/>
      <c r="AC55" s="188"/>
      <c r="AD55" s="188"/>
      <c r="AE55" s="188"/>
      <c r="AF55" s="188"/>
      <c r="AG55" s="188"/>
      <c r="AH55" s="6"/>
    </row>
    <row r="56" spans="1:34" ht="16" customHeight="1">
      <c r="A56" s="7"/>
      <c r="B56" s="16">
        <f>DSUM('$REV-DB'!D35:AG374,"AMOUNT",'$REV-DSUM'!D54:AG61)</f>
        <v>608915488.74999976</v>
      </c>
      <c r="C56" s="12"/>
      <c r="D56" s="186"/>
      <c r="E56" s="186"/>
      <c r="F56" s="186"/>
      <c r="G56" s="186"/>
      <c r="H56" s="186"/>
      <c r="I56" s="186"/>
      <c r="J56" s="186"/>
      <c r="K56" s="186"/>
      <c r="L56" s="278" t="s">
        <v>1429</v>
      </c>
      <c r="M56" s="186"/>
      <c r="N56" s="37" t="str">
        <f t="shared" ref="N56:N61" si="4">J$6</f>
        <v>FY2010-11</v>
      </c>
      <c r="O56" s="186"/>
      <c r="P56" s="37" t="s">
        <v>1338</v>
      </c>
      <c r="Q56" s="189" t="s">
        <v>1397</v>
      </c>
      <c r="R56" s="186"/>
      <c r="S56" s="187"/>
      <c r="T56" s="187"/>
      <c r="U56" s="187"/>
      <c r="V56" s="188"/>
      <c r="W56" s="188"/>
      <c r="X56" s="188"/>
      <c r="Y56" s="188"/>
      <c r="Z56" s="188"/>
      <c r="AA56" s="188"/>
      <c r="AB56" s="188"/>
      <c r="AC56" s="188"/>
      <c r="AD56" s="188"/>
      <c r="AE56" s="188"/>
      <c r="AF56" s="188"/>
      <c r="AG56" s="188"/>
      <c r="AH56" s="6"/>
    </row>
    <row r="57" spans="1:34" ht="16" customHeight="1">
      <c r="A57" s="7"/>
      <c r="B57" s="10"/>
      <c r="C57" s="12"/>
      <c r="D57" s="186"/>
      <c r="E57" s="186"/>
      <c r="F57" s="186"/>
      <c r="G57" s="186"/>
      <c r="H57" s="186"/>
      <c r="I57" s="186"/>
      <c r="J57" s="186"/>
      <c r="K57" s="186"/>
      <c r="L57" s="278" t="s">
        <v>1429</v>
      </c>
      <c r="M57" s="186"/>
      <c r="N57" s="37" t="str">
        <f t="shared" si="4"/>
        <v>FY2010-11</v>
      </c>
      <c r="O57" s="186"/>
      <c r="P57" s="37" t="s">
        <v>1338</v>
      </c>
      <c r="Q57" s="189" t="s">
        <v>1397</v>
      </c>
      <c r="R57" s="186"/>
      <c r="S57" s="187"/>
      <c r="T57" s="187"/>
      <c r="U57" s="187"/>
      <c r="V57" s="188"/>
      <c r="W57" s="188"/>
      <c r="X57" s="188"/>
      <c r="Y57" s="188"/>
      <c r="Z57" s="188"/>
      <c r="AA57" s="188"/>
      <c r="AB57" s="188"/>
      <c r="AC57" s="188"/>
      <c r="AD57" s="188"/>
      <c r="AE57" s="188"/>
      <c r="AF57" s="188"/>
      <c r="AG57" s="188"/>
    </row>
    <row r="58" spans="1:34" ht="16" customHeight="1">
      <c r="A58" s="7"/>
      <c r="B58" s="10"/>
      <c r="C58" s="12"/>
      <c r="D58" s="186"/>
      <c r="E58" s="186"/>
      <c r="F58" s="186"/>
      <c r="G58" s="186"/>
      <c r="H58" s="186"/>
      <c r="I58" s="186"/>
      <c r="J58" s="186"/>
      <c r="K58" s="186"/>
      <c r="L58" s="278" t="s">
        <v>1429</v>
      </c>
      <c r="M58" s="186"/>
      <c r="N58" s="37" t="str">
        <f t="shared" si="4"/>
        <v>FY2010-11</v>
      </c>
      <c r="O58" s="186"/>
      <c r="P58" s="37" t="s">
        <v>1338</v>
      </c>
      <c r="Q58" s="189" t="s">
        <v>1397</v>
      </c>
      <c r="R58" s="186"/>
      <c r="S58" s="187"/>
      <c r="T58" s="187"/>
      <c r="U58" s="187"/>
      <c r="V58" s="188"/>
      <c r="W58" s="188"/>
      <c r="X58" s="188"/>
      <c r="Y58" s="188"/>
      <c r="Z58" s="188"/>
      <c r="AA58" s="188"/>
      <c r="AB58" s="188"/>
      <c r="AC58" s="188"/>
      <c r="AD58" s="188"/>
      <c r="AE58" s="188"/>
      <c r="AF58" s="188"/>
      <c r="AG58" s="188"/>
    </row>
    <row r="59" spans="1:34" ht="16" customHeight="1">
      <c r="A59" s="7"/>
      <c r="B59" s="10"/>
      <c r="C59" s="12"/>
      <c r="D59" s="186"/>
      <c r="E59" s="186"/>
      <c r="F59" s="186"/>
      <c r="G59" s="186"/>
      <c r="H59" s="186"/>
      <c r="I59" s="186"/>
      <c r="J59" s="186"/>
      <c r="K59" s="186"/>
      <c r="L59" s="278" t="s">
        <v>1429</v>
      </c>
      <c r="M59" s="186"/>
      <c r="N59" s="37" t="str">
        <f t="shared" si="4"/>
        <v>FY2010-11</v>
      </c>
      <c r="O59" s="186"/>
      <c r="P59" s="37" t="s">
        <v>1338</v>
      </c>
      <c r="Q59" s="189" t="s">
        <v>1397</v>
      </c>
      <c r="R59" s="186"/>
      <c r="S59" s="187"/>
      <c r="T59" s="187"/>
      <c r="U59" s="187"/>
      <c r="V59" s="188"/>
      <c r="W59" s="188"/>
      <c r="X59" s="188"/>
      <c r="Y59" s="188"/>
      <c r="Z59" s="188"/>
      <c r="AA59" s="188"/>
      <c r="AB59" s="188"/>
      <c r="AC59" s="188"/>
      <c r="AD59" s="188"/>
      <c r="AE59" s="188"/>
      <c r="AF59" s="188"/>
      <c r="AG59" s="188"/>
    </row>
    <row r="60" spans="1:34" ht="16" customHeight="1">
      <c r="A60" s="7"/>
      <c r="B60" s="10"/>
      <c r="C60" s="12"/>
      <c r="D60" s="186"/>
      <c r="E60" s="186"/>
      <c r="F60" s="186"/>
      <c r="G60" s="186"/>
      <c r="H60" s="186"/>
      <c r="I60" s="186"/>
      <c r="J60" s="186"/>
      <c r="K60" s="186"/>
      <c r="L60" s="278" t="s">
        <v>1429</v>
      </c>
      <c r="M60" s="186"/>
      <c r="N60" s="37" t="str">
        <f t="shared" si="4"/>
        <v>FY2010-11</v>
      </c>
      <c r="O60" s="186"/>
      <c r="P60" s="37" t="s">
        <v>1338</v>
      </c>
      <c r="Q60" s="189" t="s">
        <v>1397</v>
      </c>
      <c r="R60" s="186"/>
      <c r="S60" s="187"/>
      <c r="T60" s="187"/>
      <c r="U60" s="187"/>
      <c r="V60" s="188"/>
      <c r="W60" s="188"/>
      <c r="X60" s="188"/>
      <c r="Y60" s="188"/>
      <c r="Z60" s="188"/>
      <c r="AA60" s="188"/>
      <c r="AB60" s="188"/>
      <c r="AC60" s="188"/>
      <c r="AD60" s="188"/>
      <c r="AE60" s="188"/>
      <c r="AF60" s="188"/>
      <c r="AG60" s="188"/>
    </row>
    <row r="61" spans="1:34" ht="16" customHeight="1">
      <c r="A61" s="7"/>
      <c r="B61" s="10"/>
      <c r="C61" s="12"/>
      <c r="D61" s="186"/>
      <c r="E61" s="186"/>
      <c r="F61" s="186"/>
      <c r="G61" s="186"/>
      <c r="H61" s="186"/>
      <c r="I61" s="186"/>
      <c r="J61" s="186"/>
      <c r="K61" s="186"/>
      <c r="L61" s="278" t="s">
        <v>1429</v>
      </c>
      <c r="M61" s="186"/>
      <c r="N61" s="37" t="str">
        <f t="shared" si="4"/>
        <v>FY2010-11</v>
      </c>
      <c r="O61" s="186"/>
      <c r="P61" s="37" t="s">
        <v>1338</v>
      </c>
      <c r="Q61" s="189" t="s">
        <v>1397</v>
      </c>
      <c r="R61" s="186"/>
      <c r="S61" s="187"/>
      <c r="T61" s="187"/>
      <c r="U61" s="187"/>
      <c r="V61" s="188"/>
      <c r="W61" s="188"/>
      <c r="X61" s="188"/>
      <c r="Y61" s="188"/>
      <c r="Z61" s="188"/>
      <c r="AA61" s="188"/>
      <c r="AB61" s="188"/>
      <c r="AC61" s="188"/>
      <c r="AD61" s="188"/>
      <c r="AE61" s="188"/>
      <c r="AF61" s="188"/>
      <c r="AG61" s="188"/>
    </row>
    <row r="62" spans="1:34" ht="16" customHeight="1">
      <c r="A62" s="11"/>
      <c r="B62" s="12"/>
      <c r="C62" s="12"/>
      <c r="D62" s="13"/>
      <c r="E62" s="13"/>
      <c r="F62" s="14"/>
      <c r="G62" s="13"/>
      <c r="H62" s="14"/>
      <c r="I62" s="14"/>
      <c r="J62" s="13"/>
      <c r="K62" s="13"/>
      <c r="L62" s="279"/>
      <c r="M62" s="14"/>
      <c r="N62" s="14"/>
      <c r="O62" s="13"/>
      <c r="P62" s="14"/>
      <c r="Q62" s="14"/>
      <c r="R62" s="13"/>
      <c r="S62" s="13"/>
      <c r="T62" s="13"/>
      <c r="U62" s="13"/>
      <c r="V62" s="11"/>
      <c r="W62" s="11"/>
      <c r="X62" s="11"/>
      <c r="Y62" s="11"/>
      <c r="Z62" s="11"/>
      <c r="AA62" s="11"/>
      <c r="AB62" s="11"/>
      <c r="AC62" s="11"/>
      <c r="AD62" s="11"/>
      <c r="AE62" s="11"/>
      <c r="AF62" s="11"/>
      <c r="AG62" s="11"/>
    </row>
    <row r="63" spans="1:34" ht="16" customHeight="1" thickBot="1">
      <c r="A63" s="7"/>
      <c r="B63" s="19" t="s">
        <v>1395</v>
      </c>
      <c r="C63" s="7"/>
      <c r="D63" s="8"/>
      <c r="E63" s="8"/>
      <c r="F63" s="9"/>
      <c r="G63" s="8"/>
      <c r="H63" s="9"/>
      <c r="I63" s="9"/>
      <c r="J63" s="8"/>
      <c r="K63" s="8"/>
      <c r="L63" s="280"/>
      <c r="M63" s="9"/>
      <c r="N63" s="9"/>
      <c r="O63" s="8"/>
      <c r="P63" s="9"/>
      <c r="Q63" s="9"/>
      <c r="R63" s="8"/>
      <c r="S63" s="882"/>
      <c r="T63" s="883" t="str">
        <f>'$REV-DB'!$T$34</f>
        <v>Federal Revenues</v>
      </c>
      <c r="U63" s="883" t="str">
        <f>'$REV-DB'!$U$34</f>
        <v>local Revenues</v>
      </c>
      <c r="V63" s="883" t="str">
        <f>'$REV-DB'!$V$34</f>
        <v>Other Revenues</v>
      </c>
      <c r="W63" s="883" t="str">
        <f>'$REV-DB'!$W$34</f>
        <v>State revenues</v>
      </c>
      <c r="X63" s="883" t="str">
        <f>'$REV-DB'!$X$34</f>
        <v>UD5</v>
      </c>
      <c r="Y63" s="883" t="str">
        <f>'$REV-DB'!$Y$34</f>
        <v>UD6</v>
      </c>
      <c r="Z63" s="883" t="str">
        <f>'$REV-DB'!$Z$34</f>
        <v>UD7</v>
      </c>
      <c r="AA63" s="883" t="str">
        <f>'$REV-DB'!$AA$34</f>
        <v>UD8</v>
      </c>
      <c r="AB63" s="883" t="str">
        <f>'$REV-DB'!$AB$34</f>
        <v>UD9</v>
      </c>
      <c r="AC63" s="883" t="str">
        <f>'$REV-DB'!$AC$34</f>
        <v>UD10</v>
      </c>
      <c r="AD63" s="883" t="str">
        <f>'$REV-DB'!$AD$34</f>
        <v>UD11</v>
      </c>
      <c r="AE63" s="883" t="str">
        <f>'$REV-DB'!$AE$34</f>
        <v>UD12</v>
      </c>
      <c r="AF63" s="883" t="str">
        <f>'$REV-DB'!$AF$34</f>
        <v>UD13</v>
      </c>
      <c r="AG63" s="883" t="str">
        <f>'$REV-DB'!$AG$34</f>
        <v>UD14</v>
      </c>
    </row>
    <row r="64" spans="1:34" ht="16" customHeight="1" thickTop="1" thickBot="1">
      <c r="A64" s="7"/>
      <c r="B64" s="20" t="s">
        <v>1399</v>
      </c>
      <c r="C64" s="15"/>
      <c r="D64" s="276" t="s">
        <v>1386</v>
      </c>
      <c r="E64" s="276" t="s">
        <v>1387</v>
      </c>
      <c r="F64" s="276" t="s">
        <v>1388</v>
      </c>
      <c r="G64" s="276" t="s">
        <v>1389</v>
      </c>
      <c r="H64" s="301" t="s">
        <v>1406</v>
      </c>
      <c r="I64" s="301" t="s">
        <v>1390</v>
      </c>
      <c r="J64" s="301" t="s">
        <v>1391</v>
      </c>
      <c r="K64" s="301" t="s">
        <v>1392</v>
      </c>
      <c r="L64" s="301" t="s">
        <v>1188</v>
      </c>
      <c r="M64" s="301" t="s">
        <v>1437</v>
      </c>
      <c r="N64" s="276" t="s">
        <v>1348</v>
      </c>
      <c r="O64" s="276" t="s">
        <v>1393</v>
      </c>
      <c r="P64" s="276" t="s">
        <v>1342</v>
      </c>
      <c r="Q64" s="276" t="s">
        <v>1394</v>
      </c>
      <c r="R64" s="112" t="s">
        <v>1341</v>
      </c>
      <c r="S64" s="112" t="s">
        <v>846</v>
      </c>
      <c r="T64" s="873" t="s">
        <v>935</v>
      </c>
      <c r="U64" s="873" t="s">
        <v>936</v>
      </c>
      <c r="V64" s="873" t="s">
        <v>937</v>
      </c>
      <c r="W64" s="873" t="s">
        <v>938</v>
      </c>
      <c r="X64" s="873" t="s">
        <v>939</v>
      </c>
      <c r="Y64" s="873" t="s">
        <v>940</v>
      </c>
      <c r="Z64" s="873" t="s">
        <v>941</v>
      </c>
      <c r="AA64" s="873" t="s">
        <v>942</v>
      </c>
      <c r="AB64" s="873" t="s">
        <v>943</v>
      </c>
      <c r="AC64" s="873" t="s">
        <v>944</v>
      </c>
      <c r="AD64" s="873" t="s">
        <v>945</v>
      </c>
      <c r="AE64" s="873" t="s">
        <v>946</v>
      </c>
      <c r="AF64" s="873" t="s">
        <v>947</v>
      </c>
      <c r="AG64" s="873" t="s">
        <v>948</v>
      </c>
      <c r="AH64" s="6"/>
    </row>
    <row r="65" spans="1:34" ht="16" customHeight="1" thickTop="1">
      <c r="A65" s="7"/>
      <c r="B65" s="19" t="s">
        <v>1178</v>
      </c>
      <c r="C65" s="12"/>
      <c r="D65" s="186"/>
      <c r="E65" s="186"/>
      <c r="F65" s="186"/>
      <c r="G65" s="186"/>
      <c r="H65" s="186"/>
      <c r="I65" s="186"/>
      <c r="J65" s="186"/>
      <c r="K65" s="186"/>
      <c r="L65" s="278" t="s">
        <v>1429</v>
      </c>
      <c r="M65" s="186"/>
      <c r="N65" s="37" t="str">
        <f>J$6</f>
        <v>FY2010-11</v>
      </c>
      <c r="O65" s="186"/>
      <c r="P65" s="37" t="s">
        <v>1338</v>
      </c>
      <c r="Q65" s="189" t="s">
        <v>1465</v>
      </c>
      <c r="R65" s="186"/>
      <c r="S65" s="187"/>
      <c r="T65" s="187"/>
      <c r="U65" s="187"/>
      <c r="V65" s="188"/>
      <c r="W65" s="188"/>
      <c r="X65" s="188"/>
      <c r="Y65" s="188"/>
      <c r="Z65" s="188"/>
      <c r="AA65" s="188"/>
      <c r="AB65" s="188"/>
      <c r="AC65" s="188"/>
      <c r="AD65" s="188"/>
      <c r="AE65" s="188"/>
      <c r="AF65" s="188"/>
      <c r="AG65" s="188"/>
      <c r="AH65" s="6"/>
    </row>
    <row r="66" spans="1:34" ht="16" customHeight="1">
      <c r="A66" s="7"/>
      <c r="B66" s="16">
        <f>DSUM('$REV-DB'!D35:AG374,"AMOUNT",'$REV-DSUM'!D64:AG71)</f>
        <v>3137887.5700000008</v>
      </c>
      <c r="C66" s="12"/>
      <c r="D66" s="186"/>
      <c r="E66" s="186"/>
      <c r="F66" s="186"/>
      <c r="G66" s="186"/>
      <c r="H66" s="186"/>
      <c r="I66" s="186"/>
      <c r="J66" s="186"/>
      <c r="K66" s="186"/>
      <c r="L66" s="278" t="s">
        <v>1429</v>
      </c>
      <c r="M66" s="186"/>
      <c r="N66" s="37" t="str">
        <f t="shared" ref="N66:N71" si="5">J$6</f>
        <v>FY2010-11</v>
      </c>
      <c r="O66" s="186"/>
      <c r="P66" s="37" t="s">
        <v>1338</v>
      </c>
      <c r="Q66" s="189" t="s">
        <v>1465</v>
      </c>
      <c r="R66" s="186"/>
      <c r="S66" s="187"/>
      <c r="T66" s="187"/>
      <c r="U66" s="187"/>
      <c r="V66" s="188"/>
      <c r="W66" s="188"/>
      <c r="X66" s="188"/>
      <c r="Y66" s="188"/>
      <c r="Z66" s="188"/>
      <c r="AA66" s="188"/>
      <c r="AB66" s="188"/>
      <c r="AC66" s="188"/>
      <c r="AD66" s="188"/>
      <c r="AE66" s="188"/>
      <c r="AF66" s="188"/>
      <c r="AG66" s="188"/>
      <c r="AH66" s="6"/>
    </row>
    <row r="67" spans="1:34" ht="16" customHeight="1">
      <c r="A67" s="7"/>
      <c r="B67" s="10"/>
      <c r="C67" s="12"/>
      <c r="D67" s="186"/>
      <c r="E67" s="186"/>
      <c r="F67" s="186"/>
      <c r="G67" s="186"/>
      <c r="H67" s="186"/>
      <c r="I67" s="186"/>
      <c r="J67" s="186"/>
      <c r="K67" s="186"/>
      <c r="L67" s="278" t="s">
        <v>1429</v>
      </c>
      <c r="M67" s="186"/>
      <c r="N67" s="37" t="str">
        <f t="shared" si="5"/>
        <v>FY2010-11</v>
      </c>
      <c r="O67" s="186"/>
      <c r="P67" s="37" t="s">
        <v>1338</v>
      </c>
      <c r="Q67" s="189" t="s">
        <v>1465</v>
      </c>
      <c r="R67" s="186"/>
      <c r="S67" s="187"/>
      <c r="T67" s="187"/>
      <c r="U67" s="187"/>
      <c r="V67" s="188"/>
      <c r="W67" s="188"/>
      <c r="X67" s="188"/>
      <c r="Y67" s="188"/>
      <c r="Z67" s="188"/>
      <c r="AA67" s="188"/>
      <c r="AB67" s="188"/>
      <c r="AC67" s="188"/>
      <c r="AD67" s="188"/>
      <c r="AE67" s="188"/>
      <c r="AF67" s="188"/>
      <c r="AG67" s="188"/>
    </row>
    <row r="68" spans="1:34" ht="16" customHeight="1">
      <c r="A68" s="7"/>
      <c r="B68" s="10"/>
      <c r="C68" s="12"/>
      <c r="D68" s="186"/>
      <c r="E68" s="186"/>
      <c r="F68" s="186"/>
      <c r="G68" s="186"/>
      <c r="H68" s="186"/>
      <c r="I68" s="186"/>
      <c r="J68" s="186"/>
      <c r="K68" s="186"/>
      <c r="L68" s="278" t="s">
        <v>1429</v>
      </c>
      <c r="M68" s="186"/>
      <c r="N68" s="37" t="str">
        <f t="shared" si="5"/>
        <v>FY2010-11</v>
      </c>
      <c r="O68" s="186"/>
      <c r="P68" s="37" t="s">
        <v>1338</v>
      </c>
      <c r="Q68" s="189" t="s">
        <v>1465</v>
      </c>
      <c r="R68" s="186"/>
      <c r="S68" s="187"/>
      <c r="T68" s="187"/>
      <c r="U68" s="187"/>
      <c r="V68" s="188"/>
      <c r="W68" s="188"/>
      <c r="X68" s="188"/>
      <c r="Y68" s="188"/>
      <c r="Z68" s="188"/>
      <c r="AA68" s="188"/>
      <c r="AB68" s="188"/>
      <c r="AC68" s="188"/>
      <c r="AD68" s="188"/>
      <c r="AE68" s="188"/>
      <c r="AF68" s="188"/>
      <c r="AG68" s="188"/>
    </row>
    <row r="69" spans="1:34" ht="16" customHeight="1">
      <c r="A69" s="7"/>
      <c r="B69" s="10"/>
      <c r="C69" s="12"/>
      <c r="D69" s="186"/>
      <c r="E69" s="186"/>
      <c r="F69" s="186"/>
      <c r="G69" s="186"/>
      <c r="H69" s="186"/>
      <c r="I69" s="186"/>
      <c r="J69" s="186"/>
      <c r="K69" s="186"/>
      <c r="L69" s="278" t="s">
        <v>1429</v>
      </c>
      <c r="M69" s="186"/>
      <c r="N69" s="37" t="str">
        <f t="shared" si="5"/>
        <v>FY2010-11</v>
      </c>
      <c r="O69" s="186"/>
      <c r="P69" s="37" t="s">
        <v>1338</v>
      </c>
      <c r="Q69" s="189" t="s">
        <v>1465</v>
      </c>
      <c r="R69" s="186"/>
      <c r="S69" s="187"/>
      <c r="T69" s="187"/>
      <c r="U69" s="187"/>
      <c r="V69" s="188"/>
      <c r="W69" s="188"/>
      <c r="X69" s="188"/>
      <c r="Y69" s="188"/>
      <c r="Z69" s="188"/>
      <c r="AA69" s="188"/>
      <c r="AB69" s="188"/>
      <c r="AC69" s="188"/>
      <c r="AD69" s="188"/>
      <c r="AE69" s="188"/>
      <c r="AF69" s="188"/>
      <c r="AG69" s="188"/>
    </row>
    <row r="70" spans="1:34" ht="16" customHeight="1">
      <c r="A70" s="7"/>
      <c r="B70" s="10"/>
      <c r="C70" s="12"/>
      <c r="D70" s="186"/>
      <c r="E70" s="186"/>
      <c r="F70" s="186"/>
      <c r="G70" s="186"/>
      <c r="H70" s="186"/>
      <c r="I70" s="186"/>
      <c r="J70" s="186"/>
      <c r="K70" s="186"/>
      <c r="L70" s="278" t="s">
        <v>1429</v>
      </c>
      <c r="M70" s="186"/>
      <c r="N70" s="37" t="str">
        <f t="shared" si="5"/>
        <v>FY2010-11</v>
      </c>
      <c r="O70" s="186"/>
      <c r="P70" s="37" t="s">
        <v>1338</v>
      </c>
      <c r="Q70" s="189" t="s">
        <v>1465</v>
      </c>
      <c r="R70" s="186"/>
      <c r="S70" s="187"/>
      <c r="T70" s="187"/>
      <c r="U70" s="187"/>
      <c r="V70" s="188"/>
      <c r="W70" s="188"/>
      <c r="X70" s="188"/>
      <c r="Y70" s="188"/>
      <c r="Z70" s="188"/>
      <c r="AA70" s="188"/>
      <c r="AB70" s="188"/>
      <c r="AC70" s="188"/>
      <c r="AD70" s="188"/>
      <c r="AE70" s="188"/>
      <c r="AF70" s="188"/>
      <c r="AG70" s="188"/>
    </row>
    <row r="71" spans="1:34" ht="16" customHeight="1">
      <c r="A71" s="7"/>
      <c r="B71" s="10"/>
      <c r="C71" s="12"/>
      <c r="D71" s="186"/>
      <c r="E71" s="186"/>
      <c r="F71" s="186"/>
      <c r="G71" s="186"/>
      <c r="H71" s="186"/>
      <c r="I71" s="186"/>
      <c r="J71" s="186"/>
      <c r="K71" s="186"/>
      <c r="L71" s="278" t="s">
        <v>1429</v>
      </c>
      <c r="M71" s="186"/>
      <c r="N71" s="37" t="str">
        <f t="shared" si="5"/>
        <v>FY2010-11</v>
      </c>
      <c r="O71" s="186"/>
      <c r="P71" s="37" t="s">
        <v>1338</v>
      </c>
      <c r="Q71" s="189" t="s">
        <v>1465</v>
      </c>
      <c r="R71" s="186"/>
      <c r="S71" s="187"/>
      <c r="T71" s="187"/>
      <c r="U71" s="187"/>
      <c r="V71" s="188"/>
      <c r="W71" s="188"/>
      <c r="X71" s="188"/>
      <c r="Y71" s="188"/>
      <c r="Z71" s="188"/>
      <c r="AA71" s="188"/>
      <c r="AB71" s="188"/>
      <c r="AC71" s="188"/>
      <c r="AD71" s="188"/>
      <c r="AE71" s="188"/>
      <c r="AF71" s="188"/>
      <c r="AG71" s="188"/>
    </row>
    <row r="72" spans="1:34" ht="16" customHeight="1">
      <c r="A72" s="11"/>
      <c r="B72" s="12"/>
      <c r="C72" s="12"/>
      <c r="D72" s="13"/>
      <c r="E72" s="13"/>
      <c r="F72" s="14"/>
      <c r="G72" s="13"/>
      <c r="H72" s="14"/>
      <c r="I72" s="14"/>
      <c r="J72" s="13"/>
      <c r="K72" s="13"/>
      <c r="L72" s="279"/>
      <c r="M72" s="14"/>
      <c r="N72" s="14"/>
      <c r="O72" s="13"/>
      <c r="P72" s="14"/>
      <c r="Q72" s="14"/>
      <c r="R72" s="13"/>
      <c r="S72" s="13"/>
      <c r="T72" s="13"/>
      <c r="U72" s="13"/>
      <c r="V72" s="11"/>
      <c r="W72" s="11"/>
      <c r="X72" s="11"/>
      <c r="Y72" s="11"/>
      <c r="Z72" s="11"/>
      <c r="AA72" s="11"/>
      <c r="AB72" s="11"/>
      <c r="AC72" s="11"/>
      <c r="AD72" s="11"/>
      <c r="AE72" s="11"/>
      <c r="AF72" s="11"/>
      <c r="AG72" s="11"/>
    </row>
    <row r="73" spans="1:34" ht="16" customHeight="1" thickBot="1">
      <c r="A73" s="7"/>
      <c r="B73" s="19" t="s">
        <v>1395</v>
      </c>
      <c r="C73" s="7"/>
      <c r="D73" s="8"/>
      <c r="E73" s="8"/>
      <c r="F73" s="9"/>
      <c r="G73" s="8"/>
      <c r="H73" s="9"/>
      <c r="I73" s="9"/>
      <c r="J73" s="8"/>
      <c r="K73" s="8"/>
      <c r="L73" s="280"/>
      <c r="M73" s="9"/>
      <c r="N73" s="9"/>
      <c r="O73" s="8"/>
      <c r="P73" s="9"/>
      <c r="Q73" s="9"/>
      <c r="R73" s="8"/>
      <c r="S73" s="882"/>
      <c r="T73" s="883" t="str">
        <f>'$REV-DB'!$T$34</f>
        <v>Federal Revenues</v>
      </c>
      <c r="U73" s="883" t="str">
        <f>'$REV-DB'!$U$34</f>
        <v>local Revenues</v>
      </c>
      <c r="V73" s="883" t="str">
        <f>'$REV-DB'!$V$34</f>
        <v>Other Revenues</v>
      </c>
      <c r="W73" s="883" t="str">
        <f>'$REV-DB'!$W$34</f>
        <v>State revenues</v>
      </c>
      <c r="X73" s="883" t="str">
        <f>'$REV-DB'!$X$34</f>
        <v>UD5</v>
      </c>
      <c r="Y73" s="883" t="str">
        <f>'$REV-DB'!$Y$34</f>
        <v>UD6</v>
      </c>
      <c r="Z73" s="883" t="str">
        <f>'$REV-DB'!$Z$34</f>
        <v>UD7</v>
      </c>
      <c r="AA73" s="883" t="str">
        <f>'$REV-DB'!$AA$34</f>
        <v>UD8</v>
      </c>
      <c r="AB73" s="883" t="str">
        <f>'$REV-DB'!$AB$34</f>
        <v>UD9</v>
      </c>
      <c r="AC73" s="883" t="str">
        <f>'$REV-DB'!$AC$34</f>
        <v>UD10</v>
      </c>
      <c r="AD73" s="883" t="str">
        <f>'$REV-DB'!$AD$34</f>
        <v>UD11</v>
      </c>
      <c r="AE73" s="883" t="str">
        <f>'$REV-DB'!$AE$34</f>
        <v>UD12</v>
      </c>
      <c r="AF73" s="883" t="str">
        <f>'$REV-DB'!$AF$34</f>
        <v>UD13</v>
      </c>
      <c r="AG73" s="883" t="str">
        <f>'$REV-DB'!$AG$34</f>
        <v>UD14</v>
      </c>
    </row>
    <row r="74" spans="1:34" ht="16" customHeight="1" thickTop="1" thickBot="1">
      <c r="A74" s="7"/>
      <c r="B74" s="20" t="s">
        <v>1399</v>
      </c>
      <c r="C74" s="15"/>
      <c r="D74" s="105" t="s">
        <v>1386</v>
      </c>
      <c r="E74" s="105" t="s">
        <v>1387</v>
      </c>
      <c r="F74" s="105" t="s">
        <v>1388</v>
      </c>
      <c r="G74" s="105" t="s">
        <v>1389</v>
      </c>
      <c r="H74" s="301" t="s">
        <v>1406</v>
      </c>
      <c r="I74" s="301" t="s">
        <v>1390</v>
      </c>
      <c r="J74" s="301" t="s">
        <v>1391</v>
      </c>
      <c r="K74" s="301" t="s">
        <v>1392</v>
      </c>
      <c r="L74" s="301" t="s">
        <v>1188</v>
      </c>
      <c r="M74" s="301" t="s">
        <v>1437</v>
      </c>
      <c r="N74" s="105" t="s">
        <v>1348</v>
      </c>
      <c r="O74" s="105" t="s">
        <v>1393</v>
      </c>
      <c r="P74" s="105" t="s">
        <v>1342</v>
      </c>
      <c r="Q74" s="105" t="s">
        <v>1394</v>
      </c>
      <c r="R74" s="112" t="s">
        <v>1341</v>
      </c>
      <c r="S74" s="112" t="s">
        <v>846</v>
      </c>
      <c r="T74" s="873" t="s">
        <v>935</v>
      </c>
      <c r="U74" s="873" t="s">
        <v>936</v>
      </c>
      <c r="V74" s="873" t="s">
        <v>937</v>
      </c>
      <c r="W74" s="873" t="s">
        <v>938</v>
      </c>
      <c r="X74" s="873" t="s">
        <v>939</v>
      </c>
      <c r="Y74" s="873" t="s">
        <v>940</v>
      </c>
      <c r="Z74" s="873" t="s">
        <v>941</v>
      </c>
      <c r="AA74" s="873" t="s">
        <v>942</v>
      </c>
      <c r="AB74" s="873" t="s">
        <v>943</v>
      </c>
      <c r="AC74" s="873" t="s">
        <v>944</v>
      </c>
      <c r="AD74" s="873" t="s">
        <v>945</v>
      </c>
      <c r="AE74" s="873" t="s">
        <v>946</v>
      </c>
      <c r="AF74" s="873" t="s">
        <v>947</v>
      </c>
      <c r="AG74" s="873" t="s">
        <v>948</v>
      </c>
      <c r="AH74" s="6"/>
    </row>
    <row r="75" spans="1:34" ht="16" customHeight="1" thickTop="1">
      <c r="A75" s="7"/>
      <c r="B75" s="19" t="s">
        <v>1350</v>
      </c>
      <c r="C75" s="12"/>
      <c r="D75" s="186"/>
      <c r="E75" s="186"/>
      <c r="F75" s="186"/>
      <c r="G75" s="186"/>
      <c r="H75" s="186"/>
      <c r="I75" s="186"/>
      <c r="J75" s="186"/>
      <c r="K75" s="186"/>
      <c r="L75" s="278" t="s">
        <v>1429</v>
      </c>
      <c r="M75" s="186"/>
      <c r="N75" s="37" t="str">
        <f>J$6</f>
        <v>FY2010-11</v>
      </c>
      <c r="O75" s="186"/>
      <c r="P75" s="37" t="s">
        <v>1338</v>
      </c>
      <c r="Q75" s="189" t="s">
        <v>1340</v>
      </c>
      <c r="R75" s="186"/>
      <c r="S75" s="187"/>
      <c r="T75" s="187"/>
      <c r="U75" s="187"/>
      <c r="V75" s="188"/>
      <c r="W75" s="188"/>
      <c r="X75" s="188"/>
      <c r="Y75" s="188"/>
      <c r="Z75" s="188"/>
      <c r="AA75" s="188"/>
      <c r="AB75" s="188"/>
      <c r="AC75" s="188"/>
      <c r="AD75" s="188"/>
      <c r="AE75" s="188"/>
      <c r="AF75" s="188"/>
      <c r="AG75" s="188"/>
      <c r="AH75" s="6"/>
    </row>
    <row r="76" spans="1:34" ht="16" customHeight="1">
      <c r="A76" s="7"/>
      <c r="B76" s="16">
        <f>DSUM('$REV-DB'!D35:AG374,"AMOUNT",'$REV-DSUM'!D74:AG81)</f>
        <v>0</v>
      </c>
      <c r="C76" s="12"/>
      <c r="D76" s="186"/>
      <c r="E76" s="186"/>
      <c r="F76" s="186"/>
      <c r="G76" s="186"/>
      <c r="H76" s="186"/>
      <c r="I76" s="186"/>
      <c r="J76" s="186"/>
      <c r="K76" s="186"/>
      <c r="L76" s="278" t="s">
        <v>1429</v>
      </c>
      <c r="M76" s="186"/>
      <c r="N76" s="37" t="str">
        <f t="shared" ref="N76:N81" si="6">J$6</f>
        <v>FY2010-11</v>
      </c>
      <c r="O76" s="186"/>
      <c r="P76" s="37" t="s">
        <v>1338</v>
      </c>
      <c r="Q76" s="189" t="s">
        <v>1340</v>
      </c>
      <c r="R76" s="186"/>
      <c r="S76" s="187"/>
      <c r="T76" s="187"/>
      <c r="U76" s="187"/>
      <c r="V76" s="188"/>
      <c r="W76" s="188"/>
      <c r="X76" s="188"/>
      <c r="Y76" s="188"/>
      <c r="Z76" s="188"/>
      <c r="AA76" s="188"/>
      <c r="AB76" s="188"/>
      <c r="AC76" s="188"/>
      <c r="AD76" s="188"/>
      <c r="AE76" s="188"/>
      <c r="AF76" s="188"/>
      <c r="AG76" s="188"/>
      <c r="AH76" s="6"/>
    </row>
    <row r="77" spans="1:34" ht="16" customHeight="1">
      <c r="A77" s="7"/>
      <c r="B77" s="10"/>
      <c r="C77" s="12"/>
      <c r="D77" s="186"/>
      <c r="E77" s="186"/>
      <c r="F77" s="186"/>
      <c r="G77" s="186"/>
      <c r="H77" s="186"/>
      <c r="I77" s="186"/>
      <c r="J77" s="186"/>
      <c r="K77" s="186"/>
      <c r="L77" s="278" t="s">
        <v>1429</v>
      </c>
      <c r="M77" s="186"/>
      <c r="N77" s="37" t="str">
        <f t="shared" si="6"/>
        <v>FY2010-11</v>
      </c>
      <c r="O77" s="186"/>
      <c r="P77" s="37" t="s">
        <v>1338</v>
      </c>
      <c r="Q77" s="189" t="s">
        <v>1340</v>
      </c>
      <c r="R77" s="186"/>
      <c r="S77" s="187"/>
      <c r="T77" s="187"/>
      <c r="U77" s="187"/>
      <c r="V77" s="188"/>
      <c r="W77" s="188"/>
      <c r="X77" s="188"/>
      <c r="Y77" s="188"/>
      <c r="Z77" s="188"/>
      <c r="AA77" s="188"/>
      <c r="AB77" s="188"/>
      <c r="AC77" s="188"/>
      <c r="AD77" s="188"/>
      <c r="AE77" s="188"/>
      <c r="AF77" s="188"/>
      <c r="AG77" s="188"/>
    </row>
    <row r="78" spans="1:34" ht="16" customHeight="1">
      <c r="A78" s="7"/>
      <c r="B78" s="10"/>
      <c r="C78" s="12"/>
      <c r="D78" s="186"/>
      <c r="E78" s="186"/>
      <c r="F78" s="186"/>
      <c r="G78" s="186"/>
      <c r="H78" s="186"/>
      <c r="I78" s="186"/>
      <c r="J78" s="186"/>
      <c r="K78" s="186"/>
      <c r="L78" s="278" t="s">
        <v>1429</v>
      </c>
      <c r="M78" s="186"/>
      <c r="N78" s="37" t="str">
        <f t="shared" si="6"/>
        <v>FY2010-11</v>
      </c>
      <c r="O78" s="186"/>
      <c r="P78" s="37" t="s">
        <v>1338</v>
      </c>
      <c r="Q78" s="189" t="s">
        <v>1340</v>
      </c>
      <c r="R78" s="186"/>
      <c r="S78" s="187"/>
      <c r="T78" s="187"/>
      <c r="U78" s="187"/>
      <c r="V78" s="188"/>
      <c r="W78" s="188"/>
      <c r="X78" s="188"/>
      <c r="Y78" s="188"/>
      <c r="Z78" s="188"/>
      <c r="AA78" s="188"/>
      <c r="AB78" s="188"/>
      <c r="AC78" s="188"/>
      <c r="AD78" s="188"/>
      <c r="AE78" s="188"/>
      <c r="AF78" s="188"/>
      <c r="AG78" s="188"/>
    </row>
    <row r="79" spans="1:34" ht="16" customHeight="1">
      <c r="A79" s="7"/>
      <c r="B79" s="10"/>
      <c r="C79" s="12"/>
      <c r="D79" s="186"/>
      <c r="E79" s="186"/>
      <c r="F79" s="186"/>
      <c r="G79" s="186"/>
      <c r="H79" s="186"/>
      <c r="I79" s="186"/>
      <c r="J79" s="186"/>
      <c r="K79" s="186"/>
      <c r="L79" s="278" t="s">
        <v>1429</v>
      </c>
      <c r="M79" s="186"/>
      <c r="N79" s="37" t="str">
        <f t="shared" si="6"/>
        <v>FY2010-11</v>
      </c>
      <c r="O79" s="186"/>
      <c r="P79" s="37" t="s">
        <v>1338</v>
      </c>
      <c r="Q79" s="189" t="s">
        <v>1340</v>
      </c>
      <c r="R79" s="186"/>
      <c r="S79" s="187"/>
      <c r="T79" s="187"/>
      <c r="U79" s="187"/>
      <c r="V79" s="188"/>
      <c r="W79" s="188"/>
      <c r="X79" s="188"/>
      <c r="Y79" s="188"/>
      <c r="Z79" s="188"/>
      <c r="AA79" s="188"/>
      <c r="AB79" s="188"/>
      <c r="AC79" s="188"/>
      <c r="AD79" s="188"/>
      <c r="AE79" s="188"/>
      <c r="AF79" s="188"/>
      <c r="AG79" s="188"/>
    </row>
    <row r="80" spans="1:34" ht="16" customHeight="1">
      <c r="A80" s="7"/>
      <c r="B80" s="10"/>
      <c r="C80" s="12"/>
      <c r="D80" s="186"/>
      <c r="E80" s="186"/>
      <c r="F80" s="186"/>
      <c r="G80" s="186"/>
      <c r="H80" s="186"/>
      <c r="I80" s="186"/>
      <c r="J80" s="186"/>
      <c r="K80" s="186"/>
      <c r="L80" s="278" t="s">
        <v>1429</v>
      </c>
      <c r="M80" s="186"/>
      <c r="N80" s="37" t="str">
        <f t="shared" si="6"/>
        <v>FY2010-11</v>
      </c>
      <c r="O80" s="186"/>
      <c r="P80" s="37" t="s">
        <v>1338</v>
      </c>
      <c r="Q80" s="189" t="s">
        <v>1340</v>
      </c>
      <c r="R80" s="186"/>
      <c r="S80" s="187"/>
      <c r="T80" s="187"/>
      <c r="U80" s="187"/>
      <c r="V80" s="188"/>
      <c r="W80" s="188"/>
      <c r="X80" s="188"/>
      <c r="Y80" s="188"/>
      <c r="Z80" s="188"/>
      <c r="AA80" s="188"/>
      <c r="AB80" s="188"/>
      <c r="AC80" s="188"/>
      <c r="AD80" s="188"/>
      <c r="AE80" s="188"/>
      <c r="AF80" s="188"/>
      <c r="AG80" s="188"/>
    </row>
    <row r="81" spans="1:34" ht="16" customHeight="1">
      <c r="A81" s="7"/>
      <c r="B81" s="10"/>
      <c r="C81" s="12"/>
      <c r="D81" s="186"/>
      <c r="E81" s="186"/>
      <c r="F81" s="186"/>
      <c r="G81" s="186"/>
      <c r="H81" s="186"/>
      <c r="I81" s="186"/>
      <c r="J81" s="186"/>
      <c r="K81" s="186"/>
      <c r="L81" s="278" t="s">
        <v>1429</v>
      </c>
      <c r="M81" s="186"/>
      <c r="N81" s="37" t="str">
        <f t="shared" si="6"/>
        <v>FY2010-11</v>
      </c>
      <c r="O81" s="186"/>
      <c r="P81" s="37" t="s">
        <v>1338</v>
      </c>
      <c r="Q81" s="189" t="s">
        <v>1340</v>
      </c>
      <c r="R81" s="186"/>
      <c r="S81" s="187"/>
      <c r="T81" s="187"/>
      <c r="U81" s="187"/>
      <c r="V81" s="188"/>
      <c r="W81" s="188"/>
      <c r="X81" s="188"/>
      <c r="Y81" s="188"/>
      <c r="Z81" s="188"/>
      <c r="AA81" s="188"/>
      <c r="AB81" s="188"/>
      <c r="AC81" s="188"/>
      <c r="AD81" s="188"/>
      <c r="AE81" s="188"/>
      <c r="AF81" s="188"/>
      <c r="AG81" s="188"/>
    </row>
    <row r="82" spans="1:34" ht="16" customHeight="1">
      <c r="A82" s="11"/>
      <c r="B82" s="12"/>
      <c r="C82" s="12"/>
      <c r="D82" s="13"/>
      <c r="E82" s="13"/>
      <c r="F82" s="14"/>
      <c r="G82" s="13"/>
      <c r="H82" s="14"/>
      <c r="I82" s="14"/>
      <c r="J82" s="13"/>
      <c r="K82" s="13"/>
      <c r="L82" s="279"/>
      <c r="M82" s="14"/>
      <c r="N82" s="14"/>
      <c r="O82" s="13"/>
      <c r="P82" s="14"/>
      <c r="Q82" s="14"/>
      <c r="R82" s="13"/>
      <c r="S82" s="13"/>
      <c r="T82" s="13"/>
      <c r="U82" s="13"/>
      <c r="V82" s="11"/>
      <c r="W82" s="11"/>
      <c r="X82" s="11"/>
      <c r="Y82" s="11"/>
      <c r="Z82" s="11"/>
      <c r="AA82" s="11"/>
      <c r="AB82" s="11"/>
      <c r="AC82" s="11"/>
      <c r="AD82" s="11"/>
      <c r="AE82" s="11"/>
      <c r="AF82" s="11"/>
      <c r="AG82" s="11"/>
    </row>
    <row r="83" spans="1:34" ht="16" customHeight="1" thickBot="1">
      <c r="A83" s="7"/>
      <c r="B83" s="19" t="s">
        <v>1395</v>
      </c>
      <c r="C83" s="7"/>
      <c r="D83" s="17"/>
      <c r="E83" s="17"/>
      <c r="F83" s="18"/>
      <c r="G83" s="17"/>
      <c r="H83" s="18"/>
      <c r="I83" s="18"/>
      <c r="J83" s="17"/>
      <c r="K83" s="17"/>
      <c r="L83" s="281"/>
      <c r="M83" s="18"/>
      <c r="N83" s="9"/>
      <c r="O83" s="17"/>
      <c r="P83" s="18"/>
      <c r="Q83" s="18"/>
      <c r="R83" s="17"/>
      <c r="S83" s="882"/>
      <c r="T83" s="883" t="str">
        <f>'$REV-DB'!$T$34</f>
        <v>Federal Revenues</v>
      </c>
      <c r="U83" s="883" t="str">
        <f>'$REV-DB'!$U$34</f>
        <v>local Revenues</v>
      </c>
      <c r="V83" s="883" t="str">
        <f>'$REV-DB'!$V$34</f>
        <v>Other Revenues</v>
      </c>
      <c r="W83" s="883" t="str">
        <f>'$REV-DB'!$W$34</f>
        <v>State revenues</v>
      </c>
      <c r="X83" s="883" t="str">
        <f>'$REV-DB'!$X$34</f>
        <v>UD5</v>
      </c>
      <c r="Y83" s="883" t="str">
        <f>'$REV-DB'!$Y$34</f>
        <v>UD6</v>
      </c>
      <c r="Z83" s="883" t="str">
        <f>'$REV-DB'!$Z$34</f>
        <v>UD7</v>
      </c>
      <c r="AA83" s="883" t="str">
        <f>'$REV-DB'!$AA$34</f>
        <v>UD8</v>
      </c>
      <c r="AB83" s="883" t="str">
        <f>'$REV-DB'!$AB$34</f>
        <v>UD9</v>
      </c>
      <c r="AC83" s="883" t="str">
        <f>'$REV-DB'!$AC$34</f>
        <v>UD10</v>
      </c>
      <c r="AD83" s="883" t="str">
        <f>'$REV-DB'!$AD$34</f>
        <v>UD11</v>
      </c>
      <c r="AE83" s="883" t="str">
        <f>'$REV-DB'!$AE$34</f>
        <v>UD12</v>
      </c>
      <c r="AF83" s="883" t="str">
        <f>'$REV-DB'!$AF$34</f>
        <v>UD13</v>
      </c>
      <c r="AG83" s="883" t="str">
        <f>'$REV-DB'!$AG$34</f>
        <v>UD14</v>
      </c>
    </row>
    <row r="84" spans="1:34" ht="16" customHeight="1" thickTop="1" thickBot="1">
      <c r="A84" s="7"/>
      <c r="B84" s="20" t="s">
        <v>1375</v>
      </c>
      <c r="C84" s="15"/>
      <c r="D84" s="105" t="s">
        <v>1386</v>
      </c>
      <c r="E84" s="105" t="s">
        <v>1387</v>
      </c>
      <c r="F84" s="105" t="s">
        <v>1388</v>
      </c>
      <c r="G84" s="105" t="s">
        <v>1389</v>
      </c>
      <c r="H84" s="301" t="s">
        <v>1406</v>
      </c>
      <c r="I84" s="301" t="s">
        <v>1390</v>
      </c>
      <c r="J84" s="301" t="s">
        <v>1391</v>
      </c>
      <c r="K84" s="301" t="s">
        <v>1392</v>
      </c>
      <c r="L84" s="301" t="s">
        <v>1188</v>
      </c>
      <c r="M84" s="301" t="s">
        <v>1437</v>
      </c>
      <c r="N84" s="105" t="s">
        <v>1348</v>
      </c>
      <c r="O84" s="105" t="s">
        <v>1393</v>
      </c>
      <c r="P84" s="105" t="s">
        <v>1342</v>
      </c>
      <c r="Q84" s="105" t="s">
        <v>1394</v>
      </c>
      <c r="R84" s="112" t="s">
        <v>1341</v>
      </c>
      <c r="S84" s="112" t="s">
        <v>846</v>
      </c>
      <c r="T84" s="873" t="s">
        <v>935</v>
      </c>
      <c r="U84" s="873" t="s">
        <v>936</v>
      </c>
      <c r="V84" s="873" t="s">
        <v>937</v>
      </c>
      <c r="W84" s="873" t="s">
        <v>938</v>
      </c>
      <c r="X84" s="873" t="s">
        <v>939</v>
      </c>
      <c r="Y84" s="873" t="s">
        <v>940</v>
      </c>
      <c r="Z84" s="873" t="s">
        <v>941</v>
      </c>
      <c r="AA84" s="873" t="s">
        <v>942</v>
      </c>
      <c r="AB84" s="873" t="s">
        <v>943</v>
      </c>
      <c r="AC84" s="873" t="s">
        <v>944</v>
      </c>
      <c r="AD84" s="873" t="s">
        <v>945</v>
      </c>
      <c r="AE84" s="873" t="s">
        <v>946</v>
      </c>
      <c r="AF84" s="873" t="s">
        <v>947</v>
      </c>
      <c r="AG84" s="873" t="s">
        <v>948</v>
      </c>
      <c r="AH84" s="6"/>
    </row>
    <row r="85" spans="1:34" ht="16" customHeight="1" thickTop="1">
      <c r="A85" s="7"/>
      <c r="B85" s="19" t="s">
        <v>1346</v>
      </c>
      <c r="C85" s="12"/>
      <c r="D85" s="186"/>
      <c r="E85" s="186"/>
      <c r="F85" s="186"/>
      <c r="G85" s="186"/>
      <c r="H85" s="186"/>
      <c r="I85" s="186"/>
      <c r="J85" s="186"/>
      <c r="K85" s="186"/>
      <c r="L85" s="278" t="s">
        <v>1429</v>
      </c>
      <c r="M85" s="186"/>
      <c r="N85" s="37" t="str">
        <f>J$6</f>
        <v>FY2010-11</v>
      </c>
      <c r="O85" s="186"/>
      <c r="P85" s="37" t="s">
        <v>1347</v>
      </c>
      <c r="Q85" s="189"/>
      <c r="R85" s="186"/>
      <c r="S85" s="187"/>
      <c r="T85" s="187"/>
      <c r="U85" s="187"/>
      <c r="V85" s="188"/>
      <c r="W85" s="188"/>
      <c r="X85" s="188"/>
      <c r="Y85" s="188"/>
      <c r="Z85" s="188"/>
      <c r="AA85" s="188"/>
      <c r="AB85" s="188"/>
      <c r="AC85" s="188"/>
      <c r="AD85" s="188"/>
      <c r="AE85" s="188"/>
      <c r="AF85" s="188"/>
      <c r="AG85" s="188"/>
      <c r="AH85" s="6"/>
    </row>
    <row r="86" spans="1:34" ht="16" customHeight="1">
      <c r="A86" s="7"/>
      <c r="B86" s="16">
        <f>DSUM('$REV-DB'!D35:AG374,"AMOUNT",'$REV-DSUM'!D84:AG91)</f>
        <v>53202531.510000013</v>
      </c>
      <c r="C86" s="12"/>
      <c r="D86" s="186"/>
      <c r="E86" s="186"/>
      <c r="F86" s="186"/>
      <c r="G86" s="186"/>
      <c r="H86" s="186"/>
      <c r="I86" s="186"/>
      <c r="J86" s="186"/>
      <c r="K86" s="186"/>
      <c r="L86" s="278" t="s">
        <v>1429</v>
      </c>
      <c r="M86" s="186"/>
      <c r="N86" s="37" t="str">
        <f t="shared" ref="N86:N91" si="7">J$6</f>
        <v>FY2010-11</v>
      </c>
      <c r="O86" s="186"/>
      <c r="P86" s="37" t="s">
        <v>1347</v>
      </c>
      <c r="Q86" s="189"/>
      <c r="R86" s="186"/>
      <c r="S86" s="187"/>
      <c r="T86" s="187"/>
      <c r="U86" s="187"/>
      <c r="V86" s="188"/>
      <c r="W86" s="188"/>
      <c r="X86" s="188"/>
      <c r="Y86" s="188"/>
      <c r="Z86" s="188"/>
      <c r="AA86" s="188"/>
      <c r="AB86" s="188"/>
      <c r="AC86" s="188"/>
      <c r="AD86" s="188"/>
      <c r="AE86" s="188"/>
      <c r="AF86" s="188"/>
      <c r="AG86" s="188"/>
      <c r="AH86" s="6"/>
    </row>
    <row r="87" spans="1:34" ht="16" customHeight="1">
      <c r="A87" s="7"/>
      <c r="B87" s="10"/>
      <c r="C87" s="12"/>
      <c r="D87" s="186"/>
      <c r="E87" s="186"/>
      <c r="F87" s="186"/>
      <c r="G87" s="186"/>
      <c r="H87" s="186"/>
      <c r="I87" s="186"/>
      <c r="J87" s="186"/>
      <c r="K87" s="186"/>
      <c r="L87" s="278" t="s">
        <v>1429</v>
      </c>
      <c r="M87" s="186"/>
      <c r="N87" s="37" t="str">
        <f t="shared" si="7"/>
        <v>FY2010-11</v>
      </c>
      <c r="O87" s="186"/>
      <c r="P87" s="37" t="s">
        <v>1347</v>
      </c>
      <c r="Q87" s="189"/>
      <c r="R87" s="186"/>
      <c r="S87" s="187"/>
      <c r="T87" s="187"/>
      <c r="U87" s="187"/>
      <c r="V87" s="188"/>
      <c r="W87" s="188"/>
      <c r="X87" s="188"/>
      <c r="Y87" s="188"/>
      <c r="Z87" s="188"/>
      <c r="AA87" s="188"/>
      <c r="AB87" s="188"/>
      <c r="AC87" s="188"/>
      <c r="AD87" s="188"/>
      <c r="AE87" s="188"/>
      <c r="AF87" s="188"/>
      <c r="AG87" s="188"/>
    </row>
    <row r="88" spans="1:34" ht="16" customHeight="1">
      <c r="A88" s="7"/>
      <c r="B88" s="10"/>
      <c r="C88" s="12"/>
      <c r="D88" s="186"/>
      <c r="E88" s="186"/>
      <c r="F88" s="186"/>
      <c r="G88" s="186"/>
      <c r="H88" s="186"/>
      <c r="I88" s="186"/>
      <c r="J88" s="186"/>
      <c r="K88" s="186"/>
      <c r="L88" s="278" t="s">
        <v>1429</v>
      </c>
      <c r="M88" s="186"/>
      <c r="N88" s="37" t="str">
        <f t="shared" si="7"/>
        <v>FY2010-11</v>
      </c>
      <c r="O88" s="186"/>
      <c r="P88" s="37" t="s">
        <v>1347</v>
      </c>
      <c r="Q88" s="189"/>
      <c r="R88" s="186"/>
      <c r="S88" s="187"/>
      <c r="T88" s="187"/>
      <c r="U88" s="187"/>
      <c r="V88" s="188"/>
      <c r="W88" s="188"/>
      <c r="X88" s="188"/>
      <c r="Y88" s="188"/>
      <c r="Z88" s="188"/>
      <c r="AA88" s="188"/>
      <c r="AB88" s="188"/>
      <c r="AC88" s="188"/>
      <c r="AD88" s="188"/>
      <c r="AE88" s="188"/>
      <c r="AF88" s="188"/>
      <c r="AG88" s="188"/>
    </row>
    <row r="89" spans="1:34" ht="16" customHeight="1">
      <c r="A89" s="7"/>
      <c r="B89" s="10"/>
      <c r="C89" s="12"/>
      <c r="D89" s="186"/>
      <c r="E89" s="186"/>
      <c r="F89" s="186"/>
      <c r="G89" s="186"/>
      <c r="H89" s="186"/>
      <c r="I89" s="186"/>
      <c r="J89" s="186"/>
      <c r="K89" s="186"/>
      <c r="L89" s="278" t="s">
        <v>1429</v>
      </c>
      <c r="M89" s="186"/>
      <c r="N89" s="37" t="str">
        <f t="shared" si="7"/>
        <v>FY2010-11</v>
      </c>
      <c r="O89" s="186"/>
      <c r="P89" s="37" t="s">
        <v>1347</v>
      </c>
      <c r="Q89" s="189"/>
      <c r="R89" s="186"/>
      <c r="S89" s="187"/>
      <c r="T89" s="187"/>
      <c r="U89" s="187"/>
      <c r="V89" s="188"/>
      <c r="W89" s="188"/>
      <c r="X89" s="188"/>
      <c r="Y89" s="188"/>
      <c r="Z89" s="188"/>
      <c r="AA89" s="188"/>
      <c r="AB89" s="188"/>
      <c r="AC89" s="188"/>
      <c r="AD89" s="188"/>
      <c r="AE89" s="188"/>
      <c r="AF89" s="188"/>
      <c r="AG89" s="188"/>
    </row>
    <row r="90" spans="1:34" ht="16" customHeight="1">
      <c r="A90" s="7"/>
      <c r="B90" s="10"/>
      <c r="C90" s="12"/>
      <c r="D90" s="186"/>
      <c r="E90" s="186"/>
      <c r="F90" s="186"/>
      <c r="G90" s="186"/>
      <c r="H90" s="186"/>
      <c r="I90" s="186"/>
      <c r="J90" s="186"/>
      <c r="K90" s="186"/>
      <c r="L90" s="278" t="s">
        <v>1429</v>
      </c>
      <c r="M90" s="186"/>
      <c r="N90" s="37" t="str">
        <f t="shared" si="7"/>
        <v>FY2010-11</v>
      </c>
      <c r="O90" s="186"/>
      <c r="P90" s="37" t="s">
        <v>1347</v>
      </c>
      <c r="Q90" s="189"/>
      <c r="R90" s="186"/>
      <c r="S90" s="187"/>
      <c r="T90" s="187"/>
      <c r="U90" s="187"/>
      <c r="V90" s="188"/>
      <c r="W90" s="188"/>
      <c r="X90" s="188"/>
      <c r="Y90" s="188"/>
      <c r="Z90" s="188"/>
      <c r="AA90" s="188"/>
      <c r="AB90" s="188"/>
      <c r="AC90" s="188"/>
      <c r="AD90" s="188"/>
      <c r="AE90" s="188"/>
      <c r="AF90" s="188"/>
      <c r="AG90" s="188"/>
    </row>
    <row r="91" spans="1:34" ht="16" customHeight="1">
      <c r="A91" s="7"/>
      <c r="B91" s="10"/>
      <c r="C91" s="12"/>
      <c r="D91" s="186"/>
      <c r="E91" s="186"/>
      <c r="F91" s="186"/>
      <c r="G91" s="186"/>
      <c r="H91" s="186"/>
      <c r="I91" s="186"/>
      <c r="J91" s="186"/>
      <c r="K91" s="186"/>
      <c r="L91" s="278" t="s">
        <v>1429</v>
      </c>
      <c r="M91" s="186"/>
      <c r="N91" s="37" t="str">
        <f t="shared" si="7"/>
        <v>FY2010-11</v>
      </c>
      <c r="O91" s="186"/>
      <c r="P91" s="37" t="s">
        <v>1347</v>
      </c>
      <c r="Q91" s="189"/>
      <c r="R91" s="186"/>
      <c r="S91" s="187"/>
      <c r="T91" s="187"/>
      <c r="U91" s="187"/>
      <c r="V91" s="188"/>
      <c r="W91" s="188"/>
      <c r="X91" s="188"/>
      <c r="Y91" s="188"/>
      <c r="Z91" s="188"/>
      <c r="AA91" s="188"/>
      <c r="AB91" s="188"/>
      <c r="AC91" s="188"/>
      <c r="AD91" s="188"/>
      <c r="AE91" s="188"/>
      <c r="AF91" s="188"/>
      <c r="AG91" s="188"/>
    </row>
    <row r="92" spans="1:34" ht="16" customHeight="1">
      <c r="A92" s="11"/>
      <c r="B92" s="12"/>
      <c r="C92" s="12"/>
      <c r="D92" s="13"/>
      <c r="E92" s="13"/>
      <c r="F92" s="14"/>
      <c r="G92" s="13"/>
      <c r="H92" s="14"/>
      <c r="I92" s="14"/>
      <c r="J92" s="13"/>
      <c r="K92" s="13"/>
      <c r="L92" s="279"/>
      <c r="M92" s="14"/>
      <c r="N92" s="14"/>
      <c r="O92" s="13"/>
      <c r="P92" s="14"/>
      <c r="Q92" s="14"/>
      <c r="R92" s="13"/>
      <c r="S92" s="13"/>
      <c r="T92" s="13"/>
      <c r="U92" s="13"/>
      <c r="V92" s="11"/>
      <c r="W92" s="11"/>
      <c r="X92" s="11"/>
      <c r="Y92" s="11"/>
      <c r="Z92" s="11"/>
      <c r="AA92" s="11"/>
      <c r="AB92" s="11"/>
      <c r="AC92" s="11"/>
      <c r="AD92" s="11"/>
      <c r="AE92" s="11"/>
      <c r="AF92" s="11"/>
      <c r="AG92" s="11"/>
    </row>
    <row r="93" spans="1:34" ht="16" customHeight="1" thickBot="1">
      <c r="A93" s="7"/>
      <c r="B93" s="19" t="s">
        <v>1395</v>
      </c>
      <c r="C93" s="7"/>
      <c r="D93" s="8"/>
      <c r="E93" s="8"/>
      <c r="F93" s="9"/>
      <c r="G93" s="8"/>
      <c r="H93" s="9"/>
      <c r="I93" s="9"/>
      <c r="J93" s="8"/>
      <c r="K93" s="8"/>
      <c r="L93" s="280"/>
      <c r="M93" s="9"/>
      <c r="N93" s="9"/>
      <c r="O93" s="8"/>
      <c r="P93" s="9"/>
      <c r="Q93" s="9"/>
      <c r="R93" s="8"/>
      <c r="S93" s="882"/>
      <c r="T93" s="883" t="str">
        <f>'$REV-DB'!$T$34</f>
        <v>Federal Revenues</v>
      </c>
      <c r="U93" s="883" t="str">
        <f>'$REV-DB'!$U$34</f>
        <v>local Revenues</v>
      </c>
      <c r="V93" s="883" t="str">
        <f>'$REV-DB'!$V$34</f>
        <v>Other Revenues</v>
      </c>
      <c r="W93" s="883" t="str">
        <f>'$REV-DB'!$W$34</f>
        <v>State revenues</v>
      </c>
      <c r="X93" s="883" t="str">
        <f>'$REV-DB'!$X$34</f>
        <v>UD5</v>
      </c>
      <c r="Y93" s="883" t="str">
        <f>'$REV-DB'!$Y$34</f>
        <v>UD6</v>
      </c>
      <c r="Z93" s="883" t="str">
        <f>'$REV-DB'!$Z$34</f>
        <v>UD7</v>
      </c>
      <c r="AA93" s="883" t="str">
        <f>'$REV-DB'!$AA$34</f>
        <v>UD8</v>
      </c>
      <c r="AB93" s="883" t="str">
        <f>'$REV-DB'!$AB$34</f>
        <v>UD9</v>
      </c>
      <c r="AC93" s="883" t="str">
        <f>'$REV-DB'!$AC$34</f>
        <v>UD10</v>
      </c>
      <c r="AD93" s="883" t="str">
        <f>'$REV-DB'!$AD$34</f>
        <v>UD11</v>
      </c>
      <c r="AE93" s="883" t="str">
        <f>'$REV-DB'!$AE$34</f>
        <v>UD12</v>
      </c>
      <c r="AF93" s="883" t="str">
        <f>'$REV-DB'!$AF$34</f>
        <v>UD13</v>
      </c>
      <c r="AG93" s="883" t="str">
        <f>'$REV-DB'!$AG$34</f>
        <v>UD14</v>
      </c>
    </row>
    <row r="94" spans="1:34" ht="16" customHeight="1" thickTop="1" thickBot="1">
      <c r="A94" s="7"/>
      <c r="B94" s="20" t="s">
        <v>1375</v>
      </c>
      <c r="C94" s="15"/>
      <c r="D94" s="105" t="s">
        <v>1386</v>
      </c>
      <c r="E94" s="105" t="s">
        <v>1387</v>
      </c>
      <c r="F94" s="105" t="s">
        <v>1388</v>
      </c>
      <c r="G94" s="105" t="s">
        <v>1389</v>
      </c>
      <c r="H94" s="301" t="s">
        <v>1406</v>
      </c>
      <c r="I94" s="301" t="s">
        <v>1390</v>
      </c>
      <c r="J94" s="301" t="s">
        <v>1391</v>
      </c>
      <c r="K94" s="301" t="s">
        <v>1392</v>
      </c>
      <c r="L94" s="301" t="s">
        <v>1188</v>
      </c>
      <c r="M94" s="301" t="s">
        <v>1437</v>
      </c>
      <c r="N94" s="105" t="s">
        <v>1348</v>
      </c>
      <c r="O94" s="105" t="s">
        <v>1393</v>
      </c>
      <c r="P94" s="105" t="s">
        <v>1342</v>
      </c>
      <c r="Q94" s="105" t="s">
        <v>1394</v>
      </c>
      <c r="R94" s="112" t="s">
        <v>1341</v>
      </c>
      <c r="S94" s="112" t="s">
        <v>846</v>
      </c>
      <c r="T94" s="873" t="s">
        <v>935</v>
      </c>
      <c r="U94" s="873" t="s">
        <v>936</v>
      </c>
      <c r="V94" s="873" t="s">
        <v>937</v>
      </c>
      <c r="W94" s="873" t="s">
        <v>938</v>
      </c>
      <c r="X94" s="873" t="s">
        <v>939</v>
      </c>
      <c r="Y94" s="873" t="s">
        <v>940</v>
      </c>
      <c r="Z94" s="873" t="s">
        <v>941</v>
      </c>
      <c r="AA94" s="873" t="s">
        <v>942</v>
      </c>
      <c r="AB94" s="873" t="s">
        <v>943</v>
      </c>
      <c r="AC94" s="873" t="s">
        <v>944</v>
      </c>
      <c r="AD94" s="873" t="s">
        <v>945</v>
      </c>
      <c r="AE94" s="873" t="s">
        <v>946</v>
      </c>
      <c r="AF94" s="873" t="s">
        <v>947</v>
      </c>
      <c r="AG94" s="873" t="s">
        <v>948</v>
      </c>
      <c r="AH94" s="6"/>
    </row>
    <row r="95" spans="1:34" ht="16" customHeight="1" thickTop="1">
      <c r="A95" s="7"/>
      <c r="B95" s="19" t="s">
        <v>1345</v>
      </c>
      <c r="C95" s="12"/>
      <c r="D95" s="186"/>
      <c r="E95" s="186"/>
      <c r="F95" s="186"/>
      <c r="G95" s="186"/>
      <c r="H95" s="186"/>
      <c r="I95" s="186"/>
      <c r="J95" s="186"/>
      <c r="K95" s="186"/>
      <c r="L95" s="278" t="s">
        <v>1429</v>
      </c>
      <c r="M95" s="186"/>
      <c r="N95" s="37" t="str">
        <f>J$6</f>
        <v>FY2010-11</v>
      </c>
      <c r="O95" s="186"/>
      <c r="P95" s="37" t="s">
        <v>1347</v>
      </c>
      <c r="Q95" s="189" t="s">
        <v>1380</v>
      </c>
      <c r="R95" s="186"/>
      <c r="S95" s="187"/>
      <c r="T95" s="187"/>
      <c r="U95" s="187"/>
      <c r="V95" s="188"/>
      <c r="W95" s="188"/>
      <c r="X95" s="188"/>
      <c r="Y95" s="188"/>
      <c r="Z95" s="188"/>
      <c r="AA95" s="188"/>
      <c r="AB95" s="188"/>
      <c r="AC95" s="188"/>
      <c r="AD95" s="188"/>
      <c r="AE95" s="188"/>
      <c r="AF95" s="188"/>
      <c r="AG95" s="188"/>
      <c r="AH95" s="6"/>
    </row>
    <row r="96" spans="1:34" ht="16" customHeight="1">
      <c r="A96" s="7"/>
      <c r="B96" s="16">
        <f>DSUM('$REV-DB'!D35:AG374,"AMOUNT",'$REV-DSUM'!D94:AG101)</f>
        <v>7677790.1400000015</v>
      </c>
      <c r="C96" s="12"/>
      <c r="D96" s="186"/>
      <c r="E96" s="186"/>
      <c r="F96" s="186"/>
      <c r="G96" s="186"/>
      <c r="H96" s="186"/>
      <c r="I96" s="186"/>
      <c r="J96" s="186"/>
      <c r="K96" s="186"/>
      <c r="L96" s="278" t="s">
        <v>1429</v>
      </c>
      <c r="M96" s="186"/>
      <c r="N96" s="37" t="str">
        <f t="shared" ref="N96:N101" si="8">J$6</f>
        <v>FY2010-11</v>
      </c>
      <c r="O96" s="186"/>
      <c r="P96" s="37" t="s">
        <v>1347</v>
      </c>
      <c r="Q96" s="189" t="s">
        <v>1380</v>
      </c>
      <c r="R96" s="186"/>
      <c r="S96" s="187"/>
      <c r="T96" s="187"/>
      <c r="U96" s="187"/>
      <c r="V96" s="188"/>
      <c r="W96" s="188"/>
      <c r="X96" s="188"/>
      <c r="Y96" s="188"/>
      <c r="Z96" s="188"/>
      <c r="AA96" s="188"/>
      <c r="AB96" s="188"/>
      <c r="AC96" s="188"/>
      <c r="AD96" s="188"/>
      <c r="AE96" s="188"/>
      <c r="AF96" s="188"/>
      <c r="AG96" s="188"/>
      <c r="AH96" s="6"/>
    </row>
    <row r="97" spans="1:34" ht="16" customHeight="1">
      <c r="A97" s="7"/>
      <c r="B97" s="10"/>
      <c r="C97" s="12"/>
      <c r="D97" s="186"/>
      <c r="E97" s="186"/>
      <c r="F97" s="186"/>
      <c r="G97" s="186"/>
      <c r="H97" s="186"/>
      <c r="I97" s="186"/>
      <c r="J97" s="186"/>
      <c r="K97" s="186"/>
      <c r="L97" s="278" t="s">
        <v>1429</v>
      </c>
      <c r="M97" s="186"/>
      <c r="N97" s="37" t="str">
        <f t="shared" si="8"/>
        <v>FY2010-11</v>
      </c>
      <c r="O97" s="186"/>
      <c r="P97" s="37" t="s">
        <v>1347</v>
      </c>
      <c r="Q97" s="189" t="s">
        <v>1380</v>
      </c>
      <c r="R97" s="186"/>
      <c r="S97" s="187"/>
      <c r="T97" s="187"/>
      <c r="U97" s="187"/>
      <c r="V97" s="188"/>
      <c r="W97" s="188"/>
      <c r="X97" s="188"/>
      <c r="Y97" s="188"/>
      <c r="Z97" s="188"/>
      <c r="AA97" s="188"/>
      <c r="AB97" s="188"/>
      <c r="AC97" s="188"/>
      <c r="AD97" s="188"/>
      <c r="AE97" s="188"/>
      <c r="AF97" s="188"/>
      <c r="AG97" s="188"/>
    </row>
    <row r="98" spans="1:34" ht="16" customHeight="1">
      <c r="A98" s="7"/>
      <c r="B98" s="10"/>
      <c r="C98" s="12"/>
      <c r="D98" s="186"/>
      <c r="E98" s="186"/>
      <c r="F98" s="186"/>
      <c r="G98" s="186"/>
      <c r="H98" s="186"/>
      <c r="I98" s="186"/>
      <c r="J98" s="186"/>
      <c r="K98" s="186"/>
      <c r="L98" s="278" t="s">
        <v>1429</v>
      </c>
      <c r="M98" s="186"/>
      <c r="N98" s="37" t="str">
        <f t="shared" si="8"/>
        <v>FY2010-11</v>
      </c>
      <c r="O98" s="186"/>
      <c r="P98" s="37" t="s">
        <v>1347</v>
      </c>
      <c r="Q98" s="189" t="s">
        <v>1380</v>
      </c>
      <c r="R98" s="186"/>
      <c r="S98" s="187"/>
      <c r="T98" s="187"/>
      <c r="U98" s="187"/>
      <c r="V98" s="188"/>
      <c r="W98" s="188"/>
      <c r="X98" s="188"/>
      <c r="Y98" s="188"/>
      <c r="Z98" s="188"/>
      <c r="AA98" s="188"/>
      <c r="AB98" s="188"/>
      <c r="AC98" s="188"/>
      <c r="AD98" s="188"/>
      <c r="AE98" s="188"/>
      <c r="AF98" s="188"/>
      <c r="AG98" s="188"/>
    </row>
    <row r="99" spans="1:34" ht="16" customHeight="1">
      <c r="A99" s="7"/>
      <c r="B99" s="10"/>
      <c r="C99" s="12"/>
      <c r="D99" s="186"/>
      <c r="E99" s="186"/>
      <c r="F99" s="186"/>
      <c r="G99" s="186"/>
      <c r="H99" s="186"/>
      <c r="I99" s="186"/>
      <c r="J99" s="186"/>
      <c r="K99" s="186"/>
      <c r="L99" s="278" t="s">
        <v>1429</v>
      </c>
      <c r="M99" s="186"/>
      <c r="N99" s="37" t="str">
        <f t="shared" si="8"/>
        <v>FY2010-11</v>
      </c>
      <c r="O99" s="186"/>
      <c r="P99" s="37" t="s">
        <v>1347</v>
      </c>
      <c r="Q99" s="189" t="s">
        <v>1380</v>
      </c>
      <c r="R99" s="186"/>
      <c r="S99" s="187"/>
      <c r="T99" s="187"/>
      <c r="U99" s="187"/>
      <c r="V99" s="188"/>
      <c r="W99" s="188"/>
      <c r="X99" s="188"/>
      <c r="Y99" s="188"/>
      <c r="Z99" s="188"/>
      <c r="AA99" s="188"/>
      <c r="AB99" s="188"/>
      <c r="AC99" s="188"/>
      <c r="AD99" s="188"/>
      <c r="AE99" s="188"/>
      <c r="AF99" s="188"/>
      <c r="AG99" s="188"/>
    </row>
    <row r="100" spans="1:34" ht="16" customHeight="1">
      <c r="A100" s="7"/>
      <c r="B100" s="10"/>
      <c r="C100" s="12"/>
      <c r="D100" s="186"/>
      <c r="E100" s="186"/>
      <c r="F100" s="186"/>
      <c r="G100" s="186"/>
      <c r="H100" s="186"/>
      <c r="I100" s="186"/>
      <c r="J100" s="186"/>
      <c r="K100" s="186"/>
      <c r="L100" s="278" t="s">
        <v>1429</v>
      </c>
      <c r="M100" s="186"/>
      <c r="N100" s="37" t="str">
        <f t="shared" si="8"/>
        <v>FY2010-11</v>
      </c>
      <c r="O100" s="186"/>
      <c r="P100" s="37" t="s">
        <v>1347</v>
      </c>
      <c r="Q100" s="189" t="s">
        <v>1380</v>
      </c>
      <c r="R100" s="186"/>
      <c r="S100" s="187"/>
      <c r="T100" s="187"/>
      <c r="U100" s="187"/>
      <c r="V100" s="188"/>
      <c r="W100" s="188"/>
      <c r="X100" s="188"/>
      <c r="Y100" s="188"/>
      <c r="Z100" s="188"/>
      <c r="AA100" s="188"/>
      <c r="AB100" s="188"/>
      <c r="AC100" s="188"/>
      <c r="AD100" s="188"/>
      <c r="AE100" s="188"/>
      <c r="AF100" s="188"/>
      <c r="AG100" s="188"/>
    </row>
    <row r="101" spans="1:34" ht="16" customHeight="1">
      <c r="A101" s="7"/>
      <c r="B101" s="10"/>
      <c r="C101" s="12"/>
      <c r="D101" s="186"/>
      <c r="E101" s="186"/>
      <c r="F101" s="186"/>
      <c r="G101" s="186"/>
      <c r="H101" s="186"/>
      <c r="I101" s="186"/>
      <c r="J101" s="186"/>
      <c r="K101" s="186"/>
      <c r="L101" s="278" t="s">
        <v>1429</v>
      </c>
      <c r="M101" s="186"/>
      <c r="N101" s="37" t="str">
        <f t="shared" si="8"/>
        <v>FY2010-11</v>
      </c>
      <c r="O101" s="186"/>
      <c r="P101" s="37" t="s">
        <v>1347</v>
      </c>
      <c r="Q101" s="189" t="s">
        <v>1380</v>
      </c>
      <c r="R101" s="186"/>
      <c r="S101" s="187"/>
      <c r="T101" s="187"/>
      <c r="U101" s="187"/>
      <c r="V101" s="188"/>
      <c r="W101" s="188"/>
      <c r="X101" s="188"/>
      <c r="Y101" s="188"/>
      <c r="Z101" s="188"/>
      <c r="AA101" s="188"/>
      <c r="AB101" s="188"/>
      <c r="AC101" s="188"/>
      <c r="AD101" s="188"/>
      <c r="AE101" s="188"/>
      <c r="AF101" s="188"/>
      <c r="AG101" s="188"/>
    </row>
    <row r="102" spans="1:34" ht="16" customHeight="1">
      <c r="A102" s="11"/>
      <c r="B102" s="12"/>
      <c r="C102" s="12"/>
      <c r="D102" s="13"/>
      <c r="E102" s="13"/>
      <c r="F102" s="14"/>
      <c r="G102" s="13"/>
      <c r="H102" s="14"/>
      <c r="I102" s="14"/>
      <c r="J102" s="13"/>
      <c r="K102" s="13"/>
      <c r="L102" s="279"/>
      <c r="M102" s="14"/>
      <c r="N102" s="14"/>
      <c r="O102" s="13"/>
      <c r="P102" s="14"/>
      <c r="Q102" s="14"/>
      <c r="R102" s="13"/>
      <c r="S102" s="13"/>
      <c r="T102" s="13"/>
      <c r="U102" s="13"/>
      <c r="V102" s="11"/>
      <c r="W102" s="11"/>
      <c r="X102" s="11"/>
      <c r="Y102" s="11"/>
      <c r="Z102" s="11"/>
      <c r="AA102" s="11"/>
      <c r="AB102" s="11"/>
      <c r="AC102" s="11"/>
      <c r="AD102" s="11"/>
      <c r="AE102" s="11"/>
      <c r="AF102" s="11"/>
      <c r="AG102" s="11"/>
    </row>
    <row r="103" spans="1:34" ht="16" customHeight="1" thickBot="1">
      <c r="A103" s="7"/>
      <c r="B103" s="19" t="s">
        <v>1395</v>
      </c>
      <c r="C103" s="7"/>
      <c r="D103" s="8"/>
      <c r="E103" s="8"/>
      <c r="F103" s="9"/>
      <c r="G103" s="8"/>
      <c r="H103" s="9"/>
      <c r="I103" s="9"/>
      <c r="J103" s="8"/>
      <c r="K103" s="8"/>
      <c r="L103" s="280"/>
      <c r="M103" s="9"/>
      <c r="N103" s="9"/>
      <c r="O103" s="8"/>
      <c r="P103" s="9"/>
      <c r="Q103" s="9"/>
      <c r="R103" s="8"/>
      <c r="S103" s="882"/>
      <c r="T103" s="883" t="str">
        <f>'$REV-DB'!$T$34</f>
        <v>Federal Revenues</v>
      </c>
      <c r="U103" s="883" t="str">
        <f>'$REV-DB'!$U$34</f>
        <v>local Revenues</v>
      </c>
      <c r="V103" s="883" t="str">
        <f>'$REV-DB'!$V$34</f>
        <v>Other Revenues</v>
      </c>
      <c r="W103" s="883" t="str">
        <f>'$REV-DB'!$W$34</f>
        <v>State revenues</v>
      </c>
      <c r="X103" s="883" t="str">
        <f>'$REV-DB'!$X$34</f>
        <v>UD5</v>
      </c>
      <c r="Y103" s="883" t="str">
        <f>'$REV-DB'!$Y$34</f>
        <v>UD6</v>
      </c>
      <c r="Z103" s="883" t="str">
        <f>'$REV-DB'!$Z$34</f>
        <v>UD7</v>
      </c>
      <c r="AA103" s="883" t="str">
        <f>'$REV-DB'!$AA$34</f>
        <v>UD8</v>
      </c>
      <c r="AB103" s="883" t="str">
        <f>'$REV-DB'!$AB$34</f>
        <v>UD9</v>
      </c>
      <c r="AC103" s="883" t="str">
        <f>'$REV-DB'!$AC$34</f>
        <v>UD10</v>
      </c>
      <c r="AD103" s="883" t="str">
        <f>'$REV-DB'!$AD$34</f>
        <v>UD11</v>
      </c>
      <c r="AE103" s="883" t="str">
        <f>'$REV-DB'!$AE$34</f>
        <v>UD12</v>
      </c>
      <c r="AF103" s="883" t="str">
        <f>'$REV-DB'!$AF$34</f>
        <v>UD13</v>
      </c>
      <c r="AG103" s="883" t="str">
        <f>'$REV-DB'!$AG$34</f>
        <v>UD14</v>
      </c>
    </row>
    <row r="104" spans="1:34" ht="16" customHeight="1" thickTop="1" thickBot="1">
      <c r="A104" s="7"/>
      <c r="B104" s="20" t="s">
        <v>1375</v>
      </c>
      <c r="C104" s="15"/>
      <c r="D104" s="105" t="s">
        <v>1386</v>
      </c>
      <c r="E104" s="105" t="s">
        <v>1387</v>
      </c>
      <c r="F104" s="105" t="s">
        <v>1388</v>
      </c>
      <c r="G104" s="105" t="s">
        <v>1389</v>
      </c>
      <c r="H104" s="105" t="s">
        <v>1406</v>
      </c>
      <c r="I104" s="105" t="s">
        <v>1390</v>
      </c>
      <c r="J104" s="105" t="s">
        <v>1391</v>
      </c>
      <c r="K104" s="105" t="s">
        <v>1392</v>
      </c>
      <c r="L104" s="276" t="s">
        <v>1188</v>
      </c>
      <c r="M104" s="105" t="s">
        <v>1437</v>
      </c>
      <c r="N104" s="105" t="s">
        <v>1348</v>
      </c>
      <c r="O104" s="105" t="s">
        <v>1393</v>
      </c>
      <c r="P104" s="105" t="s">
        <v>1342</v>
      </c>
      <c r="Q104" s="105" t="s">
        <v>1394</v>
      </c>
      <c r="R104" s="112" t="s">
        <v>1341</v>
      </c>
      <c r="S104" s="112" t="s">
        <v>846</v>
      </c>
      <c r="T104" s="873" t="s">
        <v>935</v>
      </c>
      <c r="U104" s="873" t="s">
        <v>936</v>
      </c>
      <c r="V104" s="873" t="s">
        <v>937</v>
      </c>
      <c r="W104" s="873" t="s">
        <v>938</v>
      </c>
      <c r="X104" s="873" t="s">
        <v>939</v>
      </c>
      <c r="Y104" s="873" t="s">
        <v>940</v>
      </c>
      <c r="Z104" s="873" t="s">
        <v>941</v>
      </c>
      <c r="AA104" s="873" t="s">
        <v>942</v>
      </c>
      <c r="AB104" s="873" t="s">
        <v>943</v>
      </c>
      <c r="AC104" s="873" t="s">
        <v>944</v>
      </c>
      <c r="AD104" s="873" t="s">
        <v>945</v>
      </c>
      <c r="AE104" s="873" t="s">
        <v>946</v>
      </c>
      <c r="AF104" s="873" t="s">
        <v>947</v>
      </c>
      <c r="AG104" s="873" t="s">
        <v>948</v>
      </c>
      <c r="AH104" s="6"/>
    </row>
    <row r="105" spans="1:34" ht="16" customHeight="1" thickTop="1">
      <c r="A105" s="7"/>
      <c r="B105" s="19" t="s">
        <v>1344</v>
      </c>
      <c r="C105" s="12"/>
      <c r="D105" s="186"/>
      <c r="E105" s="186"/>
      <c r="F105" s="186"/>
      <c r="G105" s="186"/>
      <c r="H105" s="186"/>
      <c r="I105" s="186"/>
      <c r="J105" s="186"/>
      <c r="K105" s="186"/>
      <c r="L105" s="278" t="s">
        <v>1429</v>
      </c>
      <c r="M105" s="186"/>
      <c r="N105" s="37" t="str">
        <f>J$6</f>
        <v>FY2010-11</v>
      </c>
      <c r="O105" s="186"/>
      <c r="P105" s="37" t="s">
        <v>1347</v>
      </c>
      <c r="Q105" s="189" t="s">
        <v>1339</v>
      </c>
      <c r="R105" s="186"/>
      <c r="S105" s="187"/>
      <c r="T105" s="187"/>
      <c r="U105" s="187"/>
      <c r="V105" s="188"/>
      <c r="W105" s="188"/>
      <c r="X105" s="188"/>
      <c r="Y105" s="188"/>
      <c r="Z105" s="188"/>
      <c r="AA105" s="188"/>
      <c r="AB105" s="188"/>
      <c r="AC105" s="188"/>
      <c r="AD105" s="188"/>
      <c r="AE105" s="188"/>
      <c r="AF105" s="188"/>
      <c r="AG105" s="188"/>
      <c r="AH105" s="6"/>
    </row>
    <row r="106" spans="1:34" ht="16" customHeight="1">
      <c r="A106" s="7"/>
      <c r="B106" s="16">
        <f>DSUM('$REV-DB'!D35:AG374,"AMOUNT",'$REV-DSUM'!D104:AG111)</f>
        <v>39558360.810000002</v>
      </c>
      <c r="C106" s="12"/>
      <c r="D106" s="186"/>
      <c r="E106" s="186"/>
      <c r="F106" s="186"/>
      <c r="G106" s="186"/>
      <c r="H106" s="186"/>
      <c r="I106" s="186"/>
      <c r="J106" s="186"/>
      <c r="K106" s="186"/>
      <c r="L106" s="278" t="s">
        <v>1429</v>
      </c>
      <c r="M106" s="186"/>
      <c r="N106" s="37" t="str">
        <f t="shared" ref="N106:N111" si="9">J$6</f>
        <v>FY2010-11</v>
      </c>
      <c r="O106" s="186"/>
      <c r="P106" s="37" t="s">
        <v>1347</v>
      </c>
      <c r="Q106" s="189" t="s">
        <v>1339</v>
      </c>
      <c r="R106" s="186"/>
      <c r="S106" s="187"/>
      <c r="T106" s="187"/>
      <c r="U106" s="187"/>
      <c r="V106" s="188"/>
      <c r="W106" s="188"/>
      <c r="X106" s="188"/>
      <c r="Y106" s="188"/>
      <c r="Z106" s="188"/>
      <c r="AA106" s="188"/>
      <c r="AB106" s="188"/>
      <c r="AC106" s="188"/>
      <c r="AD106" s="188"/>
      <c r="AE106" s="188"/>
      <c r="AF106" s="188"/>
      <c r="AG106" s="188"/>
      <c r="AH106" s="6"/>
    </row>
    <row r="107" spans="1:34" ht="16" customHeight="1">
      <c r="A107" s="7"/>
      <c r="B107" s="10"/>
      <c r="C107" s="12"/>
      <c r="D107" s="186"/>
      <c r="E107" s="186"/>
      <c r="F107" s="186"/>
      <c r="G107" s="186"/>
      <c r="H107" s="186"/>
      <c r="I107" s="186"/>
      <c r="J107" s="186"/>
      <c r="K107" s="186"/>
      <c r="L107" s="278" t="s">
        <v>1429</v>
      </c>
      <c r="M107" s="186"/>
      <c r="N107" s="37" t="str">
        <f t="shared" si="9"/>
        <v>FY2010-11</v>
      </c>
      <c r="O107" s="186"/>
      <c r="P107" s="37" t="s">
        <v>1347</v>
      </c>
      <c r="Q107" s="189" t="s">
        <v>1339</v>
      </c>
      <c r="R107" s="186"/>
      <c r="S107" s="187"/>
      <c r="T107" s="187"/>
      <c r="U107" s="187"/>
      <c r="V107" s="188"/>
      <c r="W107" s="188"/>
      <c r="X107" s="188"/>
      <c r="Y107" s="188"/>
      <c r="Z107" s="188"/>
      <c r="AA107" s="188"/>
      <c r="AB107" s="188"/>
      <c r="AC107" s="188"/>
      <c r="AD107" s="188"/>
      <c r="AE107" s="188"/>
      <c r="AF107" s="188"/>
      <c r="AG107" s="188"/>
    </row>
    <row r="108" spans="1:34" ht="16" customHeight="1">
      <c r="A108" s="7"/>
      <c r="B108" s="10"/>
      <c r="C108" s="12"/>
      <c r="D108" s="186"/>
      <c r="E108" s="186"/>
      <c r="F108" s="186"/>
      <c r="G108" s="186"/>
      <c r="H108" s="186"/>
      <c r="I108" s="186"/>
      <c r="J108" s="186"/>
      <c r="K108" s="186"/>
      <c r="L108" s="278" t="s">
        <v>1429</v>
      </c>
      <c r="M108" s="186"/>
      <c r="N108" s="37" t="str">
        <f t="shared" si="9"/>
        <v>FY2010-11</v>
      </c>
      <c r="O108" s="186"/>
      <c r="P108" s="37" t="s">
        <v>1347</v>
      </c>
      <c r="Q108" s="189" t="s">
        <v>1339</v>
      </c>
      <c r="R108" s="186"/>
      <c r="S108" s="187"/>
      <c r="T108" s="187"/>
      <c r="U108" s="187"/>
      <c r="V108" s="188"/>
      <c r="W108" s="188"/>
      <c r="X108" s="188"/>
      <c r="Y108" s="188"/>
      <c r="Z108" s="188"/>
      <c r="AA108" s="188"/>
      <c r="AB108" s="188"/>
      <c r="AC108" s="188"/>
      <c r="AD108" s="188"/>
      <c r="AE108" s="188"/>
      <c r="AF108" s="188"/>
      <c r="AG108" s="188"/>
    </row>
    <row r="109" spans="1:34" ht="16" customHeight="1">
      <c r="A109" s="7"/>
      <c r="B109" s="10"/>
      <c r="C109" s="12"/>
      <c r="D109" s="186"/>
      <c r="E109" s="186"/>
      <c r="F109" s="186"/>
      <c r="G109" s="186"/>
      <c r="H109" s="186"/>
      <c r="I109" s="186"/>
      <c r="J109" s="186"/>
      <c r="K109" s="186"/>
      <c r="L109" s="278" t="s">
        <v>1429</v>
      </c>
      <c r="M109" s="186"/>
      <c r="N109" s="37" t="str">
        <f t="shared" si="9"/>
        <v>FY2010-11</v>
      </c>
      <c r="O109" s="186"/>
      <c r="P109" s="37" t="s">
        <v>1347</v>
      </c>
      <c r="Q109" s="189" t="s">
        <v>1339</v>
      </c>
      <c r="R109" s="186"/>
      <c r="S109" s="187"/>
      <c r="T109" s="187"/>
      <c r="U109" s="187"/>
      <c r="V109" s="188"/>
      <c r="W109" s="188"/>
      <c r="X109" s="188"/>
      <c r="Y109" s="188"/>
      <c r="Z109" s="188"/>
      <c r="AA109" s="188"/>
      <c r="AB109" s="188"/>
      <c r="AC109" s="188"/>
      <c r="AD109" s="188"/>
      <c r="AE109" s="188"/>
      <c r="AF109" s="188"/>
      <c r="AG109" s="188"/>
    </row>
    <row r="110" spans="1:34" ht="16" customHeight="1">
      <c r="A110" s="7"/>
      <c r="B110" s="10"/>
      <c r="C110" s="12"/>
      <c r="D110" s="186"/>
      <c r="E110" s="186"/>
      <c r="F110" s="186"/>
      <c r="G110" s="186"/>
      <c r="H110" s="186"/>
      <c r="I110" s="186"/>
      <c r="J110" s="186"/>
      <c r="K110" s="186"/>
      <c r="L110" s="278" t="s">
        <v>1429</v>
      </c>
      <c r="M110" s="186"/>
      <c r="N110" s="37" t="str">
        <f t="shared" si="9"/>
        <v>FY2010-11</v>
      </c>
      <c r="O110" s="186"/>
      <c r="P110" s="37" t="s">
        <v>1347</v>
      </c>
      <c r="Q110" s="189" t="s">
        <v>1339</v>
      </c>
      <c r="R110" s="186"/>
      <c r="S110" s="187"/>
      <c r="T110" s="187"/>
      <c r="U110" s="187"/>
      <c r="V110" s="188"/>
      <c r="W110" s="188"/>
      <c r="X110" s="188"/>
      <c r="Y110" s="188"/>
      <c r="Z110" s="188"/>
      <c r="AA110" s="188"/>
      <c r="AB110" s="188"/>
      <c r="AC110" s="188"/>
      <c r="AD110" s="188"/>
      <c r="AE110" s="188"/>
      <c r="AF110" s="188"/>
      <c r="AG110" s="188"/>
    </row>
    <row r="111" spans="1:34" ht="16" customHeight="1">
      <c r="A111" s="7"/>
      <c r="B111" s="10"/>
      <c r="C111" s="12"/>
      <c r="D111" s="186"/>
      <c r="E111" s="186"/>
      <c r="F111" s="186"/>
      <c r="G111" s="186"/>
      <c r="H111" s="186"/>
      <c r="I111" s="186"/>
      <c r="J111" s="186"/>
      <c r="K111" s="186"/>
      <c r="L111" s="278" t="s">
        <v>1429</v>
      </c>
      <c r="M111" s="186"/>
      <c r="N111" s="37" t="str">
        <f t="shared" si="9"/>
        <v>FY2010-11</v>
      </c>
      <c r="O111" s="186"/>
      <c r="P111" s="37" t="s">
        <v>1347</v>
      </c>
      <c r="Q111" s="189" t="s">
        <v>1339</v>
      </c>
      <c r="R111" s="186"/>
      <c r="S111" s="187"/>
      <c r="T111" s="187"/>
      <c r="U111" s="187"/>
      <c r="V111" s="188"/>
      <c r="W111" s="188"/>
      <c r="X111" s="188"/>
      <c r="Y111" s="188"/>
      <c r="Z111" s="188"/>
      <c r="AA111" s="188"/>
      <c r="AB111" s="188"/>
      <c r="AC111" s="188"/>
      <c r="AD111" s="188"/>
      <c r="AE111" s="188"/>
      <c r="AF111" s="188"/>
      <c r="AG111" s="188"/>
    </row>
    <row r="112" spans="1:34" ht="16" customHeight="1">
      <c r="A112" s="11"/>
      <c r="B112" s="12"/>
      <c r="C112" s="12"/>
      <c r="D112" s="13"/>
      <c r="E112" s="13"/>
      <c r="F112" s="14"/>
      <c r="G112" s="13"/>
      <c r="H112" s="14"/>
      <c r="I112" s="14"/>
      <c r="J112" s="13"/>
      <c r="K112" s="13"/>
      <c r="L112" s="279"/>
      <c r="M112" s="14"/>
      <c r="N112" s="14"/>
      <c r="O112" s="13"/>
      <c r="P112" s="14"/>
      <c r="Q112" s="14"/>
      <c r="R112" s="13"/>
      <c r="S112" s="13"/>
      <c r="T112" s="13"/>
      <c r="U112" s="13"/>
      <c r="V112" s="11"/>
      <c r="W112" s="11"/>
      <c r="X112" s="11"/>
      <c r="Y112" s="11"/>
      <c r="Z112" s="11"/>
      <c r="AA112" s="11"/>
      <c r="AB112" s="11"/>
      <c r="AC112" s="11"/>
      <c r="AD112" s="11"/>
      <c r="AE112" s="11"/>
      <c r="AF112" s="11"/>
      <c r="AG112" s="11"/>
    </row>
    <row r="113" spans="1:34" ht="16" customHeight="1" thickBot="1">
      <c r="A113" s="7"/>
      <c r="B113" s="19" t="s">
        <v>1395</v>
      </c>
      <c r="C113" s="7"/>
      <c r="D113" s="8"/>
      <c r="E113" s="8"/>
      <c r="F113" s="9"/>
      <c r="G113" s="8"/>
      <c r="H113" s="9"/>
      <c r="I113" s="9"/>
      <c r="J113" s="8"/>
      <c r="K113" s="8"/>
      <c r="L113" s="280"/>
      <c r="M113" s="9"/>
      <c r="N113" s="9"/>
      <c r="O113" s="8"/>
      <c r="P113" s="9"/>
      <c r="Q113" s="9"/>
      <c r="R113" s="8"/>
      <c r="S113" s="882"/>
      <c r="T113" s="883" t="str">
        <f>'$REV-DB'!$T$34</f>
        <v>Federal Revenues</v>
      </c>
      <c r="U113" s="883" t="str">
        <f>'$REV-DB'!$U$34</f>
        <v>local Revenues</v>
      </c>
      <c r="V113" s="883" t="str">
        <f>'$REV-DB'!$V$34</f>
        <v>Other Revenues</v>
      </c>
      <c r="W113" s="883" t="str">
        <f>'$REV-DB'!$W$34</f>
        <v>State revenues</v>
      </c>
      <c r="X113" s="883" t="str">
        <f>'$REV-DB'!$X$34</f>
        <v>UD5</v>
      </c>
      <c r="Y113" s="883" t="str">
        <f>'$REV-DB'!$Y$34</f>
        <v>UD6</v>
      </c>
      <c r="Z113" s="883" t="str">
        <f>'$REV-DB'!$Z$34</f>
        <v>UD7</v>
      </c>
      <c r="AA113" s="883" t="str">
        <f>'$REV-DB'!$AA$34</f>
        <v>UD8</v>
      </c>
      <c r="AB113" s="883" t="str">
        <f>'$REV-DB'!$AB$34</f>
        <v>UD9</v>
      </c>
      <c r="AC113" s="883" t="str">
        <f>'$REV-DB'!$AC$34</f>
        <v>UD10</v>
      </c>
      <c r="AD113" s="883" t="str">
        <f>'$REV-DB'!$AD$34</f>
        <v>UD11</v>
      </c>
      <c r="AE113" s="883" t="str">
        <f>'$REV-DB'!$AE$34</f>
        <v>UD12</v>
      </c>
      <c r="AF113" s="883" t="str">
        <f>'$REV-DB'!$AF$34</f>
        <v>UD13</v>
      </c>
      <c r="AG113" s="883" t="str">
        <f>'$REV-DB'!$AG$34</f>
        <v>UD14</v>
      </c>
    </row>
    <row r="114" spans="1:34" ht="16" customHeight="1" thickTop="1" thickBot="1">
      <c r="A114" s="7"/>
      <c r="B114" s="20" t="s">
        <v>1375</v>
      </c>
      <c r="C114" s="15"/>
      <c r="D114" s="105" t="s">
        <v>1386</v>
      </c>
      <c r="E114" s="105" t="s">
        <v>1387</v>
      </c>
      <c r="F114" s="105" t="s">
        <v>1388</v>
      </c>
      <c r="G114" s="105" t="s">
        <v>1389</v>
      </c>
      <c r="H114" s="105" t="s">
        <v>1406</v>
      </c>
      <c r="I114" s="105" t="s">
        <v>1390</v>
      </c>
      <c r="J114" s="105" t="s">
        <v>1391</v>
      </c>
      <c r="K114" s="105" t="s">
        <v>1392</v>
      </c>
      <c r="L114" s="276" t="s">
        <v>1188</v>
      </c>
      <c r="M114" s="105" t="s">
        <v>1437</v>
      </c>
      <c r="N114" s="105" t="s">
        <v>1348</v>
      </c>
      <c r="O114" s="105" t="s">
        <v>1393</v>
      </c>
      <c r="P114" s="105" t="s">
        <v>1342</v>
      </c>
      <c r="Q114" s="105" t="s">
        <v>1394</v>
      </c>
      <c r="R114" s="112" t="s">
        <v>1341</v>
      </c>
      <c r="S114" s="112" t="s">
        <v>846</v>
      </c>
      <c r="T114" s="873" t="s">
        <v>935</v>
      </c>
      <c r="U114" s="873" t="s">
        <v>936</v>
      </c>
      <c r="V114" s="873" t="s">
        <v>937</v>
      </c>
      <c r="W114" s="873" t="s">
        <v>938</v>
      </c>
      <c r="X114" s="873" t="s">
        <v>939</v>
      </c>
      <c r="Y114" s="873" t="s">
        <v>940</v>
      </c>
      <c r="Z114" s="873" t="s">
        <v>941</v>
      </c>
      <c r="AA114" s="873" t="s">
        <v>942</v>
      </c>
      <c r="AB114" s="873" t="s">
        <v>943</v>
      </c>
      <c r="AC114" s="873" t="s">
        <v>944</v>
      </c>
      <c r="AD114" s="873" t="s">
        <v>945</v>
      </c>
      <c r="AE114" s="873" t="s">
        <v>946</v>
      </c>
      <c r="AF114" s="873" t="s">
        <v>947</v>
      </c>
      <c r="AG114" s="873" t="s">
        <v>948</v>
      </c>
      <c r="AH114" s="6"/>
    </row>
    <row r="115" spans="1:34" ht="16" customHeight="1" thickTop="1">
      <c r="A115" s="7"/>
      <c r="B115" s="19" t="s">
        <v>1343</v>
      </c>
      <c r="C115" s="12"/>
      <c r="D115" s="186"/>
      <c r="E115" s="186"/>
      <c r="F115" s="186"/>
      <c r="G115" s="186"/>
      <c r="H115" s="186"/>
      <c r="I115" s="186"/>
      <c r="J115" s="186"/>
      <c r="K115" s="186"/>
      <c r="L115" s="278" t="s">
        <v>1429</v>
      </c>
      <c r="M115" s="186"/>
      <c r="N115" s="37" t="str">
        <f>J$6</f>
        <v>FY2010-11</v>
      </c>
      <c r="O115" s="186"/>
      <c r="P115" s="37" t="s">
        <v>1347</v>
      </c>
      <c r="Q115" s="189" t="s">
        <v>1379</v>
      </c>
      <c r="R115" s="186"/>
      <c r="S115" s="187"/>
      <c r="T115" s="187"/>
      <c r="U115" s="187"/>
      <c r="V115" s="188"/>
      <c r="W115" s="188"/>
      <c r="X115" s="188"/>
      <c r="Y115" s="188"/>
      <c r="Z115" s="188"/>
      <c r="AA115" s="188"/>
      <c r="AB115" s="188"/>
      <c r="AC115" s="188"/>
      <c r="AD115" s="188"/>
      <c r="AE115" s="188"/>
      <c r="AF115" s="188"/>
      <c r="AG115" s="188"/>
      <c r="AH115" s="6"/>
    </row>
    <row r="116" spans="1:34" ht="16" customHeight="1">
      <c r="A116" s="7"/>
      <c r="B116" s="16">
        <f>DSUM('$REV-DB'!D35:AG374,"AMOUNT",'$REV-DSUM'!D114:AG121)</f>
        <v>0</v>
      </c>
      <c r="C116" s="12"/>
      <c r="D116" s="186"/>
      <c r="E116" s="186"/>
      <c r="F116" s="186"/>
      <c r="G116" s="186"/>
      <c r="H116" s="186"/>
      <c r="I116" s="186"/>
      <c r="J116" s="186"/>
      <c r="K116" s="186"/>
      <c r="L116" s="278" t="s">
        <v>1429</v>
      </c>
      <c r="M116" s="186"/>
      <c r="N116" s="37" t="str">
        <f t="shared" ref="N116:N121" si="10">J$6</f>
        <v>FY2010-11</v>
      </c>
      <c r="O116" s="186"/>
      <c r="P116" s="37" t="s">
        <v>1347</v>
      </c>
      <c r="Q116" s="189" t="s">
        <v>1379</v>
      </c>
      <c r="R116" s="186"/>
      <c r="S116" s="187"/>
      <c r="T116" s="187"/>
      <c r="U116" s="187"/>
      <c r="V116" s="188"/>
      <c r="W116" s="188"/>
      <c r="X116" s="188"/>
      <c r="Y116" s="188"/>
      <c r="Z116" s="188"/>
      <c r="AA116" s="188"/>
      <c r="AB116" s="188"/>
      <c r="AC116" s="188"/>
      <c r="AD116" s="188"/>
      <c r="AE116" s="188"/>
      <c r="AF116" s="188"/>
      <c r="AG116" s="188"/>
      <c r="AH116" s="6"/>
    </row>
    <row r="117" spans="1:34" ht="16" customHeight="1">
      <c r="A117" s="7"/>
      <c r="B117" s="10"/>
      <c r="C117" s="12"/>
      <c r="D117" s="186"/>
      <c r="E117" s="186"/>
      <c r="F117" s="186"/>
      <c r="G117" s="186"/>
      <c r="H117" s="186"/>
      <c r="I117" s="186"/>
      <c r="J117" s="186"/>
      <c r="K117" s="186"/>
      <c r="L117" s="278" t="s">
        <v>1429</v>
      </c>
      <c r="M117" s="186"/>
      <c r="N117" s="37" t="str">
        <f t="shared" si="10"/>
        <v>FY2010-11</v>
      </c>
      <c r="O117" s="186"/>
      <c r="P117" s="37" t="s">
        <v>1347</v>
      </c>
      <c r="Q117" s="189" t="s">
        <v>1379</v>
      </c>
      <c r="R117" s="186"/>
      <c r="S117" s="187"/>
      <c r="T117" s="187"/>
      <c r="U117" s="187"/>
      <c r="V117" s="188"/>
      <c r="W117" s="188"/>
      <c r="X117" s="188"/>
      <c r="Y117" s="188"/>
      <c r="Z117" s="188"/>
      <c r="AA117" s="188"/>
      <c r="AB117" s="188"/>
      <c r="AC117" s="188"/>
      <c r="AD117" s="188"/>
      <c r="AE117" s="188"/>
      <c r="AF117" s="188"/>
      <c r="AG117" s="188"/>
    </row>
    <row r="118" spans="1:34" ht="16" customHeight="1">
      <c r="A118" s="7"/>
      <c r="B118" s="10"/>
      <c r="C118" s="12"/>
      <c r="D118" s="186"/>
      <c r="E118" s="186"/>
      <c r="F118" s="186"/>
      <c r="G118" s="186"/>
      <c r="H118" s="186"/>
      <c r="I118" s="186"/>
      <c r="J118" s="186"/>
      <c r="K118" s="186"/>
      <c r="L118" s="278" t="s">
        <v>1429</v>
      </c>
      <c r="M118" s="186"/>
      <c r="N118" s="37" t="str">
        <f t="shared" si="10"/>
        <v>FY2010-11</v>
      </c>
      <c r="O118" s="186"/>
      <c r="P118" s="37" t="s">
        <v>1347</v>
      </c>
      <c r="Q118" s="189" t="s">
        <v>1379</v>
      </c>
      <c r="R118" s="186"/>
      <c r="S118" s="187"/>
      <c r="T118" s="187"/>
      <c r="U118" s="187"/>
      <c r="V118" s="188"/>
      <c r="W118" s="188"/>
      <c r="X118" s="188"/>
      <c r="Y118" s="188"/>
      <c r="Z118" s="188"/>
      <c r="AA118" s="188"/>
      <c r="AB118" s="188"/>
      <c r="AC118" s="188"/>
      <c r="AD118" s="188"/>
      <c r="AE118" s="188"/>
      <c r="AF118" s="188"/>
      <c r="AG118" s="188"/>
    </row>
    <row r="119" spans="1:34" ht="16" customHeight="1">
      <c r="A119" s="7"/>
      <c r="B119" s="10"/>
      <c r="C119" s="12"/>
      <c r="D119" s="186"/>
      <c r="E119" s="186"/>
      <c r="F119" s="186"/>
      <c r="G119" s="186"/>
      <c r="H119" s="186"/>
      <c r="I119" s="186"/>
      <c r="J119" s="186"/>
      <c r="K119" s="186"/>
      <c r="L119" s="278" t="s">
        <v>1429</v>
      </c>
      <c r="M119" s="186"/>
      <c r="N119" s="37" t="str">
        <f t="shared" si="10"/>
        <v>FY2010-11</v>
      </c>
      <c r="O119" s="186"/>
      <c r="P119" s="37" t="s">
        <v>1347</v>
      </c>
      <c r="Q119" s="189" t="s">
        <v>1379</v>
      </c>
      <c r="R119" s="186"/>
      <c r="S119" s="187"/>
      <c r="T119" s="187"/>
      <c r="U119" s="187"/>
      <c r="V119" s="188"/>
      <c r="W119" s="188"/>
      <c r="X119" s="188"/>
      <c r="Y119" s="188"/>
      <c r="Z119" s="188"/>
      <c r="AA119" s="188"/>
      <c r="AB119" s="188"/>
      <c r="AC119" s="188"/>
      <c r="AD119" s="188"/>
      <c r="AE119" s="188"/>
      <c r="AF119" s="188"/>
      <c r="AG119" s="188"/>
    </row>
    <row r="120" spans="1:34" ht="16" customHeight="1">
      <c r="A120" s="7"/>
      <c r="B120" s="10"/>
      <c r="C120" s="12"/>
      <c r="D120" s="186"/>
      <c r="E120" s="186"/>
      <c r="F120" s="186"/>
      <c r="G120" s="186"/>
      <c r="H120" s="186"/>
      <c r="I120" s="186"/>
      <c r="J120" s="186"/>
      <c r="K120" s="186"/>
      <c r="L120" s="278" t="s">
        <v>1429</v>
      </c>
      <c r="M120" s="186"/>
      <c r="N120" s="37" t="str">
        <f t="shared" si="10"/>
        <v>FY2010-11</v>
      </c>
      <c r="O120" s="186"/>
      <c r="P120" s="37" t="s">
        <v>1347</v>
      </c>
      <c r="Q120" s="189" t="s">
        <v>1379</v>
      </c>
      <c r="R120" s="186"/>
      <c r="S120" s="187"/>
      <c r="T120" s="187"/>
      <c r="U120" s="187"/>
      <c r="V120" s="188"/>
      <c r="W120" s="188"/>
      <c r="X120" s="188"/>
      <c r="Y120" s="188"/>
      <c r="Z120" s="188"/>
      <c r="AA120" s="188"/>
      <c r="AB120" s="188"/>
      <c r="AC120" s="188"/>
      <c r="AD120" s="188"/>
      <c r="AE120" s="188"/>
      <c r="AF120" s="188"/>
      <c r="AG120" s="188"/>
    </row>
    <row r="121" spans="1:34" ht="16" customHeight="1">
      <c r="A121" s="7"/>
      <c r="B121" s="10"/>
      <c r="C121" s="12"/>
      <c r="D121" s="186"/>
      <c r="E121" s="186"/>
      <c r="F121" s="186"/>
      <c r="G121" s="186"/>
      <c r="H121" s="186"/>
      <c r="I121" s="186"/>
      <c r="J121" s="186"/>
      <c r="K121" s="186"/>
      <c r="L121" s="278" t="s">
        <v>1429</v>
      </c>
      <c r="M121" s="186"/>
      <c r="N121" s="37" t="str">
        <f t="shared" si="10"/>
        <v>FY2010-11</v>
      </c>
      <c r="O121" s="186"/>
      <c r="P121" s="37" t="s">
        <v>1347</v>
      </c>
      <c r="Q121" s="189" t="s">
        <v>1379</v>
      </c>
      <c r="R121" s="186"/>
      <c r="S121" s="187"/>
      <c r="T121" s="187"/>
      <c r="U121" s="187"/>
      <c r="V121" s="188"/>
      <c r="W121" s="188"/>
      <c r="X121" s="188"/>
      <c r="Y121" s="188"/>
      <c r="Z121" s="188"/>
      <c r="AA121" s="188"/>
      <c r="AB121" s="188"/>
      <c r="AC121" s="188"/>
      <c r="AD121" s="188"/>
      <c r="AE121" s="188"/>
      <c r="AF121" s="188"/>
      <c r="AG121" s="188"/>
    </row>
    <row r="122" spans="1:34" ht="16" customHeight="1">
      <c r="A122" s="11"/>
      <c r="B122" s="12"/>
      <c r="C122" s="12"/>
      <c r="D122" s="13"/>
      <c r="E122" s="13"/>
      <c r="F122" s="14"/>
      <c r="G122" s="13"/>
      <c r="H122" s="14"/>
      <c r="I122" s="14"/>
      <c r="J122" s="13"/>
      <c r="K122" s="13"/>
      <c r="L122" s="279"/>
      <c r="M122" s="14"/>
      <c r="N122" s="14"/>
      <c r="O122" s="13"/>
      <c r="P122" s="14"/>
      <c r="Q122" s="14"/>
      <c r="R122" s="13"/>
      <c r="S122" s="13"/>
      <c r="T122" s="13"/>
      <c r="U122" s="13"/>
      <c r="V122" s="11"/>
      <c r="W122" s="11"/>
      <c r="X122" s="11"/>
      <c r="Y122" s="11"/>
      <c r="Z122" s="11"/>
      <c r="AA122" s="11"/>
      <c r="AB122" s="11"/>
      <c r="AC122" s="11"/>
      <c r="AD122" s="11"/>
      <c r="AE122" s="11"/>
      <c r="AF122" s="11"/>
      <c r="AG122" s="11"/>
    </row>
    <row r="123" spans="1:34" ht="16" customHeight="1" thickBot="1">
      <c r="A123" s="7"/>
      <c r="B123" s="19" t="s">
        <v>1395</v>
      </c>
      <c r="C123" s="7"/>
      <c r="D123" s="8"/>
      <c r="E123" s="8"/>
      <c r="F123" s="9"/>
      <c r="G123" s="8"/>
      <c r="H123" s="9"/>
      <c r="I123" s="9"/>
      <c r="J123" s="8"/>
      <c r="K123" s="8"/>
      <c r="L123" s="280"/>
      <c r="M123" s="9"/>
      <c r="N123" s="9"/>
      <c r="O123" s="8"/>
      <c r="P123" s="9"/>
      <c r="Q123" s="9"/>
      <c r="R123" s="8"/>
      <c r="S123" s="882"/>
      <c r="T123" s="883" t="str">
        <f>'$REV-DB'!$T$34</f>
        <v>Federal Revenues</v>
      </c>
      <c r="U123" s="883" t="str">
        <f>'$REV-DB'!$U$34</f>
        <v>local Revenues</v>
      </c>
      <c r="V123" s="883" t="str">
        <f>'$REV-DB'!$V$34</f>
        <v>Other Revenues</v>
      </c>
      <c r="W123" s="883" t="str">
        <f>'$REV-DB'!$W$34</f>
        <v>State revenues</v>
      </c>
      <c r="X123" s="883" t="str">
        <f>'$REV-DB'!$X$34</f>
        <v>UD5</v>
      </c>
      <c r="Y123" s="883" t="str">
        <f>'$REV-DB'!$Y$34</f>
        <v>UD6</v>
      </c>
      <c r="Z123" s="883" t="str">
        <f>'$REV-DB'!$Z$34</f>
        <v>UD7</v>
      </c>
      <c r="AA123" s="883" t="str">
        <f>'$REV-DB'!$AA$34</f>
        <v>UD8</v>
      </c>
      <c r="AB123" s="883" t="str">
        <f>'$REV-DB'!$AB$34</f>
        <v>UD9</v>
      </c>
      <c r="AC123" s="883" t="str">
        <f>'$REV-DB'!$AC$34</f>
        <v>UD10</v>
      </c>
      <c r="AD123" s="883" t="str">
        <f>'$REV-DB'!$AD$34</f>
        <v>UD11</v>
      </c>
      <c r="AE123" s="883" t="str">
        <f>'$REV-DB'!$AE$34</f>
        <v>UD12</v>
      </c>
      <c r="AF123" s="883" t="str">
        <f>'$REV-DB'!$AF$34</f>
        <v>UD13</v>
      </c>
      <c r="AG123" s="883" t="str">
        <f>'$REV-DB'!$AG$34</f>
        <v>UD14</v>
      </c>
    </row>
    <row r="124" spans="1:34" ht="16" customHeight="1" thickTop="1" thickBot="1">
      <c r="A124" s="7"/>
      <c r="B124" s="20" t="s">
        <v>1375</v>
      </c>
      <c r="C124" s="15"/>
      <c r="D124" s="105" t="s">
        <v>1386</v>
      </c>
      <c r="E124" s="105" t="s">
        <v>1387</v>
      </c>
      <c r="F124" s="105" t="s">
        <v>1388</v>
      </c>
      <c r="G124" s="105" t="s">
        <v>1389</v>
      </c>
      <c r="H124" s="105" t="s">
        <v>1406</v>
      </c>
      <c r="I124" s="105" t="s">
        <v>1390</v>
      </c>
      <c r="J124" s="105" t="s">
        <v>1391</v>
      </c>
      <c r="K124" s="105" t="s">
        <v>1392</v>
      </c>
      <c r="L124" s="276" t="s">
        <v>1188</v>
      </c>
      <c r="M124" s="105" t="s">
        <v>1437</v>
      </c>
      <c r="N124" s="105" t="s">
        <v>1348</v>
      </c>
      <c r="O124" s="105" t="s">
        <v>1393</v>
      </c>
      <c r="P124" s="105" t="s">
        <v>1342</v>
      </c>
      <c r="Q124" s="105" t="s">
        <v>1394</v>
      </c>
      <c r="R124" s="112" t="s">
        <v>1341</v>
      </c>
      <c r="S124" s="112" t="s">
        <v>846</v>
      </c>
      <c r="T124" s="873" t="s">
        <v>935</v>
      </c>
      <c r="U124" s="873" t="s">
        <v>936</v>
      </c>
      <c r="V124" s="873" t="s">
        <v>937</v>
      </c>
      <c r="W124" s="873" t="s">
        <v>938</v>
      </c>
      <c r="X124" s="873" t="s">
        <v>939</v>
      </c>
      <c r="Y124" s="873" t="s">
        <v>940</v>
      </c>
      <c r="Z124" s="873" t="s">
        <v>941</v>
      </c>
      <c r="AA124" s="873" t="s">
        <v>942</v>
      </c>
      <c r="AB124" s="873" t="s">
        <v>943</v>
      </c>
      <c r="AC124" s="873" t="s">
        <v>944</v>
      </c>
      <c r="AD124" s="873" t="s">
        <v>945</v>
      </c>
      <c r="AE124" s="873" t="s">
        <v>946</v>
      </c>
      <c r="AF124" s="873" t="s">
        <v>947</v>
      </c>
      <c r="AG124" s="873" t="s">
        <v>948</v>
      </c>
      <c r="AH124" s="6"/>
    </row>
    <row r="125" spans="1:34" ht="16" customHeight="1" thickTop="1">
      <c r="A125" s="7"/>
      <c r="B125" s="19" t="s">
        <v>1349</v>
      </c>
      <c r="C125" s="12"/>
      <c r="D125" s="186"/>
      <c r="E125" s="186"/>
      <c r="F125" s="186"/>
      <c r="G125" s="186"/>
      <c r="H125" s="186"/>
      <c r="I125" s="186"/>
      <c r="J125" s="186"/>
      <c r="K125" s="186"/>
      <c r="L125" s="278" t="s">
        <v>1429</v>
      </c>
      <c r="M125" s="186"/>
      <c r="N125" s="37" t="str">
        <f>J$6</f>
        <v>FY2010-11</v>
      </c>
      <c r="O125" s="186"/>
      <c r="P125" s="37" t="s">
        <v>1347</v>
      </c>
      <c r="Q125" s="189" t="s">
        <v>1397</v>
      </c>
      <c r="R125" s="186"/>
      <c r="S125" s="187"/>
      <c r="T125" s="187"/>
      <c r="U125" s="187"/>
      <c r="V125" s="188"/>
      <c r="W125" s="188"/>
      <c r="X125" s="188"/>
      <c r="Y125" s="188"/>
      <c r="Z125" s="188"/>
      <c r="AA125" s="188"/>
      <c r="AB125" s="188"/>
      <c r="AC125" s="188"/>
      <c r="AD125" s="188"/>
      <c r="AE125" s="188"/>
      <c r="AF125" s="188"/>
      <c r="AG125" s="188"/>
      <c r="AH125" s="6"/>
    </row>
    <row r="126" spans="1:34" ht="16" customHeight="1">
      <c r="A126" s="7"/>
      <c r="B126" s="16">
        <f>DSUM('$REV-DB'!D35:AG374,"AMOUNT",'$REV-DSUM'!D124:AG131)</f>
        <v>5966380.5599999996</v>
      </c>
      <c r="C126" s="12"/>
      <c r="D126" s="186"/>
      <c r="E126" s="186"/>
      <c r="F126" s="186"/>
      <c r="G126" s="186"/>
      <c r="H126" s="186"/>
      <c r="I126" s="186"/>
      <c r="J126" s="186"/>
      <c r="K126" s="186"/>
      <c r="L126" s="278" t="s">
        <v>1429</v>
      </c>
      <c r="M126" s="186"/>
      <c r="N126" s="37" t="str">
        <f t="shared" ref="N126:N131" si="11">J$6</f>
        <v>FY2010-11</v>
      </c>
      <c r="O126" s="186"/>
      <c r="P126" s="37" t="s">
        <v>1347</v>
      </c>
      <c r="Q126" s="189" t="s">
        <v>1397</v>
      </c>
      <c r="R126" s="186"/>
      <c r="S126" s="187"/>
      <c r="T126" s="187"/>
      <c r="U126" s="187"/>
      <c r="V126" s="188"/>
      <c r="W126" s="188"/>
      <c r="X126" s="188"/>
      <c r="Y126" s="188"/>
      <c r="Z126" s="188"/>
      <c r="AA126" s="188"/>
      <c r="AB126" s="188"/>
      <c r="AC126" s="188"/>
      <c r="AD126" s="188"/>
      <c r="AE126" s="188"/>
      <c r="AF126" s="188"/>
      <c r="AG126" s="188"/>
      <c r="AH126" s="6"/>
    </row>
    <row r="127" spans="1:34" ht="16" customHeight="1">
      <c r="A127" s="7"/>
      <c r="B127" s="10"/>
      <c r="C127" s="12"/>
      <c r="D127" s="186"/>
      <c r="E127" s="186"/>
      <c r="F127" s="186"/>
      <c r="G127" s="186"/>
      <c r="H127" s="186"/>
      <c r="I127" s="186"/>
      <c r="J127" s="186"/>
      <c r="K127" s="186"/>
      <c r="L127" s="278" t="s">
        <v>1429</v>
      </c>
      <c r="M127" s="186"/>
      <c r="N127" s="37" t="str">
        <f t="shared" si="11"/>
        <v>FY2010-11</v>
      </c>
      <c r="O127" s="186"/>
      <c r="P127" s="37" t="s">
        <v>1347</v>
      </c>
      <c r="Q127" s="189" t="s">
        <v>1397</v>
      </c>
      <c r="R127" s="186"/>
      <c r="S127" s="187"/>
      <c r="T127" s="187"/>
      <c r="U127" s="187"/>
      <c r="V127" s="188"/>
      <c r="W127" s="188"/>
      <c r="X127" s="188"/>
      <c r="Y127" s="188"/>
      <c r="Z127" s="188"/>
      <c r="AA127" s="188"/>
      <c r="AB127" s="188"/>
      <c r="AC127" s="188"/>
      <c r="AD127" s="188"/>
      <c r="AE127" s="188"/>
      <c r="AF127" s="188"/>
      <c r="AG127" s="188"/>
    </row>
    <row r="128" spans="1:34" ht="16" customHeight="1">
      <c r="A128" s="7"/>
      <c r="B128" s="10"/>
      <c r="C128" s="12"/>
      <c r="D128" s="186"/>
      <c r="E128" s="186"/>
      <c r="F128" s="186"/>
      <c r="G128" s="186"/>
      <c r="H128" s="186"/>
      <c r="I128" s="186"/>
      <c r="J128" s="186"/>
      <c r="K128" s="186"/>
      <c r="L128" s="278" t="s">
        <v>1429</v>
      </c>
      <c r="M128" s="186"/>
      <c r="N128" s="37" t="str">
        <f t="shared" si="11"/>
        <v>FY2010-11</v>
      </c>
      <c r="O128" s="186"/>
      <c r="P128" s="37" t="s">
        <v>1347</v>
      </c>
      <c r="Q128" s="189" t="s">
        <v>1397</v>
      </c>
      <c r="R128" s="186"/>
      <c r="S128" s="187"/>
      <c r="T128" s="187"/>
      <c r="U128" s="187"/>
      <c r="V128" s="188"/>
      <c r="W128" s="188"/>
      <c r="X128" s="188"/>
      <c r="Y128" s="188"/>
      <c r="Z128" s="188"/>
      <c r="AA128" s="188"/>
      <c r="AB128" s="188"/>
      <c r="AC128" s="188"/>
      <c r="AD128" s="188"/>
      <c r="AE128" s="188"/>
      <c r="AF128" s="188"/>
      <c r="AG128" s="188"/>
    </row>
    <row r="129" spans="1:34" ht="16" customHeight="1">
      <c r="A129" s="7"/>
      <c r="B129" s="10"/>
      <c r="C129" s="12"/>
      <c r="D129" s="186"/>
      <c r="E129" s="186"/>
      <c r="F129" s="186"/>
      <c r="G129" s="186"/>
      <c r="H129" s="186"/>
      <c r="I129" s="186"/>
      <c r="J129" s="186"/>
      <c r="K129" s="186"/>
      <c r="L129" s="278" t="s">
        <v>1429</v>
      </c>
      <c r="M129" s="186"/>
      <c r="N129" s="37" t="str">
        <f t="shared" si="11"/>
        <v>FY2010-11</v>
      </c>
      <c r="O129" s="186"/>
      <c r="P129" s="37" t="s">
        <v>1347</v>
      </c>
      <c r="Q129" s="189" t="s">
        <v>1397</v>
      </c>
      <c r="R129" s="186"/>
      <c r="S129" s="187"/>
      <c r="T129" s="187"/>
      <c r="U129" s="187"/>
      <c r="V129" s="188"/>
      <c r="W129" s="188"/>
      <c r="X129" s="188"/>
      <c r="Y129" s="188"/>
      <c r="Z129" s="188"/>
      <c r="AA129" s="188"/>
      <c r="AB129" s="188"/>
      <c r="AC129" s="188"/>
      <c r="AD129" s="188"/>
      <c r="AE129" s="188"/>
      <c r="AF129" s="188"/>
      <c r="AG129" s="188"/>
    </row>
    <row r="130" spans="1:34" ht="16" customHeight="1">
      <c r="A130" s="7"/>
      <c r="B130" s="10"/>
      <c r="C130" s="12"/>
      <c r="D130" s="186"/>
      <c r="E130" s="186"/>
      <c r="F130" s="186"/>
      <c r="G130" s="186"/>
      <c r="H130" s="186"/>
      <c r="I130" s="186"/>
      <c r="J130" s="186"/>
      <c r="K130" s="186"/>
      <c r="L130" s="278" t="s">
        <v>1429</v>
      </c>
      <c r="M130" s="186"/>
      <c r="N130" s="37" t="str">
        <f t="shared" si="11"/>
        <v>FY2010-11</v>
      </c>
      <c r="O130" s="186"/>
      <c r="P130" s="37" t="s">
        <v>1347</v>
      </c>
      <c r="Q130" s="189" t="s">
        <v>1397</v>
      </c>
      <c r="R130" s="186"/>
      <c r="S130" s="187"/>
      <c r="T130" s="187"/>
      <c r="U130" s="187"/>
      <c r="V130" s="188"/>
      <c r="W130" s="188"/>
      <c r="X130" s="188"/>
      <c r="Y130" s="188"/>
      <c r="Z130" s="188"/>
      <c r="AA130" s="188"/>
      <c r="AB130" s="188"/>
      <c r="AC130" s="188"/>
      <c r="AD130" s="188"/>
      <c r="AE130" s="188"/>
      <c r="AF130" s="188"/>
      <c r="AG130" s="188"/>
    </row>
    <row r="131" spans="1:34" ht="16" customHeight="1">
      <c r="A131" s="7"/>
      <c r="B131" s="10"/>
      <c r="C131" s="12"/>
      <c r="D131" s="186"/>
      <c r="E131" s="186"/>
      <c r="F131" s="186"/>
      <c r="G131" s="186"/>
      <c r="H131" s="186"/>
      <c r="I131" s="186"/>
      <c r="J131" s="186"/>
      <c r="K131" s="186"/>
      <c r="L131" s="278" t="s">
        <v>1429</v>
      </c>
      <c r="M131" s="186"/>
      <c r="N131" s="37" t="str">
        <f t="shared" si="11"/>
        <v>FY2010-11</v>
      </c>
      <c r="O131" s="186"/>
      <c r="P131" s="37" t="s">
        <v>1347</v>
      </c>
      <c r="Q131" s="189" t="s">
        <v>1397</v>
      </c>
      <c r="R131" s="186"/>
      <c r="S131" s="187"/>
      <c r="T131" s="187"/>
      <c r="U131" s="187"/>
      <c r="V131" s="188"/>
      <c r="W131" s="188"/>
      <c r="X131" s="188"/>
      <c r="Y131" s="188"/>
      <c r="Z131" s="188"/>
      <c r="AA131" s="188"/>
      <c r="AB131" s="188"/>
      <c r="AC131" s="188"/>
      <c r="AD131" s="188"/>
      <c r="AE131" s="188"/>
      <c r="AF131" s="188"/>
      <c r="AG131" s="188"/>
    </row>
    <row r="132" spans="1:34" ht="16" customHeight="1">
      <c r="A132" s="11"/>
      <c r="B132" s="12"/>
      <c r="C132" s="12"/>
      <c r="D132" s="13"/>
      <c r="E132" s="13"/>
      <c r="F132" s="14"/>
      <c r="G132" s="13"/>
      <c r="H132" s="14"/>
      <c r="I132" s="14"/>
      <c r="J132" s="13"/>
      <c r="K132" s="13"/>
      <c r="L132" s="279"/>
      <c r="M132" s="14"/>
      <c r="N132" s="14"/>
      <c r="O132" s="13"/>
      <c r="P132" s="14"/>
      <c r="Q132" s="14"/>
      <c r="R132" s="13"/>
      <c r="S132" s="13"/>
      <c r="T132" s="13"/>
      <c r="U132" s="13"/>
      <c r="V132" s="11"/>
      <c r="W132" s="11"/>
      <c r="X132" s="11"/>
      <c r="Y132" s="11"/>
      <c r="Z132" s="11"/>
      <c r="AA132" s="11"/>
      <c r="AB132" s="11"/>
      <c r="AC132" s="11"/>
      <c r="AD132" s="11"/>
      <c r="AE132" s="11"/>
      <c r="AF132" s="11"/>
      <c r="AG132" s="11"/>
    </row>
    <row r="133" spans="1:34" ht="16" customHeight="1" thickBot="1">
      <c r="A133" s="7"/>
      <c r="B133" s="19" t="s">
        <v>1395</v>
      </c>
      <c r="C133" s="7"/>
      <c r="D133" s="8"/>
      <c r="E133" s="8"/>
      <c r="F133" s="9"/>
      <c r="G133" s="8"/>
      <c r="H133" s="9"/>
      <c r="I133" s="9"/>
      <c r="J133" s="8"/>
      <c r="K133" s="8"/>
      <c r="L133" s="280"/>
      <c r="M133" s="9"/>
      <c r="N133" s="9"/>
      <c r="O133" s="8"/>
      <c r="P133" s="9"/>
      <c r="Q133" s="9"/>
      <c r="R133" s="8"/>
      <c r="S133" s="882"/>
      <c r="T133" s="883" t="str">
        <f>'$REV-DB'!$T$34</f>
        <v>Federal Revenues</v>
      </c>
      <c r="U133" s="883" t="str">
        <f>'$REV-DB'!$U$34</f>
        <v>local Revenues</v>
      </c>
      <c r="V133" s="883" t="str">
        <f>'$REV-DB'!$V$34</f>
        <v>Other Revenues</v>
      </c>
      <c r="W133" s="883" t="str">
        <f>'$REV-DB'!$W$34</f>
        <v>State revenues</v>
      </c>
      <c r="X133" s="883" t="str">
        <f>'$REV-DB'!$X$34</f>
        <v>UD5</v>
      </c>
      <c r="Y133" s="883" t="str">
        <f>'$REV-DB'!$Y$34</f>
        <v>UD6</v>
      </c>
      <c r="Z133" s="883" t="str">
        <f>'$REV-DB'!$Z$34</f>
        <v>UD7</v>
      </c>
      <c r="AA133" s="883" t="str">
        <f>'$REV-DB'!$AA$34</f>
        <v>UD8</v>
      </c>
      <c r="AB133" s="883" t="str">
        <f>'$REV-DB'!$AB$34</f>
        <v>UD9</v>
      </c>
      <c r="AC133" s="883" t="str">
        <f>'$REV-DB'!$AC$34</f>
        <v>UD10</v>
      </c>
      <c r="AD133" s="883" t="str">
        <f>'$REV-DB'!$AD$34</f>
        <v>UD11</v>
      </c>
      <c r="AE133" s="883" t="str">
        <f>'$REV-DB'!$AE$34</f>
        <v>UD12</v>
      </c>
      <c r="AF133" s="883" t="str">
        <f>'$REV-DB'!$AF$34</f>
        <v>UD13</v>
      </c>
      <c r="AG133" s="883" t="str">
        <f>'$REV-DB'!$AG$34</f>
        <v>UD14</v>
      </c>
    </row>
    <row r="134" spans="1:34" ht="16" customHeight="1" thickTop="1" thickBot="1">
      <c r="A134" s="7"/>
      <c r="B134" s="20" t="s">
        <v>1375</v>
      </c>
      <c r="C134" s="15"/>
      <c r="D134" s="276" t="s">
        <v>1386</v>
      </c>
      <c r="E134" s="276" t="s">
        <v>1387</v>
      </c>
      <c r="F134" s="276" t="s">
        <v>1388</v>
      </c>
      <c r="G134" s="276" t="s">
        <v>1389</v>
      </c>
      <c r="H134" s="276" t="s">
        <v>1406</v>
      </c>
      <c r="I134" s="276" t="s">
        <v>1390</v>
      </c>
      <c r="J134" s="276" t="s">
        <v>1391</v>
      </c>
      <c r="K134" s="276" t="s">
        <v>1392</v>
      </c>
      <c r="L134" s="276" t="s">
        <v>1188</v>
      </c>
      <c r="M134" s="276" t="s">
        <v>1437</v>
      </c>
      <c r="N134" s="276" t="s">
        <v>1348</v>
      </c>
      <c r="O134" s="276" t="s">
        <v>1393</v>
      </c>
      <c r="P134" s="276" t="s">
        <v>1342</v>
      </c>
      <c r="Q134" s="276" t="s">
        <v>1394</v>
      </c>
      <c r="R134" s="112" t="s">
        <v>1341</v>
      </c>
      <c r="S134" s="112" t="s">
        <v>846</v>
      </c>
      <c r="T134" s="873" t="s">
        <v>935</v>
      </c>
      <c r="U134" s="873" t="s">
        <v>936</v>
      </c>
      <c r="V134" s="873" t="s">
        <v>937</v>
      </c>
      <c r="W134" s="873" t="s">
        <v>938</v>
      </c>
      <c r="X134" s="873" t="s">
        <v>939</v>
      </c>
      <c r="Y134" s="873" t="s">
        <v>940</v>
      </c>
      <c r="Z134" s="873" t="s">
        <v>941</v>
      </c>
      <c r="AA134" s="873" t="s">
        <v>942</v>
      </c>
      <c r="AB134" s="873" t="s">
        <v>943</v>
      </c>
      <c r="AC134" s="873" t="s">
        <v>944</v>
      </c>
      <c r="AD134" s="873" t="s">
        <v>945</v>
      </c>
      <c r="AE134" s="873" t="s">
        <v>946</v>
      </c>
      <c r="AF134" s="873" t="s">
        <v>947</v>
      </c>
      <c r="AG134" s="873" t="s">
        <v>948</v>
      </c>
      <c r="AH134" s="6"/>
    </row>
    <row r="135" spans="1:34" ht="16" customHeight="1" thickTop="1">
      <c r="A135" s="7"/>
      <c r="B135" s="19" t="s">
        <v>1178</v>
      </c>
      <c r="C135" s="12"/>
      <c r="D135" s="186"/>
      <c r="E135" s="186"/>
      <c r="F135" s="186"/>
      <c r="G135" s="186"/>
      <c r="H135" s="186"/>
      <c r="I135" s="186"/>
      <c r="J135" s="186"/>
      <c r="K135" s="186"/>
      <c r="L135" s="278" t="s">
        <v>1429</v>
      </c>
      <c r="M135" s="186"/>
      <c r="N135" s="37" t="str">
        <f>J$6</f>
        <v>FY2010-11</v>
      </c>
      <c r="O135" s="186"/>
      <c r="P135" s="37" t="s">
        <v>1347</v>
      </c>
      <c r="Q135" s="189" t="s">
        <v>1465</v>
      </c>
      <c r="R135" s="186"/>
      <c r="S135" s="187"/>
      <c r="T135" s="187"/>
      <c r="U135" s="187"/>
      <c r="V135" s="188"/>
      <c r="W135" s="188"/>
      <c r="X135" s="188"/>
      <c r="Y135" s="188"/>
      <c r="Z135" s="188"/>
      <c r="AA135" s="188"/>
      <c r="AB135" s="188"/>
      <c r="AC135" s="188"/>
      <c r="AD135" s="188"/>
      <c r="AE135" s="188"/>
      <c r="AF135" s="188"/>
      <c r="AG135" s="188"/>
      <c r="AH135" s="6"/>
    </row>
    <row r="136" spans="1:34" ht="16" customHeight="1">
      <c r="A136" s="7"/>
      <c r="B136" s="16">
        <f>DSUM('$REV-DB'!D35:AG374,"AMOUNT",'$REV-DSUM'!D134:AG141)</f>
        <v>0</v>
      </c>
      <c r="C136" s="12"/>
      <c r="D136" s="186"/>
      <c r="E136" s="186"/>
      <c r="F136" s="186"/>
      <c r="G136" s="186"/>
      <c r="H136" s="186"/>
      <c r="I136" s="186"/>
      <c r="J136" s="186"/>
      <c r="K136" s="186"/>
      <c r="L136" s="278" t="s">
        <v>1429</v>
      </c>
      <c r="M136" s="186"/>
      <c r="N136" s="37" t="str">
        <f t="shared" ref="N136:N141" si="12">J$6</f>
        <v>FY2010-11</v>
      </c>
      <c r="O136" s="186"/>
      <c r="P136" s="37" t="s">
        <v>1347</v>
      </c>
      <c r="Q136" s="189" t="s">
        <v>1465</v>
      </c>
      <c r="R136" s="186"/>
      <c r="S136" s="187"/>
      <c r="T136" s="187"/>
      <c r="U136" s="187"/>
      <c r="V136" s="188"/>
      <c r="W136" s="188"/>
      <c r="X136" s="188"/>
      <c r="Y136" s="188"/>
      <c r="Z136" s="188"/>
      <c r="AA136" s="188"/>
      <c r="AB136" s="188"/>
      <c r="AC136" s="188"/>
      <c r="AD136" s="188"/>
      <c r="AE136" s="188"/>
      <c r="AF136" s="188"/>
      <c r="AG136" s="188"/>
      <c r="AH136" s="6"/>
    </row>
    <row r="137" spans="1:34" ht="16" customHeight="1">
      <c r="A137" s="7"/>
      <c r="B137" s="10"/>
      <c r="C137" s="12"/>
      <c r="D137" s="186"/>
      <c r="E137" s="186"/>
      <c r="F137" s="186"/>
      <c r="G137" s="186"/>
      <c r="H137" s="186"/>
      <c r="I137" s="186"/>
      <c r="J137" s="186"/>
      <c r="K137" s="186"/>
      <c r="L137" s="278" t="s">
        <v>1429</v>
      </c>
      <c r="M137" s="186"/>
      <c r="N137" s="37" t="str">
        <f t="shared" si="12"/>
        <v>FY2010-11</v>
      </c>
      <c r="O137" s="186"/>
      <c r="P137" s="37" t="s">
        <v>1347</v>
      </c>
      <c r="Q137" s="189" t="s">
        <v>1465</v>
      </c>
      <c r="R137" s="186"/>
      <c r="S137" s="187"/>
      <c r="T137" s="187"/>
      <c r="U137" s="187"/>
      <c r="V137" s="188"/>
      <c r="W137" s="188"/>
      <c r="X137" s="188"/>
      <c r="Y137" s="188"/>
      <c r="Z137" s="188"/>
      <c r="AA137" s="188"/>
      <c r="AB137" s="188"/>
      <c r="AC137" s="188"/>
      <c r="AD137" s="188"/>
      <c r="AE137" s="188"/>
      <c r="AF137" s="188"/>
      <c r="AG137" s="188"/>
    </row>
    <row r="138" spans="1:34" ht="16" customHeight="1">
      <c r="A138" s="7"/>
      <c r="B138" s="10"/>
      <c r="C138" s="12"/>
      <c r="D138" s="186"/>
      <c r="E138" s="186"/>
      <c r="F138" s="186"/>
      <c r="G138" s="186"/>
      <c r="H138" s="186"/>
      <c r="I138" s="186"/>
      <c r="J138" s="186"/>
      <c r="K138" s="186"/>
      <c r="L138" s="278" t="s">
        <v>1429</v>
      </c>
      <c r="M138" s="186"/>
      <c r="N138" s="37" t="str">
        <f t="shared" si="12"/>
        <v>FY2010-11</v>
      </c>
      <c r="O138" s="186"/>
      <c r="P138" s="37" t="s">
        <v>1347</v>
      </c>
      <c r="Q138" s="189" t="s">
        <v>1465</v>
      </c>
      <c r="R138" s="186"/>
      <c r="S138" s="187"/>
      <c r="T138" s="187"/>
      <c r="U138" s="187"/>
      <c r="V138" s="188"/>
      <c r="W138" s="188"/>
      <c r="X138" s="188"/>
      <c r="Y138" s="188"/>
      <c r="Z138" s="188"/>
      <c r="AA138" s="188"/>
      <c r="AB138" s="188"/>
      <c r="AC138" s="188"/>
      <c r="AD138" s="188"/>
      <c r="AE138" s="188"/>
      <c r="AF138" s="188"/>
      <c r="AG138" s="188"/>
    </row>
    <row r="139" spans="1:34" ht="16" customHeight="1">
      <c r="A139" s="7"/>
      <c r="B139" s="10"/>
      <c r="C139" s="12"/>
      <c r="D139" s="186"/>
      <c r="E139" s="186"/>
      <c r="F139" s="186"/>
      <c r="G139" s="186"/>
      <c r="H139" s="186"/>
      <c r="I139" s="186"/>
      <c r="J139" s="186"/>
      <c r="K139" s="186"/>
      <c r="L139" s="278" t="s">
        <v>1429</v>
      </c>
      <c r="M139" s="186"/>
      <c r="N139" s="37" t="str">
        <f t="shared" si="12"/>
        <v>FY2010-11</v>
      </c>
      <c r="O139" s="186"/>
      <c r="P139" s="37" t="s">
        <v>1347</v>
      </c>
      <c r="Q139" s="189" t="s">
        <v>1465</v>
      </c>
      <c r="R139" s="186"/>
      <c r="S139" s="187"/>
      <c r="T139" s="187"/>
      <c r="U139" s="187"/>
      <c r="V139" s="188"/>
      <c r="W139" s="188"/>
      <c r="X139" s="188"/>
      <c r="Y139" s="188"/>
      <c r="Z139" s="188"/>
      <c r="AA139" s="188"/>
      <c r="AB139" s="188"/>
      <c r="AC139" s="188"/>
      <c r="AD139" s="188"/>
      <c r="AE139" s="188"/>
      <c r="AF139" s="188"/>
      <c r="AG139" s="188"/>
    </row>
    <row r="140" spans="1:34" ht="16" customHeight="1">
      <c r="A140" s="7"/>
      <c r="B140" s="10"/>
      <c r="C140" s="12"/>
      <c r="D140" s="186"/>
      <c r="E140" s="186"/>
      <c r="F140" s="186"/>
      <c r="G140" s="186"/>
      <c r="H140" s="186"/>
      <c r="I140" s="186"/>
      <c r="J140" s="186"/>
      <c r="K140" s="186"/>
      <c r="L140" s="278" t="s">
        <v>1429</v>
      </c>
      <c r="M140" s="186"/>
      <c r="N140" s="37" t="str">
        <f t="shared" si="12"/>
        <v>FY2010-11</v>
      </c>
      <c r="O140" s="186"/>
      <c r="P140" s="37" t="s">
        <v>1347</v>
      </c>
      <c r="Q140" s="189" t="s">
        <v>1465</v>
      </c>
      <c r="R140" s="186"/>
      <c r="S140" s="187"/>
      <c r="T140" s="187"/>
      <c r="U140" s="187"/>
      <c r="V140" s="188"/>
      <c r="W140" s="188"/>
      <c r="X140" s="188"/>
      <c r="Y140" s="188"/>
      <c r="Z140" s="188"/>
      <c r="AA140" s="188"/>
      <c r="AB140" s="188"/>
      <c r="AC140" s="188"/>
      <c r="AD140" s="188"/>
      <c r="AE140" s="188"/>
      <c r="AF140" s="188"/>
      <c r="AG140" s="188"/>
    </row>
    <row r="141" spans="1:34" ht="16" customHeight="1">
      <c r="A141" s="7"/>
      <c r="B141" s="10"/>
      <c r="C141" s="12"/>
      <c r="D141" s="186"/>
      <c r="E141" s="186"/>
      <c r="F141" s="186"/>
      <c r="G141" s="186"/>
      <c r="H141" s="186"/>
      <c r="I141" s="186"/>
      <c r="J141" s="186"/>
      <c r="K141" s="186"/>
      <c r="L141" s="278" t="s">
        <v>1429</v>
      </c>
      <c r="M141" s="186"/>
      <c r="N141" s="37" t="str">
        <f t="shared" si="12"/>
        <v>FY2010-11</v>
      </c>
      <c r="O141" s="186"/>
      <c r="P141" s="37" t="s">
        <v>1347</v>
      </c>
      <c r="Q141" s="189" t="s">
        <v>1465</v>
      </c>
      <c r="R141" s="186"/>
      <c r="S141" s="187"/>
      <c r="T141" s="187"/>
      <c r="U141" s="187"/>
      <c r="V141" s="188"/>
      <c r="W141" s="188"/>
      <c r="X141" s="188"/>
      <c r="Y141" s="188"/>
      <c r="Z141" s="188"/>
      <c r="AA141" s="188"/>
      <c r="AB141" s="188"/>
      <c r="AC141" s="188"/>
      <c r="AD141" s="188"/>
      <c r="AE141" s="188"/>
      <c r="AF141" s="188"/>
      <c r="AG141" s="188"/>
    </row>
    <row r="142" spans="1:34" ht="16" customHeight="1">
      <c r="A142" s="11"/>
      <c r="B142" s="12"/>
      <c r="C142" s="12"/>
      <c r="D142" s="13"/>
      <c r="E142" s="13"/>
      <c r="F142" s="14"/>
      <c r="G142" s="13"/>
      <c r="H142" s="14"/>
      <c r="I142" s="14"/>
      <c r="J142" s="13"/>
      <c r="K142" s="13"/>
      <c r="L142" s="279"/>
      <c r="M142" s="14"/>
      <c r="N142" s="14"/>
      <c r="O142" s="13"/>
      <c r="P142" s="14"/>
      <c r="Q142" s="14"/>
      <c r="R142" s="13"/>
      <c r="S142" s="13"/>
      <c r="T142" s="13"/>
      <c r="U142" s="13"/>
      <c r="V142" s="11"/>
      <c r="W142" s="11"/>
      <c r="X142" s="11"/>
      <c r="Y142" s="11"/>
      <c r="Z142" s="11"/>
      <c r="AA142" s="11"/>
      <c r="AB142" s="11"/>
      <c r="AC142" s="11"/>
      <c r="AD142" s="11"/>
      <c r="AE142" s="11"/>
      <c r="AF142" s="11"/>
      <c r="AG142" s="11"/>
    </row>
    <row r="143" spans="1:34" ht="16" customHeight="1" thickBot="1">
      <c r="A143" s="7"/>
      <c r="B143" s="19" t="s">
        <v>1395</v>
      </c>
      <c r="C143" s="7"/>
      <c r="D143" s="8"/>
      <c r="E143" s="8"/>
      <c r="F143" s="9"/>
      <c r="G143" s="8"/>
      <c r="H143" s="9"/>
      <c r="I143" s="9"/>
      <c r="J143" s="8"/>
      <c r="K143" s="8"/>
      <c r="L143" s="280"/>
      <c r="M143" s="9"/>
      <c r="N143" s="9"/>
      <c r="O143" s="8"/>
      <c r="P143" s="9"/>
      <c r="Q143" s="9"/>
      <c r="R143" s="8"/>
      <c r="S143" s="882"/>
      <c r="T143" s="883" t="str">
        <f>'$REV-DB'!$T$34</f>
        <v>Federal Revenues</v>
      </c>
      <c r="U143" s="883" t="str">
        <f>'$REV-DB'!$U$34</f>
        <v>local Revenues</v>
      </c>
      <c r="V143" s="883" t="str">
        <f>'$REV-DB'!$V$34</f>
        <v>Other Revenues</v>
      </c>
      <c r="W143" s="883" t="str">
        <f>'$REV-DB'!$W$34</f>
        <v>State revenues</v>
      </c>
      <c r="X143" s="883" t="str">
        <f>'$REV-DB'!$X$34</f>
        <v>UD5</v>
      </c>
      <c r="Y143" s="883" t="str">
        <f>'$REV-DB'!$Y$34</f>
        <v>UD6</v>
      </c>
      <c r="Z143" s="883" t="str">
        <f>'$REV-DB'!$Z$34</f>
        <v>UD7</v>
      </c>
      <c r="AA143" s="883" t="str">
        <f>'$REV-DB'!$AA$34</f>
        <v>UD8</v>
      </c>
      <c r="AB143" s="883" t="str">
        <f>'$REV-DB'!$AB$34</f>
        <v>UD9</v>
      </c>
      <c r="AC143" s="883" t="str">
        <f>'$REV-DB'!$AC$34</f>
        <v>UD10</v>
      </c>
      <c r="AD143" s="883" t="str">
        <f>'$REV-DB'!$AD$34</f>
        <v>UD11</v>
      </c>
      <c r="AE143" s="883" t="str">
        <f>'$REV-DB'!$AE$34</f>
        <v>UD12</v>
      </c>
      <c r="AF143" s="883" t="str">
        <f>'$REV-DB'!$AF$34</f>
        <v>UD13</v>
      </c>
      <c r="AG143" s="883" t="str">
        <f>'$REV-DB'!$AG$34</f>
        <v>UD14</v>
      </c>
    </row>
    <row r="144" spans="1:34" ht="16" customHeight="1" thickTop="1" thickBot="1">
      <c r="A144" s="7"/>
      <c r="B144" s="20" t="s">
        <v>1375</v>
      </c>
      <c r="C144" s="15"/>
      <c r="D144" s="276" t="s">
        <v>1386</v>
      </c>
      <c r="E144" s="276" t="s">
        <v>1387</v>
      </c>
      <c r="F144" s="276" t="s">
        <v>1388</v>
      </c>
      <c r="G144" s="276" t="s">
        <v>1389</v>
      </c>
      <c r="H144" s="276" t="s">
        <v>1406</v>
      </c>
      <c r="I144" s="276" t="s">
        <v>1390</v>
      </c>
      <c r="J144" s="276" t="s">
        <v>1391</v>
      </c>
      <c r="K144" s="276" t="s">
        <v>1392</v>
      </c>
      <c r="L144" s="276" t="s">
        <v>1188</v>
      </c>
      <c r="M144" s="276" t="s">
        <v>1437</v>
      </c>
      <c r="N144" s="276" t="s">
        <v>1348</v>
      </c>
      <c r="O144" s="276" t="s">
        <v>1393</v>
      </c>
      <c r="P144" s="276" t="s">
        <v>1342</v>
      </c>
      <c r="Q144" s="276" t="s">
        <v>1394</v>
      </c>
      <c r="R144" s="112" t="s">
        <v>1341</v>
      </c>
      <c r="S144" s="112" t="s">
        <v>846</v>
      </c>
      <c r="T144" s="873" t="s">
        <v>935</v>
      </c>
      <c r="U144" s="873" t="s">
        <v>936</v>
      </c>
      <c r="V144" s="873" t="s">
        <v>937</v>
      </c>
      <c r="W144" s="873" t="s">
        <v>938</v>
      </c>
      <c r="X144" s="873" t="s">
        <v>939</v>
      </c>
      <c r="Y144" s="873" t="s">
        <v>940</v>
      </c>
      <c r="Z144" s="873" t="s">
        <v>941</v>
      </c>
      <c r="AA144" s="873" t="s">
        <v>942</v>
      </c>
      <c r="AB144" s="873" t="s">
        <v>943</v>
      </c>
      <c r="AC144" s="873" t="s">
        <v>944</v>
      </c>
      <c r="AD144" s="873" t="s">
        <v>945</v>
      </c>
      <c r="AE144" s="873" t="s">
        <v>946</v>
      </c>
      <c r="AF144" s="873" t="s">
        <v>947</v>
      </c>
      <c r="AG144" s="873" t="s">
        <v>948</v>
      </c>
      <c r="AH144" s="6"/>
    </row>
    <row r="145" spans="1:34" ht="16" customHeight="1" thickTop="1">
      <c r="A145" s="7"/>
      <c r="B145" s="19" t="s">
        <v>1350</v>
      </c>
      <c r="C145" s="12"/>
      <c r="D145" s="186"/>
      <c r="E145" s="186"/>
      <c r="F145" s="186"/>
      <c r="G145" s="186"/>
      <c r="H145" s="186"/>
      <c r="I145" s="186"/>
      <c r="J145" s="186"/>
      <c r="K145" s="186"/>
      <c r="L145" s="278" t="s">
        <v>1429</v>
      </c>
      <c r="M145" s="186"/>
      <c r="N145" s="37" t="str">
        <f>J$6</f>
        <v>FY2010-11</v>
      </c>
      <c r="O145" s="186"/>
      <c r="P145" s="37" t="s">
        <v>1347</v>
      </c>
      <c r="Q145" s="189" t="s">
        <v>1340</v>
      </c>
      <c r="R145" s="186"/>
      <c r="S145" s="187"/>
      <c r="T145" s="187"/>
      <c r="U145" s="187"/>
      <c r="V145" s="188"/>
      <c r="W145" s="188"/>
      <c r="X145" s="188"/>
      <c r="Y145" s="188"/>
      <c r="Z145" s="188"/>
      <c r="AA145" s="188"/>
      <c r="AB145" s="188"/>
      <c r="AC145" s="188"/>
      <c r="AD145" s="188"/>
      <c r="AE145" s="188"/>
      <c r="AF145" s="188"/>
      <c r="AG145" s="188"/>
      <c r="AH145" s="6"/>
    </row>
    <row r="146" spans="1:34" ht="16" customHeight="1">
      <c r="A146" s="7"/>
      <c r="B146" s="16">
        <f>DSUM('$REV-DB'!D35:AG374,"AMOUNT",'$REV-DSUM'!D144:AG151)</f>
        <v>0</v>
      </c>
      <c r="C146" s="12"/>
      <c r="D146" s="186"/>
      <c r="E146" s="186"/>
      <c r="F146" s="186"/>
      <c r="G146" s="186"/>
      <c r="H146" s="186"/>
      <c r="I146" s="186"/>
      <c r="J146" s="186"/>
      <c r="K146" s="186"/>
      <c r="L146" s="278" t="s">
        <v>1429</v>
      </c>
      <c r="M146" s="186"/>
      <c r="N146" s="37" t="str">
        <f t="shared" ref="N146:N151" si="13">J$6</f>
        <v>FY2010-11</v>
      </c>
      <c r="O146" s="186"/>
      <c r="P146" s="37" t="s">
        <v>1347</v>
      </c>
      <c r="Q146" s="189" t="s">
        <v>1340</v>
      </c>
      <c r="R146" s="186"/>
      <c r="S146" s="187"/>
      <c r="T146" s="187"/>
      <c r="U146" s="187"/>
      <c r="V146" s="188"/>
      <c r="W146" s="188"/>
      <c r="X146" s="188"/>
      <c r="Y146" s="188"/>
      <c r="Z146" s="188"/>
      <c r="AA146" s="188"/>
      <c r="AB146" s="188"/>
      <c r="AC146" s="188"/>
      <c r="AD146" s="188"/>
      <c r="AE146" s="188"/>
      <c r="AF146" s="188"/>
      <c r="AG146" s="188"/>
      <c r="AH146" s="6"/>
    </row>
    <row r="147" spans="1:34" ht="16" customHeight="1">
      <c r="A147" s="7"/>
      <c r="B147" s="10"/>
      <c r="C147" s="12"/>
      <c r="D147" s="186"/>
      <c r="E147" s="186"/>
      <c r="F147" s="186"/>
      <c r="G147" s="186"/>
      <c r="H147" s="186"/>
      <c r="I147" s="186"/>
      <c r="J147" s="186"/>
      <c r="K147" s="186"/>
      <c r="L147" s="278" t="s">
        <v>1429</v>
      </c>
      <c r="M147" s="186"/>
      <c r="N147" s="37" t="str">
        <f t="shared" si="13"/>
        <v>FY2010-11</v>
      </c>
      <c r="O147" s="186"/>
      <c r="P147" s="37" t="s">
        <v>1347</v>
      </c>
      <c r="Q147" s="189" t="s">
        <v>1340</v>
      </c>
      <c r="R147" s="186"/>
      <c r="S147" s="187"/>
      <c r="T147" s="187"/>
      <c r="U147" s="187"/>
      <c r="V147" s="188"/>
      <c r="W147" s="188"/>
      <c r="X147" s="188"/>
      <c r="Y147" s="188"/>
      <c r="Z147" s="188"/>
      <c r="AA147" s="188"/>
      <c r="AB147" s="188"/>
      <c r="AC147" s="188"/>
      <c r="AD147" s="188"/>
      <c r="AE147" s="188"/>
      <c r="AF147" s="188"/>
      <c r="AG147" s="188"/>
    </row>
    <row r="148" spans="1:34" ht="16" customHeight="1">
      <c r="A148" s="7"/>
      <c r="B148" s="10"/>
      <c r="C148" s="12"/>
      <c r="D148" s="186"/>
      <c r="E148" s="186"/>
      <c r="F148" s="186"/>
      <c r="G148" s="186"/>
      <c r="H148" s="186"/>
      <c r="I148" s="186"/>
      <c r="J148" s="186"/>
      <c r="K148" s="186"/>
      <c r="L148" s="278" t="s">
        <v>1429</v>
      </c>
      <c r="M148" s="186"/>
      <c r="N148" s="37" t="str">
        <f t="shared" si="13"/>
        <v>FY2010-11</v>
      </c>
      <c r="O148" s="186"/>
      <c r="P148" s="37" t="s">
        <v>1347</v>
      </c>
      <c r="Q148" s="189" t="s">
        <v>1340</v>
      </c>
      <c r="R148" s="186"/>
      <c r="S148" s="187"/>
      <c r="T148" s="187"/>
      <c r="U148" s="187"/>
      <c r="V148" s="188"/>
      <c r="W148" s="188"/>
      <c r="X148" s="188"/>
      <c r="Y148" s="188"/>
      <c r="Z148" s="188"/>
      <c r="AA148" s="188"/>
      <c r="AB148" s="188"/>
      <c r="AC148" s="188"/>
      <c r="AD148" s="188"/>
      <c r="AE148" s="188"/>
      <c r="AF148" s="188"/>
      <c r="AG148" s="188"/>
    </row>
    <row r="149" spans="1:34" ht="16" customHeight="1">
      <c r="A149" s="7"/>
      <c r="B149" s="10"/>
      <c r="C149" s="12"/>
      <c r="D149" s="186"/>
      <c r="E149" s="186"/>
      <c r="F149" s="186"/>
      <c r="G149" s="186"/>
      <c r="H149" s="186"/>
      <c r="I149" s="186"/>
      <c r="J149" s="186"/>
      <c r="K149" s="186"/>
      <c r="L149" s="278" t="s">
        <v>1429</v>
      </c>
      <c r="M149" s="186"/>
      <c r="N149" s="37" t="str">
        <f t="shared" si="13"/>
        <v>FY2010-11</v>
      </c>
      <c r="O149" s="186"/>
      <c r="P149" s="37" t="s">
        <v>1347</v>
      </c>
      <c r="Q149" s="189" t="s">
        <v>1340</v>
      </c>
      <c r="R149" s="186"/>
      <c r="S149" s="187"/>
      <c r="T149" s="187"/>
      <c r="U149" s="187"/>
      <c r="V149" s="188"/>
      <c r="W149" s="188"/>
      <c r="X149" s="188"/>
      <c r="Y149" s="188"/>
      <c r="Z149" s="188"/>
      <c r="AA149" s="188"/>
      <c r="AB149" s="188"/>
      <c r="AC149" s="188"/>
      <c r="AD149" s="188"/>
      <c r="AE149" s="188"/>
      <c r="AF149" s="188"/>
      <c r="AG149" s="188"/>
    </row>
    <row r="150" spans="1:34" ht="16" customHeight="1">
      <c r="A150" s="7"/>
      <c r="B150" s="10"/>
      <c r="C150" s="12"/>
      <c r="D150" s="186"/>
      <c r="E150" s="186"/>
      <c r="F150" s="186"/>
      <c r="G150" s="186"/>
      <c r="H150" s="186"/>
      <c r="I150" s="186"/>
      <c r="J150" s="186"/>
      <c r="K150" s="186"/>
      <c r="L150" s="278" t="s">
        <v>1429</v>
      </c>
      <c r="M150" s="186"/>
      <c r="N150" s="37" t="str">
        <f t="shared" si="13"/>
        <v>FY2010-11</v>
      </c>
      <c r="O150" s="186"/>
      <c r="P150" s="37" t="s">
        <v>1347</v>
      </c>
      <c r="Q150" s="189" t="s">
        <v>1340</v>
      </c>
      <c r="R150" s="186"/>
      <c r="S150" s="187"/>
      <c r="T150" s="187"/>
      <c r="U150" s="187"/>
      <c r="V150" s="188"/>
      <c r="W150" s="188"/>
      <c r="X150" s="188"/>
      <c r="Y150" s="188"/>
      <c r="Z150" s="188"/>
      <c r="AA150" s="188"/>
      <c r="AB150" s="188"/>
      <c r="AC150" s="188"/>
      <c r="AD150" s="188"/>
      <c r="AE150" s="188"/>
      <c r="AF150" s="188"/>
      <c r="AG150" s="188"/>
    </row>
    <row r="151" spans="1:34" ht="16" customHeight="1">
      <c r="A151" s="7"/>
      <c r="B151" s="10"/>
      <c r="C151" s="12"/>
      <c r="D151" s="186"/>
      <c r="E151" s="186"/>
      <c r="F151" s="186"/>
      <c r="G151" s="186"/>
      <c r="H151" s="186"/>
      <c r="I151" s="186"/>
      <c r="J151" s="186"/>
      <c r="K151" s="186"/>
      <c r="L151" s="278" t="s">
        <v>1429</v>
      </c>
      <c r="M151" s="186"/>
      <c r="N151" s="37" t="str">
        <f t="shared" si="13"/>
        <v>FY2010-11</v>
      </c>
      <c r="O151" s="186"/>
      <c r="P151" s="37" t="s">
        <v>1347</v>
      </c>
      <c r="Q151" s="189" t="s">
        <v>1340</v>
      </c>
      <c r="R151" s="186"/>
      <c r="S151" s="187"/>
      <c r="T151" s="187"/>
      <c r="U151" s="187"/>
      <c r="V151" s="188"/>
      <c r="W151" s="188"/>
      <c r="X151" s="188"/>
      <c r="Y151" s="188"/>
      <c r="Z151" s="188"/>
      <c r="AA151" s="188"/>
      <c r="AB151" s="188"/>
      <c r="AC151" s="188"/>
      <c r="AD151" s="188"/>
      <c r="AE151" s="188"/>
      <c r="AF151" s="188"/>
      <c r="AG151" s="188"/>
    </row>
    <row r="152" spans="1:34" ht="16" customHeight="1">
      <c r="A152" s="25"/>
      <c r="B152" s="26"/>
      <c r="C152" s="26"/>
      <c r="D152" s="27"/>
      <c r="E152" s="27"/>
      <c r="F152" s="28"/>
      <c r="G152" s="27"/>
      <c r="H152" s="28"/>
      <c r="I152" s="28"/>
      <c r="J152" s="27"/>
      <c r="K152" s="27"/>
      <c r="L152" s="282"/>
      <c r="M152" s="28"/>
      <c r="N152" s="28"/>
      <c r="O152" s="27"/>
      <c r="P152" s="28"/>
      <c r="Q152" s="28"/>
      <c r="R152" s="27"/>
      <c r="S152" s="27"/>
      <c r="T152" s="27"/>
      <c r="U152" s="27"/>
      <c r="V152" s="25"/>
      <c r="W152" s="25"/>
      <c r="X152" s="25"/>
      <c r="Y152" s="25"/>
      <c r="Z152" s="25"/>
      <c r="AA152" s="25"/>
      <c r="AB152" s="25"/>
      <c r="AC152" s="25"/>
      <c r="AD152" s="25"/>
      <c r="AE152" s="25"/>
      <c r="AF152" s="25"/>
      <c r="AG152" s="25"/>
    </row>
    <row r="153" spans="1:34" ht="16" customHeight="1" thickBot="1">
      <c r="A153" s="7"/>
      <c r="B153" s="19" t="str">
        <f>"FA1 = "&amp;'FIG3'!$W$52&amp;" "&amp;'FIG3'!$X$52</f>
        <v>FA1 = Little Rock School District</v>
      </c>
      <c r="C153" s="7"/>
      <c r="D153" s="17"/>
      <c r="E153" s="17"/>
      <c r="F153" s="18"/>
      <c r="G153" s="17"/>
      <c r="H153" s="18"/>
      <c r="I153" s="18"/>
      <c r="J153" s="17"/>
      <c r="K153" s="17"/>
      <c r="L153" s="281"/>
      <c r="M153" s="18"/>
      <c r="N153" s="9"/>
      <c r="O153" s="17"/>
      <c r="P153" s="18"/>
      <c r="Q153" s="18"/>
      <c r="R153" s="17"/>
      <c r="S153" s="882"/>
      <c r="T153" s="883" t="str">
        <f>'$REV-DB'!$T$34</f>
        <v>Federal Revenues</v>
      </c>
      <c r="U153" s="883" t="str">
        <f>'$REV-DB'!$U$34</f>
        <v>local Revenues</v>
      </c>
      <c r="V153" s="883" t="str">
        <f>'$REV-DB'!$V$34</f>
        <v>Other Revenues</v>
      </c>
      <c r="W153" s="883" t="str">
        <f>'$REV-DB'!$W$34</f>
        <v>State revenues</v>
      </c>
      <c r="X153" s="883" t="str">
        <f>'$REV-DB'!$X$34</f>
        <v>UD5</v>
      </c>
      <c r="Y153" s="883" t="str">
        <f>'$REV-DB'!$Y$34</f>
        <v>UD6</v>
      </c>
      <c r="Z153" s="883" t="str">
        <f>'$REV-DB'!$Z$34</f>
        <v>UD7</v>
      </c>
      <c r="AA153" s="883" t="str">
        <f>'$REV-DB'!$AA$34</f>
        <v>UD8</v>
      </c>
      <c r="AB153" s="883" t="str">
        <f>'$REV-DB'!$AB$34</f>
        <v>UD9</v>
      </c>
      <c r="AC153" s="883" t="str">
        <f>'$REV-DB'!$AC$34</f>
        <v>UD10</v>
      </c>
      <c r="AD153" s="883" t="str">
        <f>'$REV-DB'!$AD$34</f>
        <v>UD11</v>
      </c>
      <c r="AE153" s="883" t="str">
        <f>'$REV-DB'!$AE$34</f>
        <v>UD12</v>
      </c>
      <c r="AF153" s="883" t="str">
        <f>'$REV-DB'!$AF$34</f>
        <v>UD13</v>
      </c>
      <c r="AG153" s="883" t="str">
        <f>'$REV-DB'!$AG$34</f>
        <v>UD14</v>
      </c>
    </row>
    <row r="154" spans="1:34" ht="16" customHeight="1" thickTop="1" thickBot="1">
      <c r="A154" s="7"/>
      <c r="B154" s="20" t="s">
        <v>1399</v>
      </c>
      <c r="C154" s="15"/>
      <c r="D154" s="105" t="s">
        <v>1386</v>
      </c>
      <c r="E154" s="105" t="s">
        <v>1387</v>
      </c>
      <c r="F154" s="105" t="s">
        <v>1388</v>
      </c>
      <c r="G154" s="105" t="s">
        <v>1389</v>
      </c>
      <c r="H154" s="105" t="s">
        <v>1406</v>
      </c>
      <c r="I154" s="105" t="s">
        <v>1390</v>
      </c>
      <c r="J154" s="105" t="s">
        <v>1391</v>
      </c>
      <c r="K154" s="105" t="s">
        <v>1392</v>
      </c>
      <c r="L154" s="276" t="s">
        <v>1188</v>
      </c>
      <c r="M154" s="105" t="s">
        <v>1437</v>
      </c>
      <c r="N154" s="105" t="s">
        <v>1348</v>
      </c>
      <c r="O154" s="105" t="s">
        <v>1393</v>
      </c>
      <c r="P154" s="105" t="s">
        <v>1342</v>
      </c>
      <c r="Q154" s="105" t="s">
        <v>1394</v>
      </c>
      <c r="R154" s="112" t="s">
        <v>1341</v>
      </c>
      <c r="S154" s="112" t="s">
        <v>846</v>
      </c>
      <c r="T154" s="873" t="s">
        <v>935</v>
      </c>
      <c r="U154" s="873" t="s">
        <v>936</v>
      </c>
      <c r="V154" s="873" t="s">
        <v>937</v>
      </c>
      <c r="W154" s="873" t="s">
        <v>938</v>
      </c>
      <c r="X154" s="873" t="s">
        <v>939</v>
      </c>
      <c r="Y154" s="873" t="s">
        <v>940</v>
      </c>
      <c r="Z154" s="873" t="s">
        <v>941</v>
      </c>
      <c r="AA154" s="873" t="s">
        <v>942</v>
      </c>
      <c r="AB154" s="873" t="s">
        <v>943</v>
      </c>
      <c r="AC154" s="873" t="s">
        <v>944</v>
      </c>
      <c r="AD154" s="873" t="s">
        <v>945</v>
      </c>
      <c r="AE154" s="873" t="s">
        <v>946</v>
      </c>
      <c r="AF154" s="873" t="s">
        <v>947</v>
      </c>
      <c r="AG154" s="873" t="s">
        <v>948</v>
      </c>
      <c r="AH154" s="6"/>
    </row>
    <row r="155" spans="1:34" ht="16" customHeight="1" thickTop="1">
      <c r="A155" s="7"/>
      <c r="B155" s="19" t="s">
        <v>1346</v>
      </c>
      <c r="C155" s="12"/>
      <c r="D155" s="190"/>
      <c r="E155" s="190"/>
      <c r="F155" s="190"/>
      <c r="G155" s="190"/>
      <c r="H155" s="190"/>
      <c r="I155" s="190"/>
      <c r="J155" s="190"/>
      <c r="K155" s="190"/>
      <c r="L155" s="283" t="s">
        <v>1429</v>
      </c>
      <c r="M155" s="190"/>
      <c r="N155" s="38" t="str">
        <f>J$6</f>
        <v>FY2010-11</v>
      </c>
      <c r="O155" s="38" t="s">
        <v>1352</v>
      </c>
      <c r="P155" s="38" t="s">
        <v>1338</v>
      </c>
      <c r="Q155" s="190"/>
      <c r="R155" s="190"/>
      <c r="S155" s="191"/>
      <c r="T155" s="191"/>
      <c r="U155" s="191"/>
      <c r="V155" s="192"/>
      <c r="W155" s="192"/>
      <c r="X155" s="192"/>
      <c r="Y155" s="192"/>
      <c r="Z155" s="192"/>
      <c r="AA155" s="192"/>
      <c r="AB155" s="192"/>
      <c r="AC155" s="192"/>
      <c r="AD155" s="192"/>
      <c r="AE155" s="192"/>
      <c r="AF155" s="192"/>
      <c r="AG155" s="192"/>
      <c r="AH155" s="6"/>
    </row>
    <row r="156" spans="1:34" ht="16" customHeight="1">
      <c r="A156" s="7"/>
      <c r="B156" s="16">
        <f>DSUM('$REV-DB'!D35:AG374,"AMOUNT",'$REV-DSUM'!D154:AG161)</f>
        <v>349130780.80000001</v>
      </c>
      <c r="C156" s="12"/>
      <c r="D156" s="190"/>
      <c r="E156" s="190"/>
      <c r="F156" s="190"/>
      <c r="G156" s="190"/>
      <c r="H156" s="190"/>
      <c r="I156" s="190"/>
      <c r="J156" s="190"/>
      <c r="K156" s="190"/>
      <c r="L156" s="283" t="s">
        <v>1429</v>
      </c>
      <c r="M156" s="190"/>
      <c r="N156" s="38" t="str">
        <f t="shared" ref="N156:N161" si="14">J$6</f>
        <v>FY2010-11</v>
      </c>
      <c r="O156" s="38" t="s">
        <v>1352</v>
      </c>
      <c r="P156" s="38" t="s">
        <v>1338</v>
      </c>
      <c r="Q156" s="190"/>
      <c r="R156" s="190"/>
      <c r="S156" s="191"/>
      <c r="T156" s="191"/>
      <c r="U156" s="191"/>
      <c r="V156" s="192"/>
      <c r="W156" s="192"/>
      <c r="X156" s="192"/>
      <c r="Y156" s="192"/>
      <c r="Z156" s="192"/>
      <c r="AA156" s="192"/>
      <c r="AB156" s="192"/>
      <c r="AC156" s="192"/>
      <c r="AD156" s="192"/>
      <c r="AE156" s="192"/>
      <c r="AF156" s="192"/>
      <c r="AG156" s="192"/>
      <c r="AH156" s="6"/>
    </row>
    <row r="157" spans="1:34" ht="16" customHeight="1">
      <c r="A157" s="7"/>
      <c r="B157" s="10"/>
      <c r="C157" s="12"/>
      <c r="D157" s="190"/>
      <c r="E157" s="190"/>
      <c r="F157" s="190"/>
      <c r="G157" s="190"/>
      <c r="H157" s="190"/>
      <c r="I157" s="190"/>
      <c r="J157" s="190"/>
      <c r="K157" s="190"/>
      <c r="L157" s="283" t="s">
        <v>1429</v>
      </c>
      <c r="M157" s="190"/>
      <c r="N157" s="38" t="str">
        <f t="shared" si="14"/>
        <v>FY2010-11</v>
      </c>
      <c r="O157" s="38" t="s">
        <v>1352</v>
      </c>
      <c r="P157" s="38" t="s">
        <v>1338</v>
      </c>
      <c r="Q157" s="190"/>
      <c r="R157" s="190"/>
      <c r="S157" s="191"/>
      <c r="T157" s="191"/>
      <c r="U157" s="191"/>
      <c r="V157" s="192"/>
      <c r="W157" s="192"/>
      <c r="X157" s="192"/>
      <c r="Y157" s="192"/>
      <c r="Z157" s="192"/>
      <c r="AA157" s="192"/>
      <c r="AB157" s="192"/>
      <c r="AC157" s="192"/>
      <c r="AD157" s="192"/>
      <c r="AE157" s="192"/>
      <c r="AF157" s="192"/>
      <c r="AG157" s="192"/>
    </row>
    <row r="158" spans="1:34" ht="16" customHeight="1">
      <c r="A158" s="7"/>
      <c r="B158" s="10"/>
      <c r="C158" s="12"/>
      <c r="D158" s="190"/>
      <c r="E158" s="190"/>
      <c r="F158" s="190"/>
      <c r="G158" s="190"/>
      <c r="H158" s="190"/>
      <c r="I158" s="190"/>
      <c r="J158" s="190"/>
      <c r="K158" s="190"/>
      <c r="L158" s="283" t="s">
        <v>1429</v>
      </c>
      <c r="M158" s="190"/>
      <c r="N158" s="38" t="str">
        <f t="shared" si="14"/>
        <v>FY2010-11</v>
      </c>
      <c r="O158" s="38" t="s">
        <v>1352</v>
      </c>
      <c r="P158" s="38" t="s">
        <v>1338</v>
      </c>
      <c r="Q158" s="190"/>
      <c r="R158" s="190"/>
      <c r="S158" s="191"/>
      <c r="T158" s="191"/>
      <c r="U158" s="191"/>
      <c r="V158" s="192"/>
      <c r="W158" s="192"/>
      <c r="X158" s="192"/>
      <c r="Y158" s="192"/>
      <c r="Z158" s="192"/>
      <c r="AA158" s="192"/>
      <c r="AB158" s="192"/>
      <c r="AC158" s="192"/>
      <c r="AD158" s="192"/>
      <c r="AE158" s="192"/>
      <c r="AF158" s="192"/>
      <c r="AG158" s="192"/>
    </row>
    <row r="159" spans="1:34" ht="16" customHeight="1">
      <c r="A159" s="7"/>
      <c r="B159" s="10"/>
      <c r="C159" s="12"/>
      <c r="D159" s="190"/>
      <c r="E159" s="190"/>
      <c r="F159" s="190"/>
      <c r="G159" s="190"/>
      <c r="H159" s="190"/>
      <c r="I159" s="190"/>
      <c r="J159" s="190"/>
      <c r="K159" s="190"/>
      <c r="L159" s="283" t="s">
        <v>1429</v>
      </c>
      <c r="M159" s="190"/>
      <c r="N159" s="38" t="str">
        <f t="shared" si="14"/>
        <v>FY2010-11</v>
      </c>
      <c r="O159" s="38" t="s">
        <v>1352</v>
      </c>
      <c r="P159" s="38" t="s">
        <v>1338</v>
      </c>
      <c r="Q159" s="190"/>
      <c r="R159" s="190"/>
      <c r="S159" s="191"/>
      <c r="T159" s="191"/>
      <c r="U159" s="191"/>
      <c r="V159" s="192"/>
      <c r="W159" s="192"/>
      <c r="X159" s="192"/>
      <c r="Y159" s="192"/>
      <c r="Z159" s="192"/>
      <c r="AA159" s="192"/>
      <c r="AB159" s="192"/>
      <c r="AC159" s="192"/>
      <c r="AD159" s="192"/>
      <c r="AE159" s="192"/>
      <c r="AF159" s="192"/>
      <c r="AG159" s="192"/>
    </row>
    <row r="160" spans="1:34" ht="16" customHeight="1">
      <c r="A160" s="7"/>
      <c r="B160" s="10"/>
      <c r="C160" s="12"/>
      <c r="D160" s="190"/>
      <c r="E160" s="190"/>
      <c r="F160" s="190"/>
      <c r="G160" s="190"/>
      <c r="H160" s="190"/>
      <c r="I160" s="190"/>
      <c r="J160" s="190"/>
      <c r="K160" s="190"/>
      <c r="L160" s="283" t="s">
        <v>1429</v>
      </c>
      <c r="M160" s="190"/>
      <c r="N160" s="38" t="str">
        <f t="shared" si="14"/>
        <v>FY2010-11</v>
      </c>
      <c r="O160" s="38" t="s">
        <v>1352</v>
      </c>
      <c r="P160" s="38" t="s">
        <v>1338</v>
      </c>
      <c r="Q160" s="190"/>
      <c r="R160" s="190"/>
      <c r="S160" s="191"/>
      <c r="T160" s="191"/>
      <c r="U160" s="191"/>
      <c r="V160" s="192"/>
      <c r="W160" s="192"/>
      <c r="X160" s="192"/>
      <c r="Y160" s="192"/>
      <c r="Z160" s="192"/>
      <c r="AA160" s="192"/>
      <c r="AB160" s="192"/>
      <c r="AC160" s="192"/>
      <c r="AD160" s="192"/>
      <c r="AE160" s="192"/>
      <c r="AF160" s="192"/>
      <c r="AG160" s="192"/>
    </row>
    <row r="161" spans="1:34" ht="16" customHeight="1">
      <c r="A161" s="7"/>
      <c r="B161" s="10"/>
      <c r="C161" s="12"/>
      <c r="D161" s="190"/>
      <c r="E161" s="190"/>
      <c r="F161" s="190"/>
      <c r="G161" s="190"/>
      <c r="H161" s="190"/>
      <c r="I161" s="190"/>
      <c r="J161" s="190"/>
      <c r="K161" s="190"/>
      <c r="L161" s="283" t="s">
        <v>1429</v>
      </c>
      <c r="M161" s="190"/>
      <c r="N161" s="38" t="str">
        <f t="shared" si="14"/>
        <v>FY2010-11</v>
      </c>
      <c r="O161" s="38" t="s">
        <v>1352</v>
      </c>
      <c r="P161" s="38" t="s">
        <v>1338</v>
      </c>
      <c r="Q161" s="190"/>
      <c r="R161" s="190"/>
      <c r="S161" s="191"/>
      <c r="T161" s="191"/>
      <c r="U161" s="191"/>
      <c r="V161" s="192"/>
      <c r="W161" s="192"/>
      <c r="X161" s="192"/>
      <c r="Y161" s="192"/>
      <c r="Z161" s="192"/>
      <c r="AA161" s="192"/>
      <c r="AB161" s="192"/>
      <c r="AC161" s="192"/>
      <c r="AD161" s="192"/>
      <c r="AE161" s="192"/>
      <c r="AF161" s="192"/>
      <c r="AG161" s="192"/>
    </row>
    <row r="162" spans="1:34" ht="16" customHeight="1">
      <c r="A162" s="25"/>
      <c r="B162" s="26"/>
      <c r="C162" s="26"/>
      <c r="D162" s="27"/>
      <c r="E162" s="27"/>
      <c r="F162" s="28"/>
      <c r="G162" s="27"/>
      <c r="H162" s="28"/>
      <c r="I162" s="28"/>
      <c r="J162" s="27"/>
      <c r="K162" s="27"/>
      <c r="L162" s="282"/>
      <c r="M162" s="28"/>
      <c r="N162" s="28"/>
      <c r="O162" s="27"/>
      <c r="P162" s="28"/>
      <c r="Q162" s="28"/>
      <c r="R162" s="27"/>
      <c r="S162" s="27"/>
      <c r="T162" s="27"/>
      <c r="U162" s="27"/>
      <c r="V162" s="25"/>
      <c r="W162" s="25"/>
      <c r="X162" s="25"/>
      <c r="Y162" s="25"/>
      <c r="Z162" s="25"/>
      <c r="AA162" s="25"/>
      <c r="AB162" s="25"/>
      <c r="AC162" s="25"/>
      <c r="AD162" s="25"/>
      <c r="AE162" s="25"/>
      <c r="AF162" s="25"/>
      <c r="AG162" s="25"/>
    </row>
    <row r="163" spans="1:34" ht="16" customHeight="1" thickBot="1">
      <c r="A163" s="7"/>
      <c r="B163" s="19" t="str">
        <f>"FA1 = "&amp;'FIG3'!$W$52&amp;" "&amp;'FIG3'!$X$52</f>
        <v>FA1 = Little Rock School District</v>
      </c>
      <c r="C163" s="7"/>
      <c r="D163" s="8"/>
      <c r="E163" s="8"/>
      <c r="F163" s="9"/>
      <c r="G163" s="8"/>
      <c r="H163" s="9"/>
      <c r="I163" s="9"/>
      <c r="J163" s="8"/>
      <c r="K163" s="8"/>
      <c r="L163" s="280"/>
      <c r="M163" s="9"/>
      <c r="N163" s="9"/>
      <c r="O163" s="8"/>
      <c r="P163" s="9"/>
      <c r="Q163" s="9"/>
      <c r="R163" s="8"/>
      <c r="S163" s="882"/>
      <c r="T163" s="883" t="str">
        <f>'$REV-DB'!$T$34</f>
        <v>Federal Revenues</v>
      </c>
      <c r="U163" s="883" t="str">
        <f>'$REV-DB'!$U$34</f>
        <v>local Revenues</v>
      </c>
      <c r="V163" s="883" t="str">
        <f>'$REV-DB'!$V$34</f>
        <v>Other Revenues</v>
      </c>
      <c r="W163" s="883" t="str">
        <f>'$REV-DB'!$W$34</f>
        <v>State revenues</v>
      </c>
      <c r="X163" s="883" t="str">
        <f>'$REV-DB'!$X$34</f>
        <v>UD5</v>
      </c>
      <c r="Y163" s="883" t="str">
        <f>'$REV-DB'!$Y$34</f>
        <v>UD6</v>
      </c>
      <c r="Z163" s="883" t="str">
        <f>'$REV-DB'!$Z$34</f>
        <v>UD7</v>
      </c>
      <c r="AA163" s="883" t="str">
        <f>'$REV-DB'!$AA$34</f>
        <v>UD8</v>
      </c>
      <c r="AB163" s="883" t="str">
        <f>'$REV-DB'!$AB$34</f>
        <v>UD9</v>
      </c>
      <c r="AC163" s="883" t="str">
        <f>'$REV-DB'!$AC$34</f>
        <v>UD10</v>
      </c>
      <c r="AD163" s="883" t="str">
        <f>'$REV-DB'!$AD$34</f>
        <v>UD11</v>
      </c>
      <c r="AE163" s="883" t="str">
        <f>'$REV-DB'!$AE$34</f>
        <v>UD12</v>
      </c>
      <c r="AF163" s="883" t="str">
        <f>'$REV-DB'!$AF$34</f>
        <v>UD13</v>
      </c>
      <c r="AG163" s="883" t="str">
        <f>'$REV-DB'!$AG$34</f>
        <v>UD14</v>
      </c>
    </row>
    <row r="164" spans="1:34" ht="16" customHeight="1" thickTop="1" thickBot="1">
      <c r="A164" s="7"/>
      <c r="B164" s="20" t="s">
        <v>1399</v>
      </c>
      <c r="C164" s="15"/>
      <c r="D164" s="105" t="s">
        <v>1386</v>
      </c>
      <c r="E164" s="105" t="s">
        <v>1387</v>
      </c>
      <c r="F164" s="105" t="s">
        <v>1388</v>
      </c>
      <c r="G164" s="105" t="s">
        <v>1389</v>
      </c>
      <c r="H164" s="105" t="s">
        <v>1406</v>
      </c>
      <c r="I164" s="105" t="s">
        <v>1390</v>
      </c>
      <c r="J164" s="105" t="s">
        <v>1391</v>
      </c>
      <c r="K164" s="105" t="s">
        <v>1392</v>
      </c>
      <c r="L164" s="276" t="s">
        <v>1188</v>
      </c>
      <c r="M164" s="105" t="s">
        <v>1437</v>
      </c>
      <c r="N164" s="105" t="s">
        <v>1348</v>
      </c>
      <c r="O164" s="105" t="s">
        <v>1393</v>
      </c>
      <c r="P164" s="105" t="s">
        <v>1342</v>
      </c>
      <c r="Q164" s="105" t="s">
        <v>1394</v>
      </c>
      <c r="R164" s="112" t="s">
        <v>1341</v>
      </c>
      <c r="S164" s="112" t="s">
        <v>934</v>
      </c>
      <c r="T164" s="873" t="s">
        <v>935</v>
      </c>
      <c r="U164" s="873" t="s">
        <v>936</v>
      </c>
      <c r="V164" s="873" t="s">
        <v>937</v>
      </c>
      <c r="W164" s="873" t="s">
        <v>938</v>
      </c>
      <c r="X164" s="873" t="s">
        <v>939</v>
      </c>
      <c r="Y164" s="873" t="s">
        <v>940</v>
      </c>
      <c r="Z164" s="873" t="s">
        <v>941</v>
      </c>
      <c r="AA164" s="873" t="s">
        <v>942</v>
      </c>
      <c r="AB164" s="873" t="s">
        <v>943</v>
      </c>
      <c r="AC164" s="873" t="s">
        <v>944</v>
      </c>
      <c r="AD164" s="873" t="s">
        <v>945</v>
      </c>
      <c r="AE164" s="873" t="s">
        <v>946</v>
      </c>
      <c r="AF164" s="873" t="s">
        <v>947</v>
      </c>
      <c r="AG164" s="873" t="s">
        <v>948</v>
      </c>
      <c r="AH164" s="6"/>
    </row>
    <row r="165" spans="1:34" ht="16" customHeight="1" thickTop="1">
      <c r="A165" s="7"/>
      <c r="B165" s="19" t="s">
        <v>1345</v>
      </c>
      <c r="C165" s="12"/>
      <c r="D165" s="191"/>
      <c r="E165" s="191"/>
      <c r="F165" s="190"/>
      <c r="G165" s="191"/>
      <c r="H165" s="190"/>
      <c r="I165" s="190"/>
      <c r="J165" s="191"/>
      <c r="K165" s="191"/>
      <c r="L165" s="283" t="s">
        <v>1429</v>
      </c>
      <c r="M165" s="190"/>
      <c r="N165" s="38" t="str">
        <f>J$6</f>
        <v>FY2010-11</v>
      </c>
      <c r="O165" s="38" t="s">
        <v>1352</v>
      </c>
      <c r="P165" s="38" t="s">
        <v>1338</v>
      </c>
      <c r="Q165" s="38" t="s">
        <v>1380</v>
      </c>
      <c r="R165" s="191"/>
      <c r="S165" s="191"/>
      <c r="T165" s="191"/>
      <c r="U165" s="191"/>
      <c r="V165" s="192"/>
      <c r="W165" s="192"/>
      <c r="X165" s="192"/>
      <c r="Y165" s="192"/>
      <c r="Z165" s="192"/>
      <c r="AA165" s="192"/>
      <c r="AB165" s="192"/>
      <c r="AC165" s="192"/>
      <c r="AD165" s="192"/>
      <c r="AE165" s="192"/>
      <c r="AF165" s="192"/>
      <c r="AG165" s="192"/>
      <c r="AH165" s="6"/>
    </row>
    <row r="166" spans="1:34" ht="16" customHeight="1">
      <c r="A166" s="7"/>
      <c r="B166" s="16">
        <f>DSUM('$REV-DB'!D35:AG374,"AMOUNT",'$REV-DSUM'!D164:AG171)</f>
        <v>56665217.240000002</v>
      </c>
      <c r="C166" s="12"/>
      <c r="D166" s="191"/>
      <c r="E166" s="191"/>
      <c r="F166" s="190"/>
      <c r="G166" s="191"/>
      <c r="H166" s="190"/>
      <c r="I166" s="190"/>
      <c r="J166" s="191"/>
      <c r="K166" s="191"/>
      <c r="L166" s="283" t="s">
        <v>1429</v>
      </c>
      <c r="M166" s="190"/>
      <c r="N166" s="38" t="str">
        <f t="shared" ref="N166:N171" si="15">J$6</f>
        <v>FY2010-11</v>
      </c>
      <c r="O166" s="38" t="s">
        <v>1352</v>
      </c>
      <c r="P166" s="38" t="s">
        <v>1338</v>
      </c>
      <c r="Q166" s="38" t="s">
        <v>1380</v>
      </c>
      <c r="R166" s="191"/>
      <c r="S166" s="191"/>
      <c r="T166" s="191"/>
      <c r="U166" s="191"/>
      <c r="V166" s="192"/>
      <c r="W166" s="192"/>
      <c r="X166" s="192"/>
      <c r="Y166" s="192"/>
      <c r="Z166" s="192"/>
      <c r="AA166" s="192"/>
      <c r="AB166" s="192"/>
      <c r="AC166" s="192"/>
      <c r="AD166" s="192"/>
      <c r="AE166" s="192"/>
      <c r="AF166" s="192"/>
      <c r="AG166" s="192"/>
      <c r="AH166" s="6"/>
    </row>
    <row r="167" spans="1:34" ht="16" customHeight="1">
      <c r="A167" s="7"/>
      <c r="B167" s="10"/>
      <c r="C167" s="12"/>
      <c r="D167" s="191"/>
      <c r="E167" s="191"/>
      <c r="F167" s="190"/>
      <c r="G167" s="191"/>
      <c r="H167" s="190"/>
      <c r="I167" s="190"/>
      <c r="J167" s="191"/>
      <c r="K167" s="191"/>
      <c r="L167" s="283" t="s">
        <v>1429</v>
      </c>
      <c r="M167" s="190"/>
      <c r="N167" s="38" t="str">
        <f t="shared" si="15"/>
        <v>FY2010-11</v>
      </c>
      <c r="O167" s="38" t="s">
        <v>1352</v>
      </c>
      <c r="P167" s="38" t="s">
        <v>1338</v>
      </c>
      <c r="Q167" s="38" t="s">
        <v>1380</v>
      </c>
      <c r="R167" s="191"/>
      <c r="S167" s="191"/>
      <c r="T167" s="191"/>
      <c r="U167" s="191"/>
      <c r="V167" s="192"/>
      <c r="W167" s="192"/>
      <c r="X167" s="192"/>
      <c r="Y167" s="192"/>
      <c r="Z167" s="192"/>
      <c r="AA167" s="192"/>
      <c r="AB167" s="192"/>
      <c r="AC167" s="192"/>
      <c r="AD167" s="192"/>
      <c r="AE167" s="192"/>
      <c r="AF167" s="192"/>
      <c r="AG167" s="192"/>
    </row>
    <row r="168" spans="1:34" ht="16" customHeight="1">
      <c r="A168" s="7"/>
      <c r="B168" s="10"/>
      <c r="C168" s="12"/>
      <c r="D168" s="191"/>
      <c r="E168" s="191"/>
      <c r="F168" s="190"/>
      <c r="G168" s="191"/>
      <c r="H168" s="190"/>
      <c r="I168" s="190"/>
      <c r="J168" s="191"/>
      <c r="K168" s="191"/>
      <c r="L168" s="283" t="s">
        <v>1429</v>
      </c>
      <c r="M168" s="190"/>
      <c r="N168" s="38" t="str">
        <f t="shared" si="15"/>
        <v>FY2010-11</v>
      </c>
      <c r="O168" s="38" t="s">
        <v>1352</v>
      </c>
      <c r="P168" s="38" t="s">
        <v>1338</v>
      </c>
      <c r="Q168" s="38" t="s">
        <v>1380</v>
      </c>
      <c r="R168" s="191"/>
      <c r="S168" s="191"/>
      <c r="T168" s="191"/>
      <c r="U168" s="191"/>
      <c r="V168" s="192"/>
      <c r="W168" s="192"/>
      <c r="X168" s="192"/>
      <c r="Y168" s="192"/>
      <c r="Z168" s="192"/>
      <c r="AA168" s="192"/>
      <c r="AB168" s="192"/>
      <c r="AC168" s="192"/>
      <c r="AD168" s="192"/>
      <c r="AE168" s="192"/>
      <c r="AF168" s="192"/>
      <c r="AG168" s="192"/>
    </row>
    <row r="169" spans="1:34" ht="16" customHeight="1">
      <c r="A169" s="7"/>
      <c r="B169" s="10"/>
      <c r="C169" s="12"/>
      <c r="D169" s="191"/>
      <c r="E169" s="191"/>
      <c r="F169" s="190"/>
      <c r="G169" s="191"/>
      <c r="H169" s="190"/>
      <c r="I169" s="190"/>
      <c r="J169" s="191"/>
      <c r="K169" s="191"/>
      <c r="L169" s="283" t="s">
        <v>1429</v>
      </c>
      <c r="M169" s="190"/>
      <c r="N169" s="38" t="str">
        <f t="shared" si="15"/>
        <v>FY2010-11</v>
      </c>
      <c r="O169" s="38" t="s">
        <v>1352</v>
      </c>
      <c r="P169" s="38" t="s">
        <v>1338</v>
      </c>
      <c r="Q169" s="38" t="s">
        <v>1380</v>
      </c>
      <c r="R169" s="191"/>
      <c r="S169" s="191"/>
      <c r="T169" s="191"/>
      <c r="U169" s="191"/>
      <c r="V169" s="192"/>
      <c r="W169" s="192"/>
      <c r="X169" s="192"/>
      <c r="Y169" s="192"/>
      <c r="Z169" s="192"/>
      <c r="AA169" s="192"/>
      <c r="AB169" s="192"/>
      <c r="AC169" s="192"/>
      <c r="AD169" s="192"/>
      <c r="AE169" s="192"/>
      <c r="AF169" s="192"/>
      <c r="AG169" s="192"/>
    </row>
    <row r="170" spans="1:34" ht="16" customHeight="1">
      <c r="A170" s="7"/>
      <c r="B170" s="10"/>
      <c r="C170" s="12"/>
      <c r="D170" s="191"/>
      <c r="E170" s="191"/>
      <c r="F170" s="190"/>
      <c r="G170" s="191"/>
      <c r="H170" s="190"/>
      <c r="I170" s="190"/>
      <c r="J170" s="191"/>
      <c r="K170" s="191"/>
      <c r="L170" s="283" t="s">
        <v>1429</v>
      </c>
      <c r="M170" s="190"/>
      <c r="N170" s="38" t="str">
        <f t="shared" si="15"/>
        <v>FY2010-11</v>
      </c>
      <c r="O170" s="38" t="s">
        <v>1352</v>
      </c>
      <c r="P170" s="38" t="s">
        <v>1338</v>
      </c>
      <c r="Q170" s="38" t="s">
        <v>1380</v>
      </c>
      <c r="R170" s="191"/>
      <c r="S170" s="191"/>
      <c r="T170" s="191"/>
      <c r="U170" s="191"/>
      <c r="V170" s="192"/>
      <c r="W170" s="192"/>
      <c r="X170" s="192"/>
      <c r="Y170" s="192"/>
      <c r="Z170" s="192"/>
      <c r="AA170" s="192"/>
      <c r="AB170" s="192"/>
      <c r="AC170" s="192"/>
      <c r="AD170" s="192"/>
      <c r="AE170" s="192"/>
      <c r="AF170" s="192"/>
      <c r="AG170" s="192"/>
    </row>
    <row r="171" spans="1:34" ht="16" customHeight="1">
      <c r="A171" s="7"/>
      <c r="B171" s="10"/>
      <c r="C171" s="12"/>
      <c r="D171" s="191"/>
      <c r="E171" s="191"/>
      <c r="F171" s="190"/>
      <c r="G171" s="191"/>
      <c r="H171" s="190"/>
      <c r="I171" s="190"/>
      <c r="J171" s="191"/>
      <c r="K171" s="191"/>
      <c r="L171" s="283" t="s">
        <v>1429</v>
      </c>
      <c r="M171" s="190"/>
      <c r="N171" s="38" t="str">
        <f t="shared" si="15"/>
        <v>FY2010-11</v>
      </c>
      <c r="O171" s="38" t="s">
        <v>1352</v>
      </c>
      <c r="P171" s="38" t="s">
        <v>1338</v>
      </c>
      <c r="Q171" s="38" t="s">
        <v>1380</v>
      </c>
      <c r="R171" s="191"/>
      <c r="S171" s="191"/>
      <c r="T171" s="191"/>
      <c r="U171" s="191"/>
      <c r="V171" s="192"/>
      <c r="W171" s="192"/>
      <c r="X171" s="192"/>
      <c r="Y171" s="192"/>
      <c r="Z171" s="192"/>
      <c r="AA171" s="192"/>
      <c r="AB171" s="192"/>
      <c r="AC171" s="192"/>
      <c r="AD171" s="192"/>
      <c r="AE171" s="192"/>
      <c r="AF171" s="192"/>
      <c r="AG171" s="192"/>
    </row>
    <row r="172" spans="1:34" ht="16" customHeight="1">
      <c r="A172" s="25"/>
      <c r="B172" s="26"/>
      <c r="C172" s="26"/>
      <c r="D172" s="27"/>
      <c r="E172" s="27"/>
      <c r="F172" s="28"/>
      <c r="G172" s="27"/>
      <c r="H172" s="28"/>
      <c r="I172" s="28"/>
      <c r="J172" s="27"/>
      <c r="K172" s="27"/>
      <c r="L172" s="282"/>
      <c r="M172" s="28"/>
      <c r="N172" s="28"/>
      <c r="O172" s="27"/>
      <c r="P172" s="28"/>
      <c r="Q172" s="28"/>
      <c r="R172" s="27"/>
      <c r="S172" s="27"/>
      <c r="T172" s="27"/>
      <c r="U172" s="27"/>
      <c r="V172" s="25"/>
      <c r="W172" s="25"/>
      <c r="X172" s="25"/>
      <c r="Y172" s="25"/>
      <c r="Z172" s="25"/>
      <c r="AA172" s="25"/>
      <c r="AB172" s="25"/>
      <c r="AC172" s="25"/>
      <c r="AD172" s="25"/>
      <c r="AE172" s="25"/>
      <c r="AF172" s="25"/>
      <c r="AG172" s="25"/>
    </row>
    <row r="173" spans="1:34" ht="16" customHeight="1" thickBot="1">
      <c r="A173" s="7"/>
      <c r="B173" s="19" t="str">
        <f>"FA1 = "&amp;'FIG3'!$W$52&amp;" "&amp;'FIG3'!$X$52</f>
        <v>FA1 = Little Rock School District</v>
      </c>
      <c r="C173" s="7"/>
      <c r="D173" s="8"/>
      <c r="E173" s="8"/>
      <c r="F173" s="9"/>
      <c r="G173" s="8"/>
      <c r="H173" s="9"/>
      <c r="I173" s="9"/>
      <c r="J173" s="8"/>
      <c r="K173" s="8"/>
      <c r="L173" s="280"/>
      <c r="M173" s="9"/>
      <c r="N173" s="9"/>
      <c r="O173" s="8"/>
      <c r="P173" s="9"/>
      <c r="Q173" s="9"/>
      <c r="R173" s="8"/>
      <c r="S173" s="882"/>
      <c r="T173" s="883" t="str">
        <f>'$REV-DB'!$T$34</f>
        <v>Federal Revenues</v>
      </c>
      <c r="U173" s="883" t="str">
        <f>'$REV-DB'!$U$34</f>
        <v>local Revenues</v>
      </c>
      <c r="V173" s="883" t="str">
        <f>'$REV-DB'!$V$34</f>
        <v>Other Revenues</v>
      </c>
      <c r="W173" s="883" t="str">
        <f>'$REV-DB'!$W$34</f>
        <v>State revenues</v>
      </c>
      <c r="X173" s="883" t="str">
        <f>'$REV-DB'!$X$34</f>
        <v>UD5</v>
      </c>
      <c r="Y173" s="883" t="str">
        <f>'$REV-DB'!$Y$34</f>
        <v>UD6</v>
      </c>
      <c r="Z173" s="883" t="str">
        <f>'$REV-DB'!$Z$34</f>
        <v>UD7</v>
      </c>
      <c r="AA173" s="883" t="str">
        <f>'$REV-DB'!$AA$34</f>
        <v>UD8</v>
      </c>
      <c r="AB173" s="883" t="str">
        <f>'$REV-DB'!$AB$34</f>
        <v>UD9</v>
      </c>
      <c r="AC173" s="883" t="str">
        <f>'$REV-DB'!$AC$34</f>
        <v>UD10</v>
      </c>
      <c r="AD173" s="883" t="str">
        <f>'$REV-DB'!$AD$34</f>
        <v>UD11</v>
      </c>
      <c r="AE173" s="883" t="str">
        <f>'$REV-DB'!$AE$34</f>
        <v>UD12</v>
      </c>
      <c r="AF173" s="883" t="str">
        <f>'$REV-DB'!$AF$34</f>
        <v>UD13</v>
      </c>
      <c r="AG173" s="883" t="str">
        <f>'$REV-DB'!$AG$34</f>
        <v>UD14</v>
      </c>
    </row>
    <row r="174" spans="1:34" ht="16" customHeight="1" thickTop="1" thickBot="1">
      <c r="A174" s="7"/>
      <c r="B174" s="20" t="s">
        <v>1399</v>
      </c>
      <c r="C174" s="15"/>
      <c r="D174" s="105" t="s">
        <v>1386</v>
      </c>
      <c r="E174" s="105" t="s">
        <v>1387</v>
      </c>
      <c r="F174" s="105" t="s">
        <v>1388</v>
      </c>
      <c r="G174" s="105" t="s">
        <v>1389</v>
      </c>
      <c r="H174" s="105" t="s">
        <v>1406</v>
      </c>
      <c r="I174" s="105" t="s">
        <v>1390</v>
      </c>
      <c r="J174" s="105" t="s">
        <v>1391</v>
      </c>
      <c r="K174" s="105" t="s">
        <v>1392</v>
      </c>
      <c r="L174" s="276" t="s">
        <v>1188</v>
      </c>
      <c r="M174" s="105" t="s">
        <v>1437</v>
      </c>
      <c r="N174" s="105" t="s">
        <v>1348</v>
      </c>
      <c r="O174" s="105" t="s">
        <v>1393</v>
      </c>
      <c r="P174" s="105" t="s">
        <v>1342</v>
      </c>
      <c r="Q174" s="105" t="s">
        <v>1394</v>
      </c>
      <c r="R174" s="112" t="s">
        <v>1341</v>
      </c>
      <c r="S174" s="112" t="s">
        <v>846</v>
      </c>
      <c r="T174" s="873" t="s">
        <v>935</v>
      </c>
      <c r="U174" s="873" t="s">
        <v>936</v>
      </c>
      <c r="V174" s="873" t="s">
        <v>937</v>
      </c>
      <c r="W174" s="873" t="s">
        <v>938</v>
      </c>
      <c r="X174" s="873" t="s">
        <v>939</v>
      </c>
      <c r="Y174" s="873" t="s">
        <v>940</v>
      </c>
      <c r="Z174" s="873" t="s">
        <v>941</v>
      </c>
      <c r="AA174" s="873" t="s">
        <v>942</v>
      </c>
      <c r="AB174" s="873" t="s">
        <v>943</v>
      </c>
      <c r="AC174" s="873" t="s">
        <v>944</v>
      </c>
      <c r="AD174" s="873" t="s">
        <v>945</v>
      </c>
      <c r="AE174" s="873" t="s">
        <v>946</v>
      </c>
      <c r="AF174" s="873" t="s">
        <v>947</v>
      </c>
      <c r="AG174" s="873" t="s">
        <v>948</v>
      </c>
      <c r="AH174" s="6"/>
    </row>
    <row r="175" spans="1:34" ht="16" customHeight="1" thickTop="1">
      <c r="A175" s="7"/>
      <c r="B175" s="19" t="s">
        <v>1344</v>
      </c>
      <c r="C175" s="12"/>
      <c r="D175" s="191"/>
      <c r="E175" s="191"/>
      <c r="F175" s="190"/>
      <c r="G175" s="191"/>
      <c r="H175" s="190"/>
      <c r="I175" s="190"/>
      <c r="J175" s="191"/>
      <c r="K175" s="191"/>
      <c r="L175" s="283" t="s">
        <v>1429</v>
      </c>
      <c r="M175" s="190"/>
      <c r="N175" s="38" t="str">
        <f>J$6</f>
        <v>FY2010-11</v>
      </c>
      <c r="O175" s="38" t="s">
        <v>1352</v>
      </c>
      <c r="P175" s="38" t="s">
        <v>1338</v>
      </c>
      <c r="Q175" s="38" t="s">
        <v>1339</v>
      </c>
      <c r="R175" s="191"/>
      <c r="S175" s="191"/>
      <c r="T175" s="191"/>
      <c r="U175" s="191"/>
      <c r="V175" s="192"/>
      <c r="W175" s="192"/>
      <c r="X175" s="192"/>
      <c r="Y175" s="192"/>
      <c r="Z175" s="192"/>
      <c r="AA175" s="192"/>
      <c r="AB175" s="192"/>
      <c r="AC175" s="192"/>
      <c r="AD175" s="192"/>
      <c r="AE175" s="192"/>
      <c r="AF175" s="192"/>
      <c r="AG175" s="192"/>
      <c r="AH175" s="6"/>
    </row>
    <row r="176" spans="1:34" ht="16" customHeight="1">
      <c r="A176" s="7"/>
      <c r="B176" s="16">
        <f>DSUM('$REV-DB'!D35:AG374,"AMOUNT",'$REV-DSUM'!D174:AG181)</f>
        <v>136201749.15000001</v>
      </c>
      <c r="C176" s="12"/>
      <c r="D176" s="191"/>
      <c r="E176" s="191"/>
      <c r="F176" s="190"/>
      <c r="G176" s="191"/>
      <c r="H176" s="190"/>
      <c r="I176" s="190"/>
      <c r="J176" s="191"/>
      <c r="K176" s="191"/>
      <c r="L176" s="283" t="s">
        <v>1429</v>
      </c>
      <c r="M176" s="190"/>
      <c r="N176" s="38" t="str">
        <f t="shared" ref="N176:N181" si="16">J$6</f>
        <v>FY2010-11</v>
      </c>
      <c r="O176" s="38" t="s">
        <v>1352</v>
      </c>
      <c r="P176" s="38" t="s">
        <v>1338</v>
      </c>
      <c r="Q176" s="38" t="s">
        <v>1339</v>
      </c>
      <c r="R176" s="191"/>
      <c r="S176" s="191"/>
      <c r="T176" s="191"/>
      <c r="U176" s="191"/>
      <c r="V176" s="192"/>
      <c r="W176" s="192"/>
      <c r="X176" s="192"/>
      <c r="Y176" s="192"/>
      <c r="Z176" s="192"/>
      <c r="AA176" s="192"/>
      <c r="AB176" s="192"/>
      <c r="AC176" s="192"/>
      <c r="AD176" s="192"/>
      <c r="AE176" s="192"/>
      <c r="AF176" s="192"/>
      <c r="AG176" s="192"/>
      <c r="AH176" s="6"/>
    </row>
    <row r="177" spans="1:34" ht="16" customHeight="1">
      <c r="A177" s="7"/>
      <c r="B177" s="10"/>
      <c r="C177" s="12"/>
      <c r="D177" s="191"/>
      <c r="E177" s="191"/>
      <c r="F177" s="190"/>
      <c r="G177" s="191"/>
      <c r="H177" s="190"/>
      <c r="I177" s="190"/>
      <c r="J177" s="191"/>
      <c r="K177" s="191"/>
      <c r="L177" s="283" t="s">
        <v>1429</v>
      </c>
      <c r="M177" s="190"/>
      <c r="N177" s="38" t="str">
        <f t="shared" si="16"/>
        <v>FY2010-11</v>
      </c>
      <c r="O177" s="38" t="s">
        <v>1352</v>
      </c>
      <c r="P177" s="38" t="s">
        <v>1338</v>
      </c>
      <c r="Q177" s="38" t="s">
        <v>1339</v>
      </c>
      <c r="R177" s="191"/>
      <c r="S177" s="191"/>
      <c r="T177" s="191"/>
      <c r="U177" s="191"/>
      <c r="V177" s="192"/>
      <c r="W177" s="192"/>
      <c r="X177" s="192"/>
      <c r="Y177" s="192"/>
      <c r="Z177" s="192"/>
      <c r="AA177" s="192"/>
      <c r="AB177" s="192"/>
      <c r="AC177" s="192"/>
      <c r="AD177" s="192"/>
      <c r="AE177" s="192"/>
      <c r="AF177" s="192"/>
      <c r="AG177" s="192"/>
    </row>
    <row r="178" spans="1:34" ht="16" customHeight="1">
      <c r="A178" s="7"/>
      <c r="B178" s="10"/>
      <c r="C178" s="12"/>
      <c r="D178" s="191"/>
      <c r="E178" s="191"/>
      <c r="F178" s="190"/>
      <c r="G178" s="191"/>
      <c r="H178" s="190"/>
      <c r="I178" s="190"/>
      <c r="J178" s="191"/>
      <c r="K178" s="191"/>
      <c r="L178" s="283" t="s">
        <v>1429</v>
      </c>
      <c r="M178" s="190"/>
      <c r="N178" s="38" t="str">
        <f t="shared" si="16"/>
        <v>FY2010-11</v>
      </c>
      <c r="O178" s="38" t="s">
        <v>1352</v>
      </c>
      <c r="P178" s="38" t="s">
        <v>1338</v>
      </c>
      <c r="Q178" s="38" t="s">
        <v>1339</v>
      </c>
      <c r="R178" s="191"/>
      <c r="S178" s="191"/>
      <c r="T178" s="191"/>
      <c r="U178" s="191"/>
      <c r="V178" s="192"/>
      <c r="W178" s="192"/>
      <c r="X178" s="192"/>
      <c r="Y178" s="192"/>
      <c r="Z178" s="192"/>
      <c r="AA178" s="192"/>
      <c r="AB178" s="192"/>
      <c r="AC178" s="192"/>
      <c r="AD178" s="192"/>
      <c r="AE178" s="192"/>
      <c r="AF178" s="192"/>
      <c r="AG178" s="192"/>
    </row>
    <row r="179" spans="1:34" ht="16" customHeight="1">
      <c r="A179" s="7"/>
      <c r="B179" s="10"/>
      <c r="C179" s="12"/>
      <c r="D179" s="191"/>
      <c r="E179" s="191"/>
      <c r="F179" s="190"/>
      <c r="G179" s="191"/>
      <c r="H179" s="190"/>
      <c r="I179" s="190"/>
      <c r="J179" s="191"/>
      <c r="K179" s="191"/>
      <c r="L179" s="283" t="s">
        <v>1429</v>
      </c>
      <c r="M179" s="190"/>
      <c r="N179" s="38" t="str">
        <f t="shared" si="16"/>
        <v>FY2010-11</v>
      </c>
      <c r="O179" s="38" t="s">
        <v>1352</v>
      </c>
      <c r="P179" s="38" t="s">
        <v>1338</v>
      </c>
      <c r="Q179" s="38" t="s">
        <v>1339</v>
      </c>
      <c r="R179" s="191"/>
      <c r="S179" s="191"/>
      <c r="T179" s="191"/>
      <c r="U179" s="191"/>
      <c r="V179" s="192"/>
      <c r="W179" s="192"/>
      <c r="X179" s="192"/>
      <c r="Y179" s="192"/>
      <c r="Z179" s="192"/>
      <c r="AA179" s="192"/>
      <c r="AB179" s="192"/>
      <c r="AC179" s="192"/>
      <c r="AD179" s="192"/>
      <c r="AE179" s="192"/>
      <c r="AF179" s="192"/>
      <c r="AG179" s="192"/>
    </row>
    <row r="180" spans="1:34" ht="16" customHeight="1">
      <c r="A180" s="7"/>
      <c r="B180" s="10"/>
      <c r="C180" s="12"/>
      <c r="D180" s="191"/>
      <c r="E180" s="191"/>
      <c r="F180" s="190"/>
      <c r="G180" s="191"/>
      <c r="H180" s="190"/>
      <c r="I180" s="190"/>
      <c r="J180" s="191"/>
      <c r="K180" s="191"/>
      <c r="L180" s="283" t="s">
        <v>1429</v>
      </c>
      <c r="M180" s="190"/>
      <c r="N180" s="38" t="str">
        <f t="shared" si="16"/>
        <v>FY2010-11</v>
      </c>
      <c r="O180" s="38" t="s">
        <v>1352</v>
      </c>
      <c r="P180" s="38" t="s">
        <v>1338</v>
      </c>
      <c r="Q180" s="38" t="s">
        <v>1339</v>
      </c>
      <c r="R180" s="191"/>
      <c r="S180" s="191"/>
      <c r="T180" s="191"/>
      <c r="U180" s="191"/>
      <c r="V180" s="192"/>
      <c r="W180" s="192"/>
      <c r="X180" s="192"/>
      <c r="Y180" s="192"/>
      <c r="Z180" s="192"/>
      <c r="AA180" s="192"/>
      <c r="AB180" s="192"/>
      <c r="AC180" s="192"/>
      <c r="AD180" s="192"/>
      <c r="AE180" s="192"/>
      <c r="AF180" s="192"/>
      <c r="AG180" s="192"/>
    </row>
    <row r="181" spans="1:34" ht="16" customHeight="1">
      <c r="A181" s="7"/>
      <c r="B181" s="10"/>
      <c r="C181" s="12"/>
      <c r="D181" s="191"/>
      <c r="E181" s="191"/>
      <c r="F181" s="190"/>
      <c r="G181" s="191"/>
      <c r="H181" s="190"/>
      <c r="I181" s="190"/>
      <c r="J181" s="191"/>
      <c r="K181" s="191"/>
      <c r="L181" s="283" t="s">
        <v>1429</v>
      </c>
      <c r="M181" s="190"/>
      <c r="N181" s="38" t="str">
        <f t="shared" si="16"/>
        <v>FY2010-11</v>
      </c>
      <c r="O181" s="38" t="s">
        <v>1352</v>
      </c>
      <c r="P181" s="38" t="s">
        <v>1338</v>
      </c>
      <c r="Q181" s="38" t="s">
        <v>1339</v>
      </c>
      <c r="R181" s="191"/>
      <c r="S181" s="191"/>
      <c r="T181" s="191"/>
      <c r="U181" s="191"/>
      <c r="V181" s="192"/>
      <c r="W181" s="192"/>
      <c r="X181" s="192"/>
      <c r="Y181" s="192"/>
      <c r="Z181" s="192"/>
      <c r="AA181" s="192"/>
      <c r="AB181" s="192"/>
      <c r="AC181" s="192"/>
      <c r="AD181" s="192"/>
      <c r="AE181" s="192"/>
      <c r="AF181" s="192"/>
      <c r="AG181" s="192"/>
    </row>
    <row r="182" spans="1:34" ht="16" customHeight="1">
      <c r="A182" s="25"/>
      <c r="B182" s="26"/>
      <c r="C182" s="26"/>
      <c r="D182" s="27"/>
      <c r="E182" s="27"/>
      <c r="F182" s="28"/>
      <c r="G182" s="27"/>
      <c r="H182" s="28"/>
      <c r="I182" s="28"/>
      <c r="J182" s="27"/>
      <c r="K182" s="27"/>
      <c r="L182" s="282"/>
      <c r="M182" s="28"/>
      <c r="N182" s="28"/>
      <c r="O182" s="27"/>
      <c r="P182" s="28"/>
      <c r="Q182" s="28"/>
      <c r="R182" s="27"/>
      <c r="S182" s="27"/>
      <c r="T182" s="27"/>
      <c r="U182" s="27"/>
      <c r="V182" s="25"/>
      <c r="W182" s="25"/>
      <c r="X182" s="25"/>
      <c r="Y182" s="25"/>
      <c r="Z182" s="25"/>
      <c r="AA182" s="25"/>
      <c r="AB182" s="25"/>
      <c r="AC182" s="25"/>
      <c r="AD182" s="25"/>
      <c r="AE182" s="25"/>
      <c r="AF182" s="25"/>
      <c r="AG182" s="25"/>
    </row>
    <row r="183" spans="1:34" ht="16" customHeight="1" thickBot="1">
      <c r="A183" s="7"/>
      <c r="B183" s="19" t="str">
        <f>"FA1 = "&amp;'FIG3'!$W$52&amp;" "&amp;'FIG3'!$X$52</f>
        <v>FA1 = Little Rock School District</v>
      </c>
      <c r="C183" s="7"/>
      <c r="D183" s="8"/>
      <c r="E183" s="8"/>
      <c r="F183" s="9"/>
      <c r="G183" s="8"/>
      <c r="H183" s="9"/>
      <c r="I183" s="9"/>
      <c r="J183" s="8"/>
      <c r="K183" s="8"/>
      <c r="L183" s="280"/>
      <c r="M183" s="9"/>
      <c r="N183" s="9"/>
      <c r="O183" s="8"/>
      <c r="P183" s="9"/>
      <c r="Q183" s="9"/>
      <c r="R183" s="8"/>
      <c r="S183" s="882"/>
      <c r="T183" s="883" t="str">
        <f>'$REV-DB'!$T$34</f>
        <v>Federal Revenues</v>
      </c>
      <c r="U183" s="883" t="str">
        <f>'$REV-DB'!$U$34</f>
        <v>local Revenues</v>
      </c>
      <c r="V183" s="883" t="str">
        <f>'$REV-DB'!$V$34</f>
        <v>Other Revenues</v>
      </c>
      <c r="W183" s="883" t="str">
        <f>'$REV-DB'!$W$34</f>
        <v>State revenues</v>
      </c>
      <c r="X183" s="883" t="str">
        <f>'$REV-DB'!$X$34</f>
        <v>UD5</v>
      </c>
      <c r="Y183" s="883" t="str">
        <f>'$REV-DB'!$Y$34</f>
        <v>UD6</v>
      </c>
      <c r="Z183" s="883" t="str">
        <f>'$REV-DB'!$Z$34</f>
        <v>UD7</v>
      </c>
      <c r="AA183" s="883" t="str">
        <f>'$REV-DB'!$AA$34</f>
        <v>UD8</v>
      </c>
      <c r="AB183" s="883" t="str">
        <f>'$REV-DB'!$AB$34</f>
        <v>UD9</v>
      </c>
      <c r="AC183" s="883" t="str">
        <f>'$REV-DB'!$AC$34</f>
        <v>UD10</v>
      </c>
      <c r="AD183" s="883" t="str">
        <f>'$REV-DB'!$AD$34</f>
        <v>UD11</v>
      </c>
      <c r="AE183" s="883" t="str">
        <f>'$REV-DB'!$AE$34</f>
        <v>UD12</v>
      </c>
      <c r="AF183" s="883" t="str">
        <f>'$REV-DB'!$AF$34</f>
        <v>UD13</v>
      </c>
      <c r="AG183" s="883" t="str">
        <f>'$REV-DB'!$AG$34</f>
        <v>UD14</v>
      </c>
    </row>
    <row r="184" spans="1:34" ht="16" customHeight="1" thickTop="1" thickBot="1">
      <c r="A184" s="7"/>
      <c r="B184" s="20" t="s">
        <v>1399</v>
      </c>
      <c r="C184" s="15"/>
      <c r="D184" s="105" t="s">
        <v>1386</v>
      </c>
      <c r="E184" s="105" t="s">
        <v>1387</v>
      </c>
      <c r="F184" s="105" t="s">
        <v>1388</v>
      </c>
      <c r="G184" s="105" t="s">
        <v>1389</v>
      </c>
      <c r="H184" s="301" t="s">
        <v>1406</v>
      </c>
      <c r="I184" s="301" t="s">
        <v>1390</v>
      </c>
      <c r="J184" s="301" t="s">
        <v>1391</v>
      </c>
      <c r="K184" s="301" t="s">
        <v>1392</v>
      </c>
      <c r="L184" s="301" t="s">
        <v>1188</v>
      </c>
      <c r="M184" s="301" t="s">
        <v>1437</v>
      </c>
      <c r="N184" s="105" t="s">
        <v>1348</v>
      </c>
      <c r="O184" s="105" t="s">
        <v>1393</v>
      </c>
      <c r="P184" s="105" t="s">
        <v>1342</v>
      </c>
      <c r="Q184" s="105" t="s">
        <v>1394</v>
      </c>
      <c r="R184" s="112" t="s">
        <v>1341</v>
      </c>
      <c r="S184" s="112" t="s">
        <v>846</v>
      </c>
      <c r="T184" s="873" t="s">
        <v>935</v>
      </c>
      <c r="U184" s="873" t="s">
        <v>936</v>
      </c>
      <c r="V184" s="873" t="s">
        <v>937</v>
      </c>
      <c r="W184" s="873" t="s">
        <v>938</v>
      </c>
      <c r="X184" s="873" t="s">
        <v>939</v>
      </c>
      <c r="Y184" s="873" t="s">
        <v>940</v>
      </c>
      <c r="Z184" s="873" t="s">
        <v>941</v>
      </c>
      <c r="AA184" s="873" t="s">
        <v>942</v>
      </c>
      <c r="AB184" s="873" t="s">
        <v>943</v>
      </c>
      <c r="AC184" s="873" t="s">
        <v>944</v>
      </c>
      <c r="AD184" s="873" t="s">
        <v>945</v>
      </c>
      <c r="AE184" s="873" t="s">
        <v>946</v>
      </c>
      <c r="AF184" s="873" t="s">
        <v>947</v>
      </c>
      <c r="AG184" s="873" t="s">
        <v>948</v>
      </c>
      <c r="AH184" s="6"/>
    </row>
    <row r="185" spans="1:34" ht="16" customHeight="1" thickTop="1">
      <c r="A185" s="7"/>
      <c r="B185" s="19" t="s">
        <v>1343</v>
      </c>
      <c r="C185" s="12"/>
      <c r="D185" s="191"/>
      <c r="E185" s="191"/>
      <c r="F185" s="190"/>
      <c r="G185" s="191"/>
      <c r="H185" s="190"/>
      <c r="I185" s="190"/>
      <c r="J185" s="191"/>
      <c r="K185" s="191"/>
      <c r="L185" s="283" t="s">
        <v>1429</v>
      </c>
      <c r="M185" s="190"/>
      <c r="N185" s="38" t="str">
        <f>J$6</f>
        <v>FY2010-11</v>
      </c>
      <c r="O185" s="38" t="s">
        <v>1352</v>
      </c>
      <c r="P185" s="38" t="s">
        <v>1338</v>
      </c>
      <c r="Q185" s="38" t="s">
        <v>1379</v>
      </c>
      <c r="R185" s="191"/>
      <c r="S185" s="191"/>
      <c r="T185" s="191"/>
      <c r="U185" s="191"/>
      <c r="V185" s="192"/>
      <c r="W185" s="192"/>
      <c r="X185" s="192"/>
      <c r="Y185" s="192"/>
      <c r="Z185" s="192"/>
      <c r="AA185" s="192"/>
      <c r="AB185" s="192"/>
      <c r="AC185" s="192"/>
      <c r="AD185" s="192"/>
      <c r="AE185" s="192"/>
      <c r="AF185" s="192"/>
      <c r="AG185" s="192"/>
      <c r="AH185" s="6"/>
    </row>
    <row r="186" spans="1:34" ht="16" customHeight="1">
      <c r="A186" s="7"/>
      <c r="B186" s="16">
        <f>DSUM('$REV-DB'!D35:AG374,"AMOUNT",'$REV-DSUM'!D184:AG191)</f>
        <v>139616052.41</v>
      </c>
      <c r="C186" s="12"/>
      <c r="D186" s="191"/>
      <c r="E186" s="191"/>
      <c r="F186" s="190"/>
      <c r="G186" s="191"/>
      <c r="H186" s="190"/>
      <c r="I186" s="190"/>
      <c r="J186" s="191"/>
      <c r="K186" s="191"/>
      <c r="L186" s="283" t="s">
        <v>1429</v>
      </c>
      <c r="M186" s="190"/>
      <c r="N186" s="38" t="str">
        <f t="shared" ref="N186:N191" si="17">J$6</f>
        <v>FY2010-11</v>
      </c>
      <c r="O186" s="38" t="s">
        <v>1352</v>
      </c>
      <c r="P186" s="38" t="s">
        <v>1338</v>
      </c>
      <c r="Q186" s="38" t="s">
        <v>1379</v>
      </c>
      <c r="R186" s="191"/>
      <c r="S186" s="191"/>
      <c r="T186" s="191"/>
      <c r="U186" s="191"/>
      <c r="V186" s="192"/>
      <c r="W186" s="192"/>
      <c r="X186" s="192"/>
      <c r="Y186" s="192"/>
      <c r="Z186" s="192"/>
      <c r="AA186" s="192"/>
      <c r="AB186" s="192"/>
      <c r="AC186" s="192"/>
      <c r="AD186" s="192"/>
      <c r="AE186" s="192"/>
      <c r="AF186" s="192"/>
      <c r="AG186" s="192"/>
      <c r="AH186" s="6"/>
    </row>
    <row r="187" spans="1:34" ht="16" customHeight="1">
      <c r="A187" s="7"/>
      <c r="B187" s="10"/>
      <c r="C187" s="12"/>
      <c r="D187" s="191"/>
      <c r="E187" s="191"/>
      <c r="F187" s="190"/>
      <c r="G187" s="191"/>
      <c r="H187" s="190"/>
      <c r="I187" s="190"/>
      <c r="J187" s="191"/>
      <c r="K187" s="191"/>
      <c r="L187" s="283" t="s">
        <v>1429</v>
      </c>
      <c r="M187" s="190"/>
      <c r="N187" s="38" t="str">
        <f t="shared" si="17"/>
        <v>FY2010-11</v>
      </c>
      <c r="O187" s="38" t="s">
        <v>1352</v>
      </c>
      <c r="P187" s="38" t="s">
        <v>1338</v>
      </c>
      <c r="Q187" s="38" t="s">
        <v>1379</v>
      </c>
      <c r="R187" s="191"/>
      <c r="S187" s="191"/>
      <c r="T187" s="191"/>
      <c r="U187" s="191"/>
      <c r="V187" s="192"/>
      <c r="W187" s="192"/>
      <c r="X187" s="192"/>
      <c r="Y187" s="192"/>
      <c r="Z187" s="192"/>
      <c r="AA187" s="192"/>
      <c r="AB187" s="192"/>
      <c r="AC187" s="192"/>
      <c r="AD187" s="192"/>
      <c r="AE187" s="192"/>
      <c r="AF187" s="192"/>
      <c r="AG187" s="192"/>
    </row>
    <row r="188" spans="1:34" ht="16" customHeight="1">
      <c r="A188" s="7"/>
      <c r="B188" s="10"/>
      <c r="C188" s="12"/>
      <c r="D188" s="191"/>
      <c r="E188" s="191"/>
      <c r="F188" s="190"/>
      <c r="G188" s="191"/>
      <c r="H188" s="190"/>
      <c r="I188" s="190"/>
      <c r="J188" s="191"/>
      <c r="K188" s="191"/>
      <c r="L188" s="283" t="s">
        <v>1429</v>
      </c>
      <c r="M188" s="190"/>
      <c r="N188" s="38" t="str">
        <f t="shared" si="17"/>
        <v>FY2010-11</v>
      </c>
      <c r="O188" s="38" t="s">
        <v>1352</v>
      </c>
      <c r="P188" s="38" t="s">
        <v>1338</v>
      </c>
      <c r="Q188" s="38" t="s">
        <v>1379</v>
      </c>
      <c r="R188" s="191"/>
      <c r="S188" s="191"/>
      <c r="T188" s="191"/>
      <c r="U188" s="191"/>
      <c r="V188" s="192"/>
      <c r="W188" s="192"/>
      <c r="X188" s="192"/>
      <c r="Y188" s="192"/>
      <c r="Z188" s="192"/>
      <c r="AA188" s="192"/>
      <c r="AB188" s="192"/>
      <c r="AC188" s="192"/>
      <c r="AD188" s="192"/>
      <c r="AE188" s="192"/>
      <c r="AF188" s="192"/>
      <c r="AG188" s="192"/>
    </row>
    <row r="189" spans="1:34" ht="16" customHeight="1">
      <c r="A189" s="7"/>
      <c r="B189" s="10"/>
      <c r="C189" s="12"/>
      <c r="D189" s="191"/>
      <c r="E189" s="191"/>
      <c r="F189" s="190"/>
      <c r="G189" s="191"/>
      <c r="H189" s="190"/>
      <c r="I189" s="190"/>
      <c r="J189" s="191"/>
      <c r="K189" s="191"/>
      <c r="L189" s="283" t="s">
        <v>1429</v>
      </c>
      <c r="M189" s="190"/>
      <c r="N189" s="38" t="str">
        <f t="shared" si="17"/>
        <v>FY2010-11</v>
      </c>
      <c r="O189" s="38" t="s">
        <v>1352</v>
      </c>
      <c r="P189" s="38" t="s">
        <v>1338</v>
      </c>
      <c r="Q189" s="38" t="s">
        <v>1379</v>
      </c>
      <c r="R189" s="191"/>
      <c r="S189" s="191"/>
      <c r="T189" s="191"/>
      <c r="U189" s="191"/>
      <c r="V189" s="192"/>
      <c r="W189" s="192"/>
      <c r="X189" s="192"/>
      <c r="Y189" s="192"/>
      <c r="Z189" s="192"/>
      <c r="AA189" s="192"/>
      <c r="AB189" s="192"/>
      <c r="AC189" s="192"/>
      <c r="AD189" s="192"/>
      <c r="AE189" s="192"/>
      <c r="AF189" s="192"/>
      <c r="AG189" s="192"/>
    </row>
    <row r="190" spans="1:34" ht="16" customHeight="1">
      <c r="A190" s="7"/>
      <c r="B190" s="10"/>
      <c r="C190" s="12"/>
      <c r="D190" s="191"/>
      <c r="E190" s="191"/>
      <c r="F190" s="190"/>
      <c r="G190" s="191"/>
      <c r="H190" s="190"/>
      <c r="I190" s="190"/>
      <c r="J190" s="191"/>
      <c r="K190" s="191"/>
      <c r="L190" s="283" t="s">
        <v>1429</v>
      </c>
      <c r="M190" s="190"/>
      <c r="N190" s="38" t="str">
        <f t="shared" si="17"/>
        <v>FY2010-11</v>
      </c>
      <c r="O190" s="38" t="s">
        <v>1352</v>
      </c>
      <c r="P190" s="38" t="s">
        <v>1338</v>
      </c>
      <c r="Q190" s="38" t="s">
        <v>1379</v>
      </c>
      <c r="R190" s="191"/>
      <c r="S190" s="191"/>
      <c r="T190" s="191"/>
      <c r="U190" s="191"/>
      <c r="V190" s="192"/>
      <c r="W190" s="192"/>
      <c r="X190" s="192"/>
      <c r="Y190" s="192"/>
      <c r="Z190" s="192"/>
      <c r="AA190" s="192"/>
      <c r="AB190" s="192"/>
      <c r="AC190" s="192"/>
      <c r="AD190" s="192"/>
      <c r="AE190" s="192"/>
      <c r="AF190" s="192"/>
      <c r="AG190" s="192"/>
    </row>
    <row r="191" spans="1:34" ht="16" customHeight="1">
      <c r="A191" s="7"/>
      <c r="B191" s="10"/>
      <c r="C191" s="12"/>
      <c r="D191" s="191"/>
      <c r="E191" s="191"/>
      <c r="F191" s="190"/>
      <c r="G191" s="191"/>
      <c r="H191" s="190"/>
      <c r="I191" s="190"/>
      <c r="J191" s="191"/>
      <c r="K191" s="191"/>
      <c r="L191" s="283" t="s">
        <v>1429</v>
      </c>
      <c r="M191" s="190"/>
      <c r="N191" s="38" t="str">
        <f t="shared" si="17"/>
        <v>FY2010-11</v>
      </c>
      <c r="O191" s="38" t="s">
        <v>1352</v>
      </c>
      <c r="P191" s="38" t="s">
        <v>1338</v>
      </c>
      <c r="Q191" s="38" t="s">
        <v>1379</v>
      </c>
      <c r="R191" s="191"/>
      <c r="S191" s="191"/>
      <c r="T191" s="191"/>
      <c r="U191" s="191"/>
      <c r="V191" s="192"/>
      <c r="W191" s="192"/>
      <c r="X191" s="192"/>
      <c r="Y191" s="192"/>
      <c r="Z191" s="192"/>
      <c r="AA191" s="192"/>
      <c r="AB191" s="192"/>
      <c r="AC191" s="192"/>
      <c r="AD191" s="192"/>
      <c r="AE191" s="192"/>
      <c r="AF191" s="192"/>
      <c r="AG191" s="192"/>
    </row>
    <row r="192" spans="1:34" ht="16" customHeight="1">
      <c r="A192" s="25"/>
      <c r="B192" s="26"/>
      <c r="C192" s="26"/>
      <c r="D192" s="27"/>
      <c r="E192" s="27"/>
      <c r="F192" s="28"/>
      <c r="G192" s="27"/>
      <c r="H192" s="28"/>
      <c r="I192" s="28"/>
      <c r="J192" s="27"/>
      <c r="K192" s="27"/>
      <c r="L192" s="282"/>
      <c r="M192" s="28"/>
      <c r="N192" s="28"/>
      <c r="O192" s="27"/>
      <c r="P192" s="28"/>
      <c r="Q192" s="28"/>
      <c r="R192" s="27"/>
      <c r="S192" s="27"/>
      <c r="T192" s="27"/>
      <c r="U192" s="27"/>
      <c r="V192" s="25"/>
      <c r="W192" s="25"/>
      <c r="X192" s="25"/>
      <c r="Y192" s="25"/>
      <c r="Z192" s="25"/>
      <c r="AA192" s="25"/>
      <c r="AB192" s="25"/>
      <c r="AC192" s="25"/>
      <c r="AD192" s="25"/>
      <c r="AE192" s="25"/>
      <c r="AF192" s="25"/>
      <c r="AG192" s="25"/>
    </row>
    <row r="193" spans="1:34" ht="16" customHeight="1" thickBot="1">
      <c r="A193" s="7"/>
      <c r="B193" s="19" t="str">
        <f>"FA1 = "&amp;'FIG3'!$W$52&amp;" "&amp;'FIG3'!$X$52</f>
        <v>FA1 = Little Rock School District</v>
      </c>
      <c r="C193" s="7"/>
      <c r="D193" s="8"/>
      <c r="E193" s="8"/>
      <c r="F193" s="9"/>
      <c r="G193" s="8"/>
      <c r="H193" s="9"/>
      <c r="I193" s="9"/>
      <c r="J193" s="8"/>
      <c r="K193" s="8"/>
      <c r="L193" s="280"/>
      <c r="M193" s="9"/>
      <c r="N193" s="9"/>
      <c r="O193" s="8"/>
      <c r="P193" s="9"/>
      <c r="Q193" s="9"/>
      <c r="R193" s="8"/>
      <c r="S193" s="882"/>
      <c r="T193" s="883" t="str">
        <f>'$REV-DB'!$T$34</f>
        <v>Federal Revenues</v>
      </c>
      <c r="U193" s="883" t="str">
        <f>'$REV-DB'!$U$34</f>
        <v>local Revenues</v>
      </c>
      <c r="V193" s="883" t="str">
        <f>'$REV-DB'!$V$34</f>
        <v>Other Revenues</v>
      </c>
      <c r="W193" s="883" t="str">
        <f>'$REV-DB'!$W$34</f>
        <v>State revenues</v>
      </c>
      <c r="X193" s="883" t="str">
        <f>'$REV-DB'!$X$34</f>
        <v>UD5</v>
      </c>
      <c r="Y193" s="883" t="str">
        <f>'$REV-DB'!$Y$34</f>
        <v>UD6</v>
      </c>
      <c r="Z193" s="883" t="str">
        <f>'$REV-DB'!$Z$34</f>
        <v>UD7</v>
      </c>
      <c r="AA193" s="883" t="str">
        <f>'$REV-DB'!$AA$34</f>
        <v>UD8</v>
      </c>
      <c r="AB193" s="883" t="str">
        <f>'$REV-DB'!$AB$34</f>
        <v>UD9</v>
      </c>
      <c r="AC193" s="883" t="str">
        <f>'$REV-DB'!$AC$34</f>
        <v>UD10</v>
      </c>
      <c r="AD193" s="883" t="str">
        <f>'$REV-DB'!$AD$34</f>
        <v>UD11</v>
      </c>
      <c r="AE193" s="883" t="str">
        <f>'$REV-DB'!$AE$34</f>
        <v>UD12</v>
      </c>
      <c r="AF193" s="883" t="str">
        <f>'$REV-DB'!$AF$34</f>
        <v>UD13</v>
      </c>
      <c r="AG193" s="883" t="str">
        <f>'$REV-DB'!$AG$34</f>
        <v>UD14</v>
      </c>
    </row>
    <row r="194" spans="1:34" ht="16" customHeight="1" thickTop="1" thickBot="1">
      <c r="A194" s="7"/>
      <c r="B194" s="20" t="s">
        <v>1399</v>
      </c>
      <c r="C194" s="15"/>
      <c r="D194" s="105" t="s">
        <v>1386</v>
      </c>
      <c r="E194" s="105" t="s">
        <v>1387</v>
      </c>
      <c r="F194" s="105" t="s">
        <v>1388</v>
      </c>
      <c r="G194" s="105" t="s">
        <v>1389</v>
      </c>
      <c r="H194" s="301" t="s">
        <v>1406</v>
      </c>
      <c r="I194" s="301" t="s">
        <v>1390</v>
      </c>
      <c r="J194" s="301" t="s">
        <v>1391</v>
      </c>
      <c r="K194" s="301" t="s">
        <v>1392</v>
      </c>
      <c r="L194" s="301" t="s">
        <v>1188</v>
      </c>
      <c r="M194" s="301" t="s">
        <v>1437</v>
      </c>
      <c r="N194" s="105" t="s">
        <v>1348</v>
      </c>
      <c r="O194" s="105" t="s">
        <v>1393</v>
      </c>
      <c r="P194" s="105" t="s">
        <v>1342</v>
      </c>
      <c r="Q194" s="105" t="s">
        <v>1394</v>
      </c>
      <c r="R194" s="112" t="s">
        <v>1341</v>
      </c>
      <c r="S194" s="112" t="s">
        <v>846</v>
      </c>
      <c r="T194" s="873" t="s">
        <v>935</v>
      </c>
      <c r="U194" s="873" t="s">
        <v>936</v>
      </c>
      <c r="V194" s="873" t="s">
        <v>937</v>
      </c>
      <c r="W194" s="873" t="s">
        <v>938</v>
      </c>
      <c r="X194" s="873" t="s">
        <v>939</v>
      </c>
      <c r="Y194" s="873" t="s">
        <v>940</v>
      </c>
      <c r="Z194" s="873" t="s">
        <v>941</v>
      </c>
      <c r="AA194" s="873" t="s">
        <v>942</v>
      </c>
      <c r="AB194" s="873" t="s">
        <v>943</v>
      </c>
      <c r="AC194" s="873" t="s">
        <v>944</v>
      </c>
      <c r="AD194" s="873" t="s">
        <v>945</v>
      </c>
      <c r="AE194" s="873" t="s">
        <v>946</v>
      </c>
      <c r="AF194" s="873" t="s">
        <v>947</v>
      </c>
      <c r="AG194" s="873" t="s">
        <v>948</v>
      </c>
      <c r="AH194" s="6"/>
    </row>
    <row r="195" spans="1:34" ht="16" customHeight="1" thickTop="1">
      <c r="A195" s="7"/>
      <c r="B195" s="19" t="s">
        <v>1349</v>
      </c>
      <c r="C195" s="12"/>
      <c r="D195" s="191"/>
      <c r="E195" s="191"/>
      <c r="F195" s="190"/>
      <c r="G195" s="191"/>
      <c r="H195" s="190"/>
      <c r="I195" s="190"/>
      <c r="J195" s="191"/>
      <c r="K195" s="191"/>
      <c r="L195" s="283" t="s">
        <v>1429</v>
      </c>
      <c r="M195" s="190"/>
      <c r="N195" s="38" t="str">
        <f>J$6</f>
        <v>FY2010-11</v>
      </c>
      <c r="O195" s="38" t="s">
        <v>1352</v>
      </c>
      <c r="P195" s="38" t="s">
        <v>1338</v>
      </c>
      <c r="Q195" s="38" t="s">
        <v>1397</v>
      </c>
      <c r="R195" s="191"/>
      <c r="S195" s="191"/>
      <c r="T195" s="191"/>
      <c r="U195" s="191"/>
      <c r="V195" s="192"/>
      <c r="W195" s="192"/>
      <c r="X195" s="192"/>
      <c r="Y195" s="192"/>
      <c r="Z195" s="192"/>
      <c r="AA195" s="192"/>
      <c r="AB195" s="192"/>
      <c r="AC195" s="192"/>
      <c r="AD195" s="192"/>
      <c r="AE195" s="192"/>
      <c r="AF195" s="192"/>
      <c r="AG195" s="192"/>
      <c r="AH195" s="6"/>
    </row>
    <row r="196" spans="1:34" ht="16" customHeight="1">
      <c r="A196" s="7"/>
      <c r="B196" s="16">
        <f>DSUM('$REV-DB'!D35:AG374,"AMOUNT",'$REV-DSUM'!D194:AG201)</f>
        <v>16626147.98</v>
      </c>
      <c r="C196" s="12"/>
      <c r="D196" s="191"/>
      <c r="E196" s="191"/>
      <c r="F196" s="190"/>
      <c r="G196" s="191"/>
      <c r="H196" s="190"/>
      <c r="I196" s="190"/>
      <c r="J196" s="191"/>
      <c r="K196" s="191"/>
      <c r="L196" s="283" t="s">
        <v>1429</v>
      </c>
      <c r="M196" s="190"/>
      <c r="N196" s="38" t="str">
        <f t="shared" ref="N196:N201" si="18">J$6</f>
        <v>FY2010-11</v>
      </c>
      <c r="O196" s="38" t="s">
        <v>1352</v>
      </c>
      <c r="P196" s="38" t="s">
        <v>1338</v>
      </c>
      <c r="Q196" s="38" t="s">
        <v>1397</v>
      </c>
      <c r="R196" s="191"/>
      <c r="S196" s="191"/>
      <c r="T196" s="191"/>
      <c r="U196" s="191"/>
      <c r="V196" s="192"/>
      <c r="W196" s="192"/>
      <c r="X196" s="192"/>
      <c r="Y196" s="192"/>
      <c r="Z196" s="192"/>
      <c r="AA196" s="192"/>
      <c r="AB196" s="192"/>
      <c r="AC196" s="192"/>
      <c r="AD196" s="192"/>
      <c r="AE196" s="192"/>
      <c r="AF196" s="192"/>
      <c r="AG196" s="192"/>
      <c r="AH196" s="6"/>
    </row>
    <row r="197" spans="1:34" ht="16" customHeight="1">
      <c r="A197" s="7"/>
      <c r="B197" s="10"/>
      <c r="C197" s="12"/>
      <c r="D197" s="191"/>
      <c r="E197" s="191"/>
      <c r="F197" s="190"/>
      <c r="G197" s="191"/>
      <c r="H197" s="190"/>
      <c r="I197" s="190"/>
      <c r="J197" s="191"/>
      <c r="K197" s="191"/>
      <c r="L197" s="283" t="s">
        <v>1429</v>
      </c>
      <c r="M197" s="190"/>
      <c r="N197" s="38" t="str">
        <f t="shared" si="18"/>
        <v>FY2010-11</v>
      </c>
      <c r="O197" s="38" t="s">
        <v>1352</v>
      </c>
      <c r="P197" s="38" t="s">
        <v>1338</v>
      </c>
      <c r="Q197" s="38" t="s">
        <v>1397</v>
      </c>
      <c r="R197" s="191"/>
      <c r="S197" s="191"/>
      <c r="T197" s="191"/>
      <c r="U197" s="191"/>
      <c r="V197" s="192"/>
      <c r="W197" s="192"/>
      <c r="X197" s="192"/>
      <c r="Y197" s="192"/>
      <c r="Z197" s="192"/>
      <c r="AA197" s="192"/>
      <c r="AB197" s="192"/>
      <c r="AC197" s="192"/>
      <c r="AD197" s="192"/>
      <c r="AE197" s="192"/>
      <c r="AF197" s="192"/>
      <c r="AG197" s="192"/>
    </row>
    <row r="198" spans="1:34" ht="16" customHeight="1">
      <c r="A198" s="7"/>
      <c r="B198" s="10"/>
      <c r="C198" s="12"/>
      <c r="D198" s="191"/>
      <c r="E198" s="191"/>
      <c r="F198" s="190"/>
      <c r="G198" s="191"/>
      <c r="H198" s="190"/>
      <c r="I198" s="190"/>
      <c r="J198" s="191"/>
      <c r="K198" s="191"/>
      <c r="L198" s="283" t="s">
        <v>1429</v>
      </c>
      <c r="M198" s="190"/>
      <c r="N198" s="38" t="str">
        <f t="shared" si="18"/>
        <v>FY2010-11</v>
      </c>
      <c r="O198" s="38" t="s">
        <v>1352</v>
      </c>
      <c r="P198" s="38" t="s">
        <v>1338</v>
      </c>
      <c r="Q198" s="38" t="s">
        <v>1397</v>
      </c>
      <c r="R198" s="191"/>
      <c r="S198" s="191"/>
      <c r="T198" s="191"/>
      <c r="U198" s="191"/>
      <c r="V198" s="192"/>
      <c r="W198" s="192"/>
      <c r="X198" s="192"/>
      <c r="Y198" s="192"/>
      <c r="Z198" s="192"/>
      <c r="AA198" s="192"/>
      <c r="AB198" s="192"/>
      <c r="AC198" s="192"/>
      <c r="AD198" s="192"/>
      <c r="AE198" s="192"/>
      <c r="AF198" s="192"/>
      <c r="AG198" s="192"/>
    </row>
    <row r="199" spans="1:34" ht="16" customHeight="1">
      <c r="A199" s="7"/>
      <c r="B199" s="10"/>
      <c r="C199" s="12"/>
      <c r="D199" s="191"/>
      <c r="E199" s="191"/>
      <c r="F199" s="190"/>
      <c r="G199" s="191"/>
      <c r="H199" s="190"/>
      <c r="I199" s="190"/>
      <c r="J199" s="191"/>
      <c r="K199" s="191"/>
      <c r="L199" s="283" t="s">
        <v>1429</v>
      </c>
      <c r="M199" s="190"/>
      <c r="N199" s="38" t="str">
        <f t="shared" si="18"/>
        <v>FY2010-11</v>
      </c>
      <c r="O199" s="38" t="s">
        <v>1352</v>
      </c>
      <c r="P199" s="38" t="s">
        <v>1338</v>
      </c>
      <c r="Q199" s="38" t="s">
        <v>1397</v>
      </c>
      <c r="R199" s="191"/>
      <c r="S199" s="191"/>
      <c r="T199" s="191"/>
      <c r="U199" s="191"/>
      <c r="V199" s="192"/>
      <c r="W199" s="192"/>
      <c r="X199" s="192"/>
      <c r="Y199" s="192"/>
      <c r="Z199" s="192"/>
      <c r="AA199" s="192"/>
      <c r="AB199" s="192"/>
      <c r="AC199" s="192"/>
      <c r="AD199" s="192"/>
      <c r="AE199" s="192"/>
      <c r="AF199" s="192"/>
      <c r="AG199" s="192"/>
    </row>
    <row r="200" spans="1:34" ht="16" customHeight="1">
      <c r="A200" s="7"/>
      <c r="B200" s="10"/>
      <c r="C200" s="12"/>
      <c r="D200" s="191"/>
      <c r="E200" s="191"/>
      <c r="F200" s="190"/>
      <c r="G200" s="191"/>
      <c r="H200" s="190"/>
      <c r="I200" s="190"/>
      <c r="J200" s="191"/>
      <c r="K200" s="191"/>
      <c r="L200" s="283" t="s">
        <v>1429</v>
      </c>
      <c r="M200" s="190"/>
      <c r="N200" s="38" t="str">
        <f t="shared" si="18"/>
        <v>FY2010-11</v>
      </c>
      <c r="O200" s="38" t="s">
        <v>1352</v>
      </c>
      <c r="P200" s="38" t="s">
        <v>1338</v>
      </c>
      <c r="Q200" s="38" t="s">
        <v>1397</v>
      </c>
      <c r="R200" s="191"/>
      <c r="S200" s="191"/>
      <c r="T200" s="191"/>
      <c r="U200" s="191"/>
      <c r="V200" s="192"/>
      <c r="W200" s="192"/>
      <c r="X200" s="192"/>
      <c r="Y200" s="192"/>
      <c r="Z200" s="192"/>
      <c r="AA200" s="192"/>
      <c r="AB200" s="192"/>
      <c r="AC200" s="192"/>
      <c r="AD200" s="192"/>
      <c r="AE200" s="192"/>
      <c r="AF200" s="192"/>
      <c r="AG200" s="192"/>
    </row>
    <row r="201" spans="1:34" ht="16" customHeight="1">
      <c r="A201" s="7"/>
      <c r="B201" s="10"/>
      <c r="C201" s="12"/>
      <c r="D201" s="191"/>
      <c r="E201" s="191"/>
      <c r="F201" s="190"/>
      <c r="G201" s="191"/>
      <c r="H201" s="190"/>
      <c r="I201" s="190"/>
      <c r="J201" s="191"/>
      <c r="K201" s="191"/>
      <c r="L201" s="283" t="s">
        <v>1429</v>
      </c>
      <c r="M201" s="190"/>
      <c r="N201" s="38" t="str">
        <f t="shared" si="18"/>
        <v>FY2010-11</v>
      </c>
      <c r="O201" s="38" t="s">
        <v>1352</v>
      </c>
      <c r="P201" s="38" t="s">
        <v>1338</v>
      </c>
      <c r="Q201" s="38" t="s">
        <v>1397</v>
      </c>
      <c r="R201" s="191"/>
      <c r="S201" s="191"/>
      <c r="T201" s="191"/>
      <c r="U201" s="191"/>
      <c r="V201" s="192"/>
      <c r="W201" s="192"/>
      <c r="X201" s="192"/>
      <c r="Y201" s="192"/>
      <c r="Z201" s="192"/>
      <c r="AA201" s="192"/>
      <c r="AB201" s="192"/>
      <c r="AC201" s="192"/>
      <c r="AD201" s="192"/>
      <c r="AE201" s="192"/>
      <c r="AF201" s="192"/>
      <c r="AG201" s="192"/>
    </row>
    <row r="202" spans="1:34" ht="16" customHeight="1">
      <c r="A202" s="25"/>
      <c r="B202" s="26"/>
      <c r="C202" s="26"/>
      <c r="D202" s="27"/>
      <c r="E202" s="27"/>
      <c r="F202" s="28"/>
      <c r="G202" s="27"/>
      <c r="H202" s="28"/>
      <c r="I202" s="28"/>
      <c r="J202" s="27"/>
      <c r="K202" s="27"/>
      <c r="L202" s="282"/>
      <c r="M202" s="28"/>
      <c r="N202" s="28"/>
      <c r="O202" s="27"/>
      <c r="P202" s="28"/>
      <c r="Q202" s="28"/>
      <c r="R202" s="27"/>
      <c r="S202" s="27"/>
      <c r="T202" s="27"/>
      <c r="U202" s="27"/>
      <c r="V202" s="25"/>
      <c r="W202" s="25"/>
      <c r="X202" s="25"/>
      <c r="Y202" s="25"/>
      <c r="Z202" s="25"/>
      <c r="AA202" s="25"/>
      <c r="AB202" s="25"/>
      <c r="AC202" s="25"/>
      <c r="AD202" s="25"/>
      <c r="AE202" s="25"/>
      <c r="AF202" s="25"/>
      <c r="AG202" s="25"/>
    </row>
    <row r="203" spans="1:34" ht="16" customHeight="1" thickBot="1">
      <c r="A203" s="7"/>
      <c r="B203" s="19" t="str">
        <f>"FA1 = "&amp;'FIG3'!$W$52&amp;" "&amp;'FIG3'!$X$52</f>
        <v>FA1 = Little Rock School District</v>
      </c>
      <c r="C203" s="7"/>
      <c r="D203" s="8"/>
      <c r="E203" s="8"/>
      <c r="F203" s="9"/>
      <c r="G203" s="8"/>
      <c r="H203" s="9"/>
      <c r="I203" s="9"/>
      <c r="J203" s="8"/>
      <c r="K203" s="8"/>
      <c r="L203" s="280"/>
      <c r="M203" s="9"/>
      <c r="N203" s="9"/>
      <c r="O203" s="8"/>
      <c r="P203" s="9"/>
      <c r="Q203" s="9"/>
      <c r="R203" s="8"/>
      <c r="S203" s="882"/>
      <c r="T203" s="883" t="str">
        <f>'$REV-DB'!$T$34</f>
        <v>Federal Revenues</v>
      </c>
      <c r="U203" s="883" t="str">
        <f>'$REV-DB'!$U$34</f>
        <v>local Revenues</v>
      </c>
      <c r="V203" s="883" t="str">
        <f>'$REV-DB'!$V$34</f>
        <v>Other Revenues</v>
      </c>
      <c r="W203" s="883" t="str">
        <f>'$REV-DB'!$W$34</f>
        <v>State revenues</v>
      </c>
      <c r="X203" s="883" t="str">
        <f>'$REV-DB'!$X$34</f>
        <v>UD5</v>
      </c>
      <c r="Y203" s="883" t="str">
        <f>'$REV-DB'!$Y$34</f>
        <v>UD6</v>
      </c>
      <c r="Z203" s="883" t="str">
        <f>'$REV-DB'!$Z$34</f>
        <v>UD7</v>
      </c>
      <c r="AA203" s="883" t="str">
        <f>'$REV-DB'!$AA$34</f>
        <v>UD8</v>
      </c>
      <c r="AB203" s="883" t="str">
        <f>'$REV-DB'!$AB$34</f>
        <v>UD9</v>
      </c>
      <c r="AC203" s="883" t="str">
        <f>'$REV-DB'!$AC$34</f>
        <v>UD10</v>
      </c>
      <c r="AD203" s="883" t="str">
        <f>'$REV-DB'!$AD$34</f>
        <v>UD11</v>
      </c>
      <c r="AE203" s="883" t="str">
        <f>'$REV-DB'!$AE$34</f>
        <v>UD12</v>
      </c>
      <c r="AF203" s="883" t="str">
        <f>'$REV-DB'!$AF$34</f>
        <v>UD13</v>
      </c>
      <c r="AG203" s="883" t="str">
        <f>'$REV-DB'!$AG$34</f>
        <v>UD14</v>
      </c>
    </row>
    <row r="204" spans="1:34" ht="16" customHeight="1" thickTop="1" thickBot="1">
      <c r="A204" s="7"/>
      <c r="B204" s="20" t="s">
        <v>1399</v>
      </c>
      <c r="C204" s="15"/>
      <c r="D204" s="276" t="s">
        <v>1386</v>
      </c>
      <c r="E204" s="276" t="s">
        <v>1387</v>
      </c>
      <c r="F204" s="276" t="s">
        <v>1388</v>
      </c>
      <c r="G204" s="276" t="s">
        <v>1389</v>
      </c>
      <c r="H204" s="301" t="s">
        <v>1406</v>
      </c>
      <c r="I204" s="301" t="s">
        <v>1390</v>
      </c>
      <c r="J204" s="301" t="s">
        <v>1391</v>
      </c>
      <c r="K204" s="301" t="s">
        <v>1392</v>
      </c>
      <c r="L204" s="301" t="s">
        <v>1188</v>
      </c>
      <c r="M204" s="301" t="s">
        <v>1437</v>
      </c>
      <c r="N204" s="276" t="s">
        <v>1348</v>
      </c>
      <c r="O204" s="276" t="s">
        <v>1393</v>
      </c>
      <c r="P204" s="276" t="s">
        <v>1342</v>
      </c>
      <c r="Q204" s="276" t="s">
        <v>1394</v>
      </c>
      <c r="R204" s="112" t="s">
        <v>1341</v>
      </c>
      <c r="S204" s="112" t="s">
        <v>846</v>
      </c>
      <c r="T204" s="873" t="s">
        <v>935</v>
      </c>
      <c r="U204" s="873" t="s">
        <v>936</v>
      </c>
      <c r="V204" s="873" t="s">
        <v>937</v>
      </c>
      <c r="W204" s="873" t="s">
        <v>938</v>
      </c>
      <c r="X204" s="873" t="s">
        <v>939</v>
      </c>
      <c r="Y204" s="873" t="s">
        <v>940</v>
      </c>
      <c r="Z204" s="873" t="s">
        <v>941</v>
      </c>
      <c r="AA204" s="873" t="s">
        <v>942</v>
      </c>
      <c r="AB204" s="873" t="s">
        <v>943</v>
      </c>
      <c r="AC204" s="873" t="s">
        <v>944</v>
      </c>
      <c r="AD204" s="873" t="s">
        <v>945</v>
      </c>
      <c r="AE204" s="873" t="s">
        <v>946</v>
      </c>
      <c r="AF204" s="873" t="s">
        <v>947</v>
      </c>
      <c r="AG204" s="873" t="s">
        <v>948</v>
      </c>
      <c r="AH204" s="6"/>
    </row>
    <row r="205" spans="1:34" ht="16" customHeight="1" thickTop="1">
      <c r="A205" s="7"/>
      <c r="B205" s="19" t="s">
        <v>1178</v>
      </c>
      <c r="C205" s="12"/>
      <c r="D205" s="191"/>
      <c r="E205" s="191"/>
      <c r="F205" s="190"/>
      <c r="G205" s="191"/>
      <c r="H205" s="190"/>
      <c r="I205" s="190"/>
      <c r="J205" s="191"/>
      <c r="K205" s="191"/>
      <c r="L205" s="283" t="s">
        <v>1429</v>
      </c>
      <c r="M205" s="190"/>
      <c r="N205" s="38" t="str">
        <f>J$6</f>
        <v>FY2010-11</v>
      </c>
      <c r="O205" s="38" t="s">
        <v>1352</v>
      </c>
      <c r="P205" s="38" t="s">
        <v>1338</v>
      </c>
      <c r="Q205" s="38" t="s">
        <v>1465</v>
      </c>
      <c r="R205" s="191"/>
      <c r="S205" s="191"/>
      <c r="T205" s="191"/>
      <c r="U205" s="191"/>
      <c r="V205" s="192"/>
      <c r="W205" s="192"/>
      <c r="X205" s="192"/>
      <c r="Y205" s="192"/>
      <c r="Z205" s="192"/>
      <c r="AA205" s="192"/>
      <c r="AB205" s="192"/>
      <c r="AC205" s="192"/>
      <c r="AD205" s="192"/>
      <c r="AE205" s="192"/>
      <c r="AF205" s="192"/>
      <c r="AG205" s="192"/>
      <c r="AH205" s="6"/>
    </row>
    <row r="206" spans="1:34" ht="16" customHeight="1">
      <c r="A206" s="7"/>
      <c r="B206" s="16">
        <f>DSUM('$REV-DB'!D35:AG374,"AMOUNT",'$REV-DSUM'!D204:AG211)</f>
        <v>21614.02</v>
      </c>
      <c r="C206" s="12"/>
      <c r="D206" s="191"/>
      <c r="E206" s="191"/>
      <c r="F206" s="190"/>
      <c r="G206" s="191"/>
      <c r="H206" s="190"/>
      <c r="I206" s="190"/>
      <c r="J206" s="191"/>
      <c r="K206" s="191"/>
      <c r="L206" s="283" t="s">
        <v>1429</v>
      </c>
      <c r="M206" s="190"/>
      <c r="N206" s="38" t="str">
        <f t="shared" ref="N206:N211" si="19">J$6</f>
        <v>FY2010-11</v>
      </c>
      <c r="O206" s="38" t="s">
        <v>1352</v>
      </c>
      <c r="P206" s="38" t="s">
        <v>1338</v>
      </c>
      <c r="Q206" s="38" t="s">
        <v>1465</v>
      </c>
      <c r="R206" s="191"/>
      <c r="S206" s="191"/>
      <c r="T206" s="191"/>
      <c r="U206" s="191"/>
      <c r="V206" s="192"/>
      <c r="W206" s="192"/>
      <c r="X206" s="192"/>
      <c r="Y206" s="192"/>
      <c r="Z206" s="192"/>
      <c r="AA206" s="192"/>
      <c r="AB206" s="192"/>
      <c r="AC206" s="192"/>
      <c r="AD206" s="192"/>
      <c r="AE206" s="192"/>
      <c r="AF206" s="192"/>
      <c r="AG206" s="192"/>
      <c r="AH206" s="6"/>
    </row>
    <row r="207" spans="1:34" ht="16" customHeight="1">
      <c r="A207" s="7"/>
      <c r="B207" s="10"/>
      <c r="C207" s="12"/>
      <c r="D207" s="191"/>
      <c r="E207" s="191"/>
      <c r="F207" s="190"/>
      <c r="G207" s="191"/>
      <c r="H207" s="190"/>
      <c r="I207" s="190"/>
      <c r="J207" s="191"/>
      <c r="K207" s="191"/>
      <c r="L207" s="283" t="s">
        <v>1429</v>
      </c>
      <c r="M207" s="190"/>
      <c r="N207" s="38" t="str">
        <f t="shared" si="19"/>
        <v>FY2010-11</v>
      </c>
      <c r="O207" s="38" t="s">
        <v>1352</v>
      </c>
      <c r="P207" s="38" t="s">
        <v>1338</v>
      </c>
      <c r="Q207" s="38" t="s">
        <v>1465</v>
      </c>
      <c r="R207" s="191"/>
      <c r="S207" s="191"/>
      <c r="T207" s="191"/>
      <c r="U207" s="191"/>
      <c r="V207" s="192"/>
      <c r="W207" s="192"/>
      <c r="X207" s="192"/>
      <c r="Y207" s="192"/>
      <c r="Z207" s="192"/>
      <c r="AA207" s="192"/>
      <c r="AB207" s="192"/>
      <c r="AC207" s="192"/>
      <c r="AD207" s="192"/>
      <c r="AE207" s="192"/>
      <c r="AF207" s="192"/>
      <c r="AG207" s="192"/>
    </row>
    <row r="208" spans="1:34" ht="16" customHeight="1">
      <c r="A208" s="7"/>
      <c r="B208" s="10"/>
      <c r="C208" s="12"/>
      <c r="D208" s="191"/>
      <c r="E208" s="191"/>
      <c r="F208" s="190"/>
      <c r="G208" s="191"/>
      <c r="H208" s="190"/>
      <c r="I208" s="190"/>
      <c r="J208" s="191"/>
      <c r="K208" s="191"/>
      <c r="L208" s="283" t="s">
        <v>1429</v>
      </c>
      <c r="M208" s="190"/>
      <c r="N208" s="38" t="str">
        <f t="shared" si="19"/>
        <v>FY2010-11</v>
      </c>
      <c r="O208" s="38" t="s">
        <v>1352</v>
      </c>
      <c r="P208" s="38" t="s">
        <v>1338</v>
      </c>
      <c r="Q208" s="38" t="s">
        <v>1465</v>
      </c>
      <c r="R208" s="191"/>
      <c r="S208" s="191"/>
      <c r="T208" s="191"/>
      <c r="U208" s="191"/>
      <c r="V208" s="192"/>
      <c r="W208" s="192"/>
      <c r="X208" s="192"/>
      <c r="Y208" s="192"/>
      <c r="Z208" s="192"/>
      <c r="AA208" s="192"/>
      <c r="AB208" s="192"/>
      <c r="AC208" s="192"/>
      <c r="AD208" s="192"/>
      <c r="AE208" s="192"/>
      <c r="AF208" s="192"/>
      <c r="AG208" s="192"/>
    </row>
    <row r="209" spans="1:34" ht="16" customHeight="1">
      <c r="A209" s="7"/>
      <c r="B209" s="10"/>
      <c r="C209" s="12"/>
      <c r="D209" s="191"/>
      <c r="E209" s="191"/>
      <c r="F209" s="190"/>
      <c r="G209" s="191"/>
      <c r="H209" s="190"/>
      <c r="I209" s="190"/>
      <c r="J209" s="191"/>
      <c r="K209" s="191"/>
      <c r="L209" s="283" t="s">
        <v>1429</v>
      </c>
      <c r="M209" s="190"/>
      <c r="N209" s="38" t="str">
        <f t="shared" si="19"/>
        <v>FY2010-11</v>
      </c>
      <c r="O209" s="38" t="s">
        <v>1352</v>
      </c>
      <c r="P209" s="38" t="s">
        <v>1338</v>
      </c>
      <c r="Q209" s="38" t="s">
        <v>1465</v>
      </c>
      <c r="R209" s="191"/>
      <c r="S209" s="191"/>
      <c r="T209" s="191"/>
      <c r="U209" s="191"/>
      <c r="V209" s="192"/>
      <c r="W209" s="192"/>
      <c r="X209" s="192"/>
      <c r="Y209" s="192"/>
      <c r="Z209" s="192"/>
      <c r="AA209" s="192"/>
      <c r="AB209" s="192"/>
      <c r="AC209" s="192"/>
      <c r="AD209" s="192"/>
      <c r="AE209" s="192"/>
      <c r="AF209" s="192"/>
      <c r="AG209" s="192"/>
    </row>
    <row r="210" spans="1:34" ht="16" customHeight="1">
      <c r="A210" s="7"/>
      <c r="B210" s="10"/>
      <c r="C210" s="12"/>
      <c r="D210" s="191"/>
      <c r="E210" s="191"/>
      <c r="F210" s="190"/>
      <c r="G210" s="191"/>
      <c r="H210" s="190"/>
      <c r="I210" s="190"/>
      <c r="J210" s="191"/>
      <c r="K210" s="191"/>
      <c r="L210" s="283" t="s">
        <v>1429</v>
      </c>
      <c r="M210" s="190"/>
      <c r="N210" s="38" t="str">
        <f t="shared" si="19"/>
        <v>FY2010-11</v>
      </c>
      <c r="O210" s="38" t="s">
        <v>1352</v>
      </c>
      <c r="P210" s="38" t="s">
        <v>1338</v>
      </c>
      <c r="Q210" s="38" t="s">
        <v>1465</v>
      </c>
      <c r="R210" s="191"/>
      <c r="S210" s="191"/>
      <c r="T210" s="191"/>
      <c r="U210" s="191"/>
      <c r="V210" s="192"/>
      <c r="W210" s="192"/>
      <c r="X210" s="192"/>
      <c r="Y210" s="192"/>
      <c r="Z210" s="192"/>
      <c r="AA210" s="192"/>
      <c r="AB210" s="192"/>
      <c r="AC210" s="192"/>
      <c r="AD210" s="192"/>
      <c r="AE210" s="192"/>
      <c r="AF210" s="192"/>
      <c r="AG210" s="192"/>
    </row>
    <row r="211" spans="1:34" ht="16" customHeight="1">
      <c r="A211" s="7"/>
      <c r="B211" s="10"/>
      <c r="C211" s="12"/>
      <c r="D211" s="191"/>
      <c r="E211" s="191"/>
      <c r="F211" s="190"/>
      <c r="G211" s="191"/>
      <c r="H211" s="190"/>
      <c r="I211" s="190"/>
      <c r="J211" s="191"/>
      <c r="K211" s="191"/>
      <c r="L211" s="283" t="s">
        <v>1429</v>
      </c>
      <c r="M211" s="190"/>
      <c r="N211" s="38" t="str">
        <f t="shared" si="19"/>
        <v>FY2010-11</v>
      </c>
      <c r="O211" s="38" t="s">
        <v>1352</v>
      </c>
      <c r="P211" s="38" t="s">
        <v>1338</v>
      </c>
      <c r="Q211" s="38" t="s">
        <v>1465</v>
      </c>
      <c r="R211" s="191"/>
      <c r="S211" s="191"/>
      <c r="T211" s="191"/>
      <c r="U211" s="191"/>
      <c r="V211" s="192"/>
      <c r="W211" s="192"/>
      <c r="X211" s="192"/>
      <c r="Y211" s="192"/>
      <c r="Z211" s="192"/>
      <c r="AA211" s="192"/>
      <c r="AB211" s="192"/>
      <c r="AC211" s="192"/>
      <c r="AD211" s="192"/>
      <c r="AE211" s="192"/>
      <c r="AF211" s="192"/>
      <c r="AG211" s="192"/>
    </row>
    <row r="212" spans="1:34" ht="16" customHeight="1">
      <c r="A212" s="25"/>
      <c r="B212" s="26"/>
      <c r="C212" s="26"/>
      <c r="D212" s="27"/>
      <c r="E212" s="27"/>
      <c r="F212" s="28"/>
      <c r="G212" s="27"/>
      <c r="H212" s="28"/>
      <c r="I212" s="28"/>
      <c r="J212" s="27"/>
      <c r="K212" s="27"/>
      <c r="L212" s="282"/>
      <c r="M212" s="28"/>
      <c r="N212" s="28"/>
      <c r="O212" s="27"/>
      <c r="P212" s="28"/>
      <c r="Q212" s="28"/>
      <c r="R212" s="27"/>
      <c r="S212" s="27"/>
      <c r="T212" s="27"/>
      <c r="U212" s="27"/>
      <c r="V212" s="25"/>
      <c r="W212" s="25"/>
      <c r="X212" s="25"/>
      <c r="Y212" s="25"/>
      <c r="Z212" s="25"/>
      <c r="AA212" s="25"/>
      <c r="AB212" s="25"/>
      <c r="AC212" s="25"/>
      <c r="AD212" s="25"/>
      <c r="AE212" s="25"/>
      <c r="AF212" s="25"/>
      <c r="AG212" s="25"/>
    </row>
    <row r="213" spans="1:34" ht="16" customHeight="1" thickBot="1">
      <c r="A213" s="7"/>
      <c r="B213" s="19" t="str">
        <f>"FA1 = "&amp;'FIG3'!$W$52&amp;" "&amp;'FIG3'!$X$52</f>
        <v>FA1 = Little Rock School District</v>
      </c>
      <c r="C213" s="7"/>
      <c r="D213" s="8"/>
      <c r="E213" s="8"/>
      <c r="F213" s="9"/>
      <c r="G213" s="8"/>
      <c r="H213" s="9"/>
      <c r="I213" s="9"/>
      <c r="J213" s="8"/>
      <c r="K213" s="8"/>
      <c r="L213" s="280"/>
      <c r="M213" s="9"/>
      <c r="N213" s="9"/>
      <c r="O213" s="8"/>
      <c r="P213" s="9"/>
      <c r="Q213" s="9"/>
      <c r="R213" s="8"/>
      <c r="S213" s="882"/>
      <c r="T213" s="883" t="str">
        <f>'$REV-DB'!$T$34</f>
        <v>Federal Revenues</v>
      </c>
      <c r="U213" s="883" t="str">
        <f>'$REV-DB'!$U$34</f>
        <v>local Revenues</v>
      </c>
      <c r="V213" s="883" t="str">
        <f>'$REV-DB'!$V$34</f>
        <v>Other Revenues</v>
      </c>
      <c r="W213" s="883" t="str">
        <f>'$REV-DB'!$W$34</f>
        <v>State revenues</v>
      </c>
      <c r="X213" s="883" t="str">
        <f>'$REV-DB'!$X$34</f>
        <v>UD5</v>
      </c>
      <c r="Y213" s="883" t="str">
        <f>'$REV-DB'!$Y$34</f>
        <v>UD6</v>
      </c>
      <c r="Z213" s="883" t="str">
        <f>'$REV-DB'!$Z$34</f>
        <v>UD7</v>
      </c>
      <c r="AA213" s="883" t="str">
        <f>'$REV-DB'!$AA$34</f>
        <v>UD8</v>
      </c>
      <c r="AB213" s="883" t="str">
        <f>'$REV-DB'!$AB$34</f>
        <v>UD9</v>
      </c>
      <c r="AC213" s="883" t="str">
        <f>'$REV-DB'!$AC$34</f>
        <v>UD10</v>
      </c>
      <c r="AD213" s="883" t="str">
        <f>'$REV-DB'!$AD$34</f>
        <v>UD11</v>
      </c>
      <c r="AE213" s="883" t="str">
        <f>'$REV-DB'!$AE$34</f>
        <v>UD12</v>
      </c>
      <c r="AF213" s="883" t="str">
        <f>'$REV-DB'!$AF$34</f>
        <v>UD13</v>
      </c>
      <c r="AG213" s="883" t="str">
        <f>'$REV-DB'!$AG$34</f>
        <v>UD14</v>
      </c>
    </row>
    <row r="214" spans="1:34" ht="16" customHeight="1" thickTop="1" thickBot="1">
      <c r="A214" s="7"/>
      <c r="B214" s="20" t="s">
        <v>1399</v>
      </c>
      <c r="C214" s="15"/>
      <c r="D214" s="276" t="s">
        <v>1386</v>
      </c>
      <c r="E214" s="276" t="s">
        <v>1387</v>
      </c>
      <c r="F214" s="276" t="s">
        <v>1388</v>
      </c>
      <c r="G214" s="276" t="s">
        <v>1389</v>
      </c>
      <c r="H214" s="301" t="s">
        <v>1406</v>
      </c>
      <c r="I214" s="301" t="s">
        <v>1390</v>
      </c>
      <c r="J214" s="301" t="s">
        <v>1391</v>
      </c>
      <c r="K214" s="301" t="s">
        <v>1392</v>
      </c>
      <c r="L214" s="301" t="s">
        <v>1188</v>
      </c>
      <c r="M214" s="301" t="s">
        <v>1437</v>
      </c>
      <c r="N214" s="276" t="s">
        <v>1348</v>
      </c>
      <c r="O214" s="276" t="s">
        <v>1393</v>
      </c>
      <c r="P214" s="276" t="s">
        <v>1342</v>
      </c>
      <c r="Q214" s="276" t="s">
        <v>1394</v>
      </c>
      <c r="R214" s="112" t="s">
        <v>1341</v>
      </c>
      <c r="S214" s="112" t="s">
        <v>846</v>
      </c>
      <c r="T214" s="873" t="s">
        <v>935</v>
      </c>
      <c r="U214" s="873" t="s">
        <v>936</v>
      </c>
      <c r="V214" s="873" t="s">
        <v>937</v>
      </c>
      <c r="W214" s="873" t="s">
        <v>938</v>
      </c>
      <c r="X214" s="873" t="s">
        <v>939</v>
      </c>
      <c r="Y214" s="873" t="s">
        <v>940</v>
      </c>
      <c r="Z214" s="873" t="s">
        <v>941</v>
      </c>
      <c r="AA214" s="873" t="s">
        <v>942</v>
      </c>
      <c r="AB214" s="873" t="s">
        <v>943</v>
      </c>
      <c r="AC214" s="873" t="s">
        <v>944</v>
      </c>
      <c r="AD214" s="873" t="s">
        <v>945</v>
      </c>
      <c r="AE214" s="873" t="s">
        <v>946</v>
      </c>
      <c r="AF214" s="873" t="s">
        <v>947</v>
      </c>
      <c r="AG214" s="873" t="s">
        <v>948</v>
      </c>
      <c r="AH214" s="6"/>
    </row>
    <row r="215" spans="1:34" ht="16" customHeight="1" thickTop="1">
      <c r="A215" s="7"/>
      <c r="B215" s="19" t="s">
        <v>1350</v>
      </c>
      <c r="C215" s="12"/>
      <c r="D215" s="191"/>
      <c r="E215" s="191"/>
      <c r="F215" s="190"/>
      <c r="G215" s="191"/>
      <c r="H215" s="190"/>
      <c r="I215" s="190"/>
      <c r="J215" s="191"/>
      <c r="K215" s="191"/>
      <c r="L215" s="283" t="s">
        <v>1429</v>
      </c>
      <c r="M215" s="190"/>
      <c r="N215" s="38" t="str">
        <f>J$6</f>
        <v>FY2010-11</v>
      </c>
      <c r="O215" s="38" t="s">
        <v>1352</v>
      </c>
      <c r="P215" s="38" t="s">
        <v>1338</v>
      </c>
      <c r="Q215" s="38" t="s">
        <v>1340</v>
      </c>
      <c r="R215" s="191"/>
      <c r="S215" s="191"/>
      <c r="T215" s="191"/>
      <c r="U215" s="191"/>
      <c r="V215" s="192"/>
      <c r="W215" s="192"/>
      <c r="X215" s="192"/>
      <c r="Y215" s="192"/>
      <c r="Z215" s="192"/>
      <c r="AA215" s="192"/>
      <c r="AB215" s="192"/>
      <c r="AC215" s="192"/>
      <c r="AD215" s="192"/>
      <c r="AE215" s="192"/>
      <c r="AF215" s="192"/>
      <c r="AG215" s="192"/>
      <c r="AH215" s="6"/>
    </row>
    <row r="216" spans="1:34" ht="16" customHeight="1">
      <c r="A216" s="7"/>
      <c r="B216" s="16">
        <f>DSUM('$REV-DB'!D35:AG374,"AMOUNT",'$REV-DSUM'!D214:AG221)</f>
        <v>0</v>
      </c>
      <c r="C216" s="12"/>
      <c r="D216" s="191"/>
      <c r="E216" s="191"/>
      <c r="F216" s="190"/>
      <c r="G216" s="191"/>
      <c r="H216" s="190"/>
      <c r="I216" s="190"/>
      <c r="J216" s="191"/>
      <c r="K216" s="191"/>
      <c r="L216" s="283" t="s">
        <v>1429</v>
      </c>
      <c r="M216" s="190"/>
      <c r="N216" s="38" t="str">
        <f t="shared" ref="N216:N221" si="20">J$6</f>
        <v>FY2010-11</v>
      </c>
      <c r="O216" s="38" t="s">
        <v>1352</v>
      </c>
      <c r="P216" s="38" t="s">
        <v>1338</v>
      </c>
      <c r="Q216" s="38" t="s">
        <v>1340</v>
      </c>
      <c r="R216" s="191"/>
      <c r="S216" s="191"/>
      <c r="T216" s="191"/>
      <c r="U216" s="191"/>
      <c r="V216" s="192"/>
      <c r="W216" s="192"/>
      <c r="X216" s="192"/>
      <c r="Y216" s="192"/>
      <c r="Z216" s="192"/>
      <c r="AA216" s="192"/>
      <c r="AB216" s="192"/>
      <c r="AC216" s="192"/>
      <c r="AD216" s="192"/>
      <c r="AE216" s="192"/>
      <c r="AF216" s="192"/>
      <c r="AG216" s="192"/>
      <c r="AH216" s="6"/>
    </row>
    <row r="217" spans="1:34" ht="16" customHeight="1">
      <c r="A217" s="7"/>
      <c r="B217" s="10"/>
      <c r="C217" s="12"/>
      <c r="D217" s="191"/>
      <c r="E217" s="191"/>
      <c r="F217" s="190"/>
      <c r="G217" s="191"/>
      <c r="H217" s="190"/>
      <c r="I217" s="190"/>
      <c r="J217" s="191"/>
      <c r="K217" s="191"/>
      <c r="L217" s="283" t="s">
        <v>1429</v>
      </c>
      <c r="M217" s="190"/>
      <c r="N217" s="38" t="str">
        <f t="shared" si="20"/>
        <v>FY2010-11</v>
      </c>
      <c r="O217" s="38" t="s">
        <v>1352</v>
      </c>
      <c r="P217" s="38" t="s">
        <v>1338</v>
      </c>
      <c r="Q217" s="38" t="s">
        <v>1340</v>
      </c>
      <c r="R217" s="191"/>
      <c r="S217" s="191"/>
      <c r="T217" s="191"/>
      <c r="U217" s="191"/>
      <c r="V217" s="192"/>
      <c r="W217" s="192"/>
      <c r="X217" s="192"/>
      <c r="Y217" s="192"/>
      <c r="Z217" s="192"/>
      <c r="AA217" s="192"/>
      <c r="AB217" s="192"/>
      <c r="AC217" s="192"/>
      <c r="AD217" s="192"/>
      <c r="AE217" s="192"/>
      <c r="AF217" s="192"/>
      <c r="AG217" s="192"/>
    </row>
    <row r="218" spans="1:34" ht="16" customHeight="1">
      <c r="A218" s="7"/>
      <c r="B218" s="10"/>
      <c r="C218" s="12"/>
      <c r="D218" s="191"/>
      <c r="E218" s="191"/>
      <c r="F218" s="190"/>
      <c r="G218" s="191"/>
      <c r="H218" s="190"/>
      <c r="I218" s="190"/>
      <c r="J218" s="191"/>
      <c r="K218" s="191"/>
      <c r="L218" s="283" t="s">
        <v>1429</v>
      </c>
      <c r="M218" s="190"/>
      <c r="N218" s="38" t="str">
        <f t="shared" si="20"/>
        <v>FY2010-11</v>
      </c>
      <c r="O218" s="38" t="s">
        <v>1352</v>
      </c>
      <c r="P218" s="38" t="s">
        <v>1338</v>
      </c>
      <c r="Q218" s="38" t="s">
        <v>1340</v>
      </c>
      <c r="R218" s="191"/>
      <c r="S218" s="191"/>
      <c r="T218" s="191"/>
      <c r="U218" s="191"/>
      <c r="V218" s="192"/>
      <c r="W218" s="192"/>
      <c r="X218" s="192"/>
      <c r="Y218" s="192"/>
      <c r="Z218" s="192"/>
      <c r="AA218" s="192"/>
      <c r="AB218" s="192"/>
      <c r="AC218" s="192"/>
      <c r="AD218" s="192"/>
      <c r="AE218" s="192"/>
      <c r="AF218" s="192"/>
      <c r="AG218" s="192"/>
    </row>
    <row r="219" spans="1:34" ht="16" customHeight="1">
      <c r="A219" s="7"/>
      <c r="B219" s="10"/>
      <c r="C219" s="12"/>
      <c r="D219" s="191"/>
      <c r="E219" s="191"/>
      <c r="F219" s="190"/>
      <c r="G219" s="191"/>
      <c r="H219" s="190"/>
      <c r="I219" s="190"/>
      <c r="J219" s="191"/>
      <c r="K219" s="191"/>
      <c r="L219" s="283" t="s">
        <v>1429</v>
      </c>
      <c r="M219" s="190"/>
      <c r="N219" s="38" t="str">
        <f t="shared" si="20"/>
        <v>FY2010-11</v>
      </c>
      <c r="O219" s="38" t="s">
        <v>1352</v>
      </c>
      <c r="P219" s="38" t="s">
        <v>1338</v>
      </c>
      <c r="Q219" s="38" t="s">
        <v>1340</v>
      </c>
      <c r="R219" s="191"/>
      <c r="S219" s="191"/>
      <c r="T219" s="191"/>
      <c r="U219" s="191"/>
      <c r="V219" s="192"/>
      <c r="W219" s="192"/>
      <c r="X219" s="192"/>
      <c r="Y219" s="192"/>
      <c r="Z219" s="192"/>
      <c r="AA219" s="192"/>
      <c r="AB219" s="192"/>
      <c r="AC219" s="192"/>
      <c r="AD219" s="192"/>
      <c r="AE219" s="192"/>
      <c r="AF219" s="192"/>
      <c r="AG219" s="192"/>
    </row>
    <row r="220" spans="1:34" ht="16" customHeight="1">
      <c r="A220" s="7"/>
      <c r="B220" s="10"/>
      <c r="C220" s="12"/>
      <c r="D220" s="191"/>
      <c r="E220" s="191"/>
      <c r="F220" s="190"/>
      <c r="G220" s="191"/>
      <c r="H220" s="190"/>
      <c r="I220" s="190"/>
      <c r="J220" s="191"/>
      <c r="K220" s="191"/>
      <c r="L220" s="283" t="s">
        <v>1429</v>
      </c>
      <c r="M220" s="190"/>
      <c r="N220" s="38" t="str">
        <f t="shared" si="20"/>
        <v>FY2010-11</v>
      </c>
      <c r="O220" s="38" t="s">
        <v>1352</v>
      </c>
      <c r="P220" s="38" t="s">
        <v>1338</v>
      </c>
      <c r="Q220" s="38" t="s">
        <v>1340</v>
      </c>
      <c r="R220" s="191"/>
      <c r="S220" s="191"/>
      <c r="T220" s="191"/>
      <c r="U220" s="191"/>
      <c r="V220" s="192"/>
      <c r="W220" s="192"/>
      <c r="X220" s="192"/>
      <c r="Y220" s="192"/>
      <c r="Z220" s="192"/>
      <c r="AA220" s="192"/>
      <c r="AB220" s="192"/>
      <c r="AC220" s="192"/>
      <c r="AD220" s="192"/>
      <c r="AE220" s="192"/>
      <c r="AF220" s="192"/>
      <c r="AG220" s="192"/>
    </row>
    <row r="221" spans="1:34" ht="16" customHeight="1">
      <c r="A221" s="7"/>
      <c r="B221" s="10"/>
      <c r="C221" s="12"/>
      <c r="D221" s="191"/>
      <c r="E221" s="191"/>
      <c r="F221" s="190"/>
      <c r="G221" s="191"/>
      <c r="H221" s="190"/>
      <c r="I221" s="190"/>
      <c r="J221" s="191"/>
      <c r="K221" s="191"/>
      <c r="L221" s="283" t="s">
        <v>1429</v>
      </c>
      <c r="M221" s="190"/>
      <c r="N221" s="38" t="str">
        <f t="shared" si="20"/>
        <v>FY2010-11</v>
      </c>
      <c r="O221" s="38" t="s">
        <v>1352</v>
      </c>
      <c r="P221" s="38" t="s">
        <v>1338</v>
      </c>
      <c r="Q221" s="38" t="s">
        <v>1340</v>
      </c>
      <c r="R221" s="191"/>
      <c r="S221" s="191"/>
      <c r="T221" s="191"/>
      <c r="U221" s="191"/>
      <c r="V221" s="192"/>
      <c r="W221" s="192"/>
      <c r="X221" s="192"/>
      <c r="Y221" s="192"/>
      <c r="Z221" s="192"/>
      <c r="AA221" s="192"/>
      <c r="AB221" s="192"/>
      <c r="AC221" s="192"/>
      <c r="AD221" s="192"/>
      <c r="AE221" s="192"/>
      <c r="AF221" s="192"/>
      <c r="AG221" s="192"/>
    </row>
    <row r="222" spans="1:34" ht="16" customHeight="1">
      <c r="A222" s="25"/>
      <c r="B222" s="26"/>
      <c r="C222" s="26"/>
      <c r="D222" s="27"/>
      <c r="E222" s="27"/>
      <c r="F222" s="28"/>
      <c r="G222" s="27"/>
      <c r="H222" s="28"/>
      <c r="I222" s="28"/>
      <c r="J222" s="27"/>
      <c r="K222" s="27"/>
      <c r="L222" s="282"/>
      <c r="M222" s="28"/>
      <c r="N222" s="28"/>
      <c r="O222" s="27"/>
      <c r="P222" s="28"/>
      <c r="Q222" s="28"/>
      <c r="R222" s="27"/>
      <c r="S222" s="27"/>
      <c r="T222" s="27"/>
      <c r="U222" s="27"/>
      <c r="V222" s="25"/>
      <c r="W222" s="25"/>
      <c r="X222" s="25"/>
      <c r="Y222" s="25"/>
      <c r="Z222" s="25"/>
      <c r="AA222" s="25"/>
      <c r="AB222" s="25"/>
      <c r="AC222" s="25"/>
      <c r="AD222" s="25"/>
      <c r="AE222" s="25"/>
      <c r="AF222" s="25"/>
      <c r="AG222" s="25"/>
    </row>
    <row r="223" spans="1:34" ht="16" customHeight="1" thickBot="1">
      <c r="A223" s="7"/>
      <c r="B223" s="19" t="str">
        <f>"FA1 = "&amp;'FIG3'!$W$52&amp;" "&amp;'FIG3'!$X$52</f>
        <v>FA1 = Little Rock School District</v>
      </c>
      <c r="C223" s="7"/>
      <c r="D223" s="17"/>
      <c r="E223" s="17"/>
      <c r="F223" s="18"/>
      <c r="G223" s="17"/>
      <c r="H223" s="18"/>
      <c r="I223" s="18"/>
      <c r="J223" s="17"/>
      <c r="K223" s="17"/>
      <c r="L223" s="281"/>
      <c r="M223" s="18"/>
      <c r="N223" s="9"/>
      <c r="O223" s="17"/>
      <c r="P223" s="18"/>
      <c r="Q223" s="18"/>
      <c r="R223" s="17"/>
      <c r="S223" s="882"/>
      <c r="T223" s="883" t="str">
        <f>'$REV-DB'!$T$34</f>
        <v>Federal Revenues</v>
      </c>
      <c r="U223" s="883" t="str">
        <f>'$REV-DB'!$U$34</f>
        <v>local Revenues</v>
      </c>
      <c r="V223" s="883" t="str">
        <f>'$REV-DB'!$V$34</f>
        <v>Other Revenues</v>
      </c>
      <c r="W223" s="883" t="str">
        <f>'$REV-DB'!$W$34</f>
        <v>State revenues</v>
      </c>
      <c r="X223" s="883" t="str">
        <f>'$REV-DB'!$X$34</f>
        <v>UD5</v>
      </c>
      <c r="Y223" s="883" t="str">
        <f>'$REV-DB'!$Y$34</f>
        <v>UD6</v>
      </c>
      <c r="Z223" s="883" t="str">
        <f>'$REV-DB'!$Z$34</f>
        <v>UD7</v>
      </c>
      <c r="AA223" s="883" t="str">
        <f>'$REV-DB'!$AA$34</f>
        <v>UD8</v>
      </c>
      <c r="AB223" s="883" t="str">
        <f>'$REV-DB'!$AB$34</f>
        <v>UD9</v>
      </c>
      <c r="AC223" s="883" t="str">
        <f>'$REV-DB'!$AC$34</f>
        <v>UD10</v>
      </c>
      <c r="AD223" s="883" t="str">
        <f>'$REV-DB'!$AD$34</f>
        <v>UD11</v>
      </c>
      <c r="AE223" s="883" t="str">
        <f>'$REV-DB'!$AE$34</f>
        <v>UD12</v>
      </c>
      <c r="AF223" s="883" t="str">
        <f>'$REV-DB'!$AF$34</f>
        <v>UD13</v>
      </c>
      <c r="AG223" s="883" t="str">
        <f>'$REV-DB'!$AG$34</f>
        <v>UD14</v>
      </c>
    </row>
    <row r="224" spans="1:34" ht="16" customHeight="1" thickTop="1" thickBot="1">
      <c r="A224" s="7"/>
      <c r="B224" s="20" t="s">
        <v>1375</v>
      </c>
      <c r="C224" s="15"/>
      <c r="D224" s="105" t="s">
        <v>1386</v>
      </c>
      <c r="E224" s="105" t="s">
        <v>1387</v>
      </c>
      <c r="F224" s="105" t="s">
        <v>1388</v>
      </c>
      <c r="G224" s="105" t="s">
        <v>1389</v>
      </c>
      <c r="H224" s="301" t="s">
        <v>1406</v>
      </c>
      <c r="I224" s="301" t="s">
        <v>1390</v>
      </c>
      <c r="J224" s="301" t="s">
        <v>1391</v>
      </c>
      <c r="K224" s="301" t="s">
        <v>1392</v>
      </c>
      <c r="L224" s="301" t="s">
        <v>1188</v>
      </c>
      <c r="M224" s="301" t="s">
        <v>1437</v>
      </c>
      <c r="N224" s="105" t="s">
        <v>1348</v>
      </c>
      <c r="O224" s="105" t="s">
        <v>1393</v>
      </c>
      <c r="P224" s="105" t="s">
        <v>1342</v>
      </c>
      <c r="Q224" s="105" t="s">
        <v>1394</v>
      </c>
      <c r="R224" s="112" t="s">
        <v>1341</v>
      </c>
      <c r="S224" s="112" t="s">
        <v>846</v>
      </c>
      <c r="T224" s="873" t="s">
        <v>935</v>
      </c>
      <c r="U224" s="873" t="s">
        <v>936</v>
      </c>
      <c r="V224" s="873" t="s">
        <v>937</v>
      </c>
      <c r="W224" s="873" t="s">
        <v>938</v>
      </c>
      <c r="X224" s="873" t="s">
        <v>939</v>
      </c>
      <c r="Y224" s="873" t="s">
        <v>940</v>
      </c>
      <c r="Z224" s="873" t="s">
        <v>941</v>
      </c>
      <c r="AA224" s="873" t="s">
        <v>942</v>
      </c>
      <c r="AB224" s="873" t="s">
        <v>943</v>
      </c>
      <c r="AC224" s="873" t="s">
        <v>944</v>
      </c>
      <c r="AD224" s="873" t="s">
        <v>945</v>
      </c>
      <c r="AE224" s="873" t="s">
        <v>946</v>
      </c>
      <c r="AF224" s="873" t="s">
        <v>947</v>
      </c>
      <c r="AG224" s="873" t="s">
        <v>948</v>
      </c>
      <c r="AH224" s="6"/>
    </row>
    <row r="225" spans="1:34" ht="16" customHeight="1" thickTop="1">
      <c r="A225" s="7"/>
      <c r="B225" s="19" t="s">
        <v>1346</v>
      </c>
      <c r="C225" s="12"/>
      <c r="D225" s="191"/>
      <c r="E225" s="191"/>
      <c r="F225" s="190"/>
      <c r="G225" s="191"/>
      <c r="H225" s="190"/>
      <c r="I225" s="190"/>
      <c r="J225" s="191"/>
      <c r="K225" s="191"/>
      <c r="L225" s="283" t="s">
        <v>1429</v>
      </c>
      <c r="M225" s="190"/>
      <c r="N225" s="38" t="str">
        <f>J$6</f>
        <v>FY2010-11</v>
      </c>
      <c r="O225" s="38" t="s">
        <v>1352</v>
      </c>
      <c r="P225" s="38" t="s">
        <v>1347</v>
      </c>
      <c r="Q225" s="38"/>
      <c r="R225" s="191"/>
      <c r="S225" s="191"/>
      <c r="T225" s="191"/>
      <c r="U225" s="191"/>
      <c r="V225" s="192"/>
      <c r="W225" s="192"/>
      <c r="X225" s="192"/>
      <c r="Y225" s="192"/>
      <c r="Z225" s="192"/>
      <c r="AA225" s="192"/>
      <c r="AB225" s="192"/>
      <c r="AC225" s="192"/>
      <c r="AD225" s="192"/>
      <c r="AE225" s="192"/>
      <c r="AF225" s="192"/>
      <c r="AG225" s="192"/>
      <c r="AH225" s="6"/>
    </row>
    <row r="226" spans="1:34" ht="16" customHeight="1">
      <c r="A226" s="7"/>
      <c r="B226" s="16">
        <f>DSUM('$REV-DB'!D35:AG374,"AMOUNT",'$REV-DSUM'!D224:AG231)</f>
        <v>21208723.59</v>
      </c>
      <c r="C226" s="12"/>
      <c r="D226" s="191"/>
      <c r="E226" s="191"/>
      <c r="F226" s="190"/>
      <c r="G226" s="191"/>
      <c r="H226" s="190"/>
      <c r="I226" s="190"/>
      <c r="J226" s="191"/>
      <c r="K226" s="191"/>
      <c r="L226" s="283" t="s">
        <v>1429</v>
      </c>
      <c r="M226" s="190"/>
      <c r="N226" s="38" t="str">
        <f t="shared" ref="N226:N231" si="21">J$6</f>
        <v>FY2010-11</v>
      </c>
      <c r="O226" s="38" t="s">
        <v>1352</v>
      </c>
      <c r="P226" s="38" t="s">
        <v>1347</v>
      </c>
      <c r="Q226" s="38"/>
      <c r="R226" s="191"/>
      <c r="S226" s="191"/>
      <c r="T226" s="191"/>
      <c r="U226" s="191"/>
      <c r="V226" s="192"/>
      <c r="W226" s="192"/>
      <c r="X226" s="192"/>
      <c r="Y226" s="192"/>
      <c r="Z226" s="192"/>
      <c r="AA226" s="192"/>
      <c r="AB226" s="192"/>
      <c r="AC226" s="192"/>
      <c r="AD226" s="192"/>
      <c r="AE226" s="192"/>
      <c r="AF226" s="192"/>
      <c r="AG226" s="192"/>
      <c r="AH226" s="6"/>
    </row>
    <row r="227" spans="1:34" ht="16" customHeight="1">
      <c r="A227" s="7"/>
      <c r="B227" s="10"/>
      <c r="C227" s="12"/>
      <c r="D227" s="191"/>
      <c r="E227" s="191"/>
      <c r="F227" s="190"/>
      <c r="G227" s="191"/>
      <c r="H227" s="190"/>
      <c r="I227" s="190"/>
      <c r="J227" s="191"/>
      <c r="K227" s="191"/>
      <c r="L227" s="283" t="s">
        <v>1429</v>
      </c>
      <c r="M227" s="190"/>
      <c r="N227" s="38" t="str">
        <f t="shared" si="21"/>
        <v>FY2010-11</v>
      </c>
      <c r="O227" s="38" t="s">
        <v>1352</v>
      </c>
      <c r="P227" s="38" t="s">
        <v>1347</v>
      </c>
      <c r="Q227" s="38"/>
      <c r="R227" s="191"/>
      <c r="S227" s="191"/>
      <c r="T227" s="191"/>
      <c r="U227" s="191"/>
      <c r="V227" s="192"/>
      <c r="W227" s="192"/>
      <c r="X227" s="192"/>
      <c r="Y227" s="192"/>
      <c r="Z227" s="192"/>
      <c r="AA227" s="192"/>
      <c r="AB227" s="192"/>
      <c r="AC227" s="192"/>
      <c r="AD227" s="192"/>
      <c r="AE227" s="192"/>
      <c r="AF227" s="192"/>
      <c r="AG227" s="192"/>
    </row>
    <row r="228" spans="1:34" ht="16" customHeight="1">
      <c r="A228" s="7"/>
      <c r="B228" s="10"/>
      <c r="C228" s="12"/>
      <c r="D228" s="191"/>
      <c r="E228" s="191"/>
      <c r="F228" s="190"/>
      <c r="G228" s="191"/>
      <c r="H228" s="190"/>
      <c r="I228" s="190"/>
      <c r="J228" s="191"/>
      <c r="K228" s="191"/>
      <c r="L228" s="283" t="s">
        <v>1429</v>
      </c>
      <c r="M228" s="190"/>
      <c r="N228" s="38" t="str">
        <f t="shared" si="21"/>
        <v>FY2010-11</v>
      </c>
      <c r="O228" s="38" t="s">
        <v>1352</v>
      </c>
      <c r="P228" s="38" t="s">
        <v>1347</v>
      </c>
      <c r="Q228" s="38"/>
      <c r="R228" s="191"/>
      <c r="S228" s="191"/>
      <c r="T228" s="191"/>
      <c r="U228" s="191"/>
      <c r="V228" s="192"/>
      <c r="W228" s="192"/>
      <c r="X228" s="192"/>
      <c r="Y228" s="192"/>
      <c r="Z228" s="192"/>
      <c r="AA228" s="192"/>
      <c r="AB228" s="192"/>
      <c r="AC228" s="192"/>
      <c r="AD228" s="192"/>
      <c r="AE228" s="192"/>
      <c r="AF228" s="192"/>
      <c r="AG228" s="192"/>
    </row>
    <row r="229" spans="1:34" ht="16" customHeight="1">
      <c r="A229" s="7"/>
      <c r="B229" s="10"/>
      <c r="C229" s="12"/>
      <c r="D229" s="191"/>
      <c r="E229" s="191"/>
      <c r="F229" s="190"/>
      <c r="G229" s="191"/>
      <c r="H229" s="190"/>
      <c r="I229" s="190"/>
      <c r="J229" s="191"/>
      <c r="K229" s="191"/>
      <c r="L229" s="283" t="s">
        <v>1429</v>
      </c>
      <c r="M229" s="190"/>
      <c r="N229" s="38" t="str">
        <f t="shared" si="21"/>
        <v>FY2010-11</v>
      </c>
      <c r="O229" s="38" t="s">
        <v>1352</v>
      </c>
      <c r="P229" s="38" t="s">
        <v>1347</v>
      </c>
      <c r="Q229" s="38"/>
      <c r="R229" s="191"/>
      <c r="S229" s="191"/>
      <c r="T229" s="191"/>
      <c r="U229" s="191"/>
      <c r="V229" s="192"/>
      <c r="W229" s="192"/>
      <c r="X229" s="192"/>
      <c r="Y229" s="192"/>
      <c r="Z229" s="192"/>
      <c r="AA229" s="192"/>
      <c r="AB229" s="192"/>
      <c r="AC229" s="192"/>
      <c r="AD229" s="192"/>
      <c r="AE229" s="192"/>
      <c r="AF229" s="192"/>
      <c r="AG229" s="192"/>
    </row>
    <row r="230" spans="1:34" ht="16" customHeight="1">
      <c r="A230" s="7"/>
      <c r="B230" s="10"/>
      <c r="C230" s="12"/>
      <c r="D230" s="191"/>
      <c r="E230" s="191"/>
      <c r="F230" s="190"/>
      <c r="G230" s="191"/>
      <c r="H230" s="190"/>
      <c r="I230" s="190"/>
      <c r="J230" s="191"/>
      <c r="K230" s="191"/>
      <c r="L230" s="283" t="s">
        <v>1429</v>
      </c>
      <c r="M230" s="190"/>
      <c r="N230" s="38" t="str">
        <f t="shared" si="21"/>
        <v>FY2010-11</v>
      </c>
      <c r="O230" s="38" t="s">
        <v>1352</v>
      </c>
      <c r="P230" s="38" t="s">
        <v>1347</v>
      </c>
      <c r="Q230" s="38"/>
      <c r="R230" s="191"/>
      <c r="S230" s="191"/>
      <c r="T230" s="191"/>
      <c r="U230" s="191"/>
      <c r="V230" s="192"/>
      <c r="W230" s="192"/>
      <c r="X230" s="192"/>
      <c r="Y230" s="192"/>
      <c r="Z230" s="192"/>
      <c r="AA230" s="192"/>
      <c r="AB230" s="192"/>
      <c r="AC230" s="192"/>
      <c r="AD230" s="192"/>
      <c r="AE230" s="192"/>
      <c r="AF230" s="192"/>
      <c r="AG230" s="192"/>
    </row>
    <row r="231" spans="1:34" ht="16" customHeight="1">
      <c r="A231" s="7"/>
      <c r="B231" s="10"/>
      <c r="C231" s="12"/>
      <c r="D231" s="191"/>
      <c r="E231" s="191"/>
      <c r="F231" s="190"/>
      <c r="G231" s="191"/>
      <c r="H231" s="190"/>
      <c r="I231" s="190"/>
      <c r="J231" s="191"/>
      <c r="K231" s="191"/>
      <c r="L231" s="283" t="s">
        <v>1429</v>
      </c>
      <c r="M231" s="190"/>
      <c r="N231" s="38" t="str">
        <f t="shared" si="21"/>
        <v>FY2010-11</v>
      </c>
      <c r="O231" s="38" t="s">
        <v>1352</v>
      </c>
      <c r="P231" s="38" t="s">
        <v>1347</v>
      </c>
      <c r="Q231" s="38"/>
      <c r="R231" s="191"/>
      <c r="S231" s="191"/>
      <c r="T231" s="191"/>
      <c r="U231" s="191"/>
      <c r="V231" s="192"/>
      <c r="W231" s="192"/>
      <c r="X231" s="192"/>
      <c r="Y231" s="192"/>
      <c r="Z231" s="192"/>
      <c r="AA231" s="192"/>
      <c r="AB231" s="192"/>
      <c r="AC231" s="192"/>
      <c r="AD231" s="192"/>
      <c r="AE231" s="192"/>
      <c r="AF231" s="192"/>
      <c r="AG231" s="192"/>
    </row>
    <row r="232" spans="1:34" ht="16" customHeight="1">
      <c r="A232" s="25"/>
      <c r="B232" s="26"/>
      <c r="C232" s="26"/>
      <c r="D232" s="27"/>
      <c r="E232" s="27"/>
      <c r="F232" s="28"/>
      <c r="G232" s="27"/>
      <c r="H232" s="28"/>
      <c r="I232" s="28"/>
      <c r="J232" s="27"/>
      <c r="K232" s="27"/>
      <c r="L232" s="282"/>
      <c r="M232" s="28"/>
      <c r="N232" s="28"/>
      <c r="O232" s="27"/>
      <c r="P232" s="28"/>
      <c r="Q232" s="28"/>
      <c r="R232" s="27"/>
      <c r="S232" s="27"/>
      <c r="T232" s="27"/>
      <c r="U232" s="27"/>
      <c r="V232" s="25"/>
      <c r="W232" s="25"/>
      <c r="X232" s="25"/>
      <c r="Y232" s="25"/>
      <c r="Z232" s="25"/>
      <c r="AA232" s="25"/>
      <c r="AB232" s="25"/>
      <c r="AC232" s="25"/>
      <c r="AD232" s="25"/>
      <c r="AE232" s="25"/>
      <c r="AF232" s="25"/>
      <c r="AG232" s="25"/>
    </row>
    <row r="233" spans="1:34" ht="16" customHeight="1" thickBot="1">
      <c r="A233" s="7"/>
      <c r="B233" s="19" t="str">
        <f>"FA1 = "&amp;'FIG3'!$W$52&amp;" "&amp;'FIG3'!$X$52</f>
        <v>FA1 = Little Rock School District</v>
      </c>
      <c r="C233" s="7"/>
      <c r="D233" s="8"/>
      <c r="E233" s="8"/>
      <c r="F233" s="9"/>
      <c r="G233" s="8"/>
      <c r="H233" s="9"/>
      <c r="I233" s="9"/>
      <c r="J233" s="8"/>
      <c r="K233" s="8"/>
      <c r="L233" s="280"/>
      <c r="M233" s="9"/>
      <c r="N233" s="9"/>
      <c r="O233" s="8"/>
      <c r="P233" s="9"/>
      <c r="Q233" s="9"/>
      <c r="R233" s="8"/>
      <c r="S233" s="882"/>
      <c r="T233" s="883" t="str">
        <f>'$REV-DB'!$T$34</f>
        <v>Federal Revenues</v>
      </c>
      <c r="U233" s="883" t="str">
        <f>'$REV-DB'!$U$34</f>
        <v>local Revenues</v>
      </c>
      <c r="V233" s="883" t="str">
        <f>'$REV-DB'!$V$34</f>
        <v>Other Revenues</v>
      </c>
      <c r="W233" s="883" t="str">
        <f>'$REV-DB'!$W$34</f>
        <v>State revenues</v>
      </c>
      <c r="X233" s="883" t="str">
        <f>'$REV-DB'!$X$34</f>
        <v>UD5</v>
      </c>
      <c r="Y233" s="883" t="str">
        <f>'$REV-DB'!$Y$34</f>
        <v>UD6</v>
      </c>
      <c r="Z233" s="883" t="str">
        <f>'$REV-DB'!$Z$34</f>
        <v>UD7</v>
      </c>
      <c r="AA233" s="883" t="str">
        <f>'$REV-DB'!$AA$34</f>
        <v>UD8</v>
      </c>
      <c r="AB233" s="883" t="str">
        <f>'$REV-DB'!$AB$34</f>
        <v>UD9</v>
      </c>
      <c r="AC233" s="883" t="str">
        <f>'$REV-DB'!$AC$34</f>
        <v>UD10</v>
      </c>
      <c r="AD233" s="883" t="str">
        <f>'$REV-DB'!$AD$34</f>
        <v>UD11</v>
      </c>
      <c r="AE233" s="883" t="str">
        <f>'$REV-DB'!$AE$34</f>
        <v>UD12</v>
      </c>
      <c r="AF233" s="883" t="str">
        <f>'$REV-DB'!$AF$34</f>
        <v>UD13</v>
      </c>
      <c r="AG233" s="883" t="str">
        <f>'$REV-DB'!$AG$34</f>
        <v>UD14</v>
      </c>
    </row>
    <row r="234" spans="1:34" ht="16" customHeight="1" thickTop="1" thickBot="1">
      <c r="A234" s="7"/>
      <c r="B234" s="20" t="s">
        <v>1375</v>
      </c>
      <c r="C234" s="15"/>
      <c r="D234" s="105" t="s">
        <v>1386</v>
      </c>
      <c r="E234" s="105" t="s">
        <v>1387</v>
      </c>
      <c r="F234" s="105" t="s">
        <v>1388</v>
      </c>
      <c r="G234" s="105" t="s">
        <v>1389</v>
      </c>
      <c r="H234" s="301" t="s">
        <v>1406</v>
      </c>
      <c r="I234" s="301" t="s">
        <v>1390</v>
      </c>
      <c r="J234" s="301" t="s">
        <v>1391</v>
      </c>
      <c r="K234" s="301" t="s">
        <v>1392</v>
      </c>
      <c r="L234" s="301" t="s">
        <v>1188</v>
      </c>
      <c r="M234" s="301" t="s">
        <v>1437</v>
      </c>
      <c r="N234" s="105" t="s">
        <v>1348</v>
      </c>
      <c r="O234" s="105" t="s">
        <v>1393</v>
      </c>
      <c r="P234" s="105" t="s">
        <v>1342</v>
      </c>
      <c r="Q234" s="105" t="s">
        <v>1394</v>
      </c>
      <c r="R234" s="112" t="s">
        <v>1341</v>
      </c>
      <c r="S234" s="112" t="s">
        <v>846</v>
      </c>
      <c r="T234" s="873" t="s">
        <v>935</v>
      </c>
      <c r="U234" s="873" t="s">
        <v>936</v>
      </c>
      <c r="V234" s="873" t="s">
        <v>937</v>
      </c>
      <c r="W234" s="873" t="s">
        <v>938</v>
      </c>
      <c r="X234" s="873" t="s">
        <v>939</v>
      </c>
      <c r="Y234" s="873" t="s">
        <v>940</v>
      </c>
      <c r="Z234" s="873" t="s">
        <v>941</v>
      </c>
      <c r="AA234" s="873" t="s">
        <v>942</v>
      </c>
      <c r="AB234" s="873" t="s">
        <v>943</v>
      </c>
      <c r="AC234" s="873" t="s">
        <v>944</v>
      </c>
      <c r="AD234" s="873" t="s">
        <v>945</v>
      </c>
      <c r="AE234" s="873" t="s">
        <v>946</v>
      </c>
      <c r="AF234" s="873" t="s">
        <v>947</v>
      </c>
      <c r="AG234" s="873" t="s">
        <v>948</v>
      </c>
      <c r="AH234" s="6"/>
    </row>
    <row r="235" spans="1:34" ht="16" customHeight="1" thickTop="1">
      <c r="A235" s="7"/>
      <c r="B235" s="19" t="s">
        <v>1345</v>
      </c>
      <c r="C235" s="12"/>
      <c r="D235" s="191"/>
      <c r="E235" s="191"/>
      <c r="F235" s="190"/>
      <c r="G235" s="191"/>
      <c r="H235" s="190"/>
      <c r="I235" s="190"/>
      <c r="J235" s="191"/>
      <c r="K235" s="191"/>
      <c r="L235" s="283" t="s">
        <v>1429</v>
      </c>
      <c r="M235" s="190"/>
      <c r="N235" s="38" t="str">
        <f>J$6</f>
        <v>FY2010-11</v>
      </c>
      <c r="O235" s="38" t="s">
        <v>1352</v>
      </c>
      <c r="P235" s="38" t="s">
        <v>1347</v>
      </c>
      <c r="Q235" s="38" t="s">
        <v>1380</v>
      </c>
      <c r="R235" s="191"/>
      <c r="S235" s="191"/>
      <c r="T235" s="191"/>
      <c r="U235" s="191"/>
      <c r="V235" s="192"/>
      <c r="W235" s="192"/>
      <c r="X235" s="192"/>
      <c r="Y235" s="192"/>
      <c r="Z235" s="192"/>
      <c r="AA235" s="192"/>
      <c r="AB235" s="192"/>
      <c r="AC235" s="192"/>
      <c r="AD235" s="192"/>
      <c r="AE235" s="192"/>
      <c r="AF235" s="192"/>
      <c r="AG235" s="192"/>
      <c r="AH235" s="6"/>
    </row>
    <row r="236" spans="1:34" ht="16" customHeight="1">
      <c r="A236" s="7"/>
      <c r="B236" s="16">
        <f>DSUM('$REV-DB'!D35:AG374,"AMOUNT",'$REV-DSUM'!D234:AG241)</f>
        <v>3368764.11</v>
      </c>
      <c r="C236" s="12"/>
      <c r="D236" s="191"/>
      <c r="E236" s="191"/>
      <c r="F236" s="190"/>
      <c r="G236" s="191"/>
      <c r="H236" s="190"/>
      <c r="I236" s="190"/>
      <c r="J236" s="191"/>
      <c r="K236" s="191"/>
      <c r="L236" s="283" t="s">
        <v>1429</v>
      </c>
      <c r="M236" s="190"/>
      <c r="N236" s="38" t="str">
        <f t="shared" ref="N236:N241" si="22">J$6</f>
        <v>FY2010-11</v>
      </c>
      <c r="O236" s="38" t="s">
        <v>1352</v>
      </c>
      <c r="P236" s="38" t="s">
        <v>1347</v>
      </c>
      <c r="Q236" s="38" t="s">
        <v>1380</v>
      </c>
      <c r="R236" s="191"/>
      <c r="S236" s="191"/>
      <c r="T236" s="191"/>
      <c r="U236" s="191"/>
      <c r="V236" s="192"/>
      <c r="W236" s="192"/>
      <c r="X236" s="192"/>
      <c r="Y236" s="192"/>
      <c r="Z236" s="192"/>
      <c r="AA236" s="192"/>
      <c r="AB236" s="192"/>
      <c r="AC236" s="192"/>
      <c r="AD236" s="192"/>
      <c r="AE236" s="192"/>
      <c r="AF236" s="192"/>
      <c r="AG236" s="192"/>
      <c r="AH236" s="6"/>
    </row>
    <row r="237" spans="1:34" ht="16" customHeight="1">
      <c r="A237" s="7"/>
      <c r="B237" s="10"/>
      <c r="C237" s="12"/>
      <c r="D237" s="191"/>
      <c r="E237" s="191"/>
      <c r="F237" s="190"/>
      <c r="G237" s="191"/>
      <c r="H237" s="190"/>
      <c r="I237" s="190"/>
      <c r="J237" s="191"/>
      <c r="K237" s="191"/>
      <c r="L237" s="283" t="s">
        <v>1429</v>
      </c>
      <c r="M237" s="190"/>
      <c r="N237" s="38" t="str">
        <f t="shared" si="22"/>
        <v>FY2010-11</v>
      </c>
      <c r="O237" s="38" t="s">
        <v>1352</v>
      </c>
      <c r="P237" s="38" t="s">
        <v>1347</v>
      </c>
      <c r="Q237" s="38" t="s">
        <v>1380</v>
      </c>
      <c r="R237" s="191"/>
      <c r="S237" s="191"/>
      <c r="T237" s="191"/>
      <c r="U237" s="191"/>
      <c r="V237" s="192"/>
      <c r="W237" s="192"/>
      <c r="X237" s="192"/>
      <c r="Y237" s="192"/>
      <c r="Z237" s="192"/>
      <c r="AA237" s="192"/>
      <c r="AB237" s="192"/>
      <c r="AC237" s="192"/>
      <c r="AD237" s="192"/>
      <c r="AE237" s="192"/>
      <c r="AF237" s="192"/>
      <c r="AG237" s="192"/>
    </row>
    <row r="238" spans="1:34" ht="16" customHeight="1">
      <c r="A238" s="7"/>
      <c r="B238" s="10"/>
      <c r="C238" s="12"/>
      <c r="D238" s="191"/>
      <c r="E238" s="191"/>
      <c r="F238" s="190"/>
      <c r="G238" s="191"/>
      <c r="H238" s="190"/>
      <c r="I238" s="190"/>
      <c r="J238" s="191"/>
      <c r="K238" s="191"/>
      <c r="L238" s="283" t="s">
        <v>1429</v>
      </c>
      <c r="M238" s="190"/>
      <c r="N238" s="38" t="str">
        <f t="shared" si="22"/>
        <v>FY2010-11</v>
      </c>
      <c r="O238" s="38" t="s">
        <v>1352</v>
      </c>
      <c r="P238" s="38" t="s">
        <v>1347</v>
      </c>
      <c r="Q238" s="38" t="s">
        <v>1380</v>
      </c>
      <c r="R238" s="191"/>
      <c r="S238" s="191"/>
      <c r="T238" s="191"/>
      <c r="U238" s="191"/>
      <c r="V238" s="192"/>
      <c r="W238" s="192"/>
      <c r="X238" s="192"/>
      <c r="Y238" s="192"/>
      <c r="Z238" s="192"/>
      <c r="AA238" s="192"/>
      <c r="AB238" s="192"/>
      <c r="AC238" s="192"/>
      <c r="AD238" s="192"/>
      <c r="AE238" s="192"/>
      <c r="AF238" s="192"/>
      <c r="AG238" s="192"/>
    </row>
    <row r="239" spans="1:34" ht="16" customHeight="1">
      <c r="A239" s="7"/>
      <c r="B239" s="10"/>
      <c r="C239" s="12"/>
      <c r="D239" s="191"/>
      <c r="E239" s="191"/>
      <c r="F239" s="190"/>
      <c r="G239" s="191"/>
      <c r="H239" s="190"/>
      <c r="I239" s="190"/>
      <c r="J239" s="191"/>
      <c r="K239" s="191"/>
      <c r="L239" s="283" t="s">
        <v>1429</v>
      </c>
      <c r="M239" s="190"/>
      <c r="N239" s="38" t="str">
        <f t="shared" si="22"/>
        <v>FY2010-11</v>
      </c>
      <c r="O239" s="38" t="s">
        <v>1352</v>
      </c>
      <c r="P239" s="38" t="s">
        <v>1347</v>
      </c>
      <c r="Q239" s="38" t="s">
        <v>1380</v>
      </c>
      <c r="R239" s="191"/>
      <c r="S239" s="191"/>
      <c r="T239" s="191"/>
      <c r="U239" s="191"/>
      <c r="V239" s="192"/>
      <c r="W239" s="192"/>
      <c r="X239" s="192"/>
      <c r="Y239" s="192"/>
      <c r="Z239" s="192"/>
      <c r="AA239" s="192"/>
      <c r="AB239" s="192"/>
      <c r="AC239" s="192"/>
      <c r="AD239" s="192"/>
      <c r="AE239" s="192"/>
      <c r="AF239" s="192"/>
      <c r="AG239" s="192"/>
    </row>
    <row r="240" spans="1:34" ht="16" customHeight="1">
      <c r="A240" s="7"/>
      <c r="B240" s="10"/>
      <c r="C240" s="12"/>
      <c r="D240" s="191"/>
      <c r="E240" s="191"/>
      <c r="F240" s="190"/>
      <c r="G240" s="191"/>
      <c r="H240" s="190"/>
      <c r="I240" s="190"/>
      <c r="J240" s="191"/>
      <c r="K240" s="191"/>
      <c r="L240" s="283" t="s">
        <v>1429</v>
      </c>
      <c r="M240" s="190"/>
      <c r="N240" s="38" t="str">
        <f t="shared" si="22"/>
        <v>FY2010-11</v>
      </c>
      <c r="O240" s="38" t="s">
        <v>1352</v>
      </c>
      <c r="P240" s="38" t="s">
        <v>1347</v>
      </c>
      <c r="Q240" s="38" t="s">
        <v>1380</v>
      </c>
      <c r="R240" s="191"/>
      <c r="S240" s="191"/>
      <c r="T240" s="191"/>
      <c r="U240" s="191"/>
      <c r="V240" s="192"/>
      <c r="W240" s="192"/>
      <c r="X240" s="192"/>
      <c r="Y240" s="192"/>
      <c r="Z240" s="192"/>
      <c r="AA240" s="192"/>
      <c r="AB240" s="192"/>
      <c r="AC240" s="192"/>
      <c r="AD240" s="192"/>
      <c r="AE240" s="192"/>
      <c r="AF240" s="192"/>
      <c r="AG240" s="192"/>
    </row>
    <row r="241" spans="1:34" ht="16" customHeight="1">
      <c r="A241" s="7"/>
      <c r="B241" s="10"/>
      <c r="C241" s="12"/>
      <c r="D241" s="191"/>
      <c r="E241" s="191"/>
      <c r="F241" s="190"/>
      <c r="G241" s="191"/>
      <c r="H241" s="190"/>
      <c r="I241" s="190"/>
      <c r="J241" s="191"/>
      <c r="K241" s="191"/>
      <c r="L241" s="283" t="s">
        <v>1429</v>
      </c>
      <c r="M241" s="190"/>
      <c r="N241" s="38" t="str">
        <f t="shared" si="22"/>
        <v>FY2010-11</v>
      </c>
      <c r="O241" s="38" t="s">
        <v>1352</v>
      </c>
      <c r="P241" s="38" t="s">
        <v>1347</v>
      </c>
      <c r="Q241" s="38" t="s">
        <v>1380</v>
      </c>
      <c r="R241" s="191"/>
      <c r="S241" s="191"/>
      <c r="T241" s="191"/>
      <c r="U241" s="191"/>
      <c r="V241" s="192"/>
      <c r="W241" s="192"/>
      <c r="X241" s="192"/>
      <c r="Y241" s="192"/>
      <c r="Z241" s="192"/>
      <c r="AA241" s="192"/>
      <c r="AB241" s="192"/>
      <c r="AC241" s="192"/>
      <c r="AD241" s="192"/>
      <c r="AE241" s="192"/>
      <c r="AF241" s="192"/>
      <c r="AG241" s="192"/>
    </row>
    <row r="242" spans="1:34" ht="16" customHeight="1">
      <c r="A242" s="25"/>
      <c r="B242" s="26"/>
      <c r="C242" s="26"/>
      <c r="D242" s="27"/>
      <c r="E242" s="27"/>
      <c r="F242" s="28"/>
      <c r="G242" s="27"/>
      <c r="H242" s="28"/>
      <c r="I242" s="28"/>
      <c r="J242" s="27"/>
      <c r="K242" s="27"/>
      <c r="L242" s="282"/>
      <c r="M242" s="28"/>
      <c r="N242" s="28"/>
      <c r="O242" s="27"/>
      <c r="P242" s="28"/>
      <c r="Q242" s="28"/>
      <c r="R242" s="27"/>
      <c r="S242" s="27"/>
      <c r="T242" s="27"/>
      <c r="U242" s="27"/>
      <c r="V242" s="25"/>
      <c r="W242" s="25"/>
      <c r="X242" s="25"/>
      <c r="Y242" s="25"/>
      <c r="Z242" s="25"/>
      <c r="AA242" s="25"/>
      <c r="AB242" s="25"/>
      <c r="AC242" s="25"/>
      <c r="AD242" s="25"/>
      <c r="AE242" s="25"/>
      <c r="AF242" s="25"/>
      <c r="AG242" s="25"/>
    </row>
    <row r="243" spans="1:34" ht="16" customHeight="1" thickBot="1">
      <c r="A243" s="7"/>
      <c r="B243" s="19" t="str">
        <f>"FA1 = "&amp;'FIG3'!$W$52&amp;" "&amp;'FIG3'!$X$52</f>
        <v>FA1 = Little Rock School District</v>
      </c>
      <c r="C243" s="7"/>
      <c r="D243" s="8"/>
      <c r="E243" s="8"/>
      <c r="F243" s="9"/>
      <c r="G243" s="8"/>
      <c r="H243" s="9"/>
      <c r="I243" s="9"/>
      <c r="J243" s="8"/>
      <c r="K243" s="8"/>
      <c r="L243" s="280"/>
      <c r="M243" s="9"/>
      <c r="N243" s="9"/>
      <c r="O243" s="8"/>
      <c r="P243" s="9"/>
      <c r="Q243" s="9"/>
      <c r="R243" s="8"/>
      <c r="S243" s="882"/>
      <c r="T243" s="883" t="str">
        <f>'$REV-DB'!$T$34</f>
        <v>Federal Revenues</v>
      </c>
      <c r="U243" s="883" t="str">
        <f>'$REV-DB'!$U$34</f>
        <v>local Revenues</v>
      </c>
      <c r="V243" s="883" t="str">
        <f>'$REV-DB'!$V$34</f>
        <v>Other Revenues</v>
      </c>
      <c r="W243" s="883" t="str">
        <f>'$REV-DB'!$W$34</f>
        <v>State revenues</v>
      </c>
      <c r="X243" s="883" t="str">
        <f>'$REV-DB'!$X$34</f>
        <v>UD5</v>
      </c>
      <c r="Y243" s="883" t="str">
        <f>'$REV-DB'!$Y$34</f>
        <v>UD6</v>
      </c>
      <c r="Z243" s="883" t="str">
        <f>'$REV-DB'!$Z$34</f>
        <v>UD7</v>
      </c>
      <c r="AA243" s="883" t="str">
        <f>'$REV-DB'!$AA$34</f>
        <v>UD8</v>
      </c>
      <c r="AB243" s="883" t="str">
        <f>'$REV-DB'!$AB$34</f>
        <v>UD9</v>
      </c>
      <c r="AC243" s="883" t="str">
        <f>'$REV-DB'!$AC$34</f>
        <v>UD10</v>
      </c>
      <c r="AD243" s="883" t="str">
        <f>'$REV-DB'!$AD$34</f>
        <v>UD11</v>
      </c>
      <c r="AE243" s="883" t="str">
        <f>'$REV-DB'!$AE$34</f>
        <v>UD12</v>
      </c>
      <c r="AF243" s="883" t="str">
        <f>'$REV-DB'!$AF$34</f>
        <v>UD13</v>
      </c>
      <c r="AG243" s="883" t="str">
        <f>'$REV-DB'!$AG$34</f>
        <v>UD14</v>
      </c>
    </row>
    <row r="244" spans="1:34" ht="16" customHeight="1" thickTop="1" thickBot="1">
      <c r="A244" s="7"/>
      <c r="B244" s="20" t="s">
        <v>1375</v>
      </c>
      <c r="C244" s="15"/>
      <c r="D244" s="105" t="s">
        <v>1386</v>
      </c>
      <c r="E244" s="105" t="s">
        <v>1387</v>
      </c>
      <c r="F244" s="105" t="s">
        <v>1388</v>
      </c>
      <c r="G244" s="105" t="s">
        <v>1389</v>
      </c>
      <c r="H244" s="301" t="s">
        <v>1406</v>
      </c>
      <c r="I244" s="301" t="s">
        <v>1390</v>
      </c>
      <c r="J244" s="301" t="s">
        <v>1391</v>
      </c>
      <c r="K244" s="301" t="s">
        <v>1392</v>
      </c>
      <c r="L244" s="301" t="s">
        <v>1188</v>
      </c>
      <c r="M244" s="301" t="s">
        <v>1437</v>
      </c>
      <c r="N244" s="105" t="s">
        <v>1348</v>
      </c>
      <c r="O244" s="105" t="s">
        <v>1393</v>
      </c>
      <c r="P244" s="105" t="s">
        <v>1342</v>
      </c>
      <c r="Q244" s="105" t="s">
        <v>1394</v>
      </c>
      <c r="R244" s="112" t="s">
        <v>1341</v>
      </c>
      <c r="S244" s="112" t="s">
        <v>846</v>
      </c>
      <c r="T244" s="873" t="s">
        <v>935</v>
      </c>
      <c r="U244" s="873" t="s">
        <v>936</v>
      </c>
      <c r="V244" s="873" t="s">
        <v>937</v>
      </c>
      <c r="W244" s="873" t="s">
        <v>938</v>
      </c>
      <c r="X244" s="873" t="s">
        <v>939</v>
      </c>
      <c r="Y244" s="873" t="s">
        <v>940</v>
      </c>
      <c r="Z244" s="873" t="s">
        <v>941</v>
      </c>
      <c r="AA244" s="873" t="s">
        <v>942</v>
      </c>
      <c r="AB244" s="873" t="s">
        <v>943</v>
      </c>
      <c r="AC244" s="873" t="s">
        <v>944</v>
      </c>
      <c r="AD244" s="873" t="s">
        <v>945</v>
      </c>
      <c r="AE244" s="873" t="s">
        <v>946</v>
      </c>
      <c r="AF244" s="873" t="s">
        <v>947</v>
      </c>
      <c r="AG244" s="873" t="s">
        <v>948</v>
      </c>
      <c r="AH244" s="6"/>
    </row>
    <row r="245" spans="1:34" ht="16" customHeight="1" thickTop="1">
      <c r="A245" s="7"/>
      <c r="B245" s="19" t="s">
        <v>1344</v>
      </c>
      <c r="C245" s="12"/>
      <c r="D245" s="191"/>
      <c r="E245" s="191"/>
      <c r="F245" s="190"/>
      <c r="G245" s="191"/>
      <c r="H245" s="190"/>
      <c r="I245" s="190"/>
      <c r="J245" s="191"/>
      <c r="K245" s="191"/>
      <c r="L245" s="283" t="s">
        <v>1429</v>
      </c>
      <c r="M245" s="190"/>
      <c r="N245" s="38" t="str">
        <f>J$6</f>
        <v>FY2010-11</v>
      </c>
      <c r="O245" s="38" t="s">
        <v>1352</v>
      </c>
      <c r="P245" s="38" t="s">
        <v>1347</v>
      </c>
      <c r="Q245" s="38" t="s">
        <v>1339</v>
      </c>
      <c r="R245" s="191"/>
      <c r="S245" s="191"/>
      <c r="T245" s="191"/>
      <c r="U245" s="191"/>
      <c r="V245" s="192"/>
      <c r="W245" s="192"/>
      <c r="X245" s="192"/>
      <c r="Y245" s="192"/>
      <c r="Z245" s="192"/>
      <c r="AA245" s="192"/>
      <c r="AB245" s="192"/>
      <c r="AC245" s="192"/>
      <c r="AD245" s="192"/>
      <c r="AE245" s="192"/>
      <c r="AF245" s="192"/>
      <c r="AG245" s="192"/>
      <c r="AH245" s="6"/>
    </row>
    <row r="246" spans="1:34" ht="16" customHeight="1">
      <c r="A246" s="7"/>
      <c r="B246" s="16">
        <f>DSUM('$REV-DB'!D35:AG374,"AMOUNT",'$REV-DSUM'!D244:AG251)</f>
        <v>15972602.6</v>
      </c>
      <c r="C246" s="12"/>
      <c r="D246" s="191"/>
      <c r="E246" s="191"/>
      <c r="F246" s="190"/>
      <c r="G246" s="191"/>
      <c r="H246" s="190"/>
      <c r="I246" s="190"/>
      <c r="J246" s="191"/>
      <c r="K246" s="191"/>
      <c r="L246" s="283" t="s">
        <v>1429</v>
      </c>
      <c r="M246" s="190"/>
      <c r="N246" s="38" t="str">
        <f t="shared" ref="N246:N251" si="23">J$6</f>
        <v>FY2010-11</v>
      </c>
      <c r="O246" s="38" t="s">
        <v>1352</v>
      </c>
      <c r="P246" s="38" t="s">
        <v>1347</v>
      </c>
      <c r="Q246" s="38" t="s">
        <v>1339</v>
      </c>
      <c r="R246" s="191"/>
      <c r="S246" s="191"/>
      <c r="T246" s="191"/>
      <c r="U246" s="191"/>
      <c r="V246" s="192"/>
      <c r="W246" s="192"/>
      <c r="X246" s="192"/>
      <c r="Y246" s="192"/>
      <c r="Z246" s="192"/>
      <c r="AA246" s="192"/>
      <c r="AB246" s="192"/>
      <c r="AC246" s="192"/>
      <c r="AD246" s="192"/>
      <c r="AE246" s="192"/>
      <c r="AF246" s="192"/>
      <c r="AG246" s="192"/>
      <c r="AH246" s="6"/>
    </row>
    <row r="247" spans="1:34" ht="16" customHeight="1">
      <c r="A247" s="7"/>
      <c r="B247" s="10"/>
      <c r="C247" s="12"/>
      <c r="D247" s="191"/>
      <c r="E247" s="191"/>
      <c r="F247" s="190"/>
      <c r="G247" s="191"/>
      <c r="H247" s="190"/>
      <c r="I247" s="190"/>
      <c r="J247" s="191"/>
      <c r="K247" s="191"/>
      <c r="L247" s="283" t="s">
        <v>1429</v>
      </c>
      <c r="M247" s="190"/>
      <c r="N247" s="38" t="str">
        <f t="shared" si="23"/>
        <v>FY2010-11</v>
      </c>
      <c r="O247" s="38" t="s">
        <v>1352</v>
      </c>
      <c r="P247" s="38" t="s">
        <v>1347</v>
      </c>
      <c r="Q247" s="38" t="s">
        <v>1339</v>
      </c>
      <c r="R247" s="191"/>
      <c r="S247" s="191"/>
      <c r="T247" s="191"/>
      <c r="U247" s="191"/>
      <c r="V247" s="192"/>
      <c r="W247" s="192"/>
      <c r="X247" s="192"/>
      <c r="Y247" s="192"/>
      <c r="Z247" s="192"/>
      <c r="AA247" s="192"/>
      <c r="AB247" s="192"/>
      <c r="AC247" s="192"/>
      <c r="AD247" s="192"/>
      <c r="AE247" s="192"/>
      <c r="AF247" s="192"/>
      <c r="AG247" s="192"/>
    </row>
    <row r="248" spans="1:34" ht="16" customHeight="1">
      <c r="A248" s="7"/>
      <c r="B248" s="10"/>
      <c r="C248" s="12"/>
      <c r="D248" s="191"/>
      <c r="E248" s="191"/>
      <c r="F248" s="190"/>
      <c r="G248" s="191"/>
      <c r="H248" s="190"/>
      <c r="I248" s="190"/>
      <c r="J248" s="191"/>
      <c r="K248" s="191"/>
      <c r="L248" s="283" t="s">
        <v>1429</v>
      </c>
      <c r="M248" s="190"/>
      <c r="N248" s="38" t="str">
        <f t="shared" si="23"/>
        <v>FY2010-11</v>
      </c>
      <c r="O248" s="38" t="s">
        <v>1352</v>
      </c>
      <c r="P248" s="38" t="s">
        <v>1347</v>
      </c>
      <c r="Q248" s="38" t="s">
        <v>1339</v>
      </c>
      <c r="R248" s="191"/>
      <c r="S248" s="191"/>
      <c r="T248" s="191"/>
      <c r="U248" s="191"/>
      <c r="V248" s="192"/>
      <c r="W248" s="192"/>
      <c r="X248" s="192"/>
      <c r="Y248" s="192"/>
      <c r="Z248" s="192"/>
      <c r="AA248" s="192"/>
      <c r="AB248" s="192"/>
      <c r="AC248" s="192"/>
      <c r="AD248" s="192"/>
      <c r="AE248" s="192"/>
      <c r="AF248" s="192"/>
      <c r="AG248" s="192"/>
    </row>
    <row r="249" spans="1:34" ht="16" customHeight="1">
      <c r="A249" s="7"/>
      <c r="B249" s="10"/>
      <c r="C249" s="12"/>
      <c r="D249" s="191"/>
      <c r="E249" s="191"/>
      <c r="F249" s="190"/>
      <c r="G249" s="191"/>
      <c r="H249" s="190"/>
      <c r="I249" s="190"/>
      <c r="J249" s="191"/>
      <c r="K249" s="191"/>
      <c r="L249" s="283" t="s">
        <v>1429</v>
      </c>
      <c r="M249" s="190"/>
      <c r="N249" s="38" t="str">
        <f t="shared" si="23"/>
        <v>FY2010-11</v>
      </c>
      <c r="O249" s="38" t="s">
        <v>1352</v>
      </c>
      <c r="P249" s="38" t="s">
        <v>1347</v>
      </c>
      <c r="Q249" s="38" t="s">
        <v>1339</v>
      </c>
      <c r="R249" s="191"/>
      <c r="S249" s="191"/>
      <c r="T249" s="191"/>
      <c r="U249" s="191"/>
      <c r="V249" s="192"/>
      <c r="W249" s="192"/>
      <c r="X249" s="192"/>
      <c r="Y249" s="192"/>
      <c r="Z249" s="192"/>
      <c r="AA249" s="192"/>
      <c r="AB249" s="192"/>
      <c r="AC249" s="192"/>
      <c r="AD249" s="192"/>
      <c r="AE249" s="192"/>
      <c r="AF249" s="192"/>
      <c r="AG249" s="192"/>
    </row>
    <row r="250" spans="1:34" ht="16" customHeight="1">
      <c r="A250" s="7"/>
      <c r="B250" s="10"/>
      <c r="C250" s="12"/>
      <c r="D250" s="191"/>
      <c r="E250" s="191"/>
      <c r="F250" s="190"/>
      <c r="G250" s="191"/>
      <c r="H250" s="190"/>
      <c r="I250" s="190"/>
      <c r="J250" s="191"/>
      <c r="K250" s="191"/>
      <c r="L250" s="283" t="s">
        <v>1429</v>
      </c>
      <c r="M250" s="190"/>
      <c r="N250" s="38" t="str">
        <f t="shared" si="23"/>
        <v>FY2010-11</v>
      </c>
      <c r="O250" s="38" t="s">
        <v>1352</v>
      </c>
      <c r="P250" s="38" t="s">
        <v>1347</v>
      </c>
      <c r="Q250" s="38" t="s">
        <v>1339</v>
      </c>
      <c r="R250" s="191"/>
      <c r="S250" s="191"/>
      <c r="T250" s="191"/>
      <c r="U250" s="191"/>
      <c r="V250" s="192"/>
      <c r="W250" s="192"/>
      <c r="X250" s="192"/>
      <c r="Y250" s="192"/>
      <c r="Z250" s="192"/>
      <c r="AA250" s="192"/>
      <c r="AB250" s="192"/>
      <c r="AC250" s="192"/>
      <c r="AD250" s="192"/>
      <c r="AE250" s="192"/>
      <c r="AF250" s="192"/>
      <c r="AG250" s="192"/>
    </row>
    <row r="251" spans="1:34" ht="16" customHeight="1">
      <c r="A251" s="7"/>
      <c r="B251" s="10"/>
      <c r="C251" s="12"/>
      <c r="D251" s="191"/>
      <c r="E251" s="191"/>
      <c r="F251" s="190"/>
      <c r="G251" s="191"/>
      <c r="H251" s="190"/>
      <c r="I251" s="190"/>
      <c r="J251" s="191"/>
      <c r="K251" s="191"/>
      <c r="L251" s="283" t="s">
        <v>1429</v>
      </c>
      <c r="M251" s="190"/>
      <c r="N251" s="38" t="str">
        <f t="shared" si="23"/>
        <v>FY2010-11</v>
      </c>
      <c r="O251" s="38" t="s">
        <v>1352</v>
      </c>
      <c r="P251" s="38" t="s">
        <v>1347</v>
      </c>
      <c r="Q251" s="38" t="s">
        <v>1339</v>
      </c>
      <c r="R251" s="191"/>
      <c r="S251" s="191"/>
      <c r="T251" s="191"/>
      <c r="U251" s="191"/>
      <c r="V251" s="192"/>
      <c r="W251" s="192"/>
      <c r="X251" s="192"/>
      <c r="Y251" s="192"/>
      <c r="Z251" s="192"/>
      <c r="AA251" s="192"/>
      <c r="AB251" s="192"/>
      <c r="AC251" s="192"/>
      <c r="AD251" s="192"/>
      <c r="AE251" s="192"/>
      <c r="AF251" s="192"/>
      <c r="AG251" s="192"/>
    </row>
    <row r="252" spans="1:34" ht="16" customHeight="1">
      <c r="A252" s="25"/>
      <c r="B252" s="26"/>
      <c r="C252" s="26"/>
      <c r="D252" s="27"/>
      <c r="E252" s="27"/>
      <c r="F252" s="28"/>
      <c r="G252" s="27"/>
      <c r="H252" s="28"/>
      <c r="I252" s="28"/>
      <c r="J252" s="27"/>
      <c r="K252" s="27"/>
      <c r="L252" s="282"/>
      <c r="M252" s="28"/>
      <c r="N252" s="28"/>
      <c r="O252" s="27"/>
      <c r="P252" s="28"/>
      <c r="Q252" s="28"/>
      <c r="R252" s="27"/>
      <c r="S252" s="27"/>
      <c r="T252" s="27"/>
      <c r="U252" s="27"/>
      <c r="V252" s="25"/>
      <c r="W252" s="25"/>
      <c r="X252" s="25"/>
      <c r="Y252" s="25"/>
      <c r="Z252" s="25"/>
      <c r="AA252" s="25"/>
      <c r="AB252" s="25"/>
      <c r="AC252" s="25"/>
      <c r="AD252" s="25"/>
      <c r="AE252" s="25"/>
      <c r="AF252" s="25"/>
      <c r="AG252" s="25"/>
    </row>
    <row r="253" spans="1:34" ht="16" customHeight="1" thickBot="1">
      <c r="A253" s="7"/>
      <c r="B253" s="19" t="str">
        <f>"FA1 = "&amp;'FIG3'!$W$52&amp;" "&amp;'FIG3'!$X$52</f>
        <v>FA1 = Little Rock School District</v>
      </c>
      <c r="C253" s="7"/>
      <c r="D253" s="8"/>
      <c r="E253" s="8"/>
      <c r="F253" s="9"/>
      <c r="G253" s="8"/>
      <c r="H253" s="9"/>
      <c r="I253" s="9"/>
      <c r="J253" s="8"/>
      <c r="K253" s="8"/>
      <c r="L253" s="280"/>
      <c r="M253" s="9"/>
      <c r="N253" s="9"/>
      <c r="O253" s="8"/>
      <c r="P253" s="9"/>
      <c r="Q253" s="9"/>
      <c r="R253" s="8"/>
      <c r="S253" s="882"/>
      <c r="T253" s="883" t="str">
        <f>'$REV-DB'!$T$34</f>
        <v>Federal Revenues</v>
      </c>
      <c r="U253" s="883" t="str">
        <f>'$REV-DB'!$U$34</f>
        <v>local Revenues</v>
      </c>
      <c r="V253" s="883" t="str">
        <f>'$REV-DB'!$V$34</f>
        <v>Other Revenues</v>
      </c>
      <c r="W253" s="883" t="str">
        <f>'$REV-DB'!$W$34</f>
        <v>State revenues</v>
      </c>
      <c r="X253" s="883" t="str">
        <f>'$REV-DB'!$X$34</f>
        <v>UD5</v>
      </c>
      <c r="Y253" s="883" t="str">
        <f>'$REV-DB'!$Y$34</f>
        <v>UD6</v>
      </c>
      <c r="Z253" s="883" t="str">
        <f>'$REV-DB'!$Z$34</f>
        <v>UD7</v>
      </c>
      <c r="AA253" s="883" t="str">
        <f>'$REV-DB'!$AA$34</f>
        <v>UD8</v>
      </c>
      <c r="AB253" s="883" t="str">
        <f>'$REV-DB'!$AB$34</f>
        <v>UD9</v>
      </c>
      <c r="AC253" s="883" t="str">
        <f>'$REV-DB'!$AC$34</f>
        <v>UD10</v>
      </c>
      <c r="AD253" s="883" t="str">
        <f>'$REV-DB'!$AD$34</f>
        <v>UD11</v>
      </c>
      <c r="AE253" s="883" t="str">
        <f>'$REV-DB'!$AE$34</f>
        <v>UD12</v>
      </c>
      <c r="AF253" s="883" t="str">
        <f>'$REV-DB'!$AF$34</f>
        <v>UD13</v>
      </c>
      <c r="AG253" s="883" t="str">
        <f>'$REV-DB'!$AG$34</f>
        <v>UD14</v>
      </c>
    </row>
    <row r="254" spans="1:34" ht="16" customHeight="1" thickTop="1" thickBot="1">
      <c r="A254" s="7"/>
      <c r="B254" s="20" t="s">
        <v>1375</v>
      </c>
      <c r="C254" s="15"/>
      <c r="D254" s="105" t="s">
        <v>1386</v>
      </c>
      <c r="E254" s="105" t="s">
        <v>1387</v>
      </c>
      <c r="F254" s="105" t="s">
        <v>1388</v>
      </c>
      <c r="G254" s="105" t="s">
        <v>1389</v>
      </c>
      <c r="H254" s="301" t="s">
        <v>1406</v>
      </c>
      <c r="I254" s="301" t="s">
        <v>1390</v>
      </c>
      <c r="J254" s="301" t="s">
        <v>1391</v>
      </c>
      <c r="K254" s="301" t="s">
        <v>1392</v>
      </c>
      <c r="L254" s="301" t="s">
        <v>1188</v>
      </c>
      <c r="M254" s="301" t="s">
        <v>1437</v>
      </c>
      <c r="N254" s="105" t="s">
        <v>1348</v>
      </c>
      <c r="O254" s="105" t="s">
        <v>1393</v>
      </c>
      <c r="P254" s="105" t="s">
        <v>1342</v>
      </c>
      <c r="Q254" s="105" t="s">
        <v>1394</v>
      </c>
      <c r="R254" s="112" t="s">
        <v>1341</v>
      </c>
      <c r="S254" s="112" t="s">
        <v>846</v>
      </c>
      <c r="T254" s="873" t="s">
        <v>935</v>
      </c>
      <c r="U254" s="873" t="s">
        <v>936</v>
      </c>
      <c r="V254" s="873" t="s">
        <v>937</v>
      </c>
      <c r="W254" s="873" t="s">
        <v>938</v>
      </c>
      <c r="X254" s="873" t="s">
        <v>939</v>
      </c>
      <c r="Y254" s="873" t="s">
        <v>940</v>
      </c>
      <c r="Z254" s="873" t="s">
        <v>941</v>
      </c>
      <c r="AA254" s="873" t="s">
        <v>942</v>
      </c>
      <c r="AB254" s="873" t="s">
        <v>943</v>
      </c>
      <c r="AC254" s="873" t="s">
        <v>944</v>
      </c>
      <c r="AD254" s="873" t="s">
        <v>945</v>
      </c>
      <c r="AE254" s="873" t="s">
        <v>946</v>
      </c>
      <c r="AF254" s="873" t="s">
        <v>947</v>
      </c>
      <c r="AG254" s="873" t="s">
        <v>948</v>
      </c>
      <c r="AH254" s="6"/>
    </row>
    <row r="255" spans="1:34" ht="16" customHeight="1" thickTop="1">
      <c r="A255" s="7"/>
      <c r="B255" s="19" t="s">
        <v>1343</v>
      </c>
      <c r="C255" s="12"/>
      <c r="D255" s="191"/>
      <c r="E255" s="191"/>
      <c r="F255" s="190"/>
      <c r="G255" s="191"/>
      <c r="H255" s="190"/>
      <c r="I255" s="190"/>
      <c r="J255" s="191"/>
      <c r="K255" s="191"/>
      <c r="L255" s="283" t="s">
        <v>1429</v>
      </c>
      <c r="M255" s="190"/>
      <c r="N255" s="38" t="str">
        <f>J$6</f>
        <v>FY2010-11</v>
      </c>
      <c r="O255" s="38" t="s">
        <v>1352</v>
      </c>
      <c r="P255" s="38" t="s">
        <v>1347</v>
      </c>
      <c r="Q255" s="38" t="s">
        <v>1379</v>
      </c>
      <c r="R255" s="191"/>
      <c r="S255" s="191"/>
      <c r="T255" s="191"/>
      <c r="U255" s="191"/>
      <c r="V255" s="192"/>
      <c r="W255" s="192"/>
      <c r="X255" s="192"/>
      <c r="Y255" s="192"/>
      <c r="Z255" s="192"/>
      <c r="AA255" s="192"/>
      <c r="AB255" s="192"/>
      <c r="AC255" s="192"/>
      <c r="AD255" s="192"/>
      <c r="AE255" s="192"/>
      <c r="AF255" s="192"/>
      <c r="AG255" s="192"/>
      <c r="AH255" s="6"/>
    </row>
    <row r="256" spans="1:34" ht="16" customHeight="1">
      <c r="A256" s="7"/>
      <c r="B256" s="16">
        <f>DSUM('$REV-DB'!D35:AG374,"AMOUNT",'$REV-DSUM'!D254:AG261)</f>
        <v>0</v>
      </c>
      <c r="C256" s="12"/>
      <c r="D256" s="191"/>
      <c r="E256" s="191"/>
      <c r="F256" s="190"/>
      <c r="G256" s="191"/>
      <c r="H256" s="190"/>
      <c r="I256" s="190"/>
      <c r="J256" s="191"/>
      <c r="K256" s="191"/>
      <c r="L256" s="283" t="s">
        <v>1429</v>
      </c>
      <c r="M256" s="190"/>
      <c r="N256" s="38" t="str">
        <f t="shared" ref="N256:N261" si="24">J$6</f>
        <v>FY2010-11</v>
      </c>
      <c r="O256" s="38" t="s">
        <v>1352</v>
      </c>
      <c r="P256" s="38" t="s">
        <v>1347</v>
      </c>
      <c r="Q256" s="38" t="s">
        <v>1379</v>
      </c>
      <c r="R256" s="191"/>
      <c r="S256" s="191"/>
      <c r="T256" s="191"/>
      <c r="U256" s="191"/>
      <c r="V256" s="192"/>
      <c r="W256" s="192"/>
      <c r="X256" s="192"/>
      <c r="Y256" s="192"/>
      <c r="Z256" s="192"/>
      <c r="AA256" s="192"/>
      <c r="AB256" s="192"/>
      <c r="AC256" s="192"/>
      <c r="AD256" s="192"/>
      <c r="AE256" s="192"/>
      <c r="AF256" s="192"/>
      <c r="AG256" s="192"/>
      <c r="AH256" s="6"/>
    </row>
    <row r="257" spans="1:34" ht="16" customHeight="1">
      <c r="A257" s="7"/>
      <c r="B257" s="10"/>
      <c r="C257" s="12"/>
      <c r="D257" s="191"/>
      <c r="E257" s="191"/>
      <c r="F257" s="190"/>
      <c r="G257" s="191"/>
      <c r="H257" s="190"/>
      <c r="I257" s="190"/>
      <c r="J257" s="191"/>
      <c r="K257" s="191"/>
      <c r="L257" s="283" t="s">
        <v>1429</v>
      </c>
      <c r="M257" s="190"/>
      <c r="N257" s="38" t="str">
        <f t="shared" si="24"/>
        <v>FY2010-11</v>
      </c>
      <c r="O257" s="38" t="s">
        <v>1352</v>
      </c>
      <c r="P257" s="38" t="s">
        <v>1347</v>
      </c>
      <c r="Q257" s="38" t="s">
        <v>1379</v>
      </c>
      <c r="R257" s="191"/>
      <c r="S257" s="191"/>
      <c r="T257" s="191"/>
      <c r="U257" s="191"/>
      <c r="V257" s="192"/>
      <c r="W257" s="192"/>
      <c r="X257" s="192"/>
      <c r="Y257" s="192"/>
      <c r="Z257" s="192"/>
      <c r="AA257" s="192"/>
      <c r="AB257" s="192"/>
      <c r="AC257" s="192"/>
      <c r="AD257" s="192"/>
      <c r="AE257" s="192"/>
      <c r="AF257" s="192"/>
      <c r="AG257" s="192"/>
    </row>
    <row r="258" spans="1:34" ht="16" customHeight="1">
      <c r="A258" s="7"/>
      <c r="B258" s="10"/>
      <c r="C258" s="12"/>
      <c r="D258" s="191"/>
      <c r="E258" s="191"/>
      <c r="F258" s="190"/>
      <c r="G258" s="191"/>
      <c r="H258" s="190"/>
      <c r="I258" s="190"/>
      <c r="J258" s="191"/>
      <c r="K258" s="191"/>
      <c r="L258" s="283" t="s">
        <v>1429</v>
      </c>
      <c r="M258" s="190"/>
      <c r="N258" s="38" t="str">
        <f t="shared" si="24"/>
        <v>FY2010-11</v>
      </c>
      <c r="O258" s="38" t="s">
        <v>1352</v>
      </c>
      <c r="P258" s="38" t="s">
        <v>1347</v>
      </c>
      <c r="Q258" s="38" t="s">
        <v>1379</v>
      </c>
      <c r="R258" s="191"/>
      <c r="S258" s="191"/>
      <c r="T258" s="191"/>
      <c r="U258" s="191"/>
      <c r="V258" s="192"/>
      <c r="W258" s="192"/>
      <c r="X258" s="192"/>
      <c r="Y258" s="192"/>
      <c r="Z258" s="192"/>
      <c r="AA258" s="192"/>
      <c r="AB258" s="192"/>
      <c r="AC258" s="192"/>
      <c r="AD258" s="192"/>
      <c r="AE258" s="192"/>
      <c r="AF258" s="192"/>
      <c r="AG258" s="192"/>
    </row>
    <row r="259" spans="1:34" ht="16" customHeight="1">
      <c r="A259" s="7"/>
      <c r="B259" s="10"/>
      <c r="C259" s="12"/>
      <c r="D259" s="191"/>
      <c r="E259" s="191"/>
      <c r="F259" s="190"/>
      <c r="G259" s="191"/>
      <c r="H259" s="190"/>
      <c r="I259" s="190"/>
      <c r="J259" s="191"/>
      <c r="K259" s="191"/>
      <c r="L259" s="283" t="s">
        <v>1429</v>
      </c>
      <c r="M259" s="190"/>
      <c r="N259" s="38" t="str">
        <f t="shared" si="24"/>
        <v>FY2010-11</v>
      </c>
      <c r="O259" s="38" t="s">
        <v>1352</v>
      </c>
      <c r="P259" s="38" t="s">
        <v>1347</v>
      </c>
      <c r="Q259" s="38" t="s">
        <v>1379</v>
      </c>
      <c r="R259" s="191"/>
      <c r="S259" s="191"/>
      <c r="T259" s="191"/>
      <c r="U259" s="191"/>
      <c r="V259" s="192"/>
      <c r="W259" s="192"/>
      <c r="X259" s="192"/>
      <c r="Y259" s="192"/>
      <c r="Z259" s="192"/>
      <c r="AA259" s="192"/>
      <c r="AB259" s="192"/>
      <c r="AC259" s="192"/>
      <c r="AD259" s="192"/>
      <c r="AE259" s="192"/>
      <c r="AF259" s="192"/>
      <c r="AG259" s="192"/>
    </row>
    <row r="260" spans="1:34" ht="16" customHeight="1">
      <c r="A260" s="7"/>
      <c r="B260" s="10"/>
      <c r="C260" s="12"/>
      <c r="D260" s="191"/>
      <c r="E260" s="191"/>
      <c r="F260" s="190"/>
      <c r="G260" s="191"/>
      <c r="H260" s="190"/>
      <c r="I260" s="190"/>
      <c r="J260" s="191"/>
      <c r="K260" s="191"/>
      <c r="L260" s="283" t="s">
        <v>1429</v>
      </c>
      <c r="M260" s="190"/>
      <c r="N260" s="38" t="str">
        <f t="shared" si="24"/>
        <v>FY2010-11</v>
      </c>
      <c r="O260" s="38" t="s">
        <v>1352</v>
      </c>
      <c r="P260" s="38" t="s">
        <v>1347</v>
      </c>
      <c r="Q260" s="38" t="s">
        <v>1379</v>
      </c>
      <c r="R260" s="191"/>
      <c r="S260" s="191"/>
      <c r="T260" s="191"/>
      <c r="U260" s="191"/>
      <c r="V260" s="192"/>
      <c r="W260" s="192"/>
      <c r="X260" s="192"/>
      <c r="Y260" s="192"/>
      <c r="Z260" s="192"/>
      <c r="AA260" s="192"/>
      <c r="AB260" s="192"/>
      <c r="AC260" s="192"/>
      <c r="AD260" s="192"/>
      <c r="AE260" s="192"/>
      <c r="AF260" s="192"/>
      <c r="AG260" s="192"/>
    </row>
    <row r="261" spans="1:34" ht="16" customHeight="1">
      <c r="A261" s="7"/>
      <c r="B261" s="10"/>
      <c r="C261" s="12"/>
      <c r="D261" s="191"/>
      <c r="E261" s="191"/>
      <c r="F261" s="190"/>
      <c r="G261" s="191"/>
      <c r="H261" s="190"/>
      <c r="I261" s="190"/>
      <c r="J261" s="191"/>
      <c r="K261" s="191"/>
      <c r="L261" s="283" t="s">
        <v>1429</v>
      </c>
      <c r="M261" s="190"/>
      <c r="N261" s="38" t="str">
        <f t="shared" si="24"/>
        <v>FY2010-11</v>
      </c>
      <c r="O261" s="38" t="s">
        <v>1352</v>
      </c>
      <c r="P261" s="38" t="s">
        <v>1347</v>
      </c>
      <c r="Q261" s="38" t="s">
        <v>1379</v>
      </c>
      <c r="R261" s="191"/>
      <c r="S261" s="191"/>
      <c r="T261" s="191"/>
      <c r="U261" s="191"/>
      <c r="V261" s="192"/>
      <c r="W261" s="192"/>
      <c r="X261" s="192"/>
      <c r="Y261" s="192"/>
      <c r="Z261" s="192"/>
      <c r="AA261" s="192"/>
      <c r="AB261" s="192"/>
      <c r="AC261" s="192"/>
      <c r="AD261" s="192"/>
      <c r="AE261" s="192"/>
      <c r="AF261" s="192"/>
      <c r="AG261" s="192"/>
    </row>
    <row r="262" spans="1:34" ht="16" customHeight="1">
      <c r="A262" s="25"/>
      <c r="B262" s="26"/>
      <c r="C262" s="26"/>
      <c r="D262" s="27"/>
      <c r="E262" s="27"/>
      <c r="F262" s="28"/>
      <c r="G262" s="27"/>
      <c r="H262" s="28"/>
      <c r="I262" s="28"/>
      <c r="J262" s="27"/>
      <c r="K262" s="27"/>
      <c r="L262" s="282"/>
      <c r="M262" s="28"/>
      <c r="N262" s="28"/>
      <c r="O262" s="27"/>
      <c r="P262" s="28"/>
      <c r="Q262" s="28"/>
      <c r="R262" s="27"/>
      <c r="S262" s="27"/>
      <c r="T262" s="27"/>
      <c r="U262" s="27"/>
      <c r="V262" s="25"/>
      <c r="W262" s="25"/>
      <c r="X262" s="25"/>
      <c r="Y262" s="25"/>
      <c r="Z262" s="25"/>
      <c r="AA262" s="25"/>
      <c r="AB262" s="25"/>
      <c r="AC262" s="25"/>
      <c r="AD262" s="25"/>
      <c r="AE262" s="25"/>
      <c r="AF262" s="25"/>
      <c r="AG262" s="25"/>
    </row>
    <row r="263" spans="1:34" ht="16" customHeight="1" thickBot="1">
      <c r="A263" s="7"/>
      <c r="B263" s="19" t="str">
        <f>"FA1 = "&amp;'FIG3'!$W$52&amp;" "&amp;'FIG3'!$X$52</f>
        <v>FA1 = Little Rock School District</v>
      </c>
      <c r="C263" s="7"/>
      <c r="D263" s="8"/>
      <c r="E263" s="8"/>
      <c r="F263" s="9"/>
      <c r="G263" s="8"/>
      <c r="H263" s="9"/>
      <c r="I263" s="9"/>
      <c r="J263" s="8"/>
      <c r="K263" s="8"/>
      <c r="L263" s="280"/>
      <c r="M263" s="9"/>
      <c r="N263" s="9"/>
      <c r="O263" s="8"/>
      <c r="P263" s="9"/>
      <c r="Q263" s="9"/>
      <c r="R263" s="8"/>
      <c r="S263" s="882"/>
      <c r="T263" s="883" t="str">
        <f>'$REV-DB'!$T$34</f>
        <v>Federal Revenues</v>
      </c>
      <c r="U263" s="883" t="str">
        <f>'$REV-DB'!$U$34</f>
        <v>local Revenues</v>
      </c>
      <c r="V263" s="883" t="str">
        <f>'$REV-DB'!$V$34</f>
        <v>Other Revenues</v>
      </c>
      <c r="W263" s="883" t="str">
        <f>'$REV-DB'!$W$34</f>
        <v>State revenues</v>
      </c>
      <c r="X263" s="883" t="str">
        <f>'$REV-DB'!$X$34</f>
        <v>UD5</v>
      </c>
      <c r="Y263" s="883" t="str">
        <f>'$REV-DB'!$Y$34</f>
        <v>UD6</v>
      </c>
      <c r="Z263" s="883" t="str">
        <f>'$REV-DB'!$Z$34</f>
        <v>UD7</v>
      </c>
      <c r="AA263" s="883" t="str">
        <f>'$REV-DB'!$AA$34</f>
        <v>UD8</v>
      </c>
      <c r="AB263" s="883" t="str">
        <f>'$REV-DB'!$AB$34</f>
        <v>UD9</v>
      </c>
      <c r="AC263" s="883" t="str">
        <f>'$REV-DB'!$AC$34</f>
        <v>UD10</v>
      </c>
      <c r="AD263" s="883" t="str">
        <f>'$REV-DB'!$AD$34</f>
        <v>UD11</v>
      </c>
      <c r="AE263" s="883" t="str">
        <f>'$REV-DB'!$AE$34</f>
        <v>UD12</v>
      </c>
      <c r="AF263" s="883" t="str">
        <f>'$REV-DB'!$AF$34</f>
        <v>UD13</v>
      </c>
      <c r="AG263" s="883" t="str">
        <f>'$REV-DB'!$AG$34</f>
        <v>UD14</v>
      </c>
    </row>
    <row r="264" spans="1:34" ht="16" customHeight="1" thickTop="1" thickBot="1">
      <c r="A264" s="7"/>
      <c r="B264" s="20" t="s">
        <v>1375</v>
      </c>
      <c r="C264" s="15"/>
      <c r="D264" s="105" t="s">
        <v>1386</v>
      </c>
      <c r="E264" s="105" t="s">
        <v>1387</v>
      </c>
      <c r="F264" s="105" t="s">
        <v>1388</v>
      </c>
      <c r="G264" s="105" t="s">
        <v>1389</v>
      </c>
      <c r="H264" s="301" t="s">
        <v>1406</v>
      </c>
      <c r="I264" s="301" t="s">
        <v>1390</v>
      </c>
      <c r="J264" s="301" t="s">
        <v>1391</v>
      </c>
      <c r="K264" s="301" t="s">
        <v>1392</v>
      </c>
      <c r="L264" s="301" t="s">
        <v>1188</v>
      </c>
      <c r="M264" s="301" t="s">
        <v>1437</v>
      </c>
      <c r="N264" s="105" t="s">
        <v>1348</v>
      </c>
      <c r="O264" s="105" t="s">
        <v>1393</v>
      </c>
      <c r="P264" s="105" t="s">
        <v>1342</v>
      </c>
      <c r="Q264" s="105" t="s">
        <v>1394</v>
      </c>
      <c r="R264" s="112" t="s">
        <v>1341</v>
      </c>
      <c r="S264" s="112" t="s">
        <v>846</v>
      </c>
      <c r="T264" s="873" t="s">
        <v>935</v>
      </c>
      <c r="U264" s="873" t="s">
        <v>936</v>
      </c>
      <c r="V264" s="873" t="s">
        <v>937</v>
      </c>
      <c r="W264" s="873" t="s">
        <v>938</v>
      </c>
      <c r="X264" s="873" t="s">
        <v>939</v>
      </c>
      <c r="Y264" s="873" t="s">
        <v>940</v>
      </c>
      <c r="Z264" s="873" t="s">
        <v>941</v>
      </c>
      <c r="AA264" s="873" t="s">
        <v>942</v>
      </c>
      <c r="AB264" s="873" t="s">
        <v>943</v>
      </c>
      <c r="AC264" s="873" t="s">
        <v>944</v>
      </c>
      <c r="AD264" s="873" t="s">
        <v>945</v>
      </c>
      <c r="AE264" s="873" t="s">
        <v>946</v>
      </c>
      <c r="AF264" s="873" t="s">
        <v>947</v>
      </c>
      <c r="AG264" s="873" t="s">
        <v>948</v>
      </c>
      <c r="AH264" s="6"/>
    </row>
    <row r="265" spans="1:34" ht="16" customHeight="1" thickTop="1">
      <c r="A265" s="7"/>
      <c r="B265" s="19" t="s">
        <v>1349</v>
      </c>
      <c r="C265" s="12"/>
      <c r="D265" s="191"/>
      <c r="E265" s="191"/>
      <c r="F265" s="190"/>
      <c r="G265" s="191"/>
      <c r="H265" s="190"/>
      <c r="I265" s="190"/>
      <c r="J265" s="191"/>
      <c r="K265" s="191"/>
      <c r="L265" s="283" t="s">
        <v>1429</v>
      </c>
      <c r="M265" s="190"/>
      <c r="N265" s="38" t="str">
        <f>J$6</f>
        <v>FY2010-11</v>
      </c>
      <c r="O265" s="38" t="s">
        <v>1352</v>
      </c>
      <c r="P265" s="38" t="s">
        <v>1347</v>
      </c>
      <c r="Q265" s="38" t="s">
        <v>1397</v>
      </c>
      <c r="R265" s="191"/>
      <c r="S265" s="191"/>
      <c r="T265" s="191"/>
      <c r="U265" s="191"/>
      <c r="V265" s="192"/>
      <c r="W265" s="192"/>
      <c r="X265" s="192"/>
      <c r="Y265" s="192"/>
      <c r="Z265" s="192"/>
      <c r="AA265" s="192"/>
      <c r="AB265" s="192"/>
      <c r="AC265" s="192"/>
      <c r="AD265" s="192"/>
      <c r="AE265" s="192"/>
      <c r="AF265" s="192"/>
      <c r="AG265" s="192"/>
      <c r="AH265" s="6"/>
    </row>
    <row r="266" spans="1:34" ht="16" customHeight="1">
      <c r="A266" s="7"/>
      <c r="B266" s="16">
        <f>DSUM('$REV-DB'!D35:AG374,"AMOUNT",'$REV-DSUM'!D264:AG271)</f>
        <v>1867356.88</v>
      </c>
      <c r="C266" s="12"/>
      <c r="D266" s="191"/>
      <c r="E266" s="191"/>
      <c r="F266" s="190"/>
      <c r="G266" s="191"/>
      <c r="H266" s="190"/>
      <c r="I266" s="190"/>
      <c r="J266" s="191"/>
      <c r="K266" s="191"/>
      <c r="L266" s="283" t="s">
        <v>1429</v>
      </c>
      <c r="M266" s="190"/>
      <c r="N266" s="38" t="str">
        <f t="shared" ref="N266:N271" si="25">J$6</f>
        <v>FY2010-11</v>
      </c>
      <c r="O266" s="38" t="s">
        <v>1352</v>
      </c>
      <c r="P266" s="38" t="s">
        <v>1347</v>
      </c>
      <c r="Q266" s="38" t="s">
        <v>1397</v>
      </c>
      <c r="R266" s="191"/>
      <c r="S266" s="191"/>
      <c r="T266" s="191"/>
      <c r="U266" s="191"/>
      <c r="V266" s="192"/>
      <c r="W266" s="192"/>
      <c r="X266" s="192"/>
      <c r="Y266" s="192"/>
      <c r="Z266" s="192"/>
      <c r="AA266" s="192"/>
      <c r="AB266" s="192"/>
      <c r="AC266" s="192"/>
      <c r="AD266" s="192"/>
      <c r="AE266" s="192"/>
      <c r="AF266" s="192"/>
      <c r="AG266" s="192"/>
      <c r="AH266" s="6"/>
    </row>
    <row r="267" spans="1:34" ht="16" customHeight="1">
      <c r="A267" s="7"/>
      <c r="B267" s="10"/>
      <c r="C267" s="12"/>
      <c r="D267" s="191"/>
      <c r="E267" s="191"/>
      <c r="F267" s="190"/>
      <c r="G267" s="191"/>
      <c r="H267" s="190"/>
      <c r="I267" s="190"/>
      <c r="J267" s="191"/>
      <c r="K267" s="191"/>
      <c r="L267" s="283" t="s">
        <v>1429</v>
      </c>
      <c r="M267" s="190"/>
      <c r="N267" s="38" t="str">
        <f t="shared" si="25"/>
        <v>FY2010-11</v>
      </c>
      <c r="O267" s="38" t="s">
        <v>1352</v>
      </c>
      <c r="P267" s="38" t="s">
        <v>1347</v>
      </c>
      <c r="Q267" s="38" t="s">
        <v>1397</v>
      </c>
      <c r="R267" s="191"/>
      <c r="S267" s="191"/>
      <c r="T267" s="191"/>
      <c r="U267" s="191"/>
      <c r="V267" s="192"/>
      <c r="W267" s="192"/>
      <c r="X267" s="192"/>
      <c r="Y267" s="192"/>
      <c r="Z267" s="192"/>
      <c r="AA267" s="192"/>
      <c r="AB267" s="192"/>
      <c r="AC267" s="192"/>
      <c r="AD267" s="192"/>
      <c r="AE267" s="192"/>
      <c r="AF267" s="192"/>
      <c r="AG267" s="192"/>
    </row>
    <row r="268" spans="1:34" ht="16" customHeight="1">
      <c r="A268" s="7"/>
      <c r="B268" s="10"/>
      <c r="C268" s="12"/>
      <c r="D268" s="191"/>
      <c r="E268" s="191"/>
      <c r="F268" s="190"/>
      <c r="G268" s="191"/>
      <c r="H268" s="190"/>
      <c r="I268" s="190"/>
      <c r="J268" s="191"/>
      <c r="K268" s="191"/>
      <c r="L268" s="283" t="s">
        <v>1429</v>
      </c>
      <c r="M268" s="190"/>
      <c r="N268" s="38" t="str">
        <f t="shared" si="25"/>
        <v>FY2010-11</v>
      </c>
      <c r="O268" s="38" t="s">
        <v>1352</v>
      </c>
      <c r="P268" s="38" t="s">
        <v>1347</v>
      </c>
      <c r="Q268" s="38" t="s">
        <v>1397</v>
      </c>
      <c r="R268" s="191"/>
      <c r="S268" s="191"/>
      <c r="T268" s="191"/>
      <c r="U268" s="191"/>
      <c r="V268" s="192"/>
      <c r="W268" s="192"/>
      <c r="X268" s="192"/>
      <c r="Y268" s="192"/>
      <c r="Z268" s="192"/>
      <c r="AA268" s="192"/>
      <c r="AB268" s="192"/>
      <c r="AC268" s="192"/>
      <c r="AD268" s="192"/>
      <c r="AE268" s="192"/>
      <c r="AF268" s="192"/>
      <c r="AG268" s="192"/>
    </row>
    <row r="269" spans="1:34" ht="16" customHeight="1">
      <c r="A269" s="7"/>
      <c r="B269" s="10"/>
      <c r="C269" s="12"/>
      <c r="D269" s="191"/>
      <c r="E269" s="191"/>
      <c r="F269" s="190"/>
      <c r="G269" s="191"/>
      <c r="H269" s="190"/>
      <c r="I269" s="190"/>
      <c r="J269" s="191"/>
      <c r="K269" s="191"/>
      <c r="L269" s="283" t="s">
        <v>1429</v>
      </c>
      <c r="M269" s="190"/>
      <c r="N269" s="38" t="str">
        <f t="shared" si="25"/>
        <v>FY2010-11</v>
      </c>
      <c r="O269" s="38" t="s">
        <v>1352</v>
      </c>
      <c r="P269" s="38" t="s">
        <v>1347</v>
      </c>
      <c r="Q269" s="38" t="s">
        <v>1397</v>
      </c>
      <c r="R269" s="191"/>
      <c r="S269" s="191"/>
      <c r="T269" s="191"/>
      <c r="U269" s="191"/>
      <c r="V269" s="192"/>
      <c r="W269" s="192"/>
      <c r="X269" s="192"/>
      <c r="Y269" s="192"/>
      <c r="Z269" s="192"/>
      <c r="AA269" s="192"/>
      <c r="AB269" s="192"/>
      <c r="AC269" s="192"/>
      <c r="AD269" s="192"/>
      <c r="AE269" s="192"/>
      <c r="AF269" s="192"/>
      <c r="AG269" s="192"/>
    </row>
    <row r="270" spans="1:34" ht="16" customHeight="1">
      <c r="A270" s="7"/>
      <c r="B270" s="10"/>
      <c r="C270" s="12"/>
      <c r="D270" s="191"/>
      <c r="E270" s="191"/>
      <c r="F270" s="190"/>
      <c r="G270" s="191"/>
      <c r="H270" s="190"/>
      <c r="I270" s="190"/>
      <c r="J270" s="191"/>
      <c r="K270" s="191"/>
      <c r="L270" s="283" t="s">
        <v>1429</v>
      </c>
      <c r="M270" s="190"/>
      <c r="N270" s="38" t="str">
        <f t="shared" si="25"/>
        <v>FY2010-11</v>
      </c>
      <c r="O270" s="38" t="s">
        <v>1352</v>
      </c>
      <c r="P270" s="38" t="s">
        <v>1347</v>
      </c>
      <c r="Q270" s="38" t="s">
        <v>1397</v>
      </c>
      <c r="R270" s="191"/>
      <c r="S270" s="191"/>
      <c r="T270" s="191"/>
      <c r="U270" s="191"/>
      <c r="V270" s="192"/>
      <c r="W270" s="192"/>
      <c r="X270" s="192"/>
      <c r="Y270" s="192"/>
      <c r="Z270" s="192"/>
      <c r="AA270" s="192"/>
      <c r="AB270" s="192"/>
      <c r="AC270" s="192"/>
      <c r="AD270" s="192"/>
      <c r="AE270" s="192"/>
      <c r="AF270" s="192"/>
      <c r="AG270" s="192"/>
    </row>
    <row r="271" spans="1:34" ht="16" customHeight="1">
      <c r="A271" s="7"/>
      <c r="B271" s="10"/>
      <c r="C271" s="12"/>
      <c r="D271" s="191"/>
      <c r="E271" s="191"/>
      <c r="F271" s="190"/>
      <c r="G271" s="191"/>
      <c r="H271" s="190"/>
      <c r="I271" s="190"/>
      <c r="J271" s="191"/>
      <c r="K271" s="191"/>
      <c r="L271" s="283" t="s">
        <v>1429</v>
      </c>
      <c r="M271" s="190"/>
      <c r="N271" s="38" t="str">
        <f t="shared" si="25"/>
        <v>FY2010-11</v>
      </c>
      <c r="O271" s="38" t="s">
        <v>1352</v>
      </c>
      <c r="P271" s="38" t="s">
        <v>1347</v>
      </c>
      <c r="Q271" s="38" t="s">
        <v>1397</v>
      </c>
      <c r="R271" s="191"/>
      <c r="S271" s="191"/>
      <c r="T271" s="191"/>
      <c r="U271" s="191"/>
      <c r="V271" s="192"/>
      <c r="W271" s="192"/>
      <c r="X271" s="192"/>
      <c r="Y271" s="192"/>
      <c r="Z271" s="192"/>
      <c r="AA271" s="192"/>
      <c r="AB271" s="192"/>
      <c r="AC271" s="192"/>
      <c r="AD271" s="192"/>
      <c r="AE271" s="192"/>
      <c r="AF271" s="192"/>
      <c r="AG271" s="192"/>
    </row>
    <row r="272" spans="1:34" ht="16" customHeight="1">
      <c r="A272" s="25"/>
      <c r="B272" s="26"/>
      <c r="C272" s="26"/>
      <c r="D272" s="27"/>
      <c r="E272" s="27"/>
      <c r="F272" s="28"/>
      <c r="G272" s="27"/>
      <c r="H272" s="28"/>
      <c r="I272" s="28"/>
      <c r="J272" s="27"/>
      <c r="K272" s="27"/>
      <c r="L272" s="282"/>
      <c r="M272" s="28"/>
      <c r="N272" s="28"/>
      <c r="O272" s="27"/>
      <c r="P272" s="28"/>
      <c r="Q272" s="28"/>
      <c r="R272" s="27"/>
      <c r="S272" s="27"/>
      <c r="T272" s="27"/>
      <c r="U272" s="27"/>
      <c r="V272" s="25"/>
      <c r="W272" s="25"/>
      <c r="X272" s="25"/>
      <c r="Y272" s="25"/>
      <c r="Z272" s="25"/>
      <c r="AA272" s="25"/>
      <c r="AB272" s="25"/>
      <c r="AC272" s="25"/>
      <c r="AD272" s="25"/>
      <c r="AE272" s="25"/>
      <c r="AF272" s="25"/>
      <c r="AG272" s="25"/>
    </row>
    <row r="273" spans="1:34" ht="16" customHeight="1" thickBot="1">
      <c r="A273" s="7"/>
      <c r="B273" s="19" t="str">
        <f>"FA1 = "&amp;'FIG3'!$W$52&amp;" "&amp;'FIG3'!$X$52</f>
        <v>FA1 = Little Rock School District</v>
      </c>
      <c r="C273" s="7"/>
      <c r="D273" s="8"/>
      <c r="E273" s="8"/>
      <c r="F273" s="9"/>
      <c r="G273" s="8"/>
      <c r="H273" s="9"/>
      <c r="I273" s="9"/>
      <c r="J273" s="8"/>
      <c r="K273" s="8"/>
      <c r="L273" s="280"/>
      <c r="M273" s="9"/>
      <c r="N273" s="9"/>
      <c r="O273" s="8"/>
      <c r="P273" s="9"/>
      <c r="Q273" s="9"/>
      <c r="R273" s="8"/>
      <c r="S273" s="882"/>
      <c r="T273" s="883" t="str">
        <f>'$REV-DB'!$T$34</f>
        <v>Federal Revenues</v>
      </c>
      <c r="U273" s="883" t="str">
        <f>'$REV-DB'!$U$34</f>
        <v>local Revenues</v>
      </c>
      <c r="V273" s="883" t="str">
        <f>'$REV-DB'!$V$34</f>
        <v>Other Revenues</v>
      </c>
      <c r="W273" s="883" t="str">
        <f>'$REV-DB'!$W$34</f>
        <v>State revenues</v>
      </c>
      <c r="X273" s="883" t="str">
        <f>'$REV-DB'!$X$34</f>
        <v>UD5</v>
      </c>
      <c r="Y273" s="883" t="str">
        <f>'$REV-DB'!$Y$34</f>
        <v>UD6</v>
      </c>
      <c r="Z273" s="883" t="str">
        <f>'$REV-DB'!$Z$34</f>
        <v>UD7</v>
      </c>
      <c r="AA273" s="883" t="str">
        <f>'$REV-DB'!$AA$34</f>
        <v>UD8</v>
      </c>
      <c r="AB273" s="883" t="str">
        <f>'$REV-DB'!$AB$34</f>
        <v>UD9</v>
      </c>
      <c r="AC273" s="883" t="str">
        <f>'$REV-DB'!$AC$34</f>
        <v>UD10</v>
      </c>
      <c r="AD273" s="883" t="str">
        <f>'$REV-DB'!$AD$34</f>
        <v>UD11</v>
      </c>
      <c r="AE273" s="883" t="str">
        <f>'$REV-DB'!$AE$34</f>
        <v>UD12</v>
      </c>
      <c r="AF273" s="883" t="str">
        <f>'$REV-DB'!$AF$34</f>
        <v>UD13</v>
      </c>
      <c r="AG273" s="883" t="str">
        <f>'$REV-DB'!$AG$34</f>
        <v>UD14</v>
      </c>
    </row>
    <row r="274" spans="1:34" ht="16" customHeight="1" thickTop="1" thickBot="1">
      <c r="A274" s="7"/>
      <c r="B274" s="20" t="s">
        <v>1375</v>
      </c>
      <c r="C274" s="15"/>
      <c r="D274" s="276" t="s">
        <v>1386</v>
      </c>
      <c r="E274" s="276" t="s">
        <v>1387</v>
      </c>
      <c r="F274" s="276" t="s">
        <v>1388</v>
      </c>
      <c r="G274" s="276" t="s">
        <v>1389</v>
      </c>
      <c r="H274" s="301" t="s">
        <v>1406</v>
      </c>
      <c r="I274" s="301" t="s">
        <v>1390</v>
      </c>
      <c r="J274" s="301" t="s">
        <v>1391</v>
      </c>
      <c r="K274" s="301" t="s">
        <v>1392</v>
      </c>
      <c r="L274" s="301" t="s">
        <v>1188</v>
      </c>
      <c r="M274" s="301" t="s">
        <v>1437</v>
      </c>
      <c r="N274" s="276" t="s">
        <v>1348</v>
      </c>
      <c r="O274" s="276" t="s">
        <v>1393</v>
      </c>
      <c r="P274" s="276" t="s">
        <v>1342</v>
      </c>
      <c r="Q274" s="276" t="s">
        <v>1394</v>
      </c>
      <c r="R274" s="112" t="s">
        <v>1341</v>
      </c>
      <c r="S274" s="112" t="s">
        <v>846</v>
      </c>
      <c r="T274" s="873" t="s">
        <v>935</v>
      </c>
      <c r="U274" s="873" t="s">
        <v>936</v>
      </c>
      <c r="V274" s="873" t="s">
        <v>937</v>
      </c>
      <c r="W274" s="873" t="s">
        <v>938</v>
      </c>
      <c r="X274" s="873" t="s">
        <v>939</v>
      </c>
      <c r="Y274" s="873" t="s">
        <v>940</v>
      </c>
      <c r="Z274" s="873" t="s">
        <v>941</v>
      </c>
      <c r="AA274" s="873" t="s">
        <v>942</v>
      </c>
      <c r="AB274" s="873" t="s">
        <v>943</v>
      </c>
      <c r="AC274" s="873" t="s">
        <v>944</v>
      </c>
      <c r="AD274" s="873" t="s">
        <v>945</v>
      </c>
      <c r="AE274" s="873" t="s">
        <v>946</v>
      </c>
      <c r="AF274" s="873" t="s">
        <v>947</v>
      </c>
      <c r="AG274" s="873" t="s">
        <v>948</v>
      </c>
      <c r="AH274" s="6"/>
    </row>
    <row r="275" spans="1:34" ht="16" customHeight="1" thickTop="1">
      <c r="A275" s="7"/>
      <c r="B275" s="19" t="s">
        <v>1178</v>
      </c>
      <c r="C275" s="12"/>
      <c r="D275" s="191"/>
      <c r="E275" s="191"/>
      <c r="F275" s="190"/>
      <c r="G275" s="191"/>
      <c r="H275" s="190"/>
      <c r="I275" s="190"/>
      <c r="J275" s="191"/>
      <c r="K275" s="191"/>
      <c r="L275" s="283" t="s">
        <v>1429</v>
      </c>
      <c r="M275" s="190"/>
      <c r="N275" s="38" t="str">
        <f>J$6</f>
        <v>FY2010-11</v>
      </c>
      <c r="O275" s="38" t="s">
        <v>1352</v>
      </c>
      <c r="P275" s="38" t="s">
        <v>1347</v>
      </c>
      <c r="Q275" s="38" t="s">
        <v>1465</v>
      </c>
      <c r="R275" s="191"/>
      <c r="S275" s="191"/>
      <c r="T275" s="191"/>
      <c r="U275" s="191"/>
      <c r="V275" s="192"/>
      <c r="W275" s="192"/>
      <c r="X275" s="192"/>
      <c r="Y275" s="192"/>
      <c r="Z275" s="192"/>
      <c r="AA275" s="192"/>
      <c r="AB275" s="192"/>
      <c r="AC275" s="192"/>
      <c r="AD275" s="192"/>
      <c r="AE275" s="192"/>
      <c r="AF275" s="192"/>
      <c r="AG275" s="192"/>
      <c r="AH275" s="6"/>
    </row>
    <row r="276" spans="1:34" ht="16" customHeight="1">
      <c r="A276" s="7"/>
      <c r="B276" s="16">
        <f>DSUM('$REV-DB'!D35:AG374,"AMOUNT",'$REV-DSUM'!D274:AG281)</f>
        <v>0</v>
      </c>
      <c r="C276" s="12"/>
      <c r="D276" s="191"/>
      <c r="E276" s="191"/>
      <c r="F276" s="190"/>
      <c r="G276" s="191"/>
      <c r="H276" s="190"/>
      <c r="I276" s="190"/>
      <c r="J276" s="191"/>
      <c r="K276" s="191"/>
      <c r="L276" s="283" t="s">
        <v>1429</v>
      </c>
      <c r="M276" s="190"/>
      <c r="N276" s="38" t="str">
        <f t="shared" ref="N276:N281" si="26">J$6</f>
        <v>FY2010-11</v>
      </c>
      <c r="O276" s="38" t="s">
        <v>1352</v>
      </c>
      <c r="P276" s="38" t="s">
        <v>1347</v>
      </c>
      <c r="Q276" s="38" t="s">
        <v>1465</v>
      </c>
      <c r="R276" s="191"/>
      <c r="S276" s="191"/>
      <c r="T276" s="191"/>
      <c r="U276" s="191"/>
      <c r="V276" s="192"/>
      <c r="W276" s="192"/>
      <c r="X276" s="192"/>
      <c r="Y276" s="192"/>
      <c r="Z276" s="192"/>
      <c r="AA276" s="192"/>
      <c r="AB276" s="192"/>
      <c r="AC276" s="192"/>
      <c r="AD276" s="192"/>
      <c r="AE276" s="192"/>
      <c r="AF276" s="192"/>
      <c r="AG276" s="192"/>
      <c r="AH276" s="6"/>
    </row>
    <row r="277" spans="1:34" ht="16" customHeight="1">
      <c r="A277" s="7"/>
      <c r="B277" s="10"/>
      <c r="C277" s="12"/>
      <c r="D277" s="191"/>
      <c r="E277" s="191"/>
      <c r="F277" s="190"/>
      <c r="G277" s="191"/>
      <c r="H277" s="190"/>
      <c r="I277" s="190"/>
      <c r="J277" s="191"/>
      <c r="K277" s="191"/>
      <c r="L277" s="283" t="s">
        <v>1429</v>
      </c>
      <c r="M277" s="190"/>
      <c r="N277" s="38" t="str">
        <f t="shared" si="26"/>
        <v>FY2010-11</v>
      </c>
      <c r="O277" s="38" t="s">
        <v>1352</v>
      </c>
      <c r="P277" s="38" t="s">
        <v>1347</v>
      </c>
      <c r="Q277" s="38" t="s">
        <v>1465</v>
      </c>
      <c r="R277" s="191"/>
      <c r="S277" s="191"/>
      <c r="T277" s="191"/>
      <c r="U277" s="191"/>
      <c r="V277" s="192"/>
      <c r="W277" s="192"/>
      <c r="X277" s="192"/>
      <c r="Y277" s="192"/>
      <c r="Z277" s="192"/>
      <c r="AA277" s="192"/>
      <c r="AB277" s="192"/>
      <c r="AC277" s="192"/>
      <c r="AD277" s="192"/>
      <c r="AE277" s="192"/>
      <c r="AF277" s="192"/>
      <c r="AG277" s="192"/>
    </row>
    <row r="278" spans="1:34" ht="16" customHeight="1">
      <c r="A278" s="7"/>
      <c r="B278" s="10"/>
      <c r="C278" s="12"/>
      <c r="D278" s="191"/>
      <c r="E278" s="191"/>
      <c r="F278" s="190"/>
      <c r="G278" s="191"/>
      <c r="H278" s="190"/>
      <c r="I278" s="190"/>
      <c r="J278" s="191"/>
      <c r="K278" s="191"/>
      <c r="L278" s="283" t="s">
        <v>1429</v>
      </c>
      <c r="M278" s="190"/>
      <c r="N278" s="38" t="str">
        <f t="shared" si="26"/>
        <v>FY2010-11</v>
      </c>
      <c r="O278" s="38" t="s">
        <v>1352</v>
      </c>
      <c r="P278" s="38" t="s">
        <v>1347</v>
      </c>
      <c r="Q278" s="38" t="s">
        <v>1465</v>
      </c>
      <c r="R278" s="191"/>
      <c r="S278" s="191"/>
      <c r="T278" s="191"/>
      <c r="U278" s="191"/>
      <c r="V278" s="192"/>
      <c r="W278" s="192"/>
      <c r="X278" s="192"/>
      <c r="Y278" s="192"/>
      <c r="Z278" s="192"/>
      <c r="AA278" s="192"/>
      <c r="AB278" s="192"/>
      <c r="AC278" s="192"/>
      <c r="AD278" s="192"/>
      <c r="AE278" s="192"/>
      <c r="AF278" s="192"/>
      <c r="AG278" s="192"/>
    </row>
    <row r="279" spans="1:34" ht="16" customHeight="1">
      <c r="A279" s="7"/>
      <c r="B279" s="10"/>
      <c r="C279" s="12"/>
      <c r="D279" s="191"/>
      <c r="E279" s="191"/>
      <c r="F279" s="190"/>
      <c r="G279" s="191"/>
      <c r="H279" s="190"/>
      <c r="I279" s="190"/>
      <c r="J279" s="191"/>
      <c r="K279" s="191"/>
      <c r="L279" s="283" t="s">
        <v>1429</v>
      </c>
      <c r="M279" s="190"/>
      <c r="N279" s="38" t="str">
        <f t="shared" si="26"/>
        <v>FY2010-11</v>
      </c>
      <c r="O279" s="38" t="s">
        <v>1352</v>
      </c>
      <c r="P279" s="38" t="s">
        <v>1347</v>
      </c>
      <c r="Q279" s="38" t="s">
        <v>1465</v>
      </c>
      <c r="R279" s="191"/>
      <c r="S279" s="191"/>
      <c r="T279" s="191"/>
      <c r="U279" s="191"/>
      <c r="V279" s="192"/>
      <c r="W279" s="192"/>
      <c r="X279" s="192"/>
      <c r="Y279" s="192"/>
      <c r="Z279" s="192"/>
      <c r="AA279" s="192"/>
      <c r="AB279" s="192"/>
      <c r="AC279" s="192"/>
      <c r="AD279" s="192"/>
      <c r="AE279" s="192"/>
      <c r="AF279" s="192"/>
      <c r="AG279" s="192"/>
    </row>
    <row r="280" spans="1:34" ht="16" customHeight="1">
      <c r="A280" s="7"/>
      <c r="B280" s="10"/>
      <c r="C280" s="12"/>
      <c r="D280" s="191"/>
      <c r="E280" s="191"/>
      <c r="F280" s="190"/>
      <c r="G280" s="191"/>
      <c r="H280" s="190"/>
      <c r="I280" s="190"/>
      <c r="J280" s="191"/>
      <c r="K280" s="191"/>
      <c r="L280" s="283" t="s">
        <v>1429</v>
      </c>
      <c r="M280" s="190"/>
      <c r="N280" s="38" t="str">
        <f t="shared" si="26"/>
        <v>FY2010-11</v>
      </c>
      <c r="O280" s="38" t="s">
        <v>1352</v>
      </c>
      <c r="P280" s="38" t="s">
        <v>1347</v>
      </c>
      <c r="Q280" s="38" t="s">
        <v>1465</v>
      </c>
      <c r="R280" s="191"/>
      <c r="S280" s="191"/>
      <c r="T280" s="191"/>
      <c r="U280" s="191"/>
      <c r="V280" s="192"/>
      <c r="W280" s="192"/>
      <c r="X280" s="192"/>
      <c r="Y280" s="192"/>
      <c r="Z280" s="192"/>
      <c r="AA280" s="192"/>
      <c r="AB280" s="192"/>
      <c r="AC280" s="192"/>
      <c r="AD280" s="192"/>
      <c r="AE280" s="192"/>
      <c r="AF280" s="192"/>
      <c r="AG280" s="192"/>
    </row>
    <row r="281" spans="1:34" ht="16" customHeight="1">
      <c r="A281" s="7"/>
      <c r="B281" s="10"/>
      <c r="C281" s="12"/>
      <c r="D281" s="191"/>
      <c r="E281" s="191"/>
      <c r="F281" s="190"/>
      <c r="G281" s="191"/>
      <c r="H281" s="190"/>
      <c r="I281" s="190"/>
      <c r="J281" s="191"/>
      <c r="K281" s="191"/>
      <c r="L281" s="283" t="s">
        <v>1429</v>
      </c>
      <c r="M281" s="190"/>
      <c r="N281" s="38" t="str">
        <f t="shared" si="26"/>
        <v>FY2010-11</v>
      </c>
      <c r="O281" s="38" t="s">
        <v>1352</v>
      </c>
      <c r="P281" s="38" t="s">
        <v>1347</v>
      </c>
      <c r="Q281" s="38" t="s">
        <v>1465</v>
      </c>
      <c r="R281" s="191"/>
      <c r="S281" s="191"/>
      <c r="T281" s="191"/>
      <c r="U281" s="191"/>
      <c r="V281" s="192"/>
      <c r="W281" s="192"/>
      <c r="X281" s="192"/>
      <c r="Y281" s="192"/>
      <c r="Z281" s="192"/>
      <c r="AA281" s="192"/>
      <c r="AB281" s="192"/>
      <c r="AC281" s="192"/>
      <c r="AD281" s="192"/>
      <c r="AE281" s="192"/>
      <c r="AF281" s="192"/>
      <c r="AG281" s="192"/>
    </row>
    <row r="282" spans="1:34" ht="16" customHeight="1">
      <c r="A282" s="25"/>
      <c r="B282" s="26"/>
      <c r="C282" s="26"/>
      <c r="D282" s="27"/>
      <c r="E282" s="27"/>
      <c r="F282" s="28"/>
      <c r="G282" s="27"/>
      <c r="H282" s="28"/>
      <c r="I282" s="28"/>
      <c r="J282" s="27"/>
      <c r="K282" s="27"/>
      <c r="L282" s="282"/>
      <c r="M282" s="28"/>
      <c r="N282" s="28"/>
      <c r="O282" s="27"/>
      <c r="P282" s="28"/>
      <c r="Q282" s="28"/>
      <c r="R282" s="27"/>
      <c r="S282" s="27"/>
      <c r="T282" s="27"/>
      <c r="U282" s="27"/>
      <c r="V282" s="25"/>
      <c r="W282" s="25"/>
      <c r="X282" s="25"/>
      <c r="Y282" s="25"/>
      <c r="Z282" s="25"/>
      <c r="AA282" s="25"/>
      <c r="AB282" s="25"/>
      <c r="AC282" s="25"/>
      <c r="AD282" s="25"/>
      <c r="AE282" s="25"/>
      <c r="AF282" s="25"/>
      <c r="AG282" s="25"/>
    </row>
    <row r="283" spans="1:34" ht="16" customHeight="1" thickBot="1">
      <c r="A283" s="7"/>
      <c r="B283" s="19" t="str">
        <f>"FA1 = "&amp;'FIG3'!$W$52&amp;" "&amp;'FIG3'!$X$52</f>
        <v>FA1 = Little Rock School District</v>
      </c>
      <c r="C283" s="7"/>
      <c r="D283" s="8"/>
      <c r="E283" s="8"/>
      <c r="F283" s="9"/>
      <c r="G283" s="8"/>
      <c r="H283" s="9"/>
      <c r="I283" s="9"/>
      <c r="J283" s="8"/>
      <c r="K283" s="8"/>
      <c r="L283" s="280"/>
      <c r="M283" s="9"/>
      <c r="N283" s="9"/>
      <c r="O283" s="8"/>
      <c r="P283" s="9"/>
      <c r="Q283" s="9"/>
      <c r="R283" s="8"/>
      <c r="S283" s="882"/>
      <c r="T283" s="883" t="str">
        <f>'$REV-DB'!$T$34</f>
        <v>Federal Revenues</v>
      </c>
      <c r="U283" s="883" t="str">
        <f>'$REV-DB'!$U$34</f>
        <v>local Revenues</v>
      </c>
      <c r="V283" s="883" t="str">
        <f>'$REV-DB'!$V$34</f>
        <v>Other Revenues</v>
      </c>
      <c r="W283" s="883" t="str">
        <f>'$REV-DB'!$W$34</f>
        <v>State revenues</v>
      </c>
      <c r="X283" s="883" t="str">
        <f>'$REV-DB'!$X$34</f>
        <v>UD5</v>
      </c>
      <c r="Y283" s="883" t="str">
        <f>'$REV-DB'!$Y$34</f>
        <v>UD6</v>
      </c>
      <c r="Z283" s="883" t="str">
        <f>'$REV-DB'!$Z$34</f>
        <v>UD7</v>
      </c>
      <c r="AA283" s="883" t="str">
        <f>'$REV-DB'!$AA$34</f>
        <v>UD8</v>
      </c>
      <c r="AB283" s="883" t="str">
        <f>'$REV-DB'!$AB$34</f>
        <v>UD9</v>
      </c>
      <c r="AC283" s="883" t="str">
        <f>'$REV-DB'!$AC$34</f>
        <v>UD10</v>
      </c>
      <c r="AD283" s="883" t="str">
        <f>'$REV-DB'!$AD$34</f>
        <v>UD11</v>
      </c>
      <c r="AE283" s="883" t="str">
        <f>'$REV-DB'!$AE$34</f>
        <v>UD12</v>
      </c>
      <c r="AF283" s="883" t="str">
        <f>'$REV-DB'!$AF$34</f>
        <v>UD13</v>
      </c>
      <c r="AG283" s="883" t="str">
        <f>'$REV-DB'!$AG$34</f>
        <v>UD14</v>
      </c>
    </row>
    <row r="284" spans="1:34" ht="16" customHeight="1" thickTop="1" thickBot="1">
      <c r="A284" s="7"/>
      <c r="B284" s="20" t="s">
        <v>1375</v>
      </c>
      <c r="C284" s="15"/>
      <c r="D284" s="105" t="s">
        <v>1386</v>
      </c>
      <c r="E284" s="105" t="s">
        <v>1387</v>
      </c>
      <c r="F284" s="105" t="s">
        <v>1388</v>
      </c>
      <c r="G284" s="105" t="s">
        <v>1389</v>
      </c>
      <c r="H284" s="301" t="s">
        <v>1406</v>
      </c>
      <c r="I284" s="301" t="s">
        <v>1390</v>
      </c>
      <c r="J284" s="301" t="s">
        <v>1391</v>
      </c>
      <c r="K284" s="301" t="s">
        <v>1392</v>
      </c>
      <c r="L284" s="301" t="s">
        <v>1188</v>
      </c>
      <c r="M284" s="301" t="s">
        <v>1437</v>
      </c>
      <c r="N284" s="105" t="s">
        <v>1348</v>
      </c>
      <c r="O284" s="105" t="s">
        <v>1393</v>
      </c>
      <c r="P284" s="105" t="s">
        <v>1342</v>
      </c>
      <c r="Q284" s="105" t="s">
        <v>1394</v>
      </c>
      <c r="R284" s="112" t="s">
        <v>1341</v>
      </c>
      <c r="S284" s="112" t="s">
        <v>846</v>
      </c>
      <c r="T284" s="873" t="s">
        <v>935</v>
      </c>
      <c r="U284" s="873" t="s">
        <v>936</v>
      </c>
      <c r="V284" s="873" t="s">
        <v>937</v>
      </c>
      <c r="W284" s="873" t="s">
        <v>938</v>
      </c>
      <c r="X284" s="873" t="s">
        <v>939</v>
      </c>
      <c r="Y284" s="873" t="s">
        <v>940</v>
      </c>
      <c r="Z284" s="873" t="s">
        <v>941</v>
      </c>
      <c r="AA284" s="873" t="s">
        <v>942</v>
      </c>
      <c r="AB284" s="873" t="s">
        <v>943</v>
      </c>
      <c r="AC284" s="873" t="s">
        <v>944</v>
      </c>
      <c r="AD284" s="873" t="s">
        <v>945</v>
      </c>
      <c r="AE284" s="873" t="s">
        <v>946</v>
      </c>
      <c r="AF284" s="873" t="s">
        <v>947</v>
      </c>
      <c r="AG284" s="873" t="s">
        <v>948</v>
      </c>
      <c r="AH284" s="6"/>
    </row>
    <row r="285" spans="1:34" ht="16" customHeight="1" thickTop="1">
      <c r="A285" s="7"/>
      <c r="B285" s="19" t="s">
        <v>1350</v>
      </c>
      <c r="C285" s="12"/>
      <c r="D285" s="191"/>
      <c r="E285" s="191"/>
      <c r="F285" s="190"/>
      <c r="G285" s="191"/>
      <c r="H285" s="190"/>
      <c r="I285" s="190"/>
      <c r="J285" s="191"/>
      <c r="K285" s="191"/>
      <c r="L285" s="283" t="s">
        <v>1429</v>
      </c>
      <c r="M285" s="190"/>
      <c r="N285" s="38" t="str">
        <f>J$6</f>
        <v>FY2010-11</v>
      </c>
      <c r="O285" s="38" t="s">
        <v>1352</v>
      </c>
      <c r="P285" s="38" t="s">
        <v>1347</v>
      </c>
      <c r="Q285" s="38" t="s">
        <v>1340</v>
      </c>
      <c r="R285" s="191"/>
      <c r="S285" s="191"/>
      <c r="T285" s="191"/>
      <c r="U285" s="191"/>
      <c r="V285" s="192"/>
      <c r="W285" s="192"/>
      <c r="X285" s="192"/>
      <c r="Y285" s="192"/>
      <c r="Z285" s="192"/>
      <c r="AA285" s="192"/>
      <c r="AB285" s="192"/>
      <c r="AC285" s="192"/>
      <c r="AD285" s="192"/>
      <c r="AE285" s="192"/>
      <c r="AF285" s="192"/>
      <c r="AG285" s="192"/>
      <c r="AH285" s="6"/>
    </row>
    <row r="286" spans="1:34" ht="16" customHeight="1">
      <c r="A286" s="7"/>
      <c r="B286" s="16">
        <f>DSUM('$REV-DB'!D35:AG374,"AMOUNT",'$REV-DSUM'!D284:AG291)</f>
        <v>0</v>
      </c>
      <c r="C286" s="12"/>
      <c r="D286" s="191"/>
      <c r="E286" s="191"/>
      <c r="F286" s="190"/>
      <c r="G286" s="191"/>
      <c r="H286" s="190"/>
      <c r="I286" s="190"/>
      <c r="J286" s="191"/>
      <c r="K286" s="191"/>
      <c r="L286" s="283" t="s">
        <v>1429</v>
      </c>
      <c r="M286" s="190"/>
      <c r="N286" s="38" t="str">
        <f t="shared" ref="N286:N291" si="27">J$6</f>
        <v>FY2010-11</v>
      </c>
      <c r="O286" s="38" t="s">
        <v>1352</v>
      </c>
      <c r="P286" s="38" t="s">
        <v>1347</v>
      </c>
      <c r="Q286" s="38" t="s">
        <v>1340</v>
      </c>
      <c r="R286" s="191"/>
      <c r="S286" s="191"/>
      <c r="T286" s="191"/>
      <c r="U286" s="191"/>
      <c r="V286" s="192"/>
      <c r="W286" s="192"/>
      <c r="X286" s="192"/>
      <c r="Y286" s="192"/>
      <c r="Z286" s="192"/>
      <c r="AA286" s="192"/>
      <c r="AB286" s="192"/>
      <c r="AC286" s="192"/>
      <c r="AD286" s="192"/>
      <c r="AE286" s="192"/>
      <c r="AF286" s="192"/>
      <c r="AG286" s="192"/>
      <c r="AH286" s="6"/>
    </row>
    <row r="287" spans="1:34" ht="16" customHeight="1">
      <c r="A287" s="7"/>
      <c r="B287" s="10"/>
      <c r="C287" s="12"/>
      <c r="D287" s="191"/>
      <c r="E287" s="191"/>
      <c r="F287" s="190"/>
      <c r="G287" s="191"/>
      <c r="H287" s="190"/>
      <c r="I287" s="190"/>
      <c r="J287" s="191"/>
      <c r="K287" s="191"/>
      <c r="L287" s="283" t="s">
        <v>1429</v>
      </c>
      <c r="M287" s="190"/>
      <c r="N287" s="38" t="str">
        <f t="shared" si="27"/>
        <v>FY2010-11</v>
      </c>
      <c r="O287" s="38" t="s">
        <v>1352</v>
      </c>
      <c r="P287" s="38" t="s">
        <v>1347</v>
      </c>
      <c r="Q287" s="38" t="s">
        <v>1340</v>
      </c>
      <c r="R287" s="191"/>
      <c r="S287" s="191"/>
      <c r="T287" s="191"/>
      <c r="U287" s="191"/>
      <c r="V287" s="192"/>
      <c r="W287" s="192"/>
      <c r="X287" s="192"/>
      <c r="Y287" s="192"/>
      <c r="Z287" s="192"/>
      <c r="AA287" s="192"/>
      <c r="AB287" s="192"/>
      <c r="AC287" s="192"/>
      <c r="AD287" s="192"/>
      <c r="AE287" s="192"/>
      <c r="AF287" s="192"/>
      <c r="AG287" s="192"/>
    </row>
    <row r="288" spans="1:34" ht="16" customHeight="1">
      <c r="A288" s="7"/>
      <c r="B288" s="10"/>
      <c r="C288" s="12"/>
      <c r="D288" s="191"/>
      <c r="E288" s="191"/>
      <c r="F288" s="190"/>
      <c r="G288" s="191"/>
      <c r="H288" s="190"/>
      <c r="I288" s="190"/>
      <c r="J288" s="191"/>
      <c r="K288" s="191"/>
      <c r="L288" s="283" t="s">
        <v>1429</v>
      </c>
      <c r="M288" s="190"/>
      <c r="N288" s="38" t="str">
        <f t="shared" si="27"/>
        <v>FY2010-11</v>
      </c>
      <c r="O288" s="38" t="s">
        <v>1352</v>
      </c>
      <c r="P288" s="38" t="s">
        <v>1347</v>
      </c>
      <c r="Q288" s="38" t="s">
        <v>1340</v>
      </c>
      <c r="R288" s="191"/>
      <c r="S288" s="191"/>
      <c r="T288" s="191"/>
      <c r="U288" s="191"/>
      <c r="V288" s="192"/>
      <c r="W288" s="192"/>
      <c r="X288" s="192"/>
      <c r="Y288" s="192"/>
      <c r="Z288" s="192"/>
      <c r="AA288" s="192"/>
      <c r="AB288" s="192"/>
      <c r="AC288" s="192"/>
      <c r="AD288" s="192"/>
      <c r="AE288" s="192"/>
      <c r="AF288" s="192"/>
      <c r="AG288" s="192"/>
    </row>
    <row r="289" spans="1:34" ht="16" customHeight="1">
      <c r="A289" s="7"/>
      <c r="B289" s="10"/>
      <c r="C289" s="12"/>
      <c r="D289" s="191"/>
      <c r="E289" s="191"/>
      <c r="F289" s="190"/>
      <c r="G289" s="191"/>
      <c r="H289" s="190"/>
      <c r="I289" s="190"/>
      <c r="J289" s="191"/>
      <c r="K289" s="191"/>
      <c r="L289" s="283" t="s">
        <v>1429</v>
      </c>
      <c r="M289" s="190"/>
      <c r="N289" s="38" t="str">
        <f t="shared" si="27"/>
        <v>FY2010-11</v>
      </c>
      <c r="O289" s="38" t="s">
        <v>1352</v>
      </c>
      <c r="P289" s="38" t="s">
        <v>1347</v>
      </c>
      <c r="Q289" s="38" t="s">
        <v>1340</v>
      </c>
      <c r="R289" s="191"/>
      <c r="S289" s="191"/>
      <c r="T289" s="191"/>
      <c r="U289" s="191"/>
      <c r="V289" s="192"/>
      <c r="W289" s="192"/>
      <c r="X289" s="192"/>
      <c r="Y289" s="192"/>
      <c r="Z289" s="192"/>
      <c r="AA289" s="192"/>
      <c r="AB289" s="192"/>
      <c r="AC289" s="192"/>
      <c r="AD289" s="192"/>
      <c r="AE289" s="192"/>
      <c r="AF289" s="192"/>
      <c r="AG289" s="192"/>
    </row>
    <row r="290" spans="1:34" ht="16" customHeight="1">
      <c r="A290" s="7"/>
      <c r="B290" s="10"/>
      <c r="C290" s="12"/>
      <c r="D290" s="191"/>
      <c r="E290" s="191"/>
      <c r="F290" s="190"/>
      <c r="G290" s="191"/>
      <c r="H290" s="190"/>
      <c r="I290" s="190"/>
      <c r="J290" s="191"/>
      <c r="K290" s="191"/>
      <c r="L290" s="283" t="s">
        <v>1429</v>
      </c>
      <c r="M290" s="190"/>
      <c r="N290" s="38" t="str">
        <f t="shared" si="27"/>
        <v>FY2010-11</v>
      </c>
      <c r="O290" s="38" t="s">
        <v>1352</v>
      </c>
      <c r="P290" s="38" t="s">
        <v>1347</v>
      </c>
      <c r="Q290" s="38" t="s">
        <v>1340</v>
      </c>
      <c r="R290" s="191"/>
      <c r="S290" s="191"/>
      <c r="T290" s="191"/>
      <c r="U290" s="191"/>
      <c r="V290" s="192"/>
      <c r="W290" s="192"/>
      <c r="X290" s="192"/>
      <c r="Y290" s="192"/>
      <c r="Z290" s="192"/>
      <c r="AA290" s="192"/>
      <c r="AB290" s="192"/>
      <c r="AC290" s="192"/>
      <c r="AD290" s="192"/>
      <c r="AE290" s="192"/>
      <c r="AF290" s="192"/>
      <c r="AG290" s="192"/>
    </row>
    <row r="291" spans="1:34" ht="16" customHeight="1">
      <c r="A291" s="7"/>
      <c r="B291" s="10"/>
      <c r="C291" s="12"/>
      <c r="D291" s="191"/>
      <c r="E291" s="191"/>
      <c r="F291" s="190"/>
      <c r="G291" s="191"/>
      <c r="H291" s="190"/>
      <c r="I291" s="190"/>
      <c r="J291" s="191"/>
      <c r="K291" s="191"/>
      <c r="L291" s="283" t="s">
        <v>1429</v>
      </c>
      <c r="M291" s="190"/>
      <c r="N291" s="38" t="str">
        <f t="shared" si="27"/>
        <v>FY2010-11</v>
      </c>
      <c r="O291" s="38" t="s">
        <v>1352</v>
      </c>
      <c r="P291" s="38" t="s">
        <v>1347</v>
      </c>
      <c r="Q291" s="38" t="s">
        <v>1340</v>
      </c>
      <c r="R291" s="191"/>
      <c r="S291" s="191"/>
      <c r="T291" s="191"/>
      <c r="U291" s="191"/>
      <c r="V291" s="192"/>
      <c r="W291" s="192"/>
      <c r="X291" s="192"/>
      <c r="Y291" s="192"/>
      <c r="Z291" s="192"/>
      <c r="AA291" s="192"/>
      <c r="AB291" s="192"/>
      <c r="AC291" s="192"/>
      <c r="AD291" s="192"/>
      <c r="AE291" s="192"/>
      <c r="AF291" s="192"/>
      <c r="AG291" s="192"/>
    </row>
    <row r="292" spans="1:34" ht="16" customHeight="1">
      <c r="A292" s="29"/>
      <c r="B292" s="30"/>
      <c r="C292" s="30"/>
      <c r="D292" s="31"/>
      <c r="E292" s="31"/>
      <c r="F292" s="32"/>
      <c r="G292" s="31"/>
      <c r="H292" s="32"/>
      <c r="I292" s="32"/>
      <c r="J292" s="31"/>
      <c r="K292" s="31"/>
      <c r="L292" s="284"/>
      <c r="M292" s="32"/>
      <c r="N292" s="32"/>
      <c r="O292" s="31"/>
      <c r="P292" s="32"/>
      <c r="Q292" s="32"/>
      <c r="R292" s="31"/>
      <c r="S292" s="31"/>
      <c r="T292" s="31"/>
      <c r="U292" s="31"/>
      <c r="V292" s="29"/>
      <c r="W292" s="29"/>
      <c r="X292" s="29"/>
      <c r="Y292" s="29"/>
      <c r="Z292" s="29"/>
      <c r="AA292" s="29"/>
      <c r="AB292" s="29"/>
      <c r="AC292" s="29"/>
      <c r="AD292" s="29"/>
      <c r="AE292" s="29"/>
      <c r="AF292" s="29"/>
      <c r="AG292" s="29"/>
    </row>
    <row r="293" spans="1:34" ht="16" customHeight="1" thickBot="1">
      <c r="A293" s="7"/>
      <c r="B293" s="19" t="str">
        <f>"FA2 = "&amp;'FIG3'!$W$53&amp;" "&amp;'FIG3'!$X$53</f>
        <v>FA2 = FA2L1 FA2L2</v>
      </c>
      <c r="C293" s="7"/>
      <c r="D293" s="17"/>
      <c r="E293" s="17"/>
      <c r="F293" s="18"/>
      <c r="G293" s="17"/>
      <c r="H293" s="18"/>
      <c r="I293" s="18"/>
      <c r="J293" s="17"/>
      <c r="K293" s="17"/>
      <c r="L293" s="281"/>
      <c r="M293" s="18"/>
      <c r="N293" s="9"/>
      <c r="O293" s="17"/>
      <c r="P293" s="18"/>
      <c r="Q293" s="18"/>
      <c r="R293" s="17"/>
      <c r="S293" s="882"/>
      <c r="T293" s="883" t="str">
        <f>'$REV-DB'!$T$34</f>
        <v>Federal Revenues</v>
      </c>
      <c r="U293" s="883" t="str">
        <f>'$REV-DB'!$U$34</f>
        <v>local Revenues</v>
      </c>
      <c r="V293" s="883" t="str">
        <f>'$REV-DB'!$V$34</f>
        <v>Other Revenues</v>
      </c>
      <c r="W293" s="883" t="str">
        <f>'$REV-DB'!$W$34</f>
        <v>State revenues</v>
      </c>
      <c r="X293" s="883" t="str">
        <f>'$REV-DB'!$X$34</f>
        <v>UD5</v>
      </c>
      <c r="Y293" s="883" t="str">
        <f>'$REV-DB'!$Y$34</f>
        <v>UD6</v>
      </c>
      <c r="Z293" s="883" t="str">
        <f>'$REV-DB'!$Z$34</f>
        <v>UD7</v>
      </c>
      <c r="AA293" s="883" t="str">
        <f>'$REV-DB'!$AA$34</f>
        <v>UD8</v>
      </c>
      <c r="AB293" s="883" t="str">
        <f>'$REV-DB'!$AB$34</f>
        <v>UD9</v>
      </c>
      <c r="AC293" s="883" t="str">
        <f>'$REV-DB'!$AC$34</f>
        <v>UD10</v>
      </c>
      <c r="AD293" s="883" t="str">
        <f>'$REV-DB'!$AD$34</f>
        <v>UD11</v>
      </c>
      <c r="AE293" s="883" t="str">
        <f>'$REV-DB'!$AE$34</f>
        <v>UD12</v>
      </c>
      <c r="AF293" s="883" t="str">
        <f>'$REV-DB'!$AF$34</f>
        <v>UD13</v>
      </c>
      <c r="AG293" s="883" t="str">
        <f>'$REV-DB'!$AG$34</f>
        <v>UD14</v>
      </c>
    </row>
    <row r="294" spans="1:34" ht="16" customHeight="1" thickTop="1" thickBot="1">
      <c r="A294" s="7"/>
      <c r="B294" s="20" t="s">
        <v>1399</v>
      </c>
      <c r="C294" s="15"/>
      <c r="D294" s="105" t="s">
        <v>1386</v>
      </c>
      <c r="E294" s="105" t="s">
        <v>1387</v>
      </c>
      <c r="F294" s="105" t="s">
        <v>1388</v>
      </c>
      <c r="G294" s="105" t="s">
        <v>1389</v>
      </c>
      <c r="H294" s="301" t="s">
        <v>1406</v>
      </c>
      <c r="I294" s="301" t="s">
        <v>1390</v>
      </c>
      <c r="J294" s="301" t="s">
        <v>1391</v>
      </c>
      <c r="K294" s="301" t="s">
        <v>1392</v>
      </c>
      <c r="L294" s="301" t="s">
        <v>1188</v>
      </c>
      <c r="M294" s="301" t="s">
        <v>1437</v>
      </c>
      <c r="N294" s="105" t="s">
        <v>1348</v>
      </c>
      <c r="O294" s="105" t="s">
        <v>1393</v>
      </c>
      <c r="P294" s="105" t="s">
        <v>1342</v>
      </c>
      <c r="Q294" s="105" t="s">
        <v>1394</v>
      </c>
      <c r="R294" s="112" t="s">
        <v>1341</v>
      </c>
      <c r="S294" s="112" t="s">
        <v>846</v>
      </c>
      <c r="T294" s="873" t="s">
        <v>935</v>
      </c>
      <c r="U294" s="873" t="s">
        <v>936</v>
      </c>
      <c r="V294" s="873" t="s">
        <v>937</v>
      </c>
      <c r="W294" s="873" t="s">
        <v>938</v>
      </c>
      <c r="X294" s="873" t="s">
        <v>939</v>
      </c>
      <c r="Y294" s="873" t="s">
        <v>940</v>
      </c>
      <c r="Z294" s="873" t="s">
        <v>941</v>
      </c>
      <c r="AA294" s="873" t="s">
        <v>942</v>
      </c>
      <c r="AB294" s="873" t="s">
        <v>943</v>
      </c>
      <c r="AC294" s="873" t="s">
        <v>944</v>
      </c>
      <c r="AD294" s="873" t="s">
        <v>945</v>
      </c>
      <c r="AE294" s="873" t="s">
        <v>946</v>
      </c>
      <c r="AF294" s="873" t="s">
        <v>947</v>
      </c>
      <c r="AG294" s="873" t="s">
        <v>948</v>
      </c>
      <c r="AH294" s="6"/>
    </row>
    <row r="295" spans="1:34" ht="16" customHeight="1" thickTop="1">
      <c r="A295" s="7"/>
      <c r="B295" s="19" t="s">
        <v>1346</v>
      </c>
      <c r="C295" s="12"/>
      <c r="D295" s="193"/>
      <c r="E295" s="193"/>
      <c r="F295" s="193"/>
      <c r="G295" s="193"/>
      <c r="H295" s="193"/>
      <c r="I295" s="193"/>
      <c r="J295" s="193"/>
      <c r="K295" s="193"/>
      <c r="L295" s="285" t="s">
        <v>1429</v>
      </c>
      <c r="M295" s="193"/>
      <c r="N295" s="47" t="str">
        <f>J$6</f>
        <v>FY2010-11</v>
      </c>
      <c r="O295" s="47" t="s">
        <v>1353</v>
      </c>
      <c r="P295" s="47" t="s">
        <v>1338</v>
      </c>
      <c r="Q295" s="193"/>
      <c r="R295" s="193"/>
      <c r="S295" s="194"/>
      <c r="T295" s="194"/>
      <c r="U295" s="194"/>
      <c r="V295" s="195"/>
      <c r="W295" s="195"/>
      <c r="X295" s="195"/>
      <c r="Y295" s="195"/>
      <c r="Z295" s="195"/>
      <c r="AA295" s="195"/>
      <c r="AB295" s="195"/>
      <c r="AC295" s="195"/>
      <c r="AD295" s="195"/>
      <c r="AE295" s="195"/>
      <c r="AF295" s="195"/>
      <c r="AG295" s="195"/>
      <c r="AH295" s="6"/>
    </row>
    <row r="296" spans="1:34" ht="16" customHeight="1">
      <c r="A296" s="7"/>
      <c r="B296" s="16">
        <f>DSUM('$REV-DB'!D35:AG374,"AMOUNT",'$REV-DSUM'!D294:AG301)</f>
        <v>0</v>
      </c>
      <c r="C296" s="12"/>
      <c r="D296" s="193"/>
      <c r="E296" s="193"/>
      <c r="F296" s="193"/>
      <c r="G296" s="193"/>
      <c r="H296" s="193"/>
      <c r="I296" s="193"/>
      <c r="J296" s="193"/>
      <c r="K296" s="193"/>
      <c r="L296" s="285" t="s">
        <v>1429</v>
      </c>
      <c r="M296" s="193"/>
      <c r="N296" s="47" t="str">
        <f t="shared" ref="N296:N301" si="28">J$6</f>
        <v>FY2010-11</v>
      </c>
      <c r="O296" s="47" t="s">
        <v>1353</v>
      </c>
      <c r="P296" s="47" t="s">
        <v>1338</v>
      </c>
      <c r="Q296" s="193"/>
      <c r="R296" s="193"/>
      <c r="S296" s="194"/>
      <c r="T296" s="194"/>
      <c r="U296" s="194"/>
      <c r="V296" s="195"/>
      <c r="W296" s="195"/>
      <c r="X296" s="195"/>
      <c r="Y296" s="195"/>
      <c r="Z296" s="195"/>
      <c r="AA296" s="195"/>
      <c r="AB296" s="195"/>
      <c r="AC296" s="195"/>
      <c r="AD296" s="195"/>
      <c r="AE296" s="195"/>
      <c r="AF296" s="195"/>
      <c r="AG296" s="195"/>
      <c r="AH296" s="6"/>
    </row>
    <row r="297" spans="1:34" ht="16" customHeight="1">
      <c r="A297" s="7"/>
      <c r="B297" s="10"/>
      <c r="C297" s="12"/>
      <c r="D297" s="193"/>
      <c r="E297" s="193"/>
      <c r="F297" s="193"/>
      <c r="G297" s="193"/>
      <c r="H297" s="193"/>
      <c r="I297" s="193"/>
      <c r="J297" s="193"/>
      <c r="K297" s="193"/>
      <c r="L297" s="285" t="s">
        <v>1429</v>
      </c>
      <c r="M297" s="193"/>
      <c r="N297" s="47" t="str">
        <f t="shared" si="28"/>
        <v>FY2010-11</v>
      </c>
      <c r="O297" s="47" t="s">
        <v>1353</v>
      </c>
      <c r="P297" s="47" t="s">
        <v>1338</v>
      </c>
      <c r="Q297" s="193"/>
      <c r="R297" s="193"/>
      <c r="S297" s="194"/>
      <c r="T297" s="194"/>
      <c r="U297" s="194"/>
      <c r="V297" s="195"/>
      <c r="W297" s="195"/>
      <c r="X297" s="195"/>
      <c r="Y297" s="195"/>
      <c r="Z297" s="195"/>
      <c r="AA297" s="195"/>
      <c r="AB297" s="195"/>
      <c r="AC297" s="195"/>
      <c r="AD297" s="195"/>
      <c r="AE297" s="195"/>
      <c r="AF297" s="195"/>
      <c r="AG297" s="195"/>
    </row>
    <row r="298" spans="1:34" ht="16" customHeight="1">
      <c r="A298" s="7"/>
      <c r="B298" s="10"/>
      <c r="C298" s="12"/>
      <c r="D298" s="193"/>
      <c r="E298" s="193"/>
      <c r="F298" s="193"/>
      <c r="G298" s="193"/>
      <c r="H298" s="193"/>
      <c r="I298" s="193"/>
      <c r="J298" s="193"/>
      <c r="K298" s="193"/>
      <c r="L298" s="285" t="s">
        <v>1429</v>
      </c>
      <c r="M298" s="193"/>
      <c r="N298" s="47" t="str">
        <f t="shared" si="28"/>
        <v>FY2010-11</v>
      </c>
      <c r="O298" s="47" t="s">
        <v>1353</v>
      </c>
      <c r="P298" s="47" t="s">
        <v>1338</v>
      </c>
      <c r="Q298" s="193"/>
      <c r="R298" s="193"/>
      <c r="S298" s="194"/>
      <c r="T298" s="194"/>
      <c r="U298" s="194"/>
      <c r="V298" s="195"/>
      <c r="W298" s="195"/>
      <c r="X298" s="195"/>
      <c r="Y298" s="195"/>
      <c r="Z298" s="195"/>
      <c r="AA298" s="195"/>
      <c r="AB298" s="195"/>
      <c r="AC298" s="195"/>
      <c r="AD298" s="195"/>
      <c r="AE298" s="195"/>
      <c r="AF298" s="195"/>
      <c r="AG298" s="195"/>
    </row>
    <row r="299" spans="1:34" ht="16" customHeight="1">
      <c r="A299" s="7"/>
      <c r="B299" s="10"/>
      <c r="C299" s="12"/>
      <c r="D299" s="193"/>
      <c r="E299" s="193"/>
      <c r="F299" s="193"/>
      <c r="G299" s="193"/>
      <c r="H299" s="193"/>
      <c r="I299" s="193"/>
      <c r="J299" s="193"/>
      <c r="K299" s="193"/>
      <c r="L299" s="285" t="s">
        <v>1429</v>
      </c>
      <c r="M299" s="193"/>
      <c r="N299" s="47" t="str">
        <f t="shared" si="28"/>
        <v>FY2010-11</v>
      </c>
      <c r="O299" s="47" t="s">
        <v>1353</v>
      </c>
      <c r="P299" s="47" t="s">
        <v>1338</v>
      </c>
      <c r="Q299" s="193"/>
      <c r="R299" s="193"/>
      <c r="S299" s="194"/>
      <c r="T299" s="194"/>
      <c r="U299" s="194"/>
      <c r="V299" s="195"/>
      <c r="W299" s="195"/>
      <c r="X299" s="195"/>
      <c r="Y299" s="195"/>
      <c r="Z299" s="195"/>
      <c r="AA299" s="195"/>
      <c r="AB299" s="195"/>
      <c r="AC299" s="195"/>
      <c r="AD299" s="195"/>
      <c r="AE299" s="195"/>
      <c r="AF299" s="195"/>
      <c r="AG299" s="195"/>
    </row>
    <row r="300" spans="1:34" ht="16" customHeight="1">
      <c r="A300" s="7"/>
      <c r="B300" s="10"/>
      <c r="C300" s="12"/>
      <c r="D300" s="193"/>
      <c r="E300" s="193"/>
      <c r="F300" s="193"/>
      <c r="G300" s="193"/>
      <c r="H300" s="193"/>
      <c r="I300" s="193"/>
      <c r="J300" s="193"/>
      <c r="K300" s="193"/>
      <c r="L300" s="285" t="s">
        <v>1429</v>
      </c>
      <c r="M300" s="193"/>
      <c r="N300" s="47" t="str">
        <f t="shared" si="28"/>
        <v>FY2010-11</v>
      </c>
      <c r="O300" s="47" t="s">
        <v>1353</v>
      </c>
      <c r="P300" s="47" t="s">
        <v>1338</v>
      </c>
      <c r="Q300" s="193"/>
      <c r="R300" s="193"/>
      <c r="S300" s="194"/>
      <c r="T300" s="194"/>
      <c r="U300" s="194"/>
      <c r="V300" s="195"/>
      <c r="W300" s="195"/>
      <c r="X300" s="195"/>
      <c r="Y300" s="195"/>
      <c r="Z300" s="195"/>
      <c r="AA300" s="195"/>
      <c r="AB300" s="195"/>
      <c r="AC300" s="195"/>
      <c r="AD300" s="195"/>
      <c r="AE300" s="195"/>
      <c r="AF300" s="195"/>
      <c r="AG300" s="195"/>
    </row>
    <row r="301" spans="1:34" ht="16" customHeight="1">
      <c r="A301" s="7"/>
      <c r="B301" s="10"/>
      <c r="C301" s="12"/>
      <c r="D301" s="193"/>
      <c r="E301" s="193"/>
      <c r="F301" s="193"/>
      <c r="G301" s="193"/>
      <c r="H301" s="193"/>
      <c r="I301" s="193"/>
      <c r="J301" s="193"/>
      <c r="K301" s="193"/>
      <c r="L301" s="285" t="s">
        <v>1429</v>
      </c>
      <c r="M301" s="193"/>
      <c r="N301" s="47" t="str">
        <f t="shared" si="28"/>
        <v>FY2010-11</v>
      </c>
      <c r="O301" s="47" t="s">
        <v>1353</v>
      </c>
      <c r="P301" s="47" t="s">
        <v>1338</v>
      </c>
      <c r="Q301" s="193"/>
      <c r="R301" s="193"/>
      <c r="S301" s="194"/>
      <c r="T301" s="194"/>
      <c r="U301" s="194"/>
      <c r="V301" s="195"/>
      <c r="W301" s="195"/>
      <c r="X301" s="195"/>
      <c r="Y301" s="195"/>
      <c r="Z301" s="195"/>
      <c r="AA301" s="195"/>
      <c r="AB301" s="195"/>
      <c r="AC301" s="195"/>
      <c r="AD301" s="195"/>
      <c r="AE301" s="195"/>
      <c r="AF301" s="195"/>
      <c r="AG301" s="195"/>
    </row>
    <row r="302" spans="1:34" ht="16" customHeight="1">
      <c r="A302" s="29"/>
      <c r="B302" s="30"/>
      <c r="C302" s="30"/>
      <c r="D302" s="31"/>
      <c r="E302" s="31"/>
      <c r="F302" s="32"/>
      <c r="G302" s="31"/>
      <c r="H302" s="32"/>
      <c r="I302" s="32"/>
      <c r="J302" s="31"/>
      <c r="K302" s="31"/>
      <c r="L302" s="284"/>
      <c r="M302" s="32"/>
      <c r="N302" s="32"/>
      <c r="O302" s="31"/>
      <c r="P302" s="32"/>
      <c r="Q302" s="32"/>
      <c r="R302" s="31"/>
      <c r="S302" s="31"/>
      <c r="T302" s="31"/>
      <c r="U302" s="31"/>
      <c r="V302" s="29"/>
      <c r="W302" s="29"/>
      <c r="X302" s="29"/>
      <c r="Y302" s="29"/>
      <c r="Z302" s="29"/>
      <c r="AA302" s="29"/>
      <c r="AB302" s="29"/>
      <c r="AC302" s="29"/>
      <c r="AD302" s="29"/>
      <c r="AE302" s="29"/>
      <c r="AF302" s="29"/>
      <c r="AG302" s="29"/>
    </row>
    <row r="303" spans="1:34" ht="16" customHeight="1" thickBot="1">
      <c r="A303" s="7"/>
      <c r="B303" s="19" t="str">
        <f>"FA2 = "&amp;'FIG3'!$W$53&amp;" "&amp;'FIG3'!$X$53</f>
        <v>FA2 = FA2L1 FA2L2</v>
      </c>
      <c r="C303" s="7"/>
      <c r="D303" s="8"/>
      <c r="E303" s="8"/>
      <c r="F303" s="9"/>
      <c r="G303" s="8"/>
      <c r="H303" s="9"/>
      <c r="I303" s="9"/>
      <c r="J303" s="8"/>
      <c r="K303" s="8"/>
      <c r="L303" s="280"/>
      <c r="M303" s="9"/>
      <c r="N303" s="9"/>
      <c r="O303" s="8"/>
      <c r="P303" s="9"/>
      <c r="Q303" s="9"/>
      <c r="R303" s="8"/>
      <c r="S303" s="882"/>
      <c r="T303" s="883" t="str">
        <f>'$REV-DB'!$T$34</f>
        <v>Federal Revenues</v>
      </c>
      <c r="U303" s="883" t="str">
        <f>'$REV-DB'!$U$34</f>
        <v>local Revenues</v>
      </c>
      <c r="V303" s="883" t="str">
        <f>'$REV-DB'!$V$34</f>
        <v>Other Revenues</v>
      </c>
      <c r="W303" s="883" t="str">
        <f>'$REV-DB'!$W$34</f>
        <v>State revenues</v>
      </c>
      <c r="X303" s="883" t="str">
        <f>'$REV-DB'!$X$34</f>
        <v>UD5</v>
      </c>
      <c r="Y303" s="883" t="str">
        <f>'$REV-DB'!$Y$34</f>
        <v>UD6</v>
      </c>
      <c r="Z303" s="883" t="str">
        <f>'$REV-DB'!$Z$34</f>
        <v>UD7</v>
      </c>
      <c r="AA303" s="883" t="str">
        <f>'$REV-DB'!$AA$34</f>
        <v>UD8</v>
      </c>
      <c r="AB303" s="883" t="str">
        <f>'$REV-DB'!$AB$34</f>
        <v>UD9</v>
      </c>
      <c r="AC303" s="883" t="str">
        <f>'$REV-DB'!$AC$34</f>
        <v>UD10</v>
      </c>
      <c r="AD303" s="883" t="str">
        <f>'$REV-DB'!$AD$34</f>
        <v>UD11</v>
      </c>
      <c r="AE303" s="883" t="str">
        <f>'$REV-DB'!$AE$34</f>
        <v>UD12</v>
      </c>
      <c r="AF303" s="883" t="str">
        <f>'$REV-DB'!$AF$34</f>
        <v>UD13</v>
      </c>
      <c r="AG303" s="883" t="str">
        <f>'$REV-DB'!$AG$34</f>
        <v>UD14</v>
      </c>
    </row>
    <row r="304" spans="1:34" ht="16" customHeight="1" thickTop="1" thickBot="1">
      <c r="A304" s="7"/>
      <c r="B304" s="20" t="s">
        <v>1399</v>
      </c>
      <c r="C304" s="15"/>
      <c r="D304" s="105" t="s">
        <v>1386</v>
      </c>
      <c r="E304" s="105" t="s">
        <v>1387</v>
      </c>
      <c r="F304" s="105" t="s">
        <v>1388</v>
      </c>
      <c r="G304" s="105" t="s">
        <v>1389</v>
      </c>
      <c r="H304" s="301" t="s">
        <v>1406</v>
      </c>
      <c r="I304" s="301" t="s">
        <v>1390</v>
      </c>
      <c r="J304" s="301" t="s">
        <v>1391</v>
      </c>
      <c r="K304" s="301" t="s">
        <v>1392</v>
      </c>
      <c r="L304" s="301" t="s">
        <v>1188</v>
      </c>
      <c r="M304" s="301" t="s">
        <v>1437</v>
      </c>
      <c r="N304" s="105" t="s">
        <v>1348</v>
      </c>
      <c r="O304" s="105" t="s">
        <v>1393</v>
      </c>
      <c r="P304" s="105" t="s">
        <v>1342</v>
      </c>
      <c r="Q304" s="105" t="s">
        <v>1394</v>
      </c>
      <c r="R304" s="112" t="s">
        <v>1341</v>
      </c>
      <c r="S304" s="112" t="s">
        <v>846</v>
      </c>
      <c r="T304" s="873" t="s">
        <v>935</v>
      </c>
      <c r="U304" s="873" t="s">
        <v>936</v>
      </c>
      <c r="V304" s="873" t="s">
        <v>937</v>
      </c>
      <c r="W304" s="873" t="s">
        <v>938</v>
      </c>
      <c r="X304" s="873" t="s">
        <v>939</v>
      </c>
      <c r="Y304" s="873" t="s">
        <v>940</v>
      </c>
      <c r="Z304" s="873" t="s">
        <v>941</v>
      </c>
      <c r="AA304" s="873" t="s">
        <v>942</v>
      </c>
      <c r="AB304" s="873" t="s">
        <v>943</v>
      </c>
      <c r="AC304" s="873" t="s">
        <v>944</v>
      </c>
      <c r="AD304" s="873" t="s">
        <v>945</v>
      </c>
      <c r="AE304" s="873" t="s">
        <v>946</v>
      </c>
      <c r="AF304" s="873" t="s">
        <v>947</v>
      </c>
      <c r="AG304" s="873" t="s">
        <v>948</v>
      </c>
      <c r="AH304" s="6"/>
    </row>
    <row r="305" spans="1:34" ht="16" customHeight="1" thickTop="1">
      <c r="A305" s="7"/>
      <c r="B305" s="19" t="s">
        <v>1345</v>
      </c>
      <c r="C305" s="12"/>
      <c r="D305" s="194"/>
      <c r="E305" s="194"/>
      <c r="F305" s="193"/>
      <c r="G305" s="194"/>
      <c r="H305" s="193"/>
      <c r="I305" s="193"/>
      <c r="J305" s="194"/>
      <c r="K305" s="194"/>
      <c r="L305" s="285" t="s">
        <v>1429</v>
      </c>
      <c r="M305" s="193"/>
      <c r="N305" s="47" t="str">
        <f>J$6</f>
        <v>FY2010-11</v>
      </c>
      <c r="O305" s="47" t="s">
        <v>1353</v>
      </c>
      <c r="P305" s="47" t="s">
        <v>1338</v>
      </c>
      <c r="Q305" s="47" t="s">
        <v>1380</v>
      </c>
      <c r="R305" s="194"/>
      <c r="S305" s="194"/>
      <c r="T305" s="194"/>
      <c r="U305" s="194"/>
      <c r="V305" s="195"/>
      <c r="W305" s="195"/>
      <c r="X305" s="195"/>
      <c r="Y305" s="195"/>
      <c r="Z305" s="195"/>
      <c r="AA305" s="195"/>
      <c r="AB305" s="195"/>
      <c r="AC305" s="195"/>
      <c r="AD305" s="195"/>
      <c r="AE305" s="195"/>
      <c r="AF305" s="195"/>
      <c r="AG305" s="195"/>
      <c r="AH305" s="6"/>
    </row>
    <row r="306" spans="1:34" ht="16" customHeight="1">
      <c r="A306" s="7"/>
      <c r="B306" s="16">
        <f>DSUM('$REV-DB'!D35:AG374,"AMOUNT",'$REV-DSUM'!D304:AG311)</f>
        <v>0</v>
      </c>
      <c r="C306" s="12"/>
      <c r="D306" s="194"/>
      <c r="E306" s="194"/>
      <c r="F306" s="193"/>
      <c r="G306" s="194"/>
      <c r="H306" s="193"/>
      <c r="I306" s="193"/>
      <c r="J306" s="194"/>
      <c r="K306" s="194"/>
      <c r="L306" s="285" t="s">
        <v>1429</v>
      </c>
      <c r="M306" s="193"/>
      <c r="N306" s="47" t="str">
        <f t="shared" ref="N306:N311" si="29">J$6</f>
        <v>FY2010-11</v>
      </c>
      <c r="O306" s="47" t="s">
        <v>1353</v>
      </c>
      <c r="P306" s="47" t="s">
        <v>1338</v>
      </c>
      <c r="Q306" s="47" t="s">
        <v>1380</v>
      </c>
      <c r="R306" s="194"/>
      <c r="S306" s="194"/>
      <c r="T306" s="194"/>
      <c r="U306" s="194"/>
      <c r="V306" s="195"/>
      <c r="W306" s="195"/>
      <c r="X306" s="195"/>
      <c r="Y306" s="195"/>
      <c r="Z306" s="195"/>
      <c r="AA306" s="195"/>
      <c r="AB306" s="195"/>
      <c r="AC306" s="195"/>
      <c r="AD306" s="195"/>
      <c r="AE306" s="195"/>
      <c r="AF306" s="195"/>
      <c r="AG306" s="195"/>
      <c r="AH306" s="6"/>
    </row>
    <row r="307" spans="1:34" ht="16" customHeight="1">
      <c r="A307" s="7"/>
      <c r="B307" s="10"/>
      <c r="C307" s="12"/>
      <c r="D307" s="194"/>
      <c r="E307" s="194"/>
      <c r="F307" s="193"/>
      <c r="G307" s="194"/>
      <c r="H307" s="193"/>
      <c r="I307" s="193"/>
      <c r="J307" s="194"/>
      <c r="K307" s="194"/>
      <c r="L307" s="285" t="s">
        <v>1429</v>
      </c>
      <c r="M307" s="193"/>
      <c r="N307" s="47" t="str">
        <f t="shared" si="29"/>
        <v>FY2010-11</v>
      </c>
      <c r="O307" s="47" t="s">
        <v>1353</v>
      </c>
      <c r="P307" s="47" t="s">
        <v>1338</v>
      </c>
      <c r="Q307" s="47" t="s">
        <v>1380</v>
      </c>
      <c r="R307" s="194"/>
      <c r="S307" s="194"/>
      <c r="T307" s="194"/>
      <c r="U307" s="194"/>
      <c r="V307" s="195"/>
      <c r="W307" s="195"/>
      <c r="X307" s="195"/>
      <c r="Y307" s="195"/>
      <c r="Z307" s="195"/>
      <c r="AA307" s="195"/>
      <c r="AB307" s="195"/>
      <c r="AC307" s="195"/>
      <c r="AD307" s="195"/>
      <c r="AE307" s="195"/>
      <c r="AF307" s="195"/>
      <c r="AG307" s="195"/>
    </row>
    <row r="308" spans="1:34" ht="16" customHeight="1">
      <c r="A308" s="7"/>
      <c r="B308" s="10"/>
      <c r="C308" s="12"/>
      <c r="D308" s="194"/>
      <c r="E308" s="194"/>
      <c r="F308" s="193"/>
      <c r="G308" s="194"/>
      <c r="H308" s="193"/>
      <c r="I308" s="193"/>
      <c r="J308" s="194"/>
      <c r="K308" s="194"/>
      <c r="L308" s="285" t="s">
        <v>1429</v>
      </c>
      <c r="M308" s="193"/>
      <c r="N308" s="47" t="str">
        <f t="shared" si="29"/>
        <v>FY2010-11</v>
      </c>
      <c r="O308" s="47" t="s">
        <v>1353</v>
      </c>
      <c r="P308" s="47" t="s">
        <v>1338</v>
      </c>
      <c r="Q308" s="47" t="s">
        <v>1380</v>
      </c>
      <c r="R308" s="194"/>
      <c r="S308" s="194"/>
      <c r="T308" s="194"/>
      <c r="U308" s="194"/>
      <c r="V308" s="195"/>
      <c r="W308" s="195"/>
      <c r="X308" s="195"/>
      <c r="Y308" s="195"/>
      <c r="Z308" s="195"/>
      <c r="AA308" s="195"/>
      <c r="AB308" s="195"/>
      <c r="AC308" s="195"/>
      <c r="AD308" s="195"/>
      <c r="AE308" s="195"/>
      <c r="AF308" s="195"/>
      <c r="AG308" s="195"/>
    </row>
    <row r="309" spans="1:34" ht="16" customHeight="1">
      <c r="A309" s="7"/>
      <c r="B309" s="10"/>
      <c r="C309" s="12"/>
      <c r="D309" s="194"/>
      <c r="E309" s="194"/>
      <c r="F309" s="193"/>
      <c r="G309" s="194"/>
      <c r="H309" s="193"/>
      <c r="I309" s="193"/>
      <c r="J309" s="194"/>
      <c r="K309" s="194"/>
      <c r="L309" s="285" t="s">
        <v>1429</v>
      </c>
      <c r="M309" s="193"/>
      <c r="N309" s="47" t="str">
        <f t="shared" si="29"/>
        <v>FY2010-11</v>
      </c>
      <c r="O309" s="47" t="s">
        <v>1353</v>
      </c>
      <c r="P309" s="47" t="s">
        <v>1338</v>
      </c>
      <c r="Q309" s="47" t="s">
        <v>1380</v>
      </c>
      <c r="R309" s="194"/>
      <c r="S309" s="194"/>
      <c r="T309" s="194"/>
      <c r="U309" s="194"/>
      <c r="V309" s="195"/>
      <c r="W309" s="195"/>
      <c r="X309" s="195"/>
      <c r="Y309" s="195"/>
      <c r="Z309" s="195"/>
      <c r="AA309" s="195"/>
      <c r="AB309" s="195"/>
      <c r="AC309" s="195"/>
      <c r="AD309" s="195"/>
      <c r="AE309" s="195"/>
      <c r="AF309" s="195"/>
      <c r="AG309" s="195"/>
    </row>
    <row r="310" spans="1:34" ht="16" customHeight="1">
      <c r="A310" s="7"/>
      <c r="B310" s="10"/>
      <c r="C310" s="12"/>
      <c r="D310" s="194"/>
      <c r="E310" s="194"/>
      <c r="F310" s="193"/>
      <c r="G310" s="194"/>
      <c r="H310" s="193"/>
      <c r="I310" s="193"/>
      <c r="J310" s="194"/>
      <c r="K310" s="194"/>
      <c r="L310" s="285" t="s">
        <v>1429</v>
      </c>
      <c r="M310" s="193"/>
      <c r="N310" s="47" t="str">
        <f t="shared" si="29"/>
        <v>FY2010-11</v>
      </c>
      <c r="O310" s="47" t="s">
        <v>1353</v>
      </c>
      <c r="P310" s="47" t="s">
        <v>1338</v>
      </c>
      <c r="Q310" s="47" t="s">
        <v>1380</v>
      </c>
      <c r="R310" s="194"/>
      <c r="S310" s="194"/>
      <c r="T310" s="194"/>
      <c r="U310" s="194"/>
      <c r="V310" s="195"/>
      <c r="W310" s="195"/>
      <c r="X310" s="195"/>
      <c r="Y310" s="195"/>
      <c r="Z310" s="195"/>
      <c r="AA310" s="195"/>
      <c r="AB310" s="195"/>
      <c r="AC310" s="195"/>
      <c r="AD310" s="195"/>
      <c r="AE310" s="195"/>
      <c r="AF310" s="195"/>
      <c r="AG310" s="195"/>
    </row>
    <row r="311" spans="1:34" ht="16" customHeight="1">
      <c r="A311" s="7"/>
      <c r="B311" s="10"/>
      <c r="C311" s="12"/>
      <c r="D311" s="194"/>
      <c r="E311" s="194"/>
      <c r="F311" s="193"/>
      <c r="G311" s="194"/>
      <c r="H311" s="193"/>
      <c r="I311" s="193"/>
      <c r="J311" s="194"/>
      <c r="K311" s="194"/>
      <c r="L311" s="285" t="s">
        <v>1429</v>
      </c>
      <c r="M311" s="193"/>
      <c r="N311" s="47" t="str">
        <f t="shared" si="29"/>
        <v>FY2010-11</v>
      </c>
      <c r="O311" s="47" t="s">
        <v>1353</v>
      </c>
      <c r="P311" s="47" t="s">
        <v>1338</v>
      </c>
      <c r="Q311" s="47" t="s">
        <v>1380</v>
      </c>
      <c r="R311" s="194"/>
      <c r="S311" s="194"/>
      <c r="T311" s="194"/>
      <c r="U311" s="194"/>
      <c r="V311" s="195"/>
      <c r="W311" s="195"/>
      <c r="X311" s="195"/>
      <c r="Y311" s="195"/>
      <c r="Z311" s="195"/>
      <c r="AA311" s="195"/>
      <c r="AB311" s="195"/>
      <c r="AC311" s="195"/>
      <c r="AD311" s="195"/>
      <c r="AE311" s="195"/>
      <c r="AF311" s="195"/>
      <c r="AG311" s="195"/>
    </row>
    <row r="312" spans="1:34" ht="16" customHeight="1">
      <c r="A312" s="29"/>
      <c r="B312" s="30"/>
      <c r="C312" s="30"/>
      <c r="D312" s="31"/>
      <c r="E312" s="31"/>
      <c r="F312" s="32"/>
      <c r="G312" s="31"/>
      <c r="H312" s="32"/>
      <c r="I312" s="32"/>
      <c r="J312" s="31"/>
      <c r="K312" s="31"/>
      <c r="L312" s="284"/>
      <c r="M312" s="32"/>
      <c r="N312" s="32"/>
      <c r="O312" s="31"/>
      <c r="P312" s="32"/>
      <c r="Q312" s="32"/>
      <c r="R312" s="31"/>
      <c r="S312" s="31"/>
      <c r="T312" s="31"/>
      <c r="U312" s="31"/>
      <c r="V312" s="29"/>
      <c r="W312" s="29"/>
      <c r="X312" s="29"/>
      <c r="Y312" s="29"/>
      <c r="Z312" s="29"/>
      <c r="AA312" s="29"/>
      <c r="AB312" s="29"/>
      <c r="AC312" s="29"/>
      <c r="AD312" s="29"/>
      <c r="AE312" s="29"/>
      <c r="AF312" s="29"/>
      <c r="AG312" s="29"/>
    </row>
    <row r="313" spans="1:34" ht="16" customHeight="1" thickBot="1">
      <c r="A313" s="7"/>
      <c r="B313" s="19" t="str">
        <f>"FA2 = "&amp;'FIG3'!$W$53&amp;" "&amp;'FIG3'!$X$53</f>
        <v>FA2 = FA2L1 FA2L2</v>
      </c>
      <c r="C313" s="7"/>
      <c r="D313" s="8"/>
      <c r="E313" s="8"/>
      <c r="F313" s="9"/>
      <c r="G313" s="8"/>
      <c r="H313" s="9"/>
      <c r="I313" s="9"/>
      <c r="J313" s="8"/>
      <c r="K313" s="8"/>
      <c r="L313" s="280"/>
      <c r="M313" s="9"/>
      <c r="N313" s="9"/>
      <c r="O313" s="8"/>
      <c r="P313" s="9"/>
      <c r="Q313" s="9"/>
      <c r="R313" s="8"/>
      <c r="S313" s="882"/>
      <c r="T313" s="883" t="str">
        <f>'$REV-DB'!$T$34</f>
        <v>Federal Revenues</v>
      </c>
      <c r="U313" s="883" t="str">
        <f>'$REV-DB'!$U$34</f>
        <v>local Revenues</v>
      </c>
      <c r="V313" s="883" t="str">
        <f>'$REV-DB'!$V$34</f>
        <v>Other Revenues</v>
      </c>
      <c r="W313" s="883" t="str">
        <f>'$REV-DB'!$W$34</f>
        <v>State revenues</v>
      </c>
      <c r="X313" s="883" t="str">
        <f>'$REV-DB'!$X$34</f>
        <v>UD5</v>
      </c>
      <c r="Y313" s="883" t="str">
        <f>'$REV-DB'!$Y$34</f>
        <v>UD6</v>
      </c>
      <c r="Z313" s="883" t="str">
        <f>'$REV-DB'!$Z$34</f>
        <v>UD7</v>
      </c>
      <c r="AA313" s="883" t="str">
        <f>'$REV-DB'!$AA$34</f>
        <v>UD8</v>
      </c>
      <c r="AB313" s="883" t="str">
        <f>'$REV-DB'!$AB$34</f>
        <v>UD9</v>
      </c>
      <c r="AC313" s="883" t="str">
        <f>'$REV-DB'!$AC$34</f>
        <v>UD10</v>
      </c>
      <c r="AD313" s="883" t="str">
        <f>'$REV-DB'!$AD$34</f>
        <v>UD11</v>
      </c>
      <c r="AE313" s="883" t="str">
        <f>'$REV-DB'!$AE$34</f>
        <v>UD12</v>
      </c>
      <c r="AF313" s="883" t="str">
        <f>'$REV-DB'!$AF$34</f>
        <v>UD13</v>
      </c>
      <c r="AG313" s="883" t="str">
        <f>'$REV-DB'!$AG$34</f>
        <v>UD14</v>
      </c>
    </row>
    <row r="314" spans="1:34" ht="16" customHeight="1" thickTop="1" thickBot="1">
      <c r="A314" s="7"/>
      <c r="B314" s="20" t="s">
        <v>1399</v>
      </c>
      <c r="C314" s="15"/>
      <c r="D314" s="105" t="s">
        <v>1386</v>
      </c>
      <c r="E314" s="105" t="s">
        <v>1387</v>
      </c>
      <c r="F314" s="105" t="s">
        <v>1388</v>
      </c>
      <c r="G314" s="105" t="s">
        <v>1389</v>
      </c>
      <c r="H314" s="301" t="s">
        <v>1406</v>
      </c>
      <c r="I314" s="301" t="s">
        <v>1390</v>
      </c>
      <c r="J314" s="301" t="s">
        <v>1391</v>
      </c>
      <c r="K314" s="301" t="s">
        <v>1392</v>
      </c>
      <c r="L314" s="301" t="s">
        <v>1188</v>
      </c>
      <c r="M314" s="301" t="s">
        <v>1437</v>
      </c>
      <c r="N314" s="105" t="s">
        <v>1348</v>
      </c>
      <c r="O314" s="105" t="s">
        <v>1393</v>
      </c>
      <c r="P314" s="105" t="s">
        <v>1342</v>
      </c>
      <c r="Q314" s="105" t="s">
        <v>1394</v>
      </c>
      <c r="R314" s="112" t="s">
        <v>1341</v>
      </c>
      <c r="S314" s="112" t="s">
        <v>846</v>
      </c>
      <c r="T314" s="873" t="s">
        <v>935</v>
      </c>
      <c r="U314" s="873" t="s">
        <v>936</v>
      </c>
      <c r="V314" s="873" t="s">
        <v>937</v>
      </c>
      <c r="W314" s="873" t="s">
        <v>938</v>
      </c>
      <c r="X314" s="873" t="s">
        <v>939</v>
      </c>
      <c r="Y314" s="873" t="s">
        <v>940</v>
      </c>
      <c r="Z314" s="873" t="s">
        <v>941</v>
      </c>
      <c r="AA314" s="873" t="s">
        <v>942</v>
      </c>
      <c r="AB314" s="873" t="s">
        <v>943</v>
      </c>
      <c r="AC314" s="873" t="s">
        <v>944</v>
      </c>
      <c r="AD314" s="873" t="s">
        <v>945</v>
      </c>
      <c r="AE314" s="873" t="s">
        <v>946</v>
      </c>
      <c r="AF314" s="873" t="s">
        <v>947</v>
      </c>
      <c r="AG314" s="873" t="s">
        <v>948</v>
      </c>
      <c r="AH314" s="6"/>
    </row>
    <row r="315" spans="1:34" ht="16" customHeight="1" thickTop="1">
      <c r="A315" s="7"/>
      <c r="B315" s="19" t="s">
        <v>1344</v>
      </c>
      <c r="C315" s="12"/>
      <c r="D315" s="194"/>
      <c r="E315" s="194"/>
      <c r="F315" s="193"/>
      <c r="G315" s="194"/>
      <c r="H315" s="193"/>
      <c r="I315" s="193"/>
      <c r="J315" s="194"/>
      <c r="K315" s="194"/>
      <c r="L315" s="285" t="s">
        <v>1429</v>
      </c>
      <c r="M315" s="193"/>
      <c r="N315" s="47" t="str">
        <f>J$6</f>
        <v>FY2010-11</v>
      </c>
      <c r="O315" s="47" t="s">
        <v>1353</v>
      </c>
      <c r="P315" s="47" t="s">
        <v>1338</v>
      </c>
      <c r="Q315" s="47" t="s">
        <v>1339</v>
      </c>
      <c r="R315" s="194"/>
      <c r="S315" s="194"/>
      <c r="T315" s="194"/>
      <c r="U315" s="194"/>
      <c r="V315" s="195"/>
      <c r="W315" s="195"/>
      <c r="X315" s="195"/>
      <c r="Y315" s="195"/>
      <c r="Z315" s="195"/>
      <c r="AA315" s="195"/>
      <c r="AB315" s="195"/>
      <c r="AC315" s="195"/>
      <c r="AD315" s="195"/>
      <c r="AE315" s="195"/>
      <c r="AF315" s="195"/>
      <c r="AG315" s="195"/>
      <c r="AH315" s="6"/>
    </row>
    <row r="316" spans="1:34" ht="16" customHeight="1">
      <c r="A316" s="7"/>
      <c r="B316" s="16">
        <f>DSUM('$REV-DB'!D35:AG374,"AMOUNT",'$REV-DSUM'!D314:AG321)</f>
        <v>0</v>
      </c>
      <c r="C316" s="12"/>
      <c r="D316" s="194"/>
      <c r="E316" s="194"/>
      <c r="F316" s="193"/>
      <c r="G316" s="194"/>
      <c r="H316" s="193"/>
      <c r="I316" s="193"/>
      <c r="J316" s="194"/>
      <c r="K316" s="194"/>
      <c r="L316" s="285" t="s">
        <v>1429</v>
      </c>
      <c r="M316" s="193"/>
      <c r="N316" s="47" t="str">
        <f t="shared" ref="N316:N321" si="30">J$6</f>
        <v>FY2010-11</v>
      </c>
      <c r="O316" s="47" t="s">
        <v>1353</v>
      </c>
      <c r="P316" s="47" t="s">
        <v>1338</v>
      </c>
      <c r="Q316" s="47" t="s">
        <v>1339</v>
      </c>
      <c r="R316" s="194"/>
      <c r="S316" s="194"/>
      <c r="T316" s="194"/>
      <c r="U316" s="194"/>
      <c r="V316" s="195"/>
      <c r="W316" s="195"/>
      <c r="X316" s="195"/>
      <c r="Y316" s="195"/>
      <c r="Z316" s="195"/>
      <c r="AA316" s="195"/>
      <c r="AB316" s="195"/>
      <c r="AC316" s="195"/>
      <c r="AD316" s="195"/>
      <c r="AE316" s="195"/>
      <c r="AF316" s="195"/>
      <c r="AG316" s="195"/>
      <c r="AH316" s="6"/>
    </row>
    <row r="317" spans="1:34" ht="16" customHeight="1">
      <c r="A317" s="7"/>
      <c r="B317" s="10"/>
      <c r="C317" s="12"/>
      <c r="D317" s="194"/>
      <c r="E317" s="194"/>
      <c r="F317" s="193"/>
      <c r="G317" s="194"/>
      <c r="H317" s="193"/>
      <c r="I317" s="193"/>
      <c r="J317" s="194"/>
      <c r="K317" s="194"/>
      <c r="L317" s="285" t="s">
        <v>1429</v>
      </c>
      <c r="M317" s="193"/>
      <c r="N317" s="47" t="str">
        <f t="shared" si="30"/>
        <v>FY2010-11</v>
      </c>
      <c r="O317" s="47" t="s">
        <v>1353</v>
      </c>
      <c r="P317" s="47" t="s">
        <v>1338</v>
      </c>
      <c r="Q317" s="47" t="s">
        <v>1339</v>
      </c>
      <c r="R317" s="194"/>
      <c r="S317" s="194"/>
      <c r="T317" s="194"/>
      <c r="U317" s="194"/>
      <c r="V317" s="195"/>
      <c r="W317" s="195"/>
      <c r="X317" s="195"/>
      <c r="Y317" s="195"/>
      <c r="Z317" s="195"/>
      <c r="AA317" s="195"/>
      <c r="AB317" s="195"/>
      <c r="AC317" s="195"/>
      <c r="AD317" s="195"/>
      <c r="AE317" s="195"/>
      <c r="AF317" s="195"/>
      <c r="AG317" s="195"/>
    </row>
    <row r="318" spans="1:34" ht="16" customHeight="1">
      <c r="A318" s="7"/>
      <c r="B318" s="10"/>
      <c r="C318" s="12"/>
      <c r="D318" s="194"/>
      <c r="E318" s="194"/>
      <c r="F318" s="193"/>
      <c r="G318" s="194"/>
      <c r="H318" s="193"/>
      <c r="I318" s="193"/>
      <c r="J318" s="194"/>
      <c r="K318" s="194"/>
      <c r="L318" s="285" t="s">
        <v>1429</v>
      </c>
      <c r="M318" s="193"/>
      <c r="N318" s="47" t="str">
        <f t="shared" si="30"/>
        <v>FY2010-11</v>
      </c>
      <c r="O318" s="47" t="s">
        <v>1353</v>
      </c>
      <c r="P318" s="47" t="s">
        <v>1338</v>
      </c>
      <c r="Q318" s="47" t="s">
        <v>1339</v>
      </c>
      <c r="R318" s="194"/>
      <c r="S318" s="194"/>
      <c r="T318" s="194"/>
      <c r="U318" s="194"/>
      <c r="V318" s="195"/>
      <c r="W318" s="195"/>
      <c r="X318" s="195"/>
      <c r="Y318" s="195"/>
      <c r="Z318" s="195"/>
      <c r="AA318" s="195"/>
      <c r="AB318" s="195"/>
      <c r="AC318" s="195"/>
      <c r="AD318" s="195"/>
      <c r="AE318" s="195"/>
      <c r="AF318" s="195"/>
      <c r="AG318" s="195"/>
    </row>
    <row r="319" spans="1:34" ht="16" customHeight="1">
      <c r="A319" s="7"/>
      <c r="B319" s="10"/>
      <c r="C319" s="12"/>
      <c r="D319" s="194"/>
      <c r="E319" s="194"/>
      <c r="F319" s="193"/>
      <c r="G319" s="194"/>
      <c r="H319" s="193"/>
      <c r="I319" s="193"/>
      <c r="J319" s="194"/>
      <c r="K319" s="194"/>
      <c r="L319" s="285" t="s">
        <v>1429</v>
      </c>
      <c r="M319" s="193"/>
      <c r="N319" s="47" t="str">
        <f t="shared" si="30"/>
        <v>FY2010-11</v>
      </c>
      <c r="O319" s="47" t="s">
        <v>1353</v>
      </c>
      <c r="P319" s="47" t="s">
        <v>1338</v>
      </c>
      <c r="Q319" s="47" t="s">
        <v>1339</v>
      </c>
      <c r="R319" s="194"/>
      <c r="S319" s="194"/>
      <c r="T319" s="194"/>
      <c r="U319" s="194"/>
      <c r="V319" s="195"/>
      <c r="W319" s="195"/>
      <c r="X319" s="195"/>
      <c r="Y319" s="195"/>
      <c r="Z319" s="195"/>
      <c r="AA319" s="195"/>
      <c r="AB319" s="195"/>
      <c r="AC319" s="195"/>
      <c r="AD319" s="195"/>
      <c r="AE319" s="195"/>
      <c r="AF319" s="195"/>
      <c r="AG319" s="195"/>
    </row>
    <row r="320" spans="1:34" ht="16" customHeight="1">
      <c r="A320" s="7"/>
      <c r="B320" s="10"/>
      <c r="C320" s="12"/>
      <c r="D320" s="194"/>
      <c r="E320" s="194"/>
      <c r="F320" s="193"/>
      <c r="G320" s="194"/>
      <c r="H320" s="193"/>
      <c r="I320" s="193"/>
      <c r="J320" s="194"/>
      <c r="K320" s="194"/>
      <c r="L320" s="285" t="s">
        <v>1429</v>
      </c>
      <c r="M320" s="193"/>
      <c r="N320" s="47" t="str">
        <f t="shared" si="30"/>
        <v>FY2010-11</v>
      </c>
      <c r="O320" s="47" t="s">
        <v>1353</v>
      </c>
      <c r="P320" s="47" t="s">
        <v>1338</v>
      </c>
      <c r="Q320" s="47" t="s">
        <v>1339</v>
      </c>
      <c r="R320" s="194"/>
      <c r="S320" s="194"/>
      <c r="T320" s="194"/>
      <c r="U320" s="194"/>
      <c r="V320" s="195"/>
      <c r="W320" s="195"/>
      <c r="X320" s="195"/>
      <c r="Y320" s="195"/>
      <c r="Z320" s="195"/>
      <c r="AA320" s="195"/>
      <c r="AB320" s="195"/>
      <c r="AC320" s="195"/>
      <c r="AD320" s="195"/>
      <c r="AE320" s="195"/>
      <c r="AF320" s="195"/>
      <c r="AG320" s="195"/>
    </row>
    <row r="321" spans="1:34" ht="16" customHeight="1">
      <c r="A321" s="7"/>
      <c r="B321" s="10"/>
      <c r="C321" s="12"/>
      <c r="D321" s="194"/>
      <c r="E321" s="194"/>
      <c r="F321" s="193"/>
      <c r="G321" s="194"/>
      <c r="H321" s="193"/>
      <c r="I321" s="193"/>
      <c r="J321" s="194"/>
      <c r="K321" s="194"/>
      <c r="L321" s="285" t="s">
        <v>1429</v>
      </c>
      <c r="M321" s="193"/>
      <c r="N321" s="47" t="str">
        <f t="shared" si="30"/>
        <v>FY2010-11</v>
      </c>
      <c r="O321" s="47" t="s">
        <v>1353</v>
      </c>
      <c r="P321" s="47" t="s">
        <v>1338</v>
      </c>
      <c r="Q321" s="47" t="s">
        <v>1339</v>
      </c>
      <c r="R321" s="194"/>
      <c r="S321" s="194"/>
      <c r="T321" s="194"/>
      <c r="U321" s="194"/>
      <c r="V321" s="195"/>
      <c r="W321" s="195"/>
      <c r="X321" s="195"/>
      <c r="Y321" s="195"/>
      <c r="Z321" s="195"/>
      <c r="AA321" s="195"/>
      <c r="AB321" s="195"/>
      <c r="AC321" s="195"/>
      <c r="AD321" s="195"/>
      <c r="AE321" s="195"/>
      <c r="AF321" s="195"/>
      <c r="AG321" s="195"/>
    </row>
    <row r="322" spans="1:34" ht="16" customHeight="1">
      <c r="A322" s="29"/>
      <c r="B322" s="30"/>
      <c r="C322" s="30"/>
      <c r="D322" s="31"/>
      <c r="E322" s="31"/>
      <c r="F322" s="32"/>
      <c r="G322" s="31"/>
      <c r="H322" s="32"/>
      <c r="I322" s="32"/>
      <c r="J322" s="31"/>
      <c r="K322" s="31"/>
      <c r="L322" s="284"/>
      <c r="M322" s="32"/>
      <c r="N322" s="32"/>
      <c r="O322" s="31"/>
      <c r="P322" s="32"/>
      <c r="Q322" s="32"/>
      <c r="R322" s="31"/>
      <c r="S322" s="31"/>
      <c r="T322" s="31"/>
      <c r="U322" s="31"/>
      <c r="V322" s="29"/>
      <c r="W322" s="29"/>
      <c r="X322" s="29"/>
      <c r="Y322" s="29"/>
      <c r="Z322" s="29"/>
      <c r="AA322" s="29"/>
      <c r="AB322" s="29"/>
      <c r="AC322" s="29"/>
      <c r="AD322" s="29"/>
      <c r="AE322" s="29"/>
      <c r="AF322" s="29"/>
      <c r="AG322" s="29"/>
    </row>
    <row r="323" spans="1:34" ht="16" customHeight="1" thickBot="1">
      <c r="A323" s="7"/>
      <c r="B323" s="19" t="str">
        <f>"FA2 = "&amp;'FIG3'!$W$53&amp;" "&amp;'FIG3'!$X$53</f>
        <v>FA2 = FA2L1 FA2L2</v>
      </c>
      <c r="C323" s="7"/>
      <c r="D323" s="8"/>
      <c r="E323" s="8"/>
      <c r="F323" s="9"/>
      <c r="G323" s="8"/>
      <c r="H323" s="9"/>
      <c r="I323" s="9"/>
      <c r="J323" s="8"/>
      <c r="K323" s="8"/>
      <c r="L323" s="280"/>
      <c r="M323" s="9"/>
      <c r="N323" s="9"/>
      <c r="O323" s="8"/>
      <c r="P323" s="9"/>
      <c r="Q323" s="9"/>
      <c r="R323" s="8"/>
      <c r="S323" s="882"/>
      <c r="T323" s="883" t="str">
        <f>'$REV-DB'!$T$34</f>
        <v>Federal Revenues</v>
      </c>
      <c r="U323" s="883" t="str">
        <f>'$REV-DB'!$U$34</f>
        <v>local Revenues</v>
      </c>
      <c r="V323" s="883" t="str">
        <f>'$REV-DB'!$V$34</f>
        <v>Other Revenues</v>
      </c>
      <c r="W323" s="883" t="str">
        <f>'$REV-DB'!$W$34</f>
        <v>State revenues</v>
      </c>
      <c r="X323" s="883" t="str">
        <f>'$REV-DB'!$X$34</f>
        <v>UD5</v>
      </c>
      <c r="Y323" s="883" t="str">
        <f>'$REV-DB'!$Y$34</f>
        <v>UD6</v>
      </c>
      <c r="Z323" s="883" t="str">
        <f>'$REV-DB'!$Z$34</f>
        <v>UD7</v>
      </c>
      <c r="AA323" s="883" t="str">
        <f>'$REV-DB'!$AA$34</f>
        <v>UD8</v>
      </c>
      <c r="AB323" s="883" t="str">
        <f>'$REV-DB'!$AB$34</f>
        <v>UD9</v>
      </c>
      <c r="AC323" s="883" t="str">
        <f>'$REV-DB'!$AC$34</f>
        <v>UD10</v>
      </c>
      <c r="AD323" s="883" t="str">
        <f>'$REV-DB'!$AD$34</f>
        <v>UD11</v>
      </c>
      <c r="AE323" s="883" t="str">
        <f>'$REV-DB'!$AE$34</f>
        <v>UD12</v>
      </c>
      <c r="AF323" s="883" t="str">
        <f>'$REV-DB'!$AF$34</f>
        <v>UD13</v>
      </c>
      <c r="AG323" s="883" t="str">
        <f>'$REV-DB'!$AG$34</f>
        <v>UD14</v>
      </c>
    </row>
    <row r="324" spans="1:34" ht="16" customHeight="1" thickTop="1" thickBot="1">
      <c r="A324" s="7"/>
      <c r="B324" s="20" t="s">
        <v>1399</v>
      </c>
      <c r="C324" s="15"/>
      <c r="D324" s="105" t="s">
        <v>1386</v>
      </c>
      <c r="E324" s="105" t="s">
        <v>1387</v>
      </c>
      <c r="F324" s="105" t="s">
        <v>1388</v>
      </c>
      <c r="G324" s="105" t="s">
        <v>1389</v>
      </c>
      <c r="H324" s="301" t="s">
        <v>1406</v>
      </c>
      <c r="I324" s="301" t="s">
        <v>1390</v>
      </c>
      <c r="J324" s="301" t="s">
        <v>1391</v>
      </c>
      <c r="K324" s="301" t="s">
        <v>1392</v>
      </c>
      <c r="L324" s="301" t="s">
        <v>1188</v>
      </c>
      <c r="M324" s="301" t="s">
        <v>1437</v>
      </c>
      <c r="N324" s="105" t="s">
        <v>1348</v>
      </c>
      <c r="O324" s="105" t="s">
        <v>1393</v>
      </c>
      <c r="P324" s="105" t="s">
        <v>1342</v>
      </c>
      <c r="Q324" s="105" t="s">
        <v>1394</v>
      </c>
      <c r="R324" s="112" t="s">
        <v>1341</v>
      </c>
      <c r="S324" s="112" t="s">
        <v>846</v>
      </c>
      <c r="T324" s="873" t="s">
        <v>935</v>
      </c>
      <c r="U324" s="873" t="s">
        <v>936</v>
      </c>
      <c r="V324" s="873" t="s">
        <v>937</v>
      </c>
      <c r="W324" s="873" t="s">
        <v>938</v>
      </c>
      <c r="X324" s="873" t="s">
        <v>939</v>
      </c>
      <c r="Y324" s="873" t="s">
        <v>940</v>
      </c>
      <c r="Z324" s="873" t="s">
        <v>941</v>
      </c>
      <c r="AA324" s="873" t="s">
        <v>942</v>
      </c>
      <c r="AB324" s="873" t="s">
        <v>943</v>
      </c>
      <c r="AC324" s="873" t="s">
        <v>944</v>
      </c>
      <c r="AD324" s="873" t="s">
        <v>945</v>
      </c>
      <c r="AE324" s="873" t="s">
        <v>946</v>
      </c>
      <c r="AF324" s="873" t="s">
        <v>947</v>
      </c>
      <c r="AG324" s="873" t="s">
        <v>948</v>
      </c>
      <c r="AH324" s="6"/>
    </row>
    <row r="325" spans="1:34" ht="16" customHeight="1" thickTop="1">
      <c r="A325" s="7"/>
      <c r="B325" s="19" t="s">
        <v>1343</v>
      </c>
      <c r="C325" s="12"/>
      <c r="D325" s="194"/>
      <c r="E325" s="194"/>
      <c r="F325" s="193"/>
      <c r="G325" s="194"/>
      <c r="H325" s="193"/>
      <c r="I325" s="193"/>
      <c r="J325" s="194"/>
      <c r="K325" s="194"/>
      <c r="L325" s="285" t="s">
        <v>1429</v>
      </c>
      <c r="M325" s="193"/>
      <c r="N325" s="47" t="str">
        <f>J$6</f>
        <v>FY2010-11</v>
      </c>
      <c r="O325" s="47" t="s">
        <v>1353</v>
      </c>
      <c r="P325" s="47" t="s">
        <v>1338</v>
      </c>
      <c r="Q325" s="47" t="s">
        <v>1379</v>
      </c>
      <c r="R325" s="194"/>
      <c r="S325" s="194"/>
      <c r="T325" s="194"/>
      <c r="U325" s="194"/>
      <c r="V325" s="195"/>
      <c r="W325" s="195"/>
      <c r="X325" s="195"/>
      <c r="Y325" s="195"/>
      <c r="Z325" s="195"/>
      <c r="AA325" s="195"/>
      <c r="AB325" s="195"/>
      <c r="AC325" s="195"/>
      <c r="AD325" s="195"/>
      <c r="AE325" s="195"/>
      <c r="AF325" s="195"/>
      <c r="AG325" s="195"/>
      <c r="AH325" s="6"/>
    </row>
    <row r="326" spans="1:34" ht="16" customHeight="1">
      <c r="A326" s="7"/>
      <c r="B326" s="16">
        <f>DSUM('$REV-DB'!D35:AG374,"AMOUNT",'$REV-DSUM'!D324:AG331)</f>
        <v>0</v>
      </c>
      <c r="C326" s="12"/>
      <c r="D326" s="194"/>
      <c r="E326" s="194"/>
      <c r="F326" s="193"/>
      <c r="G326" s="194"/>
      <c r="H326" s="193"/>
      <c r="I326" s="193"/>
      <c r="J326" s="194"/>
      <c r="K326" s="194"/>
      <c r="L326" s="285" t="s">
        <v>1429</v>
      </c>
      <c r="M326" s="193"/>
      <c r="N326" s="47" t="str">
        <f t="shared" ref="N326:N331" si="31">J$6</f>
        <v>FY2010-11</v>
      </c>
      <c r="O326" s="47" t="s">
        <v>1353</v>
      </c>
      <c r="P326" s="47" t="s">
        <v>1338</v>
      </c>
      <c r="Q326" s="47" t="s">
        <v>1379</v>
      </c>
      <c r="R326" s="194"/>
      <c r="S326" s="194"/>
      <c r="T326" s="194"/>
      <c r="U326" s="194"/>
      <c r="V326" s="195"/>
      <c r="W326" s="195"/>
      <c r="X326" s="195"/>
      <c r="Y326" s="195"/>
      <c r="Z326" s="195"/>
      <c r="AA326" s="195"/>
      <c r="AB326" s="195"/>
      <c r="AC326" s="195"/>
      <c r="AD326" s="195"/>
      <c r="AE326" s="195"/>
      <c r="AF326" s="195"/>
      <c r="AG326" s="195"/>
      <c r="AH326" s="6"/>
    </row>
    <row r="327" spans="1:34" ht="16" customHeight="1">
      <c r="A327" s="7"/>
      <c r="B327" s="10"/>
      <c r="C327" s="12"/>
      <c r="D327" s="194"/>
      <c r="E327" s="194"/>
      <c r="F327" s="193"/>
      <c r="G327" s="194"/>
      <c r="H327" s="193"/>
      <c r="I327" s="193"/>
      <c r="J327" s="194"/>
      <c r="K327" s="194"/>
      <c r="L327" s="285" t="s">
        <v>1429</v>
      </c>
      <c r="M327" s="193"/>
      <c r="N327" s="47" t="str">
        <f t="shared" si="31"/>
        <v>FY2010-11</v>
      </c>
      <c r="O327" s="47" t="s">
        <v>1353</v>
      </c>
      <c r="P327" s="47" t="s">
        <v>1338</v>
      </c>
      <c r="Q327" s="47" t="s">
        <v>1379</v>
      </c>
      <c r="R327" s="194"/>
      <c r="S327" s="194"/>
      <c r="T327" s="194"/>
      <c r="U327" s="194"/>
      <c r="V327" s="195"/>
      <c r="W327" s="195"/>
      <c r="X327" s="195"/>
      <c r="Y327" s="195"/>
      <c r="Z327" s="195"/>
      <c r="AA327" s="195"/>
      <c r="AB327" s="195"/>
      <c r="AC327" s="195"/>
      <c r="AD327" s="195"/>
      <c r="AE327" s="195"/>
      <c r="AF327" s="195"/>
      <c r="AG327" s="195"/>
    </row>
    <row r="328" spans="1:34" ht="16" customHeight="1">
      <c r="A328" s="7"/>
      <c r="B328" s="10"/>
      <c r="C328" s="12"/>
      <c r="D328" s="194"/>
      <c r="E328" s="194"/>
      <c r="F328" s="193"/>
      <c r="G328" s="194"/>
      <c r="H328" s="193"/>
      <c r="I328" s="193"/>
      <c r="J328" s="194"/>
      <c r="K328" s="194"/>
      <c r="L328" s="285" t="s">
        <v>1429</v>
      </c>
      <c r="M328" s="193"/>
      <c r="N328" s="47" t="str">
        <f t="shared" si="31"/>
        <v>FY2010-11</v>
      </c>
      <c r="O328" s="47" t="s">
        <v>1353</v>
      </c>
      <c r="P328" s="47" t="s">
        <v>1338</v>
      </c>
      <c r="Q328" s="47" t="s">
        <v>1379</v>
      </c>
      <c r="R328" s="194"/>
      <c r="S328" s="194"/>
      <c r="T328" s="194"/>
      <c r="U328" s="194"/>
      <c r="V328" s="195"/>
      <c r="W328" s="195"/>
      <c r="X328" s="195"/>
      <c r="Y328" s="195"/>
      <c r="Z328" s="195"/>
      <c r="AA328" s="195"/>
      <c r="AB328" s="195"/>
      <c r="AC328" s="195"/>
      <c r="AD328" s="195"/>
      <c r="AE328" s="195"/>
      <c r="AF328" s="195"/>
      <c r="AG328" s="195"/>
    </row>
    <row r="329" spans="1:34" ht="16" customHeight="1">
      <c r="A329" s="7"/>
      <c r="B329" s="10"/>
      <c r="C329" s="12"/>
      <c r="D329" s="194"/>
      <c r="E329" s="194"/>
      <c r="F329" s="193"/>
      <c r="G329" s="194"/>
      <c r="H329" s="193"/>
      <c r="I329" s="193"/>
      <c r="J329" s="194"/>
      <c r="K329" s="194"/>
      <c r="L329" s="285" t="s">
        <v>1429</v>
      </c>
      <c r="M329" s="193"/>
      <c r="N329" s="47" t="str">
        <f t="shared" si="31"/>
        <v>FY2010-11</v>
      </c>
      <c r="O329" s="47" t="s">
        <v>1353</v>
      </c>
      <c r="P329" s="47" t="s">
        <v>1338</v>
      </c>
      <c r="Q329" s="47" t="s">
        <v>1379</v>
      </c>
      <c r="R329" s="194"/>
      <c r="S329" s="194"/>
      <c r="T329" s="194"/>
      <c r="U329" s="194"/>
      <c r="V329" s="195"/>
      <c r="W329" s="195"/>
      <c r="X329" s="195"/>
      <c r="Y329" s="195"/>
      <c r="Z329" s="195"/>
      <c r="AA329" s="195"/>
      <c r="AB329" s="195"/>
      <c r="AC329" s="195"/>
      <c r="AD329" s="195"/>
      <c r="AE329" s="195"/>
      <c r="AF329" s="195"/>
      <c r="AG329" s="195"/>
    </row>
    <row r="330" spans="1:34" ht="16" customHeight="1">
      <c r="A330" s="7"/>
      <c r="B330" s="10"/>
      <c r="C330" s="12"/>
      <c r="D330" s="194"/>
      <c r="E330" s="194"/>
      <c r="F330" s="193"/>
      <c r="G330" s="194"/>
      <c r="H330" s="193"/>
      <c r="I330" s="193"/>
      <c r="J330" s="194"/>
      <c r="K330" s="194"/>
      <c r="L330" s="285" t="s">
        <v>1429</v>
      </c>
      <c r="M330" s="193"/>
      <c r="N330" s="47" t="str">
        <f t="shared" si="31"/>
        <v>FY2010-11</v>
      </c>
      <c r="O330" s="47" t="s">
        <v>1353</v>
      </c>
      <c r="P330" s="47" t="s">
        <v>1338</v>
      </c>
      <c r="Q330" s="47" t="s">
        <v>1379</v>
      </c>
      <c r="R330" s="194"/>
      <c r="S330" s="194"/>
      <c r="T330" s="194"/>
      <c r="U330" s="194"/>
      <c r="V330" s="195"/>
      <c r="W330" s="195"/>
      <c r="X330" s="195"/>
      <c r="Y330" s="195"/>
      <c r="Z330" s="195"/>
      <c r="AA330" s="195"/>
      <c r="AB330" s="195"/>
      <c r="AC330" s="195"/>
      <c r="AD330" s="195"/>
      <c r="AE330" s="195"/>
      <c r="AF330" s="195"/>
      <c r="AG330" s="195"/>
    </row>
    <row r="331" spans="1:34" ht="16" customHeight="1">
      <c r="A331" s="7"/>
      <c r="B331" s="10"/>
      <c r="C331" s="12"/>
      <c r="D331" s="194"/>
      <c r="E331" s="194"/>
      <c r="F331" s="193"/>
      <c r="G331" s="194"/>
      <c r="H331" s="193"/>
      <c r="I331" s="193"/>
      <c r="J331" s="194"/>
      <c r="K331" s="194"/>
      <c r="L331" s="285" t="s">
        <v>1429</v>
      </c>
      <c r="M331" s="193"/>
      <c r="N331" s="47" t="str">
        <f t="shared" si="31"/>
        <v>FY2010-11</v>
      </c>
      <c r="O331" s="47" t="s">
        <v>1353</v>
      </c>
      <c r="P331" s="47" t="s">
        <v>1338</v>
      </c>
      <c r="Q331" s="47" t="s">
        <v>1379</v>
      </c>
      <c r="R331" s="194"/>
      <c r="S331" s="194"/>
      <c r="T331" s="194"/>
      <c r="U331" s="194"/>
      <c r="V331" s="195"/>
      <c r="W331" s="195"/>
      <c r="X331" s="195"/>
      <c r="Y331" s="195"/>
      <c r="Z331" s="195"/>
      <c r="AA331" s="195"/>
      <c r="AB331" s="195"/>
      <c r="AC331" s="195"/>
      <c r="AD331" s="195"/>
      <c r="AE331" s="195"/>
      <c r="AF331" s="195"/>
      <c r="AG331" s="195"/>
    </row>
    <row r="332" spans="1:34" ht="16" customHeight="1">
      <c r="A332" s="29"/>
      <c r="B332" s="30"/>
      <c r="C332" s="30"/>
      <c r="D332" s="31"/>
      <c r="E332" s="31"/>
      <c r="F332" s="32"/>
      <c r="G332" s="31"/>
      <c r="H332" s="32"/>
      <c r="I332" s="32"/>
      <c r="J332" s="31"/>
      <c r="K332" s="31"/>
      <c r="L332" s="284"/>
      <c r="M332" s="32"/>
      <c r="N332" s="32"/>
      <c r="O332" s="31"/>
      <c r="P332" s="32"/>
      <c r="Q332" s="32"/>
      <c r="R332" s="31"/>
      <c r="S332" s="31"/>
      <c r="T332" s="31"/>
      <c r="U332" s="31"/>
      <c r="V332" s="29"/>
      <c r="W332" s="29"/>
      <c r="X332" s="29"/>
      <c r="Y332" s="29"/>
      <c r="Z332" s="29"/>
      <c r="AA332" s="29"/>
      <c r="AB332" s="29"/>
      <c r="AC332" s="29"/>
      <c r="AD332" s="29"/>
      <c r="AE332" s="29"/>
      <c r="AF332" s="29"/>
      <c r="AG332" s="29"/>
    </row>
    <row r="333" spans="1:34" ht="16" customHeight="1" thickBot="1">
      <c r="A333" s="7"/>
      <c r="B333" s="19" t="str">
        <f>"FA2 = "&amp;'FIG3'!$W$53&amp;" "&amp;'FIG3'!$X$53</f>
        <v>FA2 = FA2L1 FA2L2</v>
      </c>
      <c r="C333" s="7"/>
      <c r="D333" s="8"/>
      <c r="E333" s="8"/>
      <c r="F333" s="9"/>
      <c r="G333" s="8"/>
      <c r="H333" s="9"/>
      <c r="I333" s="9"/>
      <c r="J333" s="8"/>
      <c r="K333" s="8"/>
      <c r="L333" s="280"/>
      <c r="M333" s="9"/>
      <c r="N333" s="9"/>
      <c r="O333" s="8"/>
      <c r="P333" s="9"/>
      <c r="Q333" s="9"/>
      <c r="R333" s="8"/>
      <c r="S333" s="882"/>
      <c r="T333" s="883" t="str">
        <f>'$REV-DB'!$T$34</f>
        <v>Federal Revenues</v>
      </c>
      <c r="U333" s="883" t="str">
        <f>'$REV-DB'!$U$34</f>
        <v>local Revenues</v>
      </c>
      <c r="V333" s="883" t="str">
        <f>'$REV-DB'!$V$34</f>
        <v>Other Revenues</v>
      </c>
      <c r="W333" s="883" t="str">
        <f>'$REV-DB'!$W$34</f>
        <v>State revenues</v>
      </c>
      <c r="X333" s="883" t="str">
        <f>'$REV-DB'!$X$34</f>
        <v>UD5</v>
      </c>
      <c r="Y333" s="883" t="str">
        <f>'$REV-DB'!$Y$34</f>
        <v>UD6</v>
      </c>
      <c r="Z333" s="883" t="str">
        <f>'$REV-DB'!$Z$34</f>
        <v>UD7</v>
      </c>
      <c r="AA333" s="883" t="str">
        <f>'$REV-DB'!$AA$34</f>
        <v>UD8</v>
      </c>
      <c r="AB333" s="883" t="str">
        <f>'$REV-DB'!$AB$34</f>
        <v>UD9</v>
      </c>
      <c r="AC333" s="883" t="str">
        <f>'$REV-DB'!$AC$34</f>
        <v>UD10</v>
      </c>
      <c r="AD333" s="883" t="str">
        <f>'$REV-DB'!$AD$34</f>
        <v>UD11</v>
      </c>
      <c r="AE333" s="883" t="str">
        <f>'$REV-DB'!$AE$34</f>
        <v>UD12</v>
      </c>
      <c r="AF333" s="883" t="str">
        <f>'$REV-DB'!$AF$34</f>
        <v>UD13</v>
      </c>
      <c r="AG333" s="883" t="str">
        <f>'$REV-DB'!$AG$34</f>
        <v>UD14</v>
      </c>
    </row>
    <row r="334" spans="1:34" ht="16" customHeight="1" thickTop="1" thickBot="1">
      <c r="A334" s="7"/>
      <c r="B334" s="20" t="s">
        <v>1399</v>
      </c>
      <c r="C334" s="15"/>
      <c r="D334" s="105" t="s">
        <v>1386</v>
      </c>
      <c r="E334" s="105" t="s">
        <v>1387</v>
      </c>
      <c r="F334" s="105" t="s">
        <v>1388</v>
      </c>
      <c r="G334" s="105" t="s">
        <v>1389</v>
      </c>
      <c r="H334" s="301" t="s">
        <v>1406</v>
      </c>
      <c r="I334" s="301" t="s">
        <v>1390</v>
      </c>
      <c r="J334" s="301" t="s">
        <v>1391</v>
      </c>
      <c r="K334" s="301" t="s">
        <v>1392</v>
      </c>
      <c r="L334" s="301" t="s">
        <v>1188</v>
      </c>
      <c r="M334" s="301" t="s">
        <v>1437</v>
      </c>
      <c r="N334" s="105" t="s">
        <v>1348</v>
      </c>
      <c r="O334" s="105" t="s">
        <v>1393</v>
      </c>
      <c r="P334" s="105" t="s">
        <v>1342</v>
      </c>
      <c r="Q334" s="105" t="s">
        <v>1394</v>
      </c>
      <c r="R334" s="112" t="s">
        <v>1341</v>
      </c>
      <c r="S334" s="112" t="s">
        <v>846</v>
      </c>
      <c r="T334" s="873" t="s">
        <v>935</v>
      </c>
      <c r="U334" s="873" t="s">
        <v>936</v>
      </c>
      <c r="V334" s="873" t="s">
        <v>937</v>
      </c>
      <c r="W334" s="873" t="s">
        <v>938</v>
      </c>
      <c r="X334" s="873" t="s">
        <v>939</v>
      </c>
      <c r="Y334" s="873" t="s">
        <v>940</v>
      </c>
      <c r="Z334" s="873" t="s">
        <v>941</v>
      </c>
      <c r="AA334" s="873" t="s">
        <v>942</v>
      </c>
      <c r="AB334" s="873" t="s">
        <v>943</v>
      </c>
      <c r="AC334" s="873" t="s">
        <v>944</v>
      </c>
      <c r="AD334" s="873" t="s">
        <v>945</v>
      </c>
      <c r="AE334" s="873" t="s">
        <v>946</v>
      </c>
      <c r="AF334" s="873" t="s">
        <v>947</v>
      </c>
      <c r="AG334" s="873" t="s">
        <v>948</v>
      </c>
      <c r="AH334" s="6"/>
    </row>
    <row r="335" spans="1:34" ht="16" customHeight="1" thickTop="1">
      <c r="A335" s="7"/>
      <c r="B335" s="19" t="s">
        <v>1349</v>
      </c>
      <c r="C335" s="12"/>
      <c r="D335" s="194"/>
      <c r="E335" s="194"/>
      <c r="F335" s="193"/>
      <c r="G335" s="194"/>
      <c r="H335" s="193"/>
      <c r="I335" s="193"/>
      <c r="J335" s="194"/>
      <c r="K335" s="194"/>
      <c r="L335" s="285" t="s">
        <v>1429</v>
      </c>
      <c r="M335" s="193"/>
      <c r="N335" s="47" t="str">
        <f>J$6</f>
        <v>FY2010-11</v>
      </c>
      <c r="O335" s="47" t="s">
        <v>1353</v>
      </c>
      <c r="P335" s="47" t="s">
        <v>1338</v>
      </c>
      <c r="Q335" s="47" t="s">
        <v>1397</v>
      </c>
      <c r="R335" s="194"/>
      <c r="S335" s="194"/>
      <c r="T335" s="194"/>
      <c r="U335" s="194"/>
      <c r="V335" s="195"/>
      <c r="W335" s="195"/>
      <c r="X335" s="195"/>
      <c r="Y335" s="195"/>
      <c r="Z335" s="195"/>
      <c r="AA335" s="195"/>
      <c r="AB335" s="195"/>
      <c r="AC335" s="195"/>
      <c r="AD335" s="195"/>
      <c r="AE335" s="195"/>
      <c r="AF335" s="195"/>
      <c r="AG335" s="195"/>
      <c r="AH335" s="6"/>
    </row>
    <row r="336" spans="1:34" ht="16" customHeight="1">
      <c r="A336" s="7"/>
      <c r="B336" s="16">
        <f>DSUM('$REV-DB'!D35:AG374,"AMOUNT",'$REV-DSUM'!D334:AG341)</f>
        <v>0</v>
      </c>
      <c r="C336" s="12"/>
      <c r="D336" s="194"/>
      <c r="E336" s="194"/>
      <c r="F336" s="193"/>
      <c r="G336" s="194"/>
      <c r="H336" s="193"/>
      <c r="I336" s="193"/>
      <c r="J336" s="194"/>
      <c r="K336" s="194"/>
      <c r="L336" s="285" t="s">
        <v>1429</v>
      </c>
      <c r="M336" s="193"/>
      <c r="N336" s="47" t="str">
        <f t="shared" ref="N336:N341" si="32">J$6</f>
        <v>FY2010-11</v>
      </c>
      <c r="O336" s="47" t="s">
        <v>1353</v>
      </c>
      <c r="P336" s="47" t="s">
        <v>1338</v>
      </c>
      <c r="Q336" s="47" t="s">
        <v>1397</v>
      </c>
      <c r="R336" s="194"/>
      <c r="S336" s="194"/>
      <c r="T336" s="194"/>
      <c r="U336" s="194"/>
      <c r="V336" s="195"/>
      <c r="W336" s="195"/>
      <c r="X336" s="195"/>
      <c r="Y336" s="195"/>
      <c r="Z336" s="195"/>
      <c r="AA336" s="195"/>
      <c r="AB336" s="195"/>
      <c r="AC336" s="195"/>
      <c r="AD336" s="195"/>
      <c r="AE336" s="195"/>
      <c r="AF336" s="195"/>
      <c r="AG336" s="195"/>
      <c r="AH336" s="6"/>
    </row>
    <row r="337" spans="1:34" ht="16" customHeight="1">
      <c r="A337" s="7"/>
      <c r="B337" s="10"/>
      <c r="C337" s="12"/>
      <c r="D337" s="194"/>
      <c r="E337" s="194"/>
      <c r="F337" s="193"/>
      <c r="G337" s="194"/>
      <c r="H337" s="193"/>
      <c r="I337" s="193"/>
      <c r="J337" s="194"/>
      <c r="K337" s="194"/>
      <c r="L337" s="285" t="s">
        <v>1429</v>
      </c>
      <c r="M337" s="193"/>
      <c r="N337" s="47" t="str">
        <f t="shared" si="32"/>
        <v>FY2010-11</v>
      </c>
      <c r="O337" s="47" t="s">
        <v>1353</v>
      </c>
      <c r="P337" s="47" t="s">
        <v>1338</v>
      </c>
      <c r="Q337" s="47" t="s">
        <v>1397</v>
      </c>
      <c r="R337" s="194"/>
      <c r="S337" s="194"/>
      <c r="T337" s="194"/>
      <c r="U337" s="194"/>
      <c r="V337" s="195"/>
      <c r="W337" s="195"/>
      <c r="X337" s="195"/>
      <c r="Y337" s="195"/>
      <c r="Z337" s="195"/>
      <c r="AA337" s="195"/>
      <c r="AB337" s="195"/>
      <c r="AC337" s="195"/>
      <c r="AD337" s="195"/>
      <c r="AE337" s="195"/>
      <c r="AF337" s="195"/>
      <c r="AG337" s="195"/>
    </row>
    <row r="338" spans="1:34" ht="16" customHeight="1">
      <c r="A338" s="7"/>
      <c r="B338" s="10"/>
      <c r="C338" s="12"/>
      <c r="D338" s="194"/>
      <c r="E338" s="194"/>
      <c r="F338" s="193"/>
      <c r="G338" s="194"/>
      <c r="H338" s="193"/>
      <c r="I338" s="193"/>
      <c r="J338" s="194"/>
      <c r="K338" s="194"/>
      <c r="L338" s="285" t="s">
        <v>1429</v>
      </c>
      <c r="M338" s="193"/>
      <c r="N338" s="47" t="str">
        <f t="shared" si="32"/>
        <v>FY2010-11</v>
      </c>
      <c r="O338" s="47" t="s">
        <v>1353</v>
      </c>
      <c r="P338" s="47" t="s">
        <v>1338</v>
      </c>
      <c r="Q338" s="47" t="s">
        <v>1397</v>
      </c>
      <c r="R338" s="194"/>
      <c r="S338" s="194"/>
      <c r="T338" s="194"/>
      <c r="U338" s="194"/>
      <c r="V338" s="195"/>
      <c r="W338" s="195"/>
      <c r="X338" s="195"/>
      <c r="Y338" s="195"/>
      <c r="Z338" s="195"/>
      <c r="AA338" s="195"/>
      <c r="AB338" s="195"/>
      <c r="AC338" s="195"/>
      <c r="AD338" s="195"/>
      <c r="AE338" s="195"/>
      <c r="AF338" s="195"/>
      <c r="AG338" s="195"/>
    </row>
    <row r="339" spans="1:34" ht="16" customHeight="1">
      <c r="A339" s="7"/>
      <c r="B339" s="10"/>
      <c r="C339" s="12"/>
      <c r="D339" s="194"/>
      <c r="E339" s="194"/>
      <c r="F339" s="193"/>
      <c r="G339" s="194"/>
      <c r="H339" s="193"/>
      <c r="I339" s="193"/>
      <c r="J339" s="194"/>
      <c r="K339" s="194"/>
      <c r="L339" s="285" t="s">
        <v>1429</v>
      </c>
      <c r="M339" s="193"/>
      <c r="N339" s="47" t="str">
        <f t="shared" si="32"/>
        <v>FY2010-11</v>
      </c>
      <c r="O339" s="47" t="s">
        <v>1353</v>
      </c>
      <c r="P339" s="47" t="s">
        <v>1338</v>
      </c>
      <c r="Q339" s="47" t="s">
        <v>1397</v>
      </c>
      <c r="R339" s="194"/>
      <c r="S339" s="194"/>
      <c r="T339" s="194"/>
      <c r="U339" s="194"/>
      <c r="V339" s="195"/>
      <c r="W339" s="195"/>
      <c r="X339" s="195"/>
      <c r="Y339" s="195"/>
      <c r="Z339" s="195"/>
      <c r="AA339" s="195"/>
      <c r="AB339" s="195"/>
      <c r="AC339" s="195"/>
      <c r="AD339" s="195"/>
      <c r="AE339" s="195"/>
      <c r="AF339" s="195"/>
      <c r="AG339" s="195"/>
    </row>
    <row r="340" spans="1:34" ht="16" customHeight="1">
      <c r="A340" s="7"/>
      <c r="B340" s="10"/>
      <c r="C340" s="12"/>
      <c r="D340" s="194"/>
      <c r="E340" s="194"/>
      <c r="F340" s="193"/>
      <c r="G340" s="194"/>
      <c r="H340" s="193"/>
      <c r="I340" s="193"/>
      <c r="J340" s="194"/>
      <c r="K340" s="194"/>
      <c r="L340" s="285" t="s">
        <v>1429</v>
      </c>
      <c r="M340" s="193"/>
      <c r="N340" s="47" t="str">
        <f t="shared" si="32"/>
        <v>FY2010-11</v>
      </c>
      <c r="O340" s="47" t="s">
        <v>1353</v>
      </c>
      <c r="P340" s="47" t="s">
        <v>1338</v>
      </c>
      <c r="Q340" s="47" t="s">
        <v>1397</v>
      </c>
      <c r="R340" s="194"/>
      <c r="S340" s="194"/>
      <c r="T340" s="194"/>
      <c r="U340" s="194"/>
      <c r="V340" s="195"/>
      <c r="W340" s="195"/>
      <c r="X340" s="195"/>
      <c r="Y340" s="195"/>
      <c r="Z340" s="195"/>
      <c r="AA340" s="195"/>
      <c r="AB340" s="195"/>
      <c r="AC340" s="195"/>
      <c r="AD340" s="195"/>
      <c r="AE340" s="195"/>
      <c r="AF340" s="195"/>
      <c r="AG340" s="195"/>
    </row>
    <row r="341" spans="1:34" ht="16" customHeight="1">
      <c r="A341" s="7"/>
      <c r="B341" s="10"/>
      <c r="C341" s="12"/>
      <c r="D341" s="194"/>
      <c r="E341" s="194"/>
      <c r="F341" s="193"/>
      <c r="G341" s="194"/>
      <c r="H341" s="193"/>
      <c r="I341" s="193"/>
      <c r="J341" s="194"/>
      <c r="K341" s="194"/>
      <c r="L341" s="285" t="s">
        <v>1429</v>
      </c>
      <c r="M341" s="193"/>
      <c r="N341" s="47" t="str">
        <f t="shared" si="32"/>
        <v>FY2010-11</v>
      </c>
      <c r="O341" s="47" t="s">
        <v>1353</v>
      </c>
      <c r="P341" s="47" t="s">
        <v>1338</v>
      </c>
      <c r="Q341" s="47" t="s">
        <v>1397</v>
      </c>
      <c r="R341" s="194"/>
      <c r="S341" s="194"/>
      <c r="T341" s="194"/>
      <c r="U341" s="194"/>
      <c r="V341" s="195"/>
      <c r="W341" s="195"/>
      <c r="X341" s="195"/>
      <c r="Y341" s="195"/>
      <c r="Z341" s="195"/>
      <c r="AA341" s="195"/>
      <c r="AB341" s="195"/>
      <c r="AC341" s="195"/>
      <c r="AD341" s="195"/>
      <c r="AE341" s="195"/>
      <c r="AF341" s="195"/>
      <c r="AG341" s="195"/>
    </row>
    <row r="342" spans="1:34" ht="16" customHeight="1">
      <c r="A342" s="29"/>
      <c r="B342" s="30"/>
      <c r="C342" s="30"/>
      <c r="D342" s="31"/>
      <c r="E342" s="31"/>
      <c r="F342" s="32"/>
      <c r="G342" s="31"/>
      <c r="H342" s="32"/>
      <c r="I342" s="32"/>
      <c r="J342" s="31"/>
      <c r="K342" s="31"/>
      <c r="L342" s="284"/>
      <c r="M342" s="32"/>
      <c r="N342" s="32"/>
      <c r="O342" s="31"/>
      <c r="P342" s="32"/>
      <c r="Q342" s="32"/>
      <c r="R342" s="31"/>
      <c r="S342" s="31"/>
      <c r="T342" s="31"/>
      <c r="U342" s="31"/>
      <c r="V342" s="29"/>
      <c r="W342" s="29"/>
      <c r="X342" s="29"/>
      <c r="Y342" s="29"/>
      <c r="Z342" s="29"/>
      <c r="AA342" s="29"/>
      <c r="AB342" s="29"/>
      <c r="AC342" s="29"/>
      <c r="AD342" s="29"/>
      <c r="AE342" s="29"/>
      <c r="AF342" s="29"/>
      <c r="AG342" s="29"/>
    </row>
    <row r="343" spans="1:34" ht="16" customHeight="1" thickBot="1">
      <c r="A343" s="7"/>
      <c r="B343" s="19" t="str">
        <f>"FA2 = "&amp;'FIG3'!$W$53&amp;" "&amp;'FIG3'!$X$53</f>
        <v>FA2 = FA2L1 FA2L2</v>
      </c>
      <c r="C343" s="7"/>
      <c r="D343" s="8"/>
      <c r="E343" s="8"/>
      <c r="F343" s="9"/>
      <c r="G343" s="8"/>
      <c r="H343" s="9"/>
      <c r="I343" s="9"/>
      <c r="J343" s="8"/>
      <c r="K343" s="8"/>
      <c r="L343" s="280"/>
      <c r="M343" s="9"/>
      <c r="N343" s="9"/>
      <c r="O343" s="8"/>
      <c r="P343" s="9"/>
      <c r="Q343" s="9"/>
      <c r="R343" s="8"/>
      <c r="S343" s="882"/>
      <c r="T343" s="883" t="str">
        <f>'$REV-DB'!$T$34</f>
        <v>Federal Revenues</v>
      </c>
      <c r="U343" s="883" t="str">
        <f>'$REV-DB'!$U$34</f>
        <v>local Revenues</v>
      </c>
      <c r="V343" s="883" t="str">
        <f>'$REV-DB'!$V$34</f>
        <v>Other Revenues</v>
      </c>
      <c r="W343" s="883" t="str">
        <f>'$REV-DB'!$W$34</f>
        <v>State revenues</v>
      </c>
      <c r="X343" s="883" t="str">
        <f>'$REV-DB'!$X$34</f>
        <v>UD5</v>
      </c>
      <c r="Y343" s="883" t="str">
        <f>'$REV-DB'!$Y$34</f>
        <v>UD6</v>
      </c>
      <c r="Z343" s="883" t="str">
        <f>'$REV-DB'!$Z$34</f>
        <v>UD7</v>
      </c>
      <c r="AA343" s="883" t="str">
        <f>'$REV-DB'!$AA$34</f>
        <v>UD8</v>
      </c>
      <c r="AB343" s="883" t="str">
        <f>'$REV-DB'!$AB$34</f>
        <v>UD9</v>
      </c>
      <c r="AC343" s="883" t="str">
        <f>'$REV-DB'!$AC$34</f>
        <v>UD10</v>
      </c>
      <c r="AD343" s="883" t="str">
        <f>'$REV-DB'!$AD$34</f>
        <v>UD11</v>
      </c>
      <c r="AE343" s="883" t="str">
        <f>'$REV-DB'!$AE$34</f>
        <v>UD12</v>
      </c>
      <c r="AF343" s="883" t="str">
        <f>'$REV-DB'!$AF$34</f>
        <v>UD13</v>
      </c>
      <c r="AG343" s="883" t="str">
        <f>'$REV-DB'!$AG$34</f>
        <v>UD14</v>
      </c>
    </row>
    <row r="344" spans="1:34" ht="16" customHeight="1" thickTop="1" thickBot="1">
      <c r="A344" s="7"/>
      <c r="B344" s="20" t="s">
        <v>1399</v>
      </c>
      <c r="C344" s="15"/>
      <c r="D344" s="276" t="s">
        <v>1386</v>
      </c>
      <c r="E344" s="276" t="s">
        <v>1387</v>
      </c>
      <c r="F344" s="276" t="s">
        <v>1388</v>
      </c>
      <c r="G344" s="276" t="s">
        <v>1389</v>
      </c>
      <c r="H344" s="301" t="s">
        <v>1406</v>
      </c>
      <c r="I344" s="301" t="s">
        <v>1390</v>
      </c>
      <c r="J344" s="301" t="s">
        <v>1391</v>
      </c>
      <c r="K344" s="301" t="s">
        <v>1392</v>
      </c>
      <c r="L344" s="301" t="s">
        <v>1188</v>
      </c>
      <c r="M344" s="301" t="s">
        <v>1437</v>
      </c>
      <c r="N344" s="276" t="s">
        <v>1348</v>
      </c>
      <c r="O344" s="276" t="s">
        <v>1393</v>
      </c>
      <c r="P344" s="276" t="s">
        <v>1342</v>
      </c>
      <c r="Q344" s="276" t="s">
        <v>1394</v>
      </c>
      <c r="R344" s="112" t="s">
        <v>1341</v>
      </c>
      <c r="S344" s="112" t="s">
        <v>846</v>
      </c>
      <c r="T344" s="873" t="s">
        <v>935</v>
      </c>
      <c r="U344" s="873" t="s">
        <v>936</v>
      </c>
      <c r="V344" s="873" t="s">
        <v>937</v>
      </c>
      <c r="W344" s="873" t="s">
        <v>938</v>
      </c>
      <c r="X344" s="873" t="s">
        <v>939</v>
      </c>
      <c r="Y344" s="873" t="s">
        <v>940</v>
      </c>
      <c r="Z344" s="873" t="s">
        <v>941</v>
      </c>
      <c r="AA344" s="873" t="s">
        <v>942</v>
      </c>
      <c r="AB344" s="873" t="s">
        <v>943</v>
      </c>
      <c r="AC344" s="873" t="s">
        <v>944</v>
      </c>
      <c r="AD344" s="873" t="s">
        <v>945</v>
      </c>
      <c r="AE344" s="873" t="s">
        <v>946</v>
      </c>
      <c r="AF344" s="873" t="s">
        <v>947</v>
      </c>
      <c r="AG344" s="873" t="s">
        <v>948</v>
      </c>
      <c r="AH344" s="6"/>
    </row>
    <row r="345" spans="1:34" ht="16" customHeight="1" thickTop="1">
      <c r="A345" s="7"/>
      <c r="B345" s="19" t="s">
        <v>1178</v>
      </c>
      <c r="C345" s="12"/>
      <c r="D345" s="194"/>
      <c r="E345" s="194"/>
      <c r="F345" s="193"/>
      <c r="G345" s="194"/>
      <c r="H345" s="193"/>
      <c r="I345" s="193"/>
      <c r="J345" s="194"/>
      <c r="K345" s="194"/>
      <c r="L345" s="285" t="s">
        <v>1429</v>
      </c>
      <c r="M345" s="193"/>
      <c r="N345" s="47" t="str">
        <f>J$6</f>
        <v>FY2010-11</v>
      </c>
      <c r="O345" s="47" t="s">
        <v>1353</v>
      </c>
      <c r="P345" s="47" t="s">
        <v>1338</v>
      </c>
      <c r="Q345" s="47" t="s">
        <v>1465</v>
      </c>
      <c r="R345" s="194"/>
      <c r="S345" s="194"/>
      <c r="T345" s="194"/>
      <c r="U345" s="194"/>
      <c r="V345" s="195"/>
      <c r="W345" s="195"/>
      <c r="X345" s="195"/>
      <c r="Y345" s="195"/>
      <c r="Z345" s="195"/>
      <c r="AA345" s="195"/>
      <c r="AB345" s="195"/>
      <c r="AC345" s="195"/>
      <c r="AD345" s="195"/>
      <c r="AE345" s="195"/>
      <c r="AF345" s="195"/>
      <c r="AG345" s="195"/>
      <c r="AH345" s="6"/>
    </row>
    <row r="346" spans="1:34" ht="16" customHeight="1">
      <c r="A346" s="7"/>
      <c r="B346" s="16">
        <f>DSUM('$REV-DB'!D35:AG374,"AMOUNT",'$REV-DSUM'!D344:AG351)</f>
        <v>0</v>
      </c>
      <c r="C346" s="12"/>
      <c r="D346" s="194"/>
      <c r="E346" s="194"/>
      <c r="F346" s="193"/>
      <c r="G346" s="194"/>
      <c r="H346" s="193"/>
      <c r="I346" s="193"/>
      <c r="J346" s="194"/>
      <c r="K346" s="194"/>
      <c r="L346" s="285" t="s">
        <v>1429</v>
      </c>
      <c r="M346" s="193"/>
      <c r="N346" s="47" t="str">
        <f t="shared" ref="N346:N351" si="33">J$6</f>
        <v>FY2010-11</v>
      </c>
      <c r="O346" s="47" t="s">
        <v>1353</v>
      </c>
      <c r="P346" s="47" t="s">
        <v>1338</v>
      </c>
      <c r="Q346" s="47" t="s">
        <v>1465</v>
      </c>
      <c r="R346" s="194"/>
      <c r="S346" s="194"/>
      <c r="T346" s="194"/>
      <c r="U346" s="194"/>
      <c r="V346" s="195"/>
      <c r="W346" s="195"/>
      <c r="X346" s="195"/>
      <c r="Y346" s="195"/>
      <c r="Z346" s="195"/>
      <c r="AA346" s="195"/>
      <c r="AB346" s="195"/>
      <c r="AC346" s="195"/>
      <c r="AD346" s="195"/>
      <c r="AE346" s="195"/>
      <c r="AF346" s="195"/>
      <c r="AG346" s="195"/>
      <c r="AH346" s="6"/>
    </row>
    <row r="347" spans="1:34" ht="16" customHeight="1">
      <c r="A347" s="7"/>
      <c r="B347" s="10"/>
      <c r="C347" s="12"/>
      <c r="D347" s="194"/>
      <c r="E347" s="194"/>
      <c r="F347" s="193"/>
      <c r="G347" s="194"/>
      <c r="H347" s="193"/>
      <c r="I347" s="193"/>
      <c r="J347" s="194"/>
      <c r="K347" s="194"/>
      <c r="L347" s="285" t="s">
        <v>1429</v>
      </c>
      <c r="M347" s="193"/>
      <c r="N347" s="47" t="str">
        <f t="shared" si="33"/>
        <v>FY2010-11</v>
      </c>
      <c r="O347" s="47" t="s">
        <v>1353</v>
      </c>
      <c r="P347" s="47" t="s">
        <v>1338</v>
      </c>
      <c r="Q347" s="47" t="s">
        <v>1465</v>
      </c>
      <c r="R347" s="194"/>
      <c r="S347" s="194"/>
      <c r="T347" s="194"/>
      <c r="U347" s="194"/>
      <c r="V347" s="195"/>
      <c r="W347" s="195"/>
      <c r="X347" s="195"/>
      <c r="Y347" s="195"/>
      <c r="Z347" s="195"/>
      <c r="AA347" s="195"/>
      <c r="AB347" s="195"/>
      <c r="AC347" s="195"/>
      <c r="AD347" s="195"/>
      <c r="AE347" s="195"/>
      <c r="AF347" s="195"/>
      <c r="AG347" s="195"/>
    </row>
    <row r="348" spans="1:34" ht="16" customHeight="1">
      <c r="A348" s="7"/>
      <c r="B348" s="10"/>
      <c r="C348" s="12"/>
      <c r="D348" s="194"/>
      <c r="E348" s="194"/>
      <c r="F348" s="193"/>
      <c r="G348" s="194"/>
      <c r="H348" s="193"/>
      <c r="I348" s="193"/>
      <c r="J348" s="194"/>
      <c r="K348" s="194"/>
      <c r="L348" s="285" t="s">
        <v>1429</v>
      </c>
      <c r="M348" s="193"/>
      <c r="N348" s="47" t="str">
        <f t="shared" si="33"/>
        <v>FY2010-11</v>
      </c>
      <c r="O348" s="47" t="s">
        <v>1353</v>
      </c>
      <c r="P348" s="47" t="s">
        <v>1338</v>
      </c>
      <c r="Q348" s="47" t="s">
        <v>1465</v>
      </c>
      <c r="R348" s="194"/>
      <c r="S348" s="194"/>
      <c r="T348" s="194"/>
      <c r="U348" s="194"/>
      <c r="V348" s="195"/>
      <c r="W348" s="195"/>
      <c r="X348" s="195"/>
      <c r="Y348" s="195"/>
      <c r="Z348" s="195"/>
      <c r="AA348" s="195"/>
      <c r="AB348" s="195"/>
      <c r="AC348" s="195"/>
      <c r="AD348" s="195"/>
      <c r="AE348" s="195"/>
      <c r="AF348" s="195"/>
      <c r="AG348" s="195"/>
    </row>
    <row r="349" spans="1:34" ht="16" customHeight="1">
      <c r="A349" s="7"/>
      <c r="B349" s="10"/>
      <c r="C349" s="12"/>
      <c r="D349" s="194"/>
      <c r="E349" s="194"/>
      <c r="F349" s="193"/>
      <c r="G349" s="194"/>
      <c r="H349" s="193"/>
      <c r="I349" s="193"/>
      <c r="J349" s="194"/>
      <c r="K349" s="194"/>
      <c r="L349" s="285" t="s">
        <v>1429</v>
      </c>
      <c r="M349" s="193"/>
      <c r="N349" s="47" t="str">
        <f t="shared" si="33"/>
        <v>FY2010-11</v>
      </c>
      <c r="O349" s="47" t="s">
        <v>1353</v>
      </c>
      <c r="P349" s="47" t="s">
        <v>1338</v>
      </c>
      <c r="Q349" s="47" t="s">
        <v>1465</v>
      </c>
      <c r="R349" s="194"/>
      <c r="S349" s="194"/>
      <c r="T349" s="194"/>
      <c r="U349" s="194"/>
      <c r="V349" s="195"/>
      <c r="W349" s="195"/>
      <c r="X349" s="195"/>
      <c r="Y349" s="195"/>
      <c r="Z349" s="195"/>
      <c r="AA349" s="195"/>
      <c r="AB349" s="195"/>
      <c r="AC349" s="195"/>
      <c r="AD349" s="195"/>
      <c r="AE349" s="195"/>
      <c r="AF349" s="195"/>
      <c r="AG349" s="195"/>
    </row>
    <row r="350" spans="1:34" ht="16" customHeight="1">
      <c r="A350" s="7"/>
      <c r="B350" s="10"/>
      <c r="C350" s="12"/>
      <c r="D350" s="194"/>
      <c r="E350" s="194"/>
      <c r="F350" s="193"/>
      <c r="G350" s="194"/>
      <c r="H350" s="193"/>
      <c r="I350" s="193"/>
      <c r="J350" s="194"/>
      <c r="K350" s="194"/>
      <c r="L350" s="285" t="s">
        <v>1429</v>
      </c>
      <c r="M350" s="193"/>
      <c r="N350" s="47" t="str">
        <f t="shared" si="33"/>
        <v>FY2010-11</v>
      </c>
      <c r="O350" s="47" t="s">
        <v>1353</v>
      </c>
      <c r="P350" s="47" t="s">
        <v>1338</v>
      </c>
      <c r="Q350" s="47" t="s">
        <v>1465</v>
      </c>
      <c r="R350" s="194"/>
      <c r="S350" s="194"/>
      <c r="T350" s="194"/>
      <c r="U350" s="194"/>
      <c r="V350" s="195"/>
      <c r="W350" s="195"/>
      <c r="X350" s="195"/>
      <c r="Y350" s="195"/>
      <c r="Z350" s="195"/>
      <c r="AA350" s="195"/>
      <c r="AB350" s="195"/>
      <c r="AC350" s="195"/>
      <c r="AD350" s="195"/>
      <c r="AE350" s="195"/>
      <c r="AF350" s="195"/>
      <c r="AG350" s="195"/>
    </row>
    <row r="351" spans="1:34" ht="16" customHeight="1">
      <c r="A351" s="7"/>
      <c r="B351" s="10"/>
      <c r="C351" s="12"/>
      <c r="D351" s="194"/>
      <c r="E351" s="194"/>
      <c r="F351" s="193"/>
      <c r="G351" s="194"/>
      <c r="H351" s="193"/>
      <c r="I351" s="193"/>
      <c r="J351" s="194"/>
      <c r="K351" s="194"/>
      <c r="L351" s="285" t="s">
        <v>1429</v>
      </c>
      <c r="M351" s="193"/>
      <c r="N351" s="47" t="str">
        <f t="shared" si="33"/>
        <v>FY2010-11</v>
      </c>
      <c r="O351" s="47" t="s">
        <v>1353</v>
      </c>
      <c r="P351" s="47" t="s">
        <v>1338</v>
      </c>
      <c r="Q351" s="47" t="s">
        <v>1465</v>
      </c>
      <c r="R351" s="194"/>
      <c r="S351" s="194"/>
      <c r="T351" s="194"/>
      <c r="U351" s="194"/>
      <c r="V351" s="195"/>
      <c r="W351" s="195"/>
      <c r="X351" s="195"/>
      <c r="Y351" s="195"/>
      <c r="Z351" s="195"/>
      <c r="AA351" s="195"/>
      <c r="AB351" s="195"/>
      <c r="AC351" s="195"/>
      <c r="AD351" s="195"/>
      <c r="AE351" s="195"/>
      <c r="AF351" s="195"/>
      <c r="AG351" s="195"/>
    </row>
    <row r="352" spans="1:34" ht="16" customHeight="1">
      <c r="A352" s="29"/>
      <c r="B352" s="30"/>
      <c r="C352" s="30"/>
      <c r="D352" s="31"/>
      <c r="E352" s="31"/>
      <c r="F352" s="32"/>
      <c r="G352" s="31"/>
      <c r="H352" s="32"/>
      <c r="I352" s="32"/>
      <c r="J352" s="31"/>
      <c r="K352" s="31"/>
      <c r="L352" s="284"/>
      <c r="M352" s="32"/>
      <c r="N352" s="32"/>
      <c r="O352" s="31"/>
      <c r="P352" s="32"/>
      <c r="Q352" s="32"/>
      <c r="R352" s="31"/>
      <c r="S352" s="31"/>
      <c r="T352" s="31"/>
      <c r="U352" s="31"/>
      <c r="V352" s="29"/>
      <c r="W352" s="29"/>
      <c r="X352" s="29"/>
      <c r="Y352" s="29"/>
      <c r="Z352" s="29"/>
      <c r="AA352" s="29"/>
      <c r="AB352" s="29"/>
      <c r="AC352" s="29"/>
      <c r="AD352" s="29"/>
      <c r="AE352" s="29"/>
      <c r="AF352" s="29"/>
      <c r="AG352" s="29"/>
    </row>
    <row r="353" spans="1:34" ht="16" customHeight="1" thickBot="1">
      <c r="A353" s="7"/>
      <c r="B353" s="19" t="str">
        <f>"FA2 = "&amp;'FIG3'!$W$53&amp;" "&amp;'FIG3'!$X$53</f>
        <v>FA2 = FA2L1 FA2L2</v>
      </c>
      <c r="C353" s="7"/>
      <c r="D353" s="8"/>
      <c r="E353" s="8"/>
      <c r="F353" s="9"/>
      <c r="G353" s="8"/>
      <c r="H353" s="9"/>
      <c r="I353" s="9"/>
      <c r="J353" s="8"/>
      <c r="K353" s="8"/>
      <c r="L353" s="280"/>
      <c r="M353" s="9"/>
      <c r="N353" s="9"/>
      <c r="O353" s="8"/>
      <c r="P353" s="9"/>
      <c r="Q353" s="9"/>
      <c r="R353" s="8"/>
      <c r="S353" s="882"/>
      <c r="T353" s="883" t="str">
        <f>'$REV-DB'!$T$34</f>
        <v>Federal Revenues</v>
      </c>
      <c r="U353" s="883" t="str">
        <f>'$REV-DB'!$U$34</f>
        <v>local Revenues</v>
      </c>
      <c r="V353" s="883" t="str">
        <f>'$REV-DB'!$V$34</f>
        <v>Other Revenues</v>
      </c>
      <c r="W353" s="883" t="str">
        <f>'$REV-DB'!$W$34</f>
        <v>State revenues</v>
      </c>
      <c r="X353" s="883" t="str">
        <f>'$REV-DB'!$X$34</f>
        <v>UD5</v>
      </c>
      <c r="Y353" s="883" t="str">
        <f>'$REV-DB'!$Y$34</f>
        <v>UD6</v>
      </c>
      <c r="Z353" s="883" t="str">
        <f>'$REV-DB'!$Z$34</f>
        <v>UD7</v>
      </c>
      <c r="AA353" s="883" t="str">
        <f>'$REV-DB'!$AA$34</f>
        <v>UD8</v>
      </c>
      <c r="AB353" s="883" t="str">
        <f>'$REV-DB'!$AB$34</f>
        <v>UD9</v>
      </c>
      <c r="AC353" s="883" t="str">
        <f>'$REV-DB'!$AC$34</f>
        <v>UD10</v>
      </c>
      <c r="AD353" s="883" t="str">
        <f>'$REV-DB'!$AD$34</f>
        <v>UD11</v>
      </c>
      <c r="AE353" s="883" t="str">
        <f>'$REV-DB'!$AE$34</f>
        <v>UD12</v>
      </c>
      <c r="AF353" s="883" t="str">
        <f>'$REV-DB'!$AF$34</f>
        <v>UD13</v>
      </c>
      <c r="AG353" s="883" t="str">
        <f>'$REV-DB'!$AG$34</f>
        <v>UD14</v>
      </c>
    </row>
    <row r="354" spans="1:34" ht="16" customHeight="1" thickTop="1" thickBot="1">
      <c r="A354" s="7"/>
      <c r="B354" s="20" t="s">
        <v>1399</v>
      </c>
      <c r="C354" s="15"/>
      <c r="D354" s="105" t="s">
        <v>1386</v>
      </c>
      <c r="E354" s="105" t="s">
        <v>1387</v>
      </c>
      <c r="F354" s="105" t="s">
        <v>1388</v>
      </c>
      <c r="G354" s="105" t="s">
        <v>1389</v>
      </c>
      <c r="H354" s="301" t="s">
        <v>1406</v>
      </c>
      <c r="I354" s="301" t="s">
        <v>1390</v>
      </c>
      <c r="J354" s="301" t="s">
        <v>1391</v>
      </c>
      <c r="K354" s="301" t="s">
        <v>1392</v>
      </c>
      <c r="L354" s="301" t="s">
        <v>1188</v>
      </c>
      <c r="M354" s="301" t="s">
        <v>1437</v>
      </c>
      <c r="N354" s="105" t="s">
        <v>1348</v>
      </c>
      <c r="O354" s="105" t="s">
        <v>1393</v>
      </c>
      <c r="P354" s="105" t="s">
        <v>1342</v>
      </c>
      <c r="Q354" s="105" t="s">
        <v>1394</v>
      </c>
      <c r="R354" s="112" t="s">
        <v>1341</v>
      </c>
      <c r="S354" s="112" t="s">
        <v>846</v>
      </c>
      <c r="T354" s="873" t="s">
        <v>935</v>
      </c>
      <c r="U354" s="873" t="s">
        <v>936</v>
      </c>
      <c r="V354" s="873" t="s">
        <v>937</v>
      </c>
      <c r="W354" s="873" t="s">
        <v>938</v>
      </c>
      <c r="X354" s="873" t="s">
        <v>939</v>
      </c>
      <c r="Y354" s="873" t="s">
        <v>940</v>
      </c>
      <c r="Z354" s="873" t="s">
        <v>941</v>
      </c>
      <c r="AA354" s="873" t="s">
        <v>942</v>
      </c>
      <c r="AB354" s="873" t="s">
        <v>943</v>
      </c>
      <c r="AC354" s="873" t="s">
        <v>944</v>
      </c>
      <c r="AD354" s="873" t="s">
        <v>945</v>
      </c>
      <c r="AE354" s="873" t="s">
        <v>946</v>
      </c>
      <c r="AF354" s="873" t="s">
        <v>947</v>
      </c>
      <c r="AG354" s="873" t="s">
        <v>948</v>
      </c>
      <c r="AH354" s="6"/>
    </row>
    <row r="355" spans="1:34" ht="16" customHeight="1" thickTop="1">
      <c r="A355" s="7"/>
      <c r="B355" s="19" t="s">
        <v>1350</v>
      </c>
      <c r="C355" s="12"/>
      <c r="D355" s="194"/>
      <c r="E355" s="194"/>
      <c r="F355" s="193"/>
      <c r="G355" s="194"/>
      <c r="H355" s="193"/>
      <c r="I355" s="193"/>
      <c r="J355" s="194"/>
      <c r="K355" s="194"/>
      <c r="L355" s="285" t="s">
        <v>1429</v>
      </c>
      <c r="M355" s="193"/>
      <c r="N355" s="47" t="str">
        <f>J$6</f>
        <v>FY2010-11</v>
      </c>
      <c r="O355" s="47" t="s">
        <v>1353</v>
      </c>
      <c r="P355" s="47" t="s">
        <v>1338</v>
      </c>
      <c r="Q355" s="47" t="s">
        <v>1340</v>
      </c>
      <c r="R355" s="194"/>
      <c r="S355" s="194"/>
      <c r="T355" s="194"/>
      <c r="U355" s="194"/>
      <c r="V355" s="195"/>
      <c r="W355" s="195"/>
      <c r="X355" s="195"/>
      <c r="Y355" s="195"/>
      <c r="Z355" s="195"/>
      <c r="AA355" s="195"/>
      <c r="AB355" s="195"/>
      <c r="AC355" s="195"/>
      <c r="AD355" s="195"/>
      <c r="AE355" s="195"/>
      <c r="AF355" s="195"/>
      <c r="AG355" s="195"/>
      <c r="AH355" s="6"/>
    </row>
    <row r="356" spans="1:34" ht="16" customHeight="1">
      <c r="A356" s="7"/>
      <c r="B356" s="16">
        <f>DSUM('$REV-DB'!D35:AG374,"AMOUNT",'$REV-DSUM'!D354:AG361)</f>
        <v>0</v>
      </c>
      <c r="C356" s="12"/>
      <c r="D356" s="194"/>
      <c r="E356" s="194"/>
      <c r="F356" s="193"/>
      <c r="G356" s="194"/>
      <c r="H356" s="193"/>
      <c r="I356" s="193"/>
      <c r="J356" s="194"/>
      <c r="K356" s="194"/>
      <c r="L356" s="285" t="s">
        <v>1429</v>
      </c>
      <c r="M356" s="193"/>
      <c r="N356" s="47" t="str">
        <f t="shared" ref="N356:N361" si="34">J$6</f>
        <v>FY2010-11</v>
      </c>
      <c r="O356" s="47" t="s">
        <v>1353</v>
      </c>
      <c r="P356" s="47" t="s">
        <v>1338</v>
      </c>
      <c r="Q356" s="47" t="s">
        <v>1340</v>
      </c>
      <c r="R356" s="194"/>
      <c r="S356" s="194"/>
      <c r="T356" s="194"/>
      <c r="U356" s="194"/>
      <c r="V356" s="195"/>
      <c r="W356" s="195"/>
      <c r="X356" s="195"/>
      <c r="Y356" s="195"/>
      <c r="Z356" s="195"/>
      <c r="AA356" s="195"/>
      <c r="AB356" s="195"/>
      <c r="AC356" s="195"/>
      <c r="AD356" s="195"/>
      <c r="AE356" s="195"/>
      <c r="AF356" s="195"/>
      <c r="AG356" s="195"/>
      <c r="AH356" s="6"/>
    </row>
    <row r="357" spans="1:34" ht="16" customHeight="1">
      <c r="A357" s="7"/>
      <c r="B357" s="10"/>
      <c r="C357" s="12"/>
      <c r="D357" s="194"/>
      <c r="E357" s="194"/>
      <c r="F357" s="193"/>
      <c r="G357" s="194"/>
      <c r="H357" s="193"/>
      <c r="I357" s="193"/>
      <c r="J357" s="194"/>
      <c r="K357" s="194"/>
      <c r="L357" s="285" t="s">
        <v>1429</v>
      </c>
      <c r="M357" s="193"/>
      <c r="N357" s="47" t="str">
        <f t="shared" si="34"/>
        <v>FY2010-11</v>
      </c>
      <c r="O357" s="47" t="s">
        <v>1353</v>
      </c>
      <c r="P357" s="47" t="s">
        <v>1338</v>
      </c>
      <c r="Q357" s="47" t="s">
        <v>1340</v>
      </c>
      <c r="R357" s="194"/>
      <c r="S357" s="194"/>
      <c r="T357" s="194"/>
      <c r="U357" s="194"/>
      <c r="V357" s="195"/>
      <c r="W357" s="195"/>
      <c r="X357" s="195"/>
      <c r="Y357" s="195"/>
      <c r="Z357" s="195"/>
      <c r="AA357" s="195"/>
      <c r="AB357" s="195"/>
      <c r="AC357" s="195"/>
      <c r="AD357" s="195"/>
      <c r="AE357" s="195"/>
      <c r="AF357" s="195"/>
      <c r="AG357" s="195"/>
    </row>
    <row r="358" spans="1:34" ht="16" customHeight="1">
      <c r="A358" s="7"/>
      <c r="B358" s="10"/>
      <c r="C358" s="12"/>
      <c r="D358" s="194"/>
      <c r="E358" s="194"/>
      <c r="F358" s="193"/>
      <c r="G358" s="194"/>
      <c r="H358" s="193"/>
      <c r="I358" s="193"/>
      <c r="J358" s="194"/>
      <c r="K358" s="194"/>
      <c r="L358" s="285" t="s">
        <v>1429</v>
      </c>
      <c r="M358" s="193"/>
      <c r="N358" s="47" t="str">
        <f t="shared" si="34"/>
        <v>FY2010-11</v>
      </c>
      <c r="O358" s="47" t="s">
        <v>1353</v>
      </c>
      <c r="P358" s="47" t="s">
        <v>1338</v>
      </c>
      <c r="Q358" s="47" t="s">
        <v>1340</v>
      </c>
      <c r="R358" s="194"/>
      <c r="S358" s="194"/>
      <c r="T358" s="194"/>
      <c r="U358" s="194"/>
      <c r="V358" s="195"/>
      <c r="W358" s="195"/>
      <c r="X358" s="195"/>
      <c r="Y358" s="195"/>
      <c r="Z358" s="195"/>
      <c r="AA358" s="195"/>
      <c r="AB358" s="195"/>
      <c r="AC358" s="195"/>
      <c r="AD358" s="195"/>
      <c r="AE358" s="195"/>
      <c r="AF358" s="195"/>
      <c r="AG358" s="195"/>
    </row>
    <row r="359" spans="1:34" ht="16" customHeight="1">
      <c r="A359" s="7"/>
      <c r="B359" s="10"/>
      <c r="C359" s="12"/>
      <c r="D359" s="194"/>
      <c r="E359" s="194"/>
      <c r="F359" s="193"/>
      <c r="G359" s="194"/>
      <c r="H359" s="193"/>
      <c r="I359" s="193"/>
      <c r="J359" s="194"/>
      <c r="K359" s="194"/>
      <c r="L359" s="285" t="s">
        <v>1429</v>
      </c>
      <c r="M359" s="193"/>
      <c r="N359" s="47" t="str">
        <f t="shared" si="34"/>
        <v>FY2010-11</v>
      </c>
      <c r="O359" s="47" t="s">
        <v>1353</v>
      </c>
      <c r="P359" s="47" t="s">
        <v>1338</v>
      </c>
      <c r="Q359" s="47" t="s">
        <v>1340</v>
      </c>
      <c r="R359" s="194"/>
      <c r="S359" s="194"/>
      <c r="T359" s="194"/>
      <c r="U359" s="194"/>
      <c r="V359" s="195"/>
      <c r="W359" s="195"/>
      <c r="X359" s="195"/>
      <c r="Y359" s="195"/>
      <c r="Z359" s="195"/>
      <c r="AA359" s="195"/>
      <c r="AB359" s="195"/>
      <c r="AC359" s="195"/>
      <c r="AD359" s="195"/>
      <c r="AE359" s="195"/>
      <c r="AF359" s="195"/>
      <c r="AG359" s="195"/>
    </row>
    <row r="360" spans="1:34" ht="16" customHeight="1">
      <c r="A360" s="7"/>
      <c r="B360" s="10"/>
      <c r="C360" s="12"/>
      <c r="D360" s="194"/>
      <c r="E360" s="194"/>
      <c r="F360" s="193"/>
      <c r="G360" s="194"/>
      <c r="H360" s="193"/>
      <c r="I360" s="193"/>
      <c r="J360" s="194"/>
      <c r="K360" s="194"/>
      <c r="L360" s="285" t="s">
        <v>1429</v>
      </c>
      <c r="M360" s="193"/>
      <c r="N360" s="47" t="str">
        <f t="shared" si="34"/>
        <v>FY2010-11</v>
      </c>
      <c r="O360" s="47" t="s">
        <v>1353</v>
      </c>
      <c r="P360" s="47" t="s">
        <v>1338</v>
      </c>
      <c r="Q360" s="47" t="s">
        <v>1340</v>
      </c>
      <c r="R360" s="194"/>
      <c r="S360" s="194"/>
      <c r="T360" s="194"/>
      <c r="U360" s="194"/>
      <c r="V360" s="195"/>
      <c r="W360" s="195"/>
      <c r="X360" s="195"/>
      <c r="Y360" s="195"/>
      <c r="Z360" s="195"/>
      <c r="AA360" s="195"/>
      <c r="AB360" s="195"/>
      <c r="AC360" s="195"/>
      <c r="AD360" s="195"/>
      <c r="AE360" s="195"/>
      <c r="AF360" s="195"/>
      <c r="AG360" s="195"/>
    </row>
    <row r="361" spans="1:34" ht="16" customHeight="1">
      <c r="A361" s="7"/>
      <c r="B361" s="10"/>
      <c r="C361" s="12"/>
      <c r="D361" s="194"/>
      <c r="E361" s="194"/>
      <c r="F361" s="193"/>
      <c r="G361" s="194"/>
      <c r="H361" s="193"/>
      <c r="I361" s="193"/>
      <c r="J361" s="194"/>
      <c r="K361" s="194"/>
      <c r="L361" s="285" t="s">
        <v>1429</v>
      </c>
      <c r="M361" s="193"/>
      <c r="N361" s="47" t="str">
        <f t="shared" si="34"/>
        <v>FY2010-11</v>
      </c>
      <c r="O361" s="47" t="s">
        <v>1353</v>
      </c>
      <c r="P361" s="47" t="s">
        <v>1338</v>
      </c>
      <c r="Q361" s="47" t="s">
        <v>1340</v>
      </c>
      <c r="R361" s="194"/>
      <c r="S361" s="194"/>
      <c r="T361" s="194"/>
      <c r="U361" s="194"/>
      <c r="V361" s="195"/>
      <c r="W361" s="195"/>
      <c r="X361" s="195"/>
      <c r="Y361" s="195"/>
      <c r="Z361" s="195"/>
      <c r="AA361" s="195"/>
      <c r="AB361" s="195"/>
      <c r="AC361" s="195"/>
      <c r="AD361" s="195"/>
      <c r="AE361" s="195"/>
      <c r="AF361" s="195"/>
      <c r="AG361" s="195"/>
    </row>
    <row r="362" spans="1:34" ht="16" customHeight="1">
      <c r="A362" s="29"/>
      <c r="B362" s="30"/>
      <c r="C362" s="30"/>
      <c r="D362" s="31"/>
      <c r="E362" s="31"/>
      <c r="F362" s="32"/>
      <c r="G362" s="31"/>
      <c r="H362" s="32"/>
      <c r="I362" s="32"/>
      <c r="J362" s="31"/>
      <c r="K362" s="31"/>
      <c r="L362" s="284"/>
      <c r="M362" s="32"/>
      <c r="N362" s="32"/>
      <c r="O362" s="31"/>
      <c r="P362" s="32"/>
      <c r="Q362" s="32"/>
      <c r="R362" s="31"/>
      <c r="S362" s="31"/>
      <c r="T362" s="31"/>
      <c r="U362" s="31"/>
      <c r="V362" s="29"/>
      <c r="W362" s="29"/>
      <c r="X362" s="29"/>
      <c r="Y362" s="29"/>
      <c r="Z362" s="29"/>
      <c r="AA362" s="29"/>
      <c r="AB362" s="29"/>
      <c r="AC362" s="29"/>
      <c r="AD362" s="29"/>
      <c r="AE362" s="29"/>
      <c r="AF362" s="29"/>
      <c r="AG362" s="29"/>
    </row>
    <row r="363" spans="1:34" ht="16" customHeight="1" thickBot="1">
      <c r="A363" s="7"/>
      <c r="B363" s="19" t="str">
        <f>"FA2 = "&amp;'FIG3'!$W$53&amp;" "&amp;'FIG3'!$X$53</f>
        <v>FA2 = FA2L1 FA2L2</v>
      </c>
      <c r="C363" s="7"/>
      <c r="D363" s="17"/>
      <c r="E363" s="17"/>
      <c r="F363" s="18"/>
      <c r="G363" s="17"/>
      <c r="H363" s="18"/>
      <c r="I363" s="18"/>
      <c r="J363" s="17"/>
      <c r="K363" s="17"/>
      <c r="L363" s="281"/>
      <c r="M363" s="18"/>
      <c r="N363" s="9"/>
      <c r="O363" s="17"/>
      <c r="P363" s="18"/>
      <c r="Q363" s="18"/>
      <c r="R363" s="17"/>
      <c r="S363" s="882"/>
      <c r="T363" s="883" t="str">
        <f>'$REV-DB'!$T$34</f>
        <v>Federal Revenues</v>
      </c>
      <c r="U363" s="883" t="str">
        <f>'$REV-DB'!$U$34</f>
        <v>local Revenues</v>
      </c>
      <c r="V363" s="883" t="str">
        <f>'$REV-DB'!$V$34</f>
        <v>Other Revenues</v>
      </c>
      <c r="W363" s="883" t="str">
        <f>'$REV-DB'!$W$34</f>
        <v>State revenues</v>
      </c>
      <c r="X363" s="883" t="str">
        <f>'$REV-DB'!$X$34</f>
        <v>UD5</v>
      </c>
      <c r="Y363" s="883" t="str">
        <f>'$REV-DB'!$Y$34</f>
        <v>UD6</v>
      </c>
      <c r="Z363" s="883" t="str">
        <f>'$REV-DB'!$Z$34</f>
        <v>UD7</v>
      </c>
      <c r="AA363" s="883" t="str">
        <f>'$REV-DB'!$AA$34</f>
        <v>UD8</v>
      </c>
      <c r="AB363" s="883" t="str">
        <f>'$REV-DB'!$AB$34</f>
        <v>UD9</v>
      </c>
      <c r="AC363" s="883" t="str">
        <f>'$REV-DB'!$AC$34</f>
        <v>UD10</v>
      </c>
      <c r="AD363" s="883" t="str">
        <f>'$REV-DB'!$AD$34</f>
        <v>UD11</v>
      </c>
      <c r="AE363" s="883" t="str">
        <f>'$REV-DB'!$AE$34</f>
        <v>UD12</v>
      </c>
      <c r="AF363" s="883" t="str">
        <f>'$REV-DB'!$AF$34</f>
        <v>UD13</v>
      </c>
      <c r="AG363" s="883" t="str">
        <f>'$REV-DB'!$AG$34</f>
        <v>UD14</v>
      </c>
    </row>
    <row r="364" spans="1:34" ht="16" customHeight="1" thickTop="1" thickBot="1">
      <c r="A364" s="7"/>
      <c r="B364" s="20" t="s">
        <v>1375</v>
      </c>
      <c r="C364" s="15"/>
      <c r="D364" s="105" t="s">
        <v>1386</v>
      </c>
      <c r="E364" s="105" t="s">
        <v>1387</v>
      </c>
      <c r="F364" s="105" t="s">
        <v>1388</v>
      </c>
      <c r="G364" s="105" t="s">
        <v>1389</v>
      </c>
      <c r="H364" s="301" t="s">
        <v>1406</v>
      </c>
      <c r="I364" s="301" t="s">
        <v>1390</v>
      </c>
      <c r="J364" s="301" t="s">
        <v>1391</v>
      </c>
      <c r="K364" s="301" t="s">
        <v>1392</v>
      </c>
      <c r="L364" s="301" t="s">
        <v>1188</v>
      </c>
      <c r="M364" s="301" t="s">
        <v>1437</v>
      </c>
      <c r="N364" s="105" t="s">
        <v>1348</v>
      </c>
      <c r="O364" s="105" t="s">
        <v>1393</v>
      </c>
      <c r="P364" s="105" t="s">
        <v>1342</v>
      </c>
      <c r="Q364" s="105" t="s">
        <v>1394</v>
      </c>
      <c r="R364" s="112" t="s">
        <v>1341</v>
      </c>
      <c r="S364" s="112" t="s">
        <v>846</v>
      </c>
      <c r="T364" s="873" t="s">
        <v>935</v>
      </c>
      <c r="U364" s="873" t="s">
        <v>936</v>
      </c>
      <c r="V364" s="873" t="s">
        <v>937</v>
      </c>
      <c r="W364" s="873" t="s">
        <v>938</v>
      </c>
      <c r="X364" s="873" t="s">
        <v>939</v>
      </c>
      <c r="Y364" s="873" t="s">
        <v>940</v>
      </c>
      <c r="Z364" s="873" t="s">
        <v>941</v>
      </c>
      <c r="AA364" s="873" t="s">
        <v>942</v>
      </c>
      <c r="AB364" s="873" t="s">
        <v>943</v>
      </c>
      <c r="AC364" s="873" t="s">
        <v>944</v>
      </c>
      <c r="AD364" s="873" t="s">
        <v>945</v>
      </c>
      <c r="AE364" s="873" t="s">
        <v>946</v>
      </c>
      <c r="AF364" s="873" t="s">
        <v>947</v>
      </c>
      <c r="AG364" s="873" t="s">
        <v>948</v>
      </c>
      <c r="AH364" s="6"/>
    </row>
    <row r="365" spans="1:34" ht="16" customHeight="1" thickTop="1">
      <c r="A365" s="7"/>
      <c r="B365" s="19" t="s">
        <v>1346</v>
      </c>
      <c r="C365" s="12"/>
      <c r="D365" s="194"/>
      <c r="E365" s="194"/>
      <c r="F365" s="193"/>
      <c r="G365" s="194"/>
      <c r="H365" s="193"/>
      <c r="I365" s="193"/>
      <c r="J365" s="194"/>
      <c r="K365" s="194"/>
      <c r="L365" s="285" t="s">
        <v>1429</v>
      </c>
      <c r="M365" s="193"/>
      <c r="N365" s="47" t="str">
        <f>J$6</f>
        <v>FY2010-11</v>
      </c>
      <c r="O365" s="47" t="s">
        <v>1353</v>
      </c>
      <c r="P365" s="47" t="s">
        <v>1347</v>
      </c>
      <c r="Q365" s="47"/>
      <c r="R365" s="194"/>
      <c r="S365" s="194"/>
      <c r="T365" s="194"/>
      <c r="U365" s="194"/>
      <c r="V365" s="195"/>
      <c r="W365" s="195"/>
      <c r="X365" s="195"/>
      <c r="Y365" s="195"/>
      <c r="Z365" s="195"/>
      <c r="AA365" s="195"/>
      <c r="AB365" s="195"/>
      <c r="AC365" s="195"/>
      <c r="AD365" s="195"/>
      <c r="AE365" s="195"/>
      <c r="AF365" s="195"/>
      <c r="AG365" s="195"/>
      <c r="AH365" s="6"/>
    </row>
    <row r="366" spans="1:34" ht="16" customHeight="1">
      <c r="A366" s="7"/>
      <c r="B366" s="16">
        <f>DSUM('$REV-DB'!D35:AG374,"AMOUNT",'$REV-DSUM'!D364:AG371)</f>
        <v>0</v>
      </c>
      <c r="C366" s="12"/>
      <c r="D366" s="194"/>
      <c r="E366" s="194"/>
      <c r="F366" s="193"/>
      <c r="G366" s="194"/>
      <c r="H366" s="193"/>
      <c r="I366" s="193"/>
      <c r="J366" s="194"/>
      <c r="K366" s="194"/>
      <c r="L366" s="285" t="s">
        <v>1429</v>
      </c>
      <c r="M366" s="193"/>
      <c r="N366" s="47" t="str">
        <f t="shared" ref="N366:N371" si="35">J$6</f>
        <v>FY2010-11</v>
      </c>
      <c r="O366" s="47" t="s">
        <v>1353</v>
      </c>
      <c r="P366" s="47" t="s">
        <v>1347</v>
      </c>
      <c r="Q366" s="47"/>
      <c r="R366" s="194"/>
      <c r="S366" s="194"/>
      <c r="T366" s="194"/>
      <c r="U366" s="194"/>
      <c r="V366" s="195"/>
      <c r="W366" s="195"/>
      <c r="X366" s="195"/>
      <c r="Y366" s="195"/>
      <c r="Z366" s="195"/>
      <c r="AA366" s="195"/>
      <c r="AB366" s="195"/>
      <c r="AC366" s="195"/>
      <c r="AD366" s="195"/>
      <c r="AE366" s="195"/>
      <c r="AF366" s="195"/>
      <c r="AG366" s="195"/>
      <c r="AH366" s="6"/>
    </row>
    <row r="367" spans="1:34" ht="16" customHeight="1">
      <c r="A367" s="7"/>
      <c r="B367" s="10"/>
      <c r="C367" s="12"/>
      <c r="D367" s="194"/>
      <c r="E367" s="194"/>
      <c r="F367" s="193"/>
      <c r="G367" s="194"/>
      <c r="H367" s="193"/>
      <c r="I367" s="193"/>
      <c r="J367" s="194"/>
      <c r="K367" s="194"/>
      <c r="L367" s="285" t="s">
        <v>1429</v>
      </c>
      <c r="M367" s="193"/>
      <c r="N367" s="47" t="str">
        <f t="shared" si="35"/>
        <v>FY2010-11</v>
      </c>
      <c r="O367" s="47" t="s">
        <v>1353</v>
      </c>
      <c r="P367" s="47" t="s">
        <v>1347</v>
      </c>
      <c r="Q367" s="47"/>
      <c r="R367" s="194"/>
      <c r="S367" s="194"/>
      <c r="T367" s="194"/>
      <c r="U367" s="194"/>
      <c r="V367" s="195"/>
      <c r="W367" s="195"/>
      <c r="X367" s="195"/>
      <c r="Y367" s="195"/>
      <c r="Z367" s="195"/>
      <c r="AA367" s="195"/>
      <c r="AB367" s="195"/>
      <c r="AC367" s="195"/>
      <c r="AD367" s="195"/>
      <c r="AE367" s="195"/>
      <c r="AF367" s="195"/>
      <c r="AG367" s="195"/>
    </row>
    <row r="368" spans="1:34" ht="16" customHeight="1">
      <c r="A368" s="7"/>
      <c r="B368" s="10"/>
      <c r="C368" s="12"/>
      <c r="D368" s="194"/>
      <c r="E368" s="194"/>
      <c r="F368" s="193"/>
      <c r="G368" s="194"/>
      <c r="H368" s="193"/>
      <c r="I368" s="193"/>
      <c r="J368" s="194"/>
      <c r="K368" s="194"/>
      <c r="L368" s="285" t="s">
        <v>1429</v>
      </c>
      <c r="M368" s="193"/>
      <c r="N368" s="47" t="str">
        <f t="shared" si="35"/>
        <v>FY2010-11</v>
      </c>
      <c r="O368" s="47" t="s">
        <v>1353</v>
      </c>
      <c r="P368" s="47" t="s">
        <v>1347</v>
      </c>
      <c r="Q368" s="47"/>
      <c r="R368" s="194"/>
      <c r="S368" s="194"/>
      <c r="T368" s="194"/>
      <c r="U368" s="194"/>
      <c r="V368" s="195"/>
      <c r="W368" s="195"/>
      <c r="X368" s="195"/>
      <c r="Y368" s="195"/>
      <c r="Z368" s="195"/>
      <c r="AA368" s="195"/>
      <c r="AB368" s="195"/>
      <c r="AC368" s="195"/>
      <c r="AD368" s="195"/>
      <c r="AE368" s="195"/>
      <c r="AF368" s="195"/>
      <c r="AG368" s="195"/>
    </row>
    <row r="369" spans="1:34" ht="16" customHeight="1">
      <c r="A369" s="7"/>
      <c r="B369" s="10"/>
      <c r="C369" s="12"/>
      <c r="D369" s="194"/>
      <c r="E369" s="194"/>
      <c r="F369" s="193"/>
      <c r="G369" s="194"/>
      <c r="H369" s="193"/>
      <c r="I369" s="193"/>
      <c r="J369" s="194"/>
      <c r="K369" s="194"/>
      <c r="L369" s="285" t="s">
        <v>1429</v>
      </c>
      <c r="M369" s="193"/>
      <c r="N369" s="47" t="str">
        <f t="shared" si="35"/>
        <v>FY2010-11</v>
      </c>
      <c r="O369" s="47" t="s">
        <v>1353</v>
      </c>
      <c r="P369" s="47" t="s">
        <v>1347</v>
      </c>
      <c r="Q369" s="47"/>
      <c r="R369" s="194"/>
      <c r="S369" s="194"/>
      <c r="T369" s="194"/>
      <c r="U369" s="194"/>
      <c r="V369" s="195"/>
      <c r="W369" s="195"/>
      <c r="X369" s="195"/>
      <c r="Y369" s="195"/>
      <c r="Z369" s="195"/>
      <c r="AA369" s="195"/>
      <c r="AB369" s="195"/>
      <c r="AC369" s="195"/>
      <c r="AD369" s="195"/>
      <c r="AE369" s="195"/>
      <c r="AF369" s="195"/>
      <c r="AG369" s="195"/>
    </row>
    <row r="370" spans="1:34" ht="16" customHeight="1">
      <c r="A370" s="7"/>
      <c r="B370" s="10"/>
      <c r="C370" s="12"/>
      <c r="D370" s="194"/>
      <c r="E370" s="194"/>
      <c r="F370" s="193"/>
      <c r="G370" s="194"/>
      <c r="H370" s="193"/>
      <c r="I370" s="193"/>
      <c r="J370" s="194"/>
      <c r="K370" s="194"/>
      <c r="L370" s="285" t="s">
        <v>1429</v>
      </c>
      <c r="M370" s="193"/>
      <c r="N370" s="47" t="str">
        <f t="shared" si="35"/>
        <v>FY2010-11</v>
      </c>
      <c r="O370" s="47" t="s">
        <v>1353</v>
      </c>
      <c r="P370" s="47" t="s">
        <v>1347</v>
      </c>
      <c r="Q370" s="47"/>
      <c r="R370" s="194"/>
      <c r="S370" s="194"/>
      <c r="T370" s="194"/>
      <c r="U370" s="194"/>
      <c r="V370" s="195"/>
      <c r="W370" s="195"/>
      <c r="X370" s="195"/>
      <c r="Y370" s="195"/>
      <c r="Z370" s="195"/>
      <c r="AA370" s="195"/>
      <c r="AB370" s="195"/>
      <c r="AC370" s="195"/>
      <c r="AD370" s="195"/>
      <c r="AE370" s="195"/>
      <c r="AF370" s="195"/>
      <c r="AG370" s="195"/>
    </row>
    <row r="371" spans="1:34" ht="16" customHeight="1">
      <c r="A371" s="7"/>
      <c r="B371" s="10"/>
      <c r="C371" s="12"/>
      <c r="D371" s="194"/>
      <c r="E371" s="194"/>
      <c r="F371" s="193"/>
      <c r="G371" s="194"/>
      <c r="H371" s="193"/>
      <c r="I371" s="193"/>
      <c r="J371" s="194"/>
      <c r="K371" s="194"/>
      <c r="L371" s="285" t="s">
        <v>1429</v>
      </c>
      <c r="M371" s="193"/>
      <c r="N371" s="47" t="str">
        <f t="shared" si="35"/>
        <v>FY2010-11</v>
      </c>
      <c r="O371" s="47" t="s">
        <v>1353</v>
      </c>
      <c r="P371" s="47" t="s">
        <v>1347</v>
      </c>
      <c r="Q371" s="47"/>
      <c r="R371" s="194"/>
      <c r="S371" s="194"/>
      <c r="T371" s="194"/>
      <c r="U371" s="194"/>
      <c r="V371" s="195"/>
      <c r="W371" s="195"/>
      <c r="X371" s="195"/>
      <c r="Y371" s="195"/>
      <c r="Z371" s="195"/>
      <c r="AA371" s="195"/>
      <c r="AB371" s="195"/>
      <c r="AC371" s="195"/>
      <c r="AD371" s="195"/>
      <c r="AE371" s="195"/>
      <c r="AF371" s="195"/>
      <c r="AG371" s="195"/>
    </row>
    <row r="372" spans="1:34" ht="16" customHeight="1">
      <c r="A372" s="29"/>
      <c r="B372" s="30"/>
      <c r="C372" s="30"/>
      <c r="D372" s="31"/>
      <c r="E372" s="31"/>
      <c r="F372" s="32"/>
      <c r="G372" s="31"/>
      <c r="H372" s="32"/>
      <c r="I372" s="32"/>
      <c r="J372" s="31"/>
      <c r="K372" s="31"/>
      <c r="L372" s="284"/>
      <c r="M372" s="32"/>
      <c r="N372" s="32"/>
      <c r="O372" s="31"/>
      <c r="P372" s="32"/>
      <c r="Q372" s="32"/>
      <c r="R372" s="31"/>
      <c r="S372" s="31"/>
      <c r="T372" s="31"/>
      <c r="U372" s="31"/>
      <c r="V372" s="29"/>
      <c r="W372" s="29"/>
      <c r="X372" s="29"/>
      <c r="Y372" s="29"/>
      <c r="Z372" s="29"/>
      <c r="AA372" s="29"/>
      <c r="AB372" s="29"/>
      <c r="AC372" s="29"/>
      <c r="AD372" s="29"/>
      <c r="AE372" s="29"/>
      <c r="AF372" s="29"/>
      <c r="AG372" s="29"/>
    </row>
    <row r="373" spans="1:34" ht="16" customHeight="1" thickBot="1">
      <c r="A373" s="7"/>
      <c r="B373" s="19" t="str">
        <f>"FA2 = "&amp;'FIG3'!$W$53&amp;" "&amp;'FIG3'!$X$53</f>
        <v>FA2 = FA2L1 FA2L2</v>
      </c>
      <c r="C373" s="7"/>
      <c r="D373" s="8"/>
      <c r="E373" s="8"/>
      <c r="F373" s="9"/>
      <c r="G373" s="8"/>
      <c r="H373" s="9"/>
      <c r="I373" s="9"/>
      <c r="J373" s="8"/>
      <c r="K373" s="8"/>
      <c r="L373" s="280"/>
      <c r="M373" s="9"/>
      <c r="N373" s="9"/>
      <c r="O373" s="8"/>
      <c r="P373" s="9"/>
      <c r="Q373" s="9"/>
      <c r="R373" s="8"/>
      <c r="S373" s="882"/>
      <c r="T373" s="883" t="str">
        <f>'$REV-DB'!$T$34</f>
        <v>Federal Revenues</v>
      </c>
      <c r="U373" s="883" t="str">
        <f>'$REV-DB'!$U$34</f>
        <v>local Revenues</v>
      </c>
      <c r="V373" s="883" t="str">
        <f>'$REV-DB'!$V$34</f>
        <v>Other Revenues</v>
      </c>
      <c r="W373" s="883" t="str">
        <f>'$REV-DB'!$W$34</f>
        <v>State revenues</v>
      </c>
      <c r="X373" s="883" t="str">
        <f>'$REV-DB'!$X$34</f>
        <v>UD5</v>
      </c>
      <c r="Y373" s="883" t="str">
        <f>'$REV-DB'!$Y$34</f>
        <v>UD6</v>
      </c>
      <c r="Z373" s="883" t="str">
        <f>'$REV-DB'!$Z$34</f>
        <v>UD7</v>
      </c>
      <c r="AA373" s="883" t="str">
        <f>'$REV-DB'!$AA$34</f>
        <v>UD8</v>
      </c>
      <c r="AB373" s="883" t="str">
        <f>'$REV-DB'!$AB$34</f>
        <v>UD9</v>
      </c>
      <c r="AC373" s="883" t="str">
        <f>'$REV-DB'!$AC$34</f>
        <v>UD10</v>
      </c>
      <c r="AD373" s="883" t="str">
        <f>'$REV-DB'!$AD$34</f>
        <v>UD11</v>
      </c>
      <c r="AE373" s="883" t="str">
        <f>'$REV-DB'!$AE$34</f>
        <v>UD12</v>
      </c>
      <c r="AF373" s="883" t="str">
        <f>'$REV-DB'!$AF$34</f>
        <v>UD13</v>
      </c>
      <c r="AG373" s="883" t="str">
        <f>'$REV-DB'!$AG$34</f>
        <v>UD14</v>
      </c>
    </row>
    <row r="374" spans="1:34" ht="16" customHeight="1" thickTop="1" thickBot="1">
      <c r="A374" s="7"/>
      <c r="B374" s="20" t="s">
        <v>1375</v>
      </c>
      <c r="C374" s="15"/>
      <c r="D374" s="105" t="s">
        <v>1386</v>
      </c>
      <c r="E374" s="105" t="s">
        <v>1387</v>
      </c>
      <c r="F374" s="105" t="s">
        <v>1388</v>
      </c>
      <c r="G374" s="105" t="s">
        <v>1389</v>
      </c>
      <c r="H374" s="301" t="s">
        <v>1406</v>
      </c>
      <c r="I374" s="301" t="s">
        <v>1390</v>
      </c>
      <c r="J374" s="301" t="s">
        <v>1391</v>
      </c>
      <c r="K374" s="301" t="s">
        <v>1392</v>
      </c>
      <c r="L374" s="301" t="s">
        <v>1188</v>
      </c>
      <c r="M374" s="301" t="s">
        <v>1437</v>
      </c>
      <c r="N374" s="105" t="s">
        <v>1348</v>
      </c>
      <c r="O374" s="105" t="s">
        <v>1393</v>
      </c>
      <c r="P374" s="105" t="s">
        <v>1342</v>
      </c>
      <c r="Q374" s="105" t="s">
        <v>1394</v>
      </c>
      <c r="R374" s="112" t="s">
        <v>1341</v>
      </c>
      <c r="S374" s="112" t="s">
        <v>846</v>
      </c>
      <c r="T374" s="873" t="s">
        <v>935</v>
      </c>
      <c r="U374" s="873" t="s">
        <v>936</v>
      </c>
      <c r="V374" s="873" t="s">
        <v>937</v>
      </c>
      <c r="W374" s="873" t="s">
        <v>938</v>
      </c>
      <c r="X374" s="873" t="s">
        <v>939</v>
      </c>
      <c r="Y374" s="873" t="s">
        <v>940</v>
      </c>
      <c r="Z374" s="873" t="s">
        <v>941</v>
      </c>
      <c r="AA374" s="873" t="s">
        <v>942</v>
      </c>
      <c r="AB374" s="873" t="s">
        <v>943</v>
      </c>
      <c r="AC374" s="873" t="s">
        <v>944</v>
      </c>
      <c r="AD374" s="873" t="s">
        <v>945</v>
      </c>
      <c r="AE374" s="873" t="s">
        <v>946</v>
      </c>
      <c r="AF374" s="873" t="s">
        <v>947</v>
      </c>
      <c r="AG374" s="873" t="s">
        <v>948</v>
      </c>
      <c r="AH374" s="6"/>
    </row>
    <row r="375" spans="1:34" ht="16" customHeight="1" thickTop="1">
      <c r="A375" s="7"/>
      <c r="B375" s="19" t="s">
        <v>1345</v>
      </c>
      <c r="C375" s="12"/>
      <c r="D375" s="194"/>
      <c r="E375" s="194"/>
      <c r="F375" s="193"/>
      <c r="G375" s="194"/>
      <c r="H375" s="193"/>
      <c r="I375" s="193"/>
      <c r="J375" s="194"/>
      <c r="K375" s="194"/>
      <c r="L375" s="285" t="s">
        <v>1429</v>
      </c>
      <c r="M375" s="193"/>
      <c r="N375" s="47" t="str">
        <f>J$6</f>
        <v>FY2010-11</v>
      </c>
      <c r="O375" s="47" t="s">
        <v>1353</v>
      </c>
      <c r="P375" s="47" t="s">
        <v>1347</v>
      </c>
      <c r="Q375" s="47" t="s">
        <v>1380</v>
      </c>
      <c r="R375" s="194"/>
      <c r="S375" s="194"/>
      <c r="T375" s="194"/>
      <c r="U375" s="194"/>
      <c r="V375" s="195"/>
      <c r="W375" s="195"/>
      <c r="X375" s="195"/>
      <c r="Y375" s="195"/>
      <c r="Z375" s="195"/>
      <c r="AA375" s="195"/>
      <c r="AB375" s="195"/>
      <c r="AC375" s="195"/>
      <c r="AD375" s="195"/>
      <c r="AE375" s="195"/>
      <c r="AF375" s="195"/>
      <c r="AG375" s="195"/>
      <c r="AH375" s="6"/>
    </row>
    <row r="376" spans="1:34" ht="16" customHeight="1">
      <c r="A376" s="7"/>
      <c r="B376" s="16">
        <f>DSUM('$REV-DB'!D35:AG374,"AMOUNT",'$REV-DSUM'!D374:AG381)</f>
        <v>0</v>
      </c>
      <c r="C376" s="12"/>
      <c r="D376" s="194"/>
      <c r="E376" s="194"/>
      <c r="F376" s="193"/>
      <c r="G376" s="194"/>
      <c r="H376" s="193"/>
      <c r="I376" s="193"/>
      <c r="J376" s="194"/>
      <c r="K376" s="194"/>
      <c r="L376" s="285" t="s">
        <v>1429</v>
      </c>
      <c r="M376" s="193"/>
      <c r="N376" s="47" t="str">
        <f t="shared" ref="N376:N381" si="36">J$6</f>
        <v>FY2010-11</v>
      </c>
      <c r="O376" s="47" t="s">
        <v>1353</v>
      </c>
      <c r="P376" s="47" t="s">
        <v>1347</v>
      </c>
      <c r="Q376" s="47" t="s">
        <v>1380</v>
      </c>
      <c r="R376" s="194"/>
      <c r="S376" s="194"/>
      <c r="T376" s="194"/>
      <c r="U376" s="194"/>
      <c r="V376" s="195"/>
      <c r="W376" s="195"/>
      <c r="X376" s="195"/>
      <c r="Y376" s="195"/>
      <c r="Z376" s="195"/>
      <c r="AA376" s="195"/>
      <c r="AB376" s="195"/>
      <c r="AC376" s="195"/>
      <c r="AD376" s="195"/>
      <c r="AE376" s="195"/>
      <c r="AF376" s="195"/>
      <c r="AG376" s="195"/>
      <c r="AH376" s="6"/>
    </row>
    <row r="377" spans="1:34" ht="16" customHeight="1">
      <c r="A377" s="7"/>
      <c r="B377" s="10"/>
      <c r="C377" s="12"/>
      <c r="D377" s="194"/>
      <c r="E377" s="194"/>
      <c r="F377" s="193"/>
      <c r="G377" s="194"/>
      <c r="H377" s="193"/>
      <c r="I377" s="193"/>
      <c r="J377" s="194"/>
      <c r="K377" s="194"/>
      <c r="L377" s="285" t="s">
        <v>1429</v>
      </c>
      <c r="M377" s="193"/>
      <c r="N377" s="47" t="str">
        <f t="shared" si="36"/>
        <v>FY2010-11</v>
      </c>
      <c r="O377" s="47" t="s">
        <v>1353</v>
      </c>
      <c r="P377" s="47" t="s">
        <v>1347</v>
      </c>
      <c r="Q377" s="47" t="s">
        <v>1380</v>
      </c>
      <c r="R377" s="194"/>
      <c r="S377" s="194"/>
      <c r="T377" s="194"/>
      <c r="U377" s="194"/>
      <c r="V377" s="195"/>
      <c r="W377" s="195"/>
      <c r="X377" s="195"/>
      <c r="Y377" s="195"/>
      <c r="Z377" s="195"/>
      <c r="AA377" s="195"/>
      <c r="AB377" s="195"/>
      <c r="AC377" s="195"/>
      <c r="AD377" s="195"/>
      <c r="AE377" s="195"/>
      <c r="AF377" s="195"/>
      <c r="AG377" s="195"/>
    </row>
    <row r="378" spans="1:34" ht="16" customHeight="1">
      <c r="A378" s="7"/>
      <c r="B378" s="10"/>
      <c r="C378" s="12"/>
      <c r="D378" s="194"/>
      <c r="E378" s="194"/>
      <c r="F378" s="193"/>
      <c r="G378" s="194"/>
      <c r="H378" s="193"/>
      <c r="I378" s="193"/>
      <c r="J378" s="194"/>
      <c r="K378" s="194"/>
      <c r="L378" s="285" t="s">
        <v>1429</v>
      </c>
      <c r="M378" s="193"/>
      <c r="N378" s="47" t="str">
        <f t="shared" si="36"/>
        <v>FY2010-11</v>
      </c>
      <c r="O378" s="47" t="s">
        <v>1353</v>
      </c>
      <c r="P378" s="47" t="s">
        <v>1347</v>
      </c>
      <c r="Q378" s="47" t="s">
        <v>1380</v>
      </c>
      <c r="R378" s="194"/>
      <c r="S378" s="194"/>
      <c r="T378" s="194"/>
      <c r="U378" s="194"/>
      <c r="V378" s="195"/>
      <c r="W378" s="195"/>
      <c r="X378" s="195"/>
      <c r="Y378" s="195"/>
      <c r="Z378" s="195"/>
      <c r="AA378" s="195"/>
      <c r="AB378" s="195"/>
      <c r="AC378" s="195"/>
      <c r="AD378" s="195"/>
      <c r="AE378" s="195"/>
      <c r="AF378" s="195"/>
      <c r="AG378" s="195"/>
    </row>
    <row r="379" spans="1:34" ht="16" customHeight="1">
      <c r="A379" s="7"/>
      <c r="B379" s="10"/>
      <c r="C379" s="12"/>
      <c r="D379" s="194"/>
      <c r="E379" s="194"/>
      <c r="F379" s="193"/>
      <c r="G379" s="194"/>
      <c r="H379" s="193"/>
      <c r="I379" s="193"/>
      <c r="J379" s="194"/>
      <c r="K379" s="194"/>
      <c r="L379" s="285" t="s">
        <v>1429</v>
      </c>
      <c r="M379" s="193"/>
      <c r="N379" s="47" t="str">
        <f t="shared" si="36"/>
        <v>FY2010-11</v>
      </c>
      <c r="O379" s="47" t="s">
        <v>1353</v>
      </c>
      <c r="P379" s="47" t="s">
        <v>1347</v>
      </c>
      <c r="Q379" s="47" t="s">
        <v>1380</v>
      </c>
      <c r="R379" s="194"/>
      <c r="S379" s="194"/>
      <c r="T379" s="194"/>
      <c r="U379" s="194"/>
      <c r="V379" s="195"/>
      <c r="W379" s="195"/>
      <c r="X379" s="195"/>
      <c r="Y379" s="195"/>
      <c r="Z379" s="195"/>
      <c r="AA379" s="195"/>
      <c r="AB379" s="195"/>
      <c r="AC379" s="195"/>
      <c r="AD379" s="195"/>
      <c r="AE379" s="195"/>
      <c r="AF379" s="195"/>
      <c r="AG379" s="195"/>
    </row>
    <row r="380" spans="1:34" ht="16" customHeight="1">
      <c r="A380" s="7"/>
      <c r="B380" s="10"/>
      <c r="C380" s="12"/>
      <c r="D380" s="194"/>
      <c r="E380" s="194"/>
      <c r="F380" s="193"/>
      <c r="G380" s="194"/>
      <c r="H380" s="193"/>
      <c r="I380" s="193"/>
      <c r="J380" s="194"/>
      <c r="K380" s="194"/>
      <c r="L380" s="285" t="s">
        <v>1429</v>
      </c>
      <c r="M380" s="193"/>
      <c r="N380" s="47" t="str">
        <f t="shared" si="36"/>
        <v>FY2010-11</v>
      </c>
      <c r="O380" s="47" t="s">
        <v>1353</v>
      </c>
      <c r="P380" s="47" t="s">
        <v>1347</v>
      </c>
      <c r="Q380" s="47" t="s">
        <v>1380</v>
      </c>
      <c r="R380" s="194"/>
      <c r="S380" s="194"/>
      <c r="T380" s="194"/>
      <c r="U380" s="194"/>
      <c r="V380" s="195"/>
      <c r="W380" s="195"/>
      <c r="X380" s="195"/>
      <c r="Y380" s="195"/>
      <c r="Z380" s="195"/>
      <c r="AA380" s="195"/>
      <c r="AB380" s="195"/>
      <c r="AC380" s="195"/>
      <c r="AD380" s="195"/>
      <c r="AE380" s="195"/>
      <c r="AF380" s="195"/>
      <c r="AG380" s="195"/>
    </row>
    <row r="381" spans="1:34" ht="16" customHeight="1">
      <c r="A381" s="7"/>
      <c r="B381" s="10"/>
      <c r="C381" s="12"/>
      <c r="D381" s="194"/>
      <c r="E381" s="194"/>
      <c r="F381" s="193"/>
      <c r="G381" s="194"/>
      <c r="H381" s="193"/>
      <c r="I381" s="193"/>
      <c r="J381" s="194"/>
      <c r="K381" s="194"/>
      <c r="L381" s="285" t="s">
        <v>1429</v>
      </c>
      <c r="M381" s="193"/>
      <c r="N381" s="47" t="str">
        <f t="shared" si="36"/>
        <v>FY2010-11</v>
      </c>
      <c r="O381" s="47" t="s">
        <v>1353</v>
      </c>
      <c r="P381" s="47" t="s">
        <v>1347</v>
      </c>
      <c r="Q381" s="47" t="s">
        <v>1380</v>
      </c>
      <c r="R381" s="194"/>
      <c r="S381" s="194"/>
      <c r="T381" s="194"/>
      <c r="U381" s="194"/>
      <c r="V381" s="195"/>
      <c r="W381" s="195"/>
      <c r="X381" s="195"/>
      <c r="Y381" s="195"/>
      <c r="Z381" s="195"/>
      <c r="AA381" s="195"/>
      <c r="AB381" s="195"/>
      <c r="AC381" s="195"/>
      <c r="AD381" s="195"/>
      <c r="AE381" s="195"/>
      <c r="AF381" s="195"/>
      <c r="AG381" s="195"/>
    </row>
    <row r="382" spans="1:34" ht="16" customHeight="1">
      <c r="A382" s="29"/>
      <c r="B382" s="30"/>
      <c r="C382" s="30"/>
      <c r="D382" s="31"/>
      <c r="E382" s="31"/>
      <c r="F382" s="32"/>
      <c r="G382" s="31"/>
      <c r="H382" s="32"/>
      <c r="I382" s="32"/>
      <c r="J382" s="31"/>
      <c r="K382" s="31"/>
      <c r="L382" s="284"/>
      <c r="M382" s="32"/>
      <c r="N382" s="32"/>
      <c r="O382" s="31"/>
      <c r="P382" s="32"/>
      <c r="Q382" s="32"/>
      <c r="R382" s="31"/>
      <c r="S382" s="31"/>
      <c r="T382" s="31"/>
      <c r="U382" s="31"/>
      <c r="V382" s="29"/>
      <c r="W382" s="29"/>
      <c r="X382" s="29"/>
      <c r="Y382" s="29"/>
      <c r="Z382" s="29"/>
      <c r="AA382" s="29"/>
      <c r="AB382" s="29"/>
      <c r="AC382" s="29"/>
      <c r="AD382" s="29"/>
      <c r="AE382" s="29"/>
      <c r="AF382" s="29"/>
      <c r="AG382" s="29"/>
    </row>
    <row r="383" spans="1:34" ht="16" customHeight="1" thickBot="1">
      <c r="A383" s="7"/>
      <c r="B383" s="19" t="str">
        <f>"FA2 = "&amp;'FIG3'!$W$53&amp;" "&amp;'FIG3'!$X$53</f>
        <v>FA2 = FA2L1 FA2L2</v>
      </c>
      <c r="C383" s="7"/>
      <c r="D383" s="8"/>
      <c r="E383" s="8"/>
      <c r="F383" s="9"/>
      <c r="G383" s="8"/>
      <c r="H383" s="9"/>
      <c r="I383" s="9"/>
      <c r="J383" s="8"/>
      <c r="K383" s="8"/>
      <c r="L383" s="280"/>
      <c r="M383" s="9"/>
      <c r="N383" s="9"/>
      <c r="O383" s="8"/>
      <c r="P383" s="9"/>
      <c r="Q383" s="9"/>
      <c r="R383" s="8"/>
      <c r="S383" s="882"/>
      <c r="T383" s="883" t="str">
        <f>'$REV-DB'!$T$34</f>
        <v>Federal Revenues</v>
      </c>
      <c r="U383" s="883" t="str">
        <f>'$REV-DB'!$U$34</f>
        <v>local Revenues</v>
      </c>
      <c r="V383" s="883" t="str">
        <f>'$REV-DB'!$V$34</f>
        <v>Other Revenues</v>
      </c>
      <c r="W383" s="883" t="str">
        <f>'$REV-DB'!$W$34</f>
        <v>State revenues</v>
      </c>
      <c r="X383" s="883" t="str">
        <f>'$REV-DB'!$X$34</f>
        <v>UD5</v>
      </c>
      <c r="Y383" s="883" t="str">
        <f>'$REV-DB'!$Y$34</f>
        <v>UD6</v>
      </c>
      <c r="Z383" s="883" t="str">
        <f>'$REV-DB'!$Z$34</f>
        <v>UD7</v>
      </c>
      <c r="AA383" s="883" t="str">
        <f>'$REV-DB'!$AA$34</f>
        <v>UD8</v>
      </c>
      <c r="AB383" s="883" t="str">
        <f>'$REV-DB'!$AB$34</f>
        <v>UD9</v>
      </c>
      <c r="AC383" s="883" t="str">
        <f>'$REV-DB'!$AC$34</f>
        <v>UD10</v>
      </c>
      <c r="AD383" s="883" t="str">
        <f>'$REV-DB'!$AD$34</f>
        <v>UD11</v>
      </c>
      <c r="AE383" s="883" t="str">
        <f>'$REV-DB'!$AE$34</f>
        <v>UD12</v>
      </c>
      <c r="AF383" s="883" t="str">
        <f>'$REV-DB'!$AF$34</f>
        <v>UD13</v>
      </c>
      <c r="AG383" s="883" t="str">
        <f>'$REV-DB'!$AG$34</f>
        <v>UD14</v>
      </c>
    </row>
    <row r="384" spans="1:34" ht="16" customHeight="1" thickTop="1" thickBot="1">
      <c r="A384" s="7"/>
      <c r="B384" s="20" t="s">
        <v>1375</v>
      </c>
      <c r="C384" s="15"/>
      <c r="D384" s="105" t="s">
        <v>1386</v>
      </c>
      <c r="E384" s="105" t="s">
        <v>1387</v>
      </c>
      <c r="F384" s="105" t="s">
        <v>1388</v>
      </c>
      <c r="G384" s="105" t="s">
        <v>1389</v>
      </c>
      <c r="H384" s="301" t="s">
        <v>1406</v>
      </c>
      <c r="I384" s="301" t="s">
        <v>1390</v>
      </c>
      <c r="J384" s="301" t="s">
        <v>1391</v>
      </c>
      <c r="K384" s="301" t="s">
        <v>1392</v>
      </c>
      <c r="L384" s="301" t="s">
        <v>1188</v>
      </c>
      <c r="M384" s="301" t="s">
        <v>1437</v>
      </c>
      <c r="N384" s="105" t="s">
        <v>1348</v>
      </c>
      <c r="O384" s="105" t="s">
        <v>1393</v>
      </c>
      <c r="P384" s="105" t="s">
        <v>1342</v>
      </c>
      <c r="Q384" s="105" t="s">
        <v>1394</v>
      </c>
      <c r="R384" s="112" t="s">
        <v>1341</v>
      </c>
      <c r="S384" s="112" t="s">
        <v>846</v>
      </c>
      <c r="T384" s="873" t="s">
        <v>935</v>
      </c>
      <c r="U384" s="873" t="s">
        <v>936</v>
      </c>
      <c r="V384" s="873" t="s">
        <v>937</v>
      </c>
      <c r="W384" s="873" t="s">
        <v>938</v>
      </c>
      <c r="X384" s="873" t="s">
        <v>939</v>
      </c>
      <c r="Y384" s="873" t="s">
        <v>940</v>
      </c>
      <c r="Z384" s="873" t="s">
        <v>941</v>
      </c>
      <c r="AA384" s="873" t="s">
        <v>942</v>
      </c>
      <c r="AB384" s="873" t="s">
        <v>943</v>
      </c>
      <c r="AC384" s="873" t="s">
        <v>944</v>
      </c>
      <c r="AD384" s="873" t="s">
        <v>945</v>
      </c>
      <c r="AE384" s="873" t="s">
        <v>946</v>
      </c>
      <c r="AF384" s="873" t="s">
        <v>947</v>
      </c>
      <c r="AG384" s="873" t="s">
        <v>948</v>
      </c>
      <c r="AH384" s="6"/>
    </row>
    <row r="385" spans="1:34" ht="16" customHeight="1" thickTop="1">
      <c r="A385" s="7"/>
      <c r="B385" s="19" t="s">
        <v>1344</v>
      </c>
      <c r="C385" s="12"/>
      <c r="D385" s="194"/>
      <c r="E385" s="194"/>
      <c r="F385" s="193"/>
      <c r="G385" s="194"/>
      <c r="H385" s="193"/>
      <c r="I385" s="193"/>
      <c r="J385" s="194"/>
      <c r="K385" s="194"/>
      <c r="L385" s="285" t="s">
        <v>1429</v>
      </c>
      <c r="M385" s="193"/>
      <c r="N385" s="47" t="str">
        <f>J$6</f>
        <v>FY2010-11</v>
      </c>
      <c r="O385" s="47" t="s">
        <v>1353</v>
      </c>
      <c r="P385" s="47" t="s">
        <v>1347</v>
      </c>
      <c r="Q385" s="47" t="s">
        <v>1339</v>
      </c>
      <c r="R385" s="194"/>
      <c r="S385" s="194"/>
      <c r="T385" s="194"/>
      <c r="U385" s="194"/>
      <c r="V385" s="195"/>
      <c r="W385" s="195"/>
      <c r="X385" s="195"/>
      <c r="Y385" s="195"/>
      <c r="Z385" s="195"/>
      <c r="AA385" s="195"/>
      <c r="AB385" s="195"/>
      <c r="AC385" s="195"/>
      <c r="AD385" s="195"/>
      <c r="AE385" s="195"/>
      <c r="AF385" s="195"/>
      <c r="AG385" s="195"/>
      <c r="AH385" s="6"/>
    </row>
    <row r="386" spans="1:34" ht="16" customHeight="1">
      <c r="A386" s="7"/>
      <c r="B386" s="16">
        <f>DSUM('$REV-DB'!D35:AG374,"AMOUNT",'$REV-DSUM'!D384:AG391)</f>
        <v>0</v>
      </c>
      <c r="C386" s="12"/>
      <c r="D386" s="194"/>
      <c r="E386" s="194"/>
      <c r="F386" s="193"/>
      <c r="G386" s="194"/>
      <c r="H386" s="193"/>
      <c r="I386" s="193"/>
      <c r="J386" s="194"/>
      <c r="K386" s="194"/>
      <c r="L386" s="285" t="s">
        <v>1429</v>
      </c>
      <c r="M386" s="193"/>
      <c r="N386" s="47" t="str">
        <f t="shared" ref="N386:N391" si="37">J$6</f>
        <v>FY2010-11</v>
      </c>
      <c r="O386" s="47" t="s">
        <v>1353</v>
      </c>
      <c r="P386" s="47" t="s">
        <v>1347</v>
      </c>
      <c r="Q386" s="47" t="s">
        <v>1339</v>
      </c>
      <c r="R386" s="194"/>
      <c r="S386" s="194"/>
      <c r="T386" s="194"/>
      <c r="U386" s="194"/>
      <c r="V386" s="195"/>
      <c r="W386" s="195"/>
      <c r="X386" s="195"/>
      <c r="Y386" s="195"/>
      <c r="Z386" s="195"/>
      <c r="AA386" s="195"/>
      <c r="AB386" s="195"/>
      <c r="AC386" s="195"/>
      <c r="AD386" s="195"/>
      <c r="AE386" s="195"/>
      <c r="AF386" s="195"/>
      <c r="AG386" s="195"/>
      <c r="AH386" s="6"/>
    </row>
    <row r="387" spans="1:34" ht="16" customHeight="1">
      <c r="A387" s="7"/>
      <c r="B387" s="10"/>
      <c r="C387" s="12"/>
      <c r="D387" s="194"/>
      <c r="E387" s="194"/>
      <c r="F387" s="193"/>
      <c r="G387" s="194"/>
      <c r="H387" s="193"/>
      <c r="I387" s="193"/>
      <c r="J387" s="194"/>
      <c r="K387" s="194"/>
      <c r="L387" s="285" t="s">
        <v>1429</v>
      </c>
      <c r="M387" s="193"/>
      <c r="N387" s="47" t="str">
        <f t="shared" si="37"/>
        <v>FY2010-11</v>
      </c>
      <c r="O387" s="47" t="s">
        <v>1353</v>
      </c>
      <c r="P387" s="47" t="s">
        <v>1347</v>
      </c>
      <c r="Q387" s="47" t="s">
        <v>1339</v>
      </c>
      <c r="R387" s="194"/>
      <c r="S387" s="194"/>
      <c r="T387" s="194"/>
      <c r="U387" s="194"/>
      <c r="V387" s="195"/>
      <c r="W387" s="195"/>
      <c r="X387" s="195"/>
      <c r="Y387" s="195"/>
      <c r="Z387" s="195"/>
      <c r="AA387" s="195"/>
      <c r="AB387" s="195"/>
      <c r="AC387" s="195"/>
      <c r="AD387" s="195"/>
      <c r="AE387" s="195"/>
      <c r="AF387" s="195"/>
      <c r="AG387" s="195"/>
    </row>
    <row r="388" spans="1:34" ht="16" customHeight="1">
      <c r="A388" s="7"/>
      <c r="B388" s="10"/>
      <c r="C388" s="12"/>
      <c r="D388" s="194"/>
      <c r="E388" s="194"/>
      <c r="F388" s="193"/>
      <c r="G388" s="194"/>
      <c r="H388" s="193"/>
      <c r="I388" s="193"/>
      <c r="J388" s="194"/>
      <c r="K388" s="194"/>
      <c r="L388" s="285" t="s">
        <v>1429</v>
      </c>
      <c r="M388" s="193"/>
      <c r="N388" s="47" t="str">
        <f t="shared" si="37"/>
        <v>FY2010-11</v>
      </c>
      <c r="O388" s="47" t="s">
        <v>1353</v>
      </c>
      <c r="P388" s="47" t="s">
        <v>1347</v>
      </c>
      <c r="Q388" s="47" t="s">
        <v>1339</v>
      </c>
      <c r="R388" s="194"/>
      <c r="S388" s="194"/>
      <c r="T388" s="194"/>
      <c r="U388" s="194"/>
      <c r="V388" s="195"/>
      <c r="W388" s="195"/>
      <c r="X388" s="195"/>
      <c r="Y388" s="195"/>
      <c r="Z388" s="195"/>
      <c r="AA388" s="195"/>
      <c r="AB388" s="195"/>
      <c r="AC388" s="195"/>
      <c r="AD388" s="195"/>
      <c r="AE388" s="195"/>
      <c r="AF388" s="195"/>
      <c r="AG388" s="195"/>
    </row>
    <row r="389" spans="1:34" ht="16" customHeight="1">
      <c r="A389" s="7"/>
      <c r="B389" s="10"/>
      <c r="C389" s="12"/>
      <c r="D389" s="194"/>
      <c r="E389" s="194"/>
      <c r="F389" s="193"/>
      <c r="G389" s="194"/>
      <c r="H389" s="193"/>
      <c r="I389" s="193"/>
      <c r="J389" s="194"/>
      <c r="K389" s="194"/>
      <c r="L389" s="285" t="s">
        <v>1429</v>
      </c>
      <c r="M389" s="193"/>
      <c r="N389" s="47" t="str">
        <f t="shared" si="37"/>
        <v>FY2010-11</v>
      </c>
      <c r="O389" s="47" t="s">
        <v>1353</v>
      </c>
      <c r="P389" s="47" t="s">
        <v>1347</v>
      </c>
      <c r="Q389" s="47" t="s">
        <v>1339</v>
      </c>
      <c r="R389" s="194"/>
      <c r="S389" s="194"/>
      <c r="T389" s="194"/>
      <c r="U389" s="194"/>
      <c r="V389" s="195"/>
      <c r="W389" s="195"/>
      <c r="X389" s="195"/>
      <c r="Y389" s="195"/>
      <c r="Z389" s="195"/>
      <c r="AA389" s="195"/>
      <c r="AB389" s="195"/>
      <c r="AC389" s="195"/>
      <c r="AD389" s="195"/>
      <c r="AE389" s="195"/>
      <c r="AF389" s="195"/>
      <c r="AG389" s="195"/>
    </row>
    <row r="390" spans="1:34" ht="16" customHeight="1">
      <c r="A390" s="7"/>
      <c r="B390" s="10"/>
      <c r="C390" s="12"/>
      <c r="D390" s="194"/>
      <c r="E390" s="194"/>
      <c r="F390" s="193"/>
      <c r="G390" s="194"/>
      <c r="H390" s="193"/>
      <c r="I390" s="193"/>
      <c r="J390" s="194"/>
      <c r="K390" s="194"/>
      <c r="L390" s="285" t="s">
        <v>1429</v>
      </c>
      <c r="M390" s="193"/>
      <c r="N390" s="47" t="str">
        <f t="shared" si="37"/>
        <v>FY2010-11</v>
      </c>
      <c r="O390" s="47" t="s">
        <v>1353</v>
      </c>
      <c r="P390" s="47" t="s">
        <v>1347</v>
      </c>
      <c r="Q390" s="47" t="s">
        <v>1339</v>
      </c>
      <c r="R390" s="194"/>
      <c r="S390" s="194"/>
      <c r="T390" s="194"/>
      <c r="U390" s="194"/>
      <c r="V390" s="195"/>
      <c r="W390" s="195"/>
      <c r="X390" s="195"/>
      <c r="Y390" s="195"/>
      <c r="Z390" s="195"/>
      <c r="AA390" s="195"/>
      <c r="AB390" s="195"/>
      <c r="AC390" s="195"/>
      <c r="AD390" s="195"/>
      <c r="AE390" s="195"/>
      <c r="AF390" s="195"/>
      <c r="AG390" s="195"/>
    </row>
    <row r="391" spans="1:34" ht="16" customHeight="1">
      <c r="A391" s="7"/>
      <c r="B391" s="10"/>
      <c r="C391" s="12"/>
      <c r="D391" s="194"/>
      <c r="E391" s="194"/>
      <c r="F391" s="193"/>
      <c r="G391" s="194"/>
      <c r="H391" s="193"/>
      <c r="I391" s="193"/>
      <c r="J391" s="194"/>
      <c r="K391" s="194"/>
      <c r="L391" s="285" t="s">
        <v>1429</v>
      </c>
      <c r="M391" s="193"/>
      <c r="N391" s="47" t="str">
        <f t="shared" si="37"/>
        <v>FY2010-11</v>
      </c>
      <c r="O391" s="47" t="s">
        <v>1353</v>
      </c>
      <c r="P391" s="47" t="s">
        <v>1347</v>
      </c>
      <c r="Q391" s="47" t="s">
        <v>1339</v>
      </c>
      <c r="R391" s="194"/>
      <c r="S391" s="194"/>
      <c r="T391" s="194"/>
      <c r="U391" s="194"/>
      <c r="V391" s="195"/>
      <c r="W391" s="195"/>
      <c r="X391" s="195"/>
      <c r="Y391" s="195"/>
      <c r="Z391" s="195"/>
      <c r="AA391" s="195"/>
      <c r="AB391" s="195"/>
      <c r="AC391" s="195"/>
      <c r="AD391" s="195"/>
      <c r="AE391" s="195"/>
      <c r="AF391" s="195"/>
      <c r="AG391" s="195"/>
    </row>
    <row r="392" spans="1:34" ht="16" customHeight="1">
      <c r="A392" s="29"/>
      <c r="B392" s="30"/>
      <c r="C392" s="30"/>
      <c r="D392" s="31"/>
      <c r="E392" s="31"/>
      <c r="F392" s="32"/>
      <c r="G392" s="31"/>
      <c r="H392" s="32"/>
      <c r="I392" s="32"/>
      <c r="J392" s="31"/>
      <c r="K392" s="31"/>
      <c r="L392" s="284"/>
      <c r="M392" s="32"/>
      <c r="N392" s="32"/>
      <c r="O392" s="31"/>
      <c r="P392" s="32"/>
      <c r="Q392" s="32"/>
      <c r="R392" s="31"/>
      <c r="S392" s="31"/>
      <c r="T392" s="31"/>
      <c r="U392" s="31"/>
      <c r="V392" s="29"/>
      <c r="W392" s="29"/>
      <c r="X392" s="29"/>
      <c r="Y392" s="29"/>
      <c r="Z392" s="29"/>
      <c r="AA392" s="29"/>
      <c r="AB392" s="29"/>
      <c r="AC392" s="29"/>
      <c r="AD392" s="29"/>
      <c r="AE392" s="29"/>
      <c r="AF392" s="29"/>
      <c r="AG392" s="29"/>
    </row>
    <row r="393" spans="1:34" ht="16" customHeight="1" thickBot="1">
      <c r="A393" s="7"/>
      <c r="B393" s="19" t="str">
        <f>"FA2 = "&amp;'FIG3'!$W$53&amp;" "&amp;'FIG3'!$X$53</f>
        <v>FA2 = FA2L1 FA2L2</v>
      </c>
      <c r="C393" s="7"/>
      <c r="D393" s="8"/>
      <c r="E393" s="8"/>
      <c r="F393" s="9"/>
      <c r="G393" s="8"/>
      <c r="H393" s="9"/>
      <c r="I393" s="9"/>
      <c r="J393" s="8"/>
      <c r="K393" s="8"/>
      <c r="L393" s="280"/>
      <c r="M393" s="9"/>
      <c r="N393" s="9"/>
      <c r="O393" s="8"/>
      <c r="P393" s="9"/>
      <c r="Q393" s="9"/>
      <c r="R393" s="8"/>
      <c r="S393" s="882"/>
      <c r="T393" s="883" t="str">
        <f>'$REV-DB'!$T$34</f>
        <v>Federal Revenues</v>
      </c>
      <c r="U393" s="883" t="str">
        <f>'$REV-DB'!$U$34</f>
        <v>local Revenues</v>
      </c>
      <c r="V393" s="883" t="str">
        <f>'$REV-DB'!$V$34</f>
        <v>Other Revenues</v>
      </c>
      <c r="W393" s="883" t="str">
        <f>'$REV-DB'!$W$34</f>
        <v>State revenues</v>
      </c>
      <c r="X393" s="883" t="str">
        <f>'$REV-DB'!$X$34</f>
        <v>UD5</v>
      </c>
      <c r="Y393" s="883" t="str">
        <f>'$REV-DB'!$Y$34</f>
        <v>UD6</v>
      </c>
      <c r="Z393" s="883" t="str">
        <f>'$REV-DB'!$Z$34</f>
        <v>UD7</v>
      </c>
      <c r="AA393" s="883" t="str">
        <f>'$REV-DB'!$AA$34</f>
        <v>UD8</v>
      </c>
      <c r="AB393" s="883" t="str">
        <f>'$REV-DB'!$AB$34</f>
        <v>UD9</v>
      </c>
      <c r="AC393" s="883" t="str">
        <f>'$REV-DB'!$AC$34</f>
        <v>UD10</v>
      </c>
      <c r="AD393" s="883" t="str">
        <f>'$REV-DB'!$AD$34</f>
        <v>UD11</v>
      </c>
      <c r="AE393" s="883" t="str">
        <f>'$REV-DB'!$AE$34</f>
        <v>UD12</v>
      </c>
      <c r="AF393" s="883" t="str">
        <f>'$REV-DB'!$AF$34</f>
        <v>UD13</v>
      </c>
      <c r="AG393" s="883" t="str">
        <f>'$REV-DB'!$AG$34</f>
        <v>UD14</v>
      </c>
    </row>
    <row r="394" spans="1:34" ht="16" customHeight="1" thickTop="1" thickBot="1">
      <c r="A394" s="7"/>
      <c r="B394" s="20" t="s">
        <v>1375</v>
      </c>
      <c r="C394" s="15"/>
      <c r="D394" s="105" t="s">
        <v>1386</v>
      </c>
      <c r="E394" s="105" t="s">
        <v>1387</v>
      </c>
      <c r="F394" s="105" t="s">
        <v>1388</v>
      </c>
      <c r="G394" s="105" t="s">
        <v>1389</v>
      </c>
      <c r="H394" s="301" t="s">
        <v>1406</v>
      </c>
      <c r="I394" s="301" t="s">
        <v>1390</v>
      </c>
      <c r="J394" s="301" t="s">
        <v>1391</v>
      </c>
      <c r="K394" s="301" t="s">
        <v>1392</v>
      </c>
      <c r="L394" s="301" t="s">
        <v>1188</v>
      </c>
      <c r="M394" s="301" t="s">
        <v>1437</v>
      </c>
      <c r="N394" s="105" t="s">
        <v>1348</v>
      </c>
      <c r="O394" s="105" t="s">
        <v>1393</v>
      </c>
      <c r="P394" s="105" t="s">
        <v>1342</v>
      </c>
      <c r="Q394" s="105" t="s">
        <v>1394</v>
      </c>
      <c r="R394" s="112" t="s">
        <v>1341</v>
      </c>
      <c r="S394" s="112" t="s">
        <v>846</v>
      </c>
      <c r="T394" s="873" t="s">
        <v>935</v>
      </c>
      <c r="U394" s="873" t="s">
        <v>936</v>
      </c>
      <c r="V394" s="873" t="s">
        <v>937</v>
      </c>
      <c r="W394" s="873" t="s">
        <v>938</v>
      </c>
      <c r="X394" s="873" t="s">
        <v>939</v>
      </c>
      <c r="Y394" s="873" t="s">
        <v>940</v>
      </c>
      <c r="Z394" s="873" t="s">
        <v>941</v>
      </c>
      <c r="AA394" s="873" t="s">
        <v>942</v>
      </c>
      <c r="AB394" s="873" t="s">
        <v>943</v>
      </c>
      <c r="AC394" s="873" t="s">
        <v>944</v>
      </c>
      <c r="AD394" s="873" t="s">
        <v>945</v>
      </c>
      <c r="AE394" s="873" t="s">
        <v>946</v>
      </c>
      <c r="AF394" s="873" t="s">
        <v>947</v>
      </c>
      <c r="AG394" s="873" t="s">
        <v>948</v>
      </c>
      <c r="AH394" s="6"/>
    </row>
    <row r="395" spans="1:34" ht="16" customHeight="1" thickTop="1">
      <c r="A395" s="7"/>
      <c r="B395" s="19" t="s">
        <v>1343</v>
      </c>
      <c r="C395" s="12"/>
      <c r="D395" s="194"/>
      <c r="E395" s="194"/>
      <c r="F395" s="193"/>
      <c r="G395" s="194"/>
      <c r="H395" s="193"/>
      <c r="I395" s="193"/>
      <c r="J395" s="194"/>
      <c r="K395" s="194"/>
      <c r="L395" s="285" t="s">
        <v>1429</v>
      </c>
      <c r="M395" s="193"/>
      <c r="N395" s="47" t="str">
        <f>J$6</f>
        <v>FY2010-11</v>
      </c>
      <c r="O395" s="47" t="s">
        <v>1353</v>
      </c>
      <c r="P395" s="47" t="s">
        <v>1347</v>
      </c>
      <c r="Q395" s="47" t="s">
        <v>1379</v>
      </c>
      <c r="R395" s="194"/>
      <c r="S395" s="194"/>
      <c r="T395" s="194"/>
      <c r="U395" s="194"/>
      <c r="V395" s="195"/>
      <c r="W395" s="195"/>
      <c r="X395" s="195"/>
      <c r="Y395" s="195"/>
      <c r="Z395" s="195"/>
      <c r="AA395" s="195"/>
      <c r="AB395" s="195"/>
      <c r="AC395" s="195"/>
      <c r="AD395" s="195"/>
      <c r="AE395" s="195"/>
      <c r="AF395" s="195"/>
      <c r="AG395" s="195"/>
      <c r="AH395" s="6"/>
    </row>
    <row r="396" spans="1:34" ht="16" customHeight="1">
      <c r="A396" s="7"/>
      <c r="B396" s="16">
        <f>DSUM('$REV-DB'!D35:AG374,"AMOUNT",'$REV-DSUM'!D394:AG401)</f>
        <v>0</v>
      </c>
      <c r="C396" s="12"/>
      <c r="D396" s="194"/>
      <c r="E396" s="194"/>
      <c r="F396" s="193"/>
      <c r="G396" s="194"/>
      <c r="H396" s="193"/>
      <c r="I396" s="193"/>
      <c r="J396" s="194"/>
      <c r="K396" s="194"/>
      <c r="L396" s="285" t="s">
        <v>1429</v>
      </c>
      <c r="M396" s="193"/>
      <c r="N396" s="47" t="str">
        <f t="shared" ref="N396:N401" si="38">J$6</f>
        <v>FY2010-11</v>
      </c>
      <c r="O396" s="47" t="s">
        <v>1353</v>
      </c>
      <c r="P396" s="47" t="s">
        <v>1347</v>
      </c>
      <c r="Q396" s="47" t="s">
        <v>1379</v>
      </c>
      <c r="R396" s="194"/>
      <c r="S396" s="194"/>
      <c r="T396" s="194"/>
      <c r="U396" s="194"/>
      <c r="V396" s="195"/>
      <c r="W396" s="195"/>
      <c r="X396" s="195"/>
      <c r="Y396" s="195"/>
      <c r="Z396" s="195"/>
      <c r="AA396" s="195"/>
      <c r="AB396" s="195"/>
      <c r="AC396" s="195"/>
      <c r="AD396" s="195"/>
      <c r="AE396" s="195"/>
      <c r="AF396" s="195"/>
      <c r="AG396" s="195"/>
      <c r="AH396" s="6"/>
    </row>
    <row r="397" spans="1:34" ht="16" customHeight="1">
      <c r="A397" s="7"/>
      <c r="B397" s="10"/>
      <c r="C397" s="12"/>
      <c r="D397" s="194"/>
      <c r="E397" s="194"/>
      <c r="F397" s="193"/>
      <c r="G397" s="194"/>
      <c r="H397" s="193"/>
      <c r="I397" s="193"/>
      <c r="J397" s="194"/>
      <c r="K397" s="194"/>
      <c r="L397" s="285" t="s">
        <v>1429</v>
      </c>
      <c r="M397" s="193"/>
      <c r="N397" s="47" t="str">
        <f t="shared" si="38"/>
        <v>FY2010-11</v>
      </c>
      <c r="O397" s="47" t="s">
        <v>1353</v>
      </c>
      <c r="P397" s="47" t="s">
        <v>1347</v>
      </c>
      <c r="Q397" s="47" t="s">
        <v>1379</v>
      </c>
      <c r="R397" s="194"/>
      <c r="S397" s="194"/>
      <c r="T397" s="194"/>
      <c r="U397" s="194"/>
      <c r="V397" s="195"/>
      <c r="W397" s="195"/>
      <c r="X397" s="195"/>
      <c r="Y397" s="195"/>
      <c r="Z397" s="195"/>
      <c r="AA397" s="195"/>
      <c r="AB397" s="195"/>
      <c r="AC397" s="195"/>
      <c r="AD397" s="195"/>
      <c r="AE397" s="195"/>
      <c r="AF397" s="195"/>
      <c r="AG397" s="195"/>
    </row>
    <row r="398" spans="1:34" ht="16" customHeight="1">
      <c r="A398" s="7"/>
      <c r="B398" s="10"/>
      <c r="C398" s="12"/>
      <c r="D398" s="194"/>
      <c r="E398" s="194"/>
      <c r="F398" s="193"/>
      <c r="G398" s="194"/>
      <c r="H398" s="193"/>
      <c r="I398" s="193"/>
      <c r="J398" s="194"/>
      <c r="K398" s="194"/>
      <c r="L398" s="285" t="s">
        <v>1429</v>
      </c>
      <c r="M398" s="193"/>
      <c r="N398" s="47" t="str">
        <f t="shared" si="38"/>
        <v>FY2010-11</v>
      </c>
      <c r="O398" s="47" t="s">
        <v>1353</v>
      </c>
      <c r="P398" s="47" t="s">
        <v>1347</v>
      </c>
      <c r="Q398" s="47" t="s">
        <v>1379</v>
      </c>
      <c r="R398" s="194"/>
      <c r="S398" s="194"/>
      <c r="T398" s="194"/>
      <c r="U398" s="194"/>
      <c r="V398" s="195"/>
      <c r="W398" s="195"/>
      <c r="X398" s="195"/>
      <c r="Y398" s="195"/>
      <c r="Z398" s="195"/>
      <c r="AA398" s="195"/>
      <c r="AB398" s="195"/>
      <c r="AC398" s="195"/>
      <c r="AD398" s="195"/>
      <c r="AE398" s="195"/>
      <c r="AF398" s="195"/>
      <c r="AG398" s="195"/>
    </row>
    <row r="399" spans="1:34" ht="16" customHeight="1">
      <c r="A399" s="7"/>
      <c r="B399" s="10"/>
      <c r="C399" s="12"/>
      <c r="D399" s="194"/>
      <c r="E399" s="194"/>
      <c r="F399" s="193"/>
      <c r="G399" s="194"/>
      <c r="H399" s="193"/>
      <c r="I399" s="193"/>
      <c r="J399" s="194"/>
      <c r="K399" s="194"/>
      <c r="L399" s="285" t="s">
        <v>1429</v>
      </c>
      <c r="M399" s="193"/>
      <c r="N399" s="47" t="str">
        <f t="shared" si="38"/>
        <v>FY2010-11</v>
      </c>
      <c r="O399" s="47" t="s">
        <v>1353</v>
      </c>
      <c r="P399" s="47" t="s">
        <v>1347</v>
      </c>
      <c r="Q399" s="47" t="s">
        <v>1379</v>
      </c>
      <c r="R399" s="194"/>
      <c r="S399" s="194"/>
      <c r="T399" s="194"/>
      <c r="U399" s="194"/>
      <c r="V399" s="195"/>
      <c r="W399" s="195"/>
      <c r="X399" s="195"/>
      <c r="Y399" s="195"/>
      <c r="Z399" s="195"/>
      <c r="AA399" s="195"/>
      <c r="AB399" s="195"/>
      <c r="AC399" s="195"/>
      <c r="AD399" s="195"/>
      <c r="AE399" s="195"/>
      <c r="AF399" s="195"/>
      <c r="AG399" s="195"/>
    </row>
    <row r="400" spans="1:34" ht="16" customHeight="1">
      <c r="A400" s="7"/>
      <c r="B400" s="10"/>
      <c r="C400" s="12"/>
      <c r="D400" s="194"/>
      <c r="E400" s="194"/>
      <c r="F400" s="193"/>
      <c r="G400" s="194"/>
      <c r="H400" s="193"/>
      <c r="I400" s="193"/>
      <c r="J400" s="194"/>
      <c r="K400" s="194"/>
      <c r="L400" s="285" t="s">
        <v>1429</v>
      </c>
      <c r="M400" s="193"/>
      <c r="N400" s="47" t="str">
        <f t="shared" si="38"/>
        <v>FY2010-11</v>
      </c>
      <c r="O400" s="47" t="s">
        <v>1353</v>
      </c>
      <c r="P400" s="47" t="s">
        <v>1347</v>
      </c>
      <c r="Q400" s="47" t="s">
        <v>1379</v>
      </c>
      <c r="R400" s="194"/>
      <c r="S400" s="194"/>
      <c r="T400" s="194"/>
      <c r="U400" s="194"/>
      <c r="V400" s="195"/>
      <c r="W400" s="195"/>
      <c r="X400" s="195"/>
      <c r="Y400" s="195"/>
      <c r="Z400" s="195"/>
      <c r="AA400" s="195"/>
      <c r="AB400" s="195"/>
      <c r="AC400" s="195"/>
      <c r="AD400" s="195"/>
      <c r="AE400" s="195"/>
      <c r="AF400" s="195"/>
      <c r="AG400" s="195"/>
    </row>
    <row r="401" spans="1:34" ht="16" customHeight="1">
      <c r="A401" s="7"/>
      <c r="B401" s="10"/>
      <c r="C401" s="12"/>
      <c r="D401" s="194"/>
      <c r="E401" s="194"/>
      <c r="F401" s="193"/>
      <c r="G401" s="194"/>
      <c r="H401" s="193"/>
      <c r="I401" s="193"/>
      <c r="J401" s="194"/>
      <c r="K401" s="194"/>
      <c r="L401" s="285" t="s">
        <v>1429</v>
      </c>
      <c r="M401" s="193"/>
      <c r="N401" s="47" t="str">
        <f t="shared" si="38"/>
        <v>FY2010-11</v>
      </c>
      <c r="O401" s="47" t="s">
        <v>1353</v>
      </c>
      <c r="P401" s="47" t="s">
        <v>1347</v>
      </c>
      <c r="Q401" s="47" t="s">
        <v>1379</v>
      </c>
      <c r="R401" s="194"/>
      <c r="S401" s="194"/>
      <c r="T401" s="194"/>
      <c r="U401" s="194"/>
      <c r="V401" s="195"/>
      <c r="W401" s="195"/>
      <c r="X401" s="195"/>
      <c r="Y401" s="195"/>
      <c r="Z401" s="195"/>
      <c r="AA401" s="195"/>
      <c r="AB401" s="195"/>
      <c r="AC401" s="195"/>
      <c r="AD401" s="195"/>
      <c r="AE401" s="195"/>
      <c r="AF401" s="195"/>
      <c r="AG401" s="195"/>
    </row>
    <row r="402" spans="1:34" ht="16" customHeight="1">
      <c r="A402" s="29"/>
      <c r="B402" s="30"/>
      <c r="C402" s="30"/>
      <c r="D402" s="31"/>
      <c r="E402" s="31"/>
      <c r="F402" s="32"/>
      <c r="G402" s="31"/>
      <c r="H402" s="32"/>
      <c r="I402" s="32"/>
      <c r="J402" s="31"/>
      <c r="K402" s="31"/>
      <c r="L402" s="284"/>
      <c r="M402" s="32"/>
      <c r="N402" s="32"/>
      <c r="O402" s="31"/>
      <c r="P402" s="32"/>
      <c r="Q402" s="32"/>
      <c r="R402" s="31"/>
      <c r="S402" s="31"/>
      <c r="T402" s="31"/>
      <c r="U402" s="31"/>
      <c r="V402" s="29"/>
      <c r="W402" s="29"/>
      <c r="X402" s="29"/>
      <c r="Y402" s="29"/>
      <c r="Z402" s="29"/>
      <c r="AA402" s="29"/>
      <c r="AB402" s="29"/>
      <c r="AC402" s="29"/>
      <c r="AD402" s="29"/>
      <c r="AE402" s="29"/>
      <c r="AF402" s="29"/>
      <c r="AG402" s="29"/>
    </row>
    <row r="403" spans="1:34" ht="16" customHeight="1" thickBot="1">
      <c r="A403" s="7"/>
      <c r="B403" s="19" t="str">
        <f>"FA2 = "&amp;'FIG3'!$W$53&amp;" "&amp;'FIG3'!$X$53</f>
        <v>FA2 = FA2L1 FA2L2</v>
      </c>
      <c r="C403" s="7"/>
      <c r="D403" s="8"/>
      <c r="E403" s="8"/>
      <c r="F403" s="9"/>
      <c r="G403" s="8"/>
      <c r="H403" s="9"/>
      <c r="I403" s="9"/>
      <c r="J403" s="8"/>
      <c r="K403" s="8"/>
      <c r="L403" s="280"/>
      <c r="M403" s="9"/>
      <c r="N403" s="9"/>
      <c r="O403" s="8"/>
      <c r="P403" s="9"/>
      <c r="Q403" s="9"/>
      <c r="R403" s="8"/>
      <c r="S403" s="882"/>
      <c r="T403" s="883" t="str">
        <f>'$REV-DB'!$T$34</f>
        <v>Federal Revenues</v>
      </c>
      <c r="U403" s="883" t="str">
        <f>'$REV-DB'!$U$34</f>
        <v>local Revenues</v>
      </c>
      <c r="V403" s="883" t="str">
        <f>'$REV-DB'!$V$34</f>
        <v>Other Revenues</v>
      </c>
      <c r="W403" s="883" t="str">
        <f>'$REV-DB'!$W$34</f>
        <v>State revenues</v>
      </c>
      <c r="X403" s="883" t="str">
        <f>'$REV-DB'!$X$34</f>
        <v>UD5</v>
      </c>
      <c r="Y403" s="883" t="str">
        <f>'$REV-DB'!$Y$34</f>
        <v>UD6</v>
      </c>
      <c r="Z403" s="883" t="str">
        <f>'$REV-DB'!$Z$34</f>
        <v>UD7</v>
      </c>
      <c r="AA403" s="883" t="str">
        <f>'$REV-DB'!$AA$34</f>
        <v>UD8</v>
      </c>
      <c r="AB403" s="883" t="str">
        <f>'$REV-DB'!$AB$34</f>
        <v>UD9</v>
      </c>
      <c r="AC403" s="883" t="str">
        <f>'$REV-DB'!$AC$34</f>
        <v>UD10</v>
      </c>
      <c r="AD403" s="883" t="str">
        <f>'$REV-DB'!$AD$34</f>
        <v>UD11</v>
      </c>
      <c r="AE403" s="883" t="str">
        <f>'$REV-DB'!$AE$34</f>
        <v>UD12</v>
      </c>
      <c r="AF403" s="883" t="str">
        <f>'$REV-DB'!$AF$34</f>
        <v>UD13</v>
      </c>
      <c r="AG403" s="883" t="str">
        <f>'$REV-DB'!$AG$34</f>
        <v>UD14</v>
      </c>
    </row>
    <row r="404" spans="1:34" ht="16" customHeight="1" thickTop="1" thickBot="1">
      <c r="A404" s="7"/>
      <c r="B404" s="20" t="s">
        <v>1375</v>
      </c>
      <c r="C404" s="15"/>
      <c r="D404" s="105" t="s">
        <v>1386</v>
      </c>
      <c r="E404" s="105" t="s">
        <v>1387</v>
      </c>
      <c r="F404" s="105" t="s">
        <v>1388</v>
      </c>
      <c r="G404" s="105" t="s">
        <v>1389</v>
      </c>
      <c r="H404" s="301" t="s">
        <v>1406</v>
      </c>
      <c r="I404" s="301" t="s">
        <v>1390</v>
      </c>
      <c r="J404" s="301" t="s">
        <v>1391</v>
      </c>
      <c r="K404" s="301" t="s">
        <v>1392</v>
      </c>
      <c r="L404" s="301" t="s">
        <v>1188</v>
      </c>
      <c r="M404" s="301" t="s">
        <v>1437</v>
      </c>
      <c r="N404" s="105" t="s">
        <v>1348</v>
      </c>
      <c r="O404" s="105" t="s">
        <v>1393</v>
      </c>
      <c r="P404" s="105" t="s">
        <v>1342</v>
      </c>
      <c r="Q404" s="105" t="s">
        <v>1394</v>
      </c>
      <c r="R404" s="112" t="s">
        <v>1341</v>
      </c>
      <c r="S404" s="112" t="s">
        <v>846</v>
      </c>
      <c r="T404" s="873" t="s">
        <v>935</v>
      </c>
      <c r="U404" s="873" t="s">
        <v>936</v>
      </c>
      <c r="V404" s="873" t="s">
        <v>937</v>
      </c>
      <c r="W404" s="873" t="s">
        <v>938</v>
      </c>
      <c r="X404" s="873" t="s">
        <v>939</v>
      </c>
      <c r="Y404" s="873" t="s">
        <v>940</v>
      </c>
      <c r="Z404" s="873" t="s">
        <v>941</v>
      </c>
      <c r="AA404" s="873" t="s">
        <v>942</v>
      </c>
      <c r="AB404" s="873" t="s">
        <v>943</v>
      </c>
      <c r="AC404" s="873" t="s">
        <v>944</v>
      </c>
      <c r="AD404" s="873" t="s">
        <v>945</v>
      </c>
      <c r="AE404" s="873" t="s">
        <v>946</v>
      </c>
      <c r="AF404" s="873" t="s">
        <v>947</v>
      </c>
      <c r="AG404" s="873" t="s">
        <v>948</v>
      </c>
      <c r="AH404" s="6"/>
    </row>
    <row r="405" spans="1:34" ht="16" customHeight="1" thickTop="1">
      <c r="A405" s="7"/>
      <c r="B405" s="19" t="s">
        <v>1349</v>
      </c>
      <c r="C405" s="12"/>
      <c r="D405" s="194"/>
      <c r="E405" s="194"/>
      <c r="F405" s="193"/>
      <c r="G405" s="194"/>
      <c r="H405" s="193"/>
      <c r="I405" s="193"/>
      <c r="J405" s="194"/>
      <c r="K405" s="194"/>
      <c r="L405" s="285" t="s">
        <v>1429</v>
      </c>
      <c r="M405" s="193"/>
      <c r="N405" s="47" t="str">
        <f>J$6</f>
        <v>FY2010-11</v>
      </c>
      <c r="O405" s="47" t="s">
        <v>1353</v>
      </c>
      <c r="P405" s="47" t="s">
        <v>1347</v>
      </c>
      <c r="Q405" s="47" t="s">
        <v>1397</v>
      </c>
      <c r="R405" s="194"/>
      <c r="S405" s="194"/>
      <c r="T405" s="194"/>
      <c r="U405" s="194"/>
      <c r="V405" s="195"/>
      <c r="W405" s="195"/>
      <c r="X405" s="195"/>
      <c r="Y405" s="195"/>
      <c r="Z405" s="195"/>
      <c r="AA405" s="195"/>
      <c r="AB405" s="195"/>
      <c r="AC405" s="195"/>
      <c r="AD405" s="195"/>
      <c r="AE405" s="195"/>
      <c r="AF405" s="195"/>
      <c r="AG405" s="195"/>
      <c r="AH405" s="6"/>
    </row>
    <row r="406" spans="1:34" ht="16" customHeight="1">
      <c r="A406" s="7"/>
      <c r="B406" s="16">
        <f>DSUM('$REV-DB'!D35:AG374,"AMOUNT",'$REV-DSUM'!D404:AG411)</f>
        <v>0</v>
      </c>
      <c r="C406" s="12"/>
      <c r="D406" s="194"/>
      <c r="E406" s="194"/>
      <c r="F406" s="193"/>
      <c r="G406" s="194"/>
      <c r="H406" s="193"/>
      <c r="I406" s="193"/>
      <c r="J406" s="194"/>
      <c r="K406" s="194"/>
      <c r="L406" s="285" t="s">
        <v>1429</v>
      </c>
      <c r="M406" s="193"/>
      <c r="N406" s="47" t="str">
        <f t="shared" ref="N406:N411" si="39">J$6</f>
        <v>FY2010-11</v>
      </c>
      <c r="O406" s="47" t="s">
        <v>1353</v>
      </c>
      <c r="P406" s="47" t="s">
        <v>1347</v>
      </c>
      <c r="Q406" s="47" t="s">
        <v>1397</v>
      </c>
      <c r="R406" s="194"/>
      <c r="S406" s="194"/>
      <c r="T406" s="194"/>
      <c r="U406" s="194"/>
      <c r="V406" s="195"/>
      <c r="W406" s="195"/>
      <c r="X406" s="195"/>
      <c r="Y406" s="195"/>
      <c r="Z406" s="195"/>
      <c r="AA406" s="195"/>
      <c r="AB406" s="195"/>
      <c r="AC406" s="195"/>
      <c r="AD406" s="195"/>
      <c r="AE406" s="195"/>
      <c r="AF406" s="195"/>
      <c r="AG406" s="195"/>
      <c r="AH406" s="6"/>
    </row>
    <row r="407" spans="1:34" ht="16" customHeight="1">
      <c r="A407" s="7"/>
      <c r="B407" s="10"/>
      <c r="C407" s="12"/>
      <c r="D407" s="194"/>
      <c r="E407" s="194"/>
      <c r="F407" s="193"/>
      <c r="G407" s="194"/>
      <c r="H407" s="193"/>
      <c r="I407" s="193"/>
      <c r="J407" s="194"/>
      <c r="K407" s="194"/>
      <c r="L407" s="285" t="s">
        <v>1429</v>
      </c>
      <c r="M407" s="193"/>
      <c r="N407" s="47" t="str">
        <f t="shared" si="39"/>
        <v>FY2010-11</v>
      </c>
      <c r="O407" s="47" t="s">
        <v>1353</v>
      </c>
      <c r="P407" s="47" t="s">
        <v>1347</v>
      </c>
      <c r="Q407" s="47" t="s">
        <v>1397</v>
      </c>
      <c r="R407" s="194"/>
      <c r="S407" s="194"/>
      <c r="T407" s="194"/>
      <c r="U407" s="194"/>
      <c r="V407" s="195"/>
      <c r="W407" s="195"/>
      <c r="X407" s="195"/>
      <c r="Y407" s="195"/>
      <c r="Z407" s="195"/>
      <c r="AA407" s="195"/>
      <c r="AB407" s="195"/>
      <c r="AC407" s="195"/>
      <c r="AD407" s="195"/>
      <c r="AE407" s="195"/>
      <c r="AF407" s="195"/>
      <c r="AG407" s="195"/>
    </row>
    <row r="408" spans="1:34" ht="16" customHeight="1">
      <c r="A408" s="7"/>
      <c r="B408" s="10"/>
      <c r="C408" s="12"/>
      <c r="D408" s="194"/>
      <c r="E408" s="194"/>
      <c r="F408" s="193"/>
      <c r="G408" s="194"/>
      <c r="H408" s="193"/>
      <c r="I408" s="193"/>
      <c r="J408" s="194"/>
      <c r="K408" s="194"/>
      <c r="L408" s="285" t="s">
        <v>1429</v>
      </c>
      <c r="M408" s="193"/>
      <c r="N408" s="47" t="str">
        <f t="shared" si="39"/>
        <v>FY2010-11</v>
      </c>
      <c r="O408" s="47" t="s">
        <v>1353</v>
      </c>
      <c r="P408" s="47" t="s">
        <v>1347</v>
      </c>
      <c r="Q408" s="47" t="s">
        <v>1397</v>
      </c>
      <c r="R408" s="194"/>
      <c r="S408" s="194"/>
      <c r="T408" s="194"/>
      <c r="U408" s="194"/>
      <c r="V408" s="195"/>
      <c r="W408" s="195"/>
      <c r="X408" s="195"/>
      <c r="Y408" s="195"/>
      <c r="Z408" s="195"/>
      <c r="AA408" s="195"/>
      <c r="AB408" s="195"/>
      <c r="AC408" s="195"/>
      <c r="AD408" s="195"/>
      <c r="AE408" s="195"/>
      <c r="AF408" s="195"/>
      <c r="AG408" s="195"/>
    </row>
    <row r="409" spans="1:34" ht="16" customHeight="1">
      <c r="A409" s="7"/>
      <c r="B409" s="10"/>
      <c r="C409" s="12"/>
      <c r="D409" s="194"/>
      <c r="E409" s="194"/>
      <c r="F409" s="193"/>
      <c r="G409" s="194"/>
      <c r="H409" s="193"/>
      <c r="I409" s="193"/>
      <c r="J409" s="194"/>
      <c r="K409" s="194"/>
      <c r="L409" s="285" t="s">
        <v>1429</v>
      </c>
      <c r="M409" s="193"/>
      <c r="N409" s="47" t="str">
        <f t="shared" si="39"/>
        <v>FY2010-11</v>
      </c>
      <c r="O409" s="47" t="s">
        <v>1353</v>
      </c>
      <c r="P409" s="47" t="s">
        <v>1347</v>
      </c>
      <c r="Q409" s="47" t="s">
        <v>1397</v>
      </c>
      <c r="R409" s="194"/>
      <c r="S409" s="194"/>
      <c r="T409" s="194"/>
      <c r="U409" s="194"/>
      <c r="V409" s="195"/>
      <c r="W409" s="195"/>
      <c r="X409" s="195"/>
      <c r="Y409" s="195"/>
      <c r="Z409" s="195"/>
      <c r="AA409" s="195"/>
      <c r="AB409" s="195"/>
      <c r="AC409" s="195"/>
      <c r="AD409" s="195"/>
      <c r="AE409" s="195"/>
      <c r="AF409" s="195"/>
      <c r="AG409" s="195"/>
    </row>
    <row r="410" spans="1:34" ht="16" customHeight="1">
      <c r="A410" s="7"/>
      <c r="B410" s="10"/>
      <c r="C410" s="12"/>
      <c r="D410" s="194"/>
      <c r="E410" s="194"/>
      <c r="F410" s="193"/>
      <c r="G410" s="194"/>
      <c r="H410" s="193"/>
      <c r="I410" s="193"/>
      <c r="J410" s="194"/>
      <c r="K410" s="194"/>
      <c r="L410" s="285" t="s">
        <v>1429</v>
      </c>
      <c r="M410" s="193"/>
      <c r="N410" s="47" t="str">
        <f t="shared" si="39"/>
        <v>FY2010-11</v>
      </c>
      <c r="O410" s="47" t="s">
        <v>1353</v>
      </c>
      <c r="P410" s="47" t="s">
        <v>1347</v>
      </c>
      <c r="Q410" s="47" t="s">
        <v>1397</v>
      </c>
      <c r="R410" s="194"/>
      <c r="S410" s="194"/>
      <c r="T410" s="194"/>
      <c r="U410" s="194"/>
      <c r="V410" s="195"/>
      <c r="W410" s="195"/>
      <c r="X410" s="195"/>
      <c r="Y410" s="195"/>
      <c r="Z410" s="195"/>
      <c r="AA410" s="195"/>
      <c r="AB410" s="195"/>
      <c r="AC410" s="195"/>
      <c r="AD410" s="195"/>
      <c r="AE410" s="195"/>
      <c r="AF410" s="195"/>
      <c r="AG410" s="195"/>
    </row>
    <row r="411" spans="1:34" ht="16" customHeight="1">
      <c r="A411" s="7"/>
      <c r="B411" s="10"/>
      <c r="C411" s="12"/>
      <c r="D411" s="194"/>
      <c r="E411" s="194"/>
      <c r="F411" s="193"/>
      <c r="G411" s="194"/>
      <c r="H411" s="193"/>
      <c r="I411" s="193"/>
      <c r="J411" s="194"/>
      <c r="K411" s="194"/>
      <c r="L411" s="285" t="s">
        <v>1429</v>
      </c>
      <c r="M411" s="193"/>
      <c r="N411" s="47" t="str">
        <f t="shared" si="39"/>
        <v>FY2010-11</v>
      </c>
      <c r="O411" s="47" t="s">
        <v>1353</v>
      </c>
      <c r="P411" s="47" t="s">
        <v>1347</v>
      </c>
      <c r="Q411" s="47" t="s">
        <v>1397</v>
      </c>
      <c r="R411" s="194"/>
      <c r="S411" s="194"/>
      <c r="T411" s="194"/>
      <c r="U411" s="194"/>
      <c r="V411" s="195"/>
      <c r="W411" s="195"/>
      <c r="X411" s="195"/>
      <c r="Y411" s="195"/>
      <c r="Z411" s="195"/>
      <c r="AA411" s="195"/>
      <c r="AB411" s="195"/>
      <c r="AC411" s="195"/>
      <c r="AD411" s="195"/>
      <c r="AE411" s="195"/>
      <c r="AF411" s="195"/>
      <c r="AG411" s="195"/>
    </row>
    <row r="412" spans="1:34" ht="16" customHeight="1">
      <c r="A412" s="29"/>
      <c r="B412" s="30"/>
      <c r="C412" s="30"/>
      <c r="D412" s="31"/>
      <c r="E412" s="31"/>
      <c r="F412" s="32"/>
      <c r="G412" s="31"/>
      <c r="H412" s="32"/>
      <c r="I412" s="32"/>
      <c r="J412" s="31"/>
      <c r="K412" s="31"/>
      <c r="L412" s="284"/>
      <c r="M412" s="32"/>
      <c r="N412" s="32"/>
      <c r="O412" s="31"/>
      <c r="P412" s="32"/>
      <c r="Q412" s="32"/>
      <c r="R412" s="31"/>
      <c r="S412" s="31"/>
      <c r="T412" s="31"/>
      <c r="U412" s="31"/>
      <c r="V412" s="29"/>
      <c r="W412" s="29"/>
      <c r="X412" s="29"/>
      <c r="Y412" s="29"/>
      <c r="Z412" s="29"/>
      <c r="AA412" s="29"/>
      <c r="AB412" s="29"/>
      <c r="AC412" s="29"/>
      <c r="AD412" s="29"/>
      <c r="AE412" s="29"/>
      <c r="AF412" s="29"/>
      <c r="AG412" s="29"/>
    </row>
    <row r="413" spans="1:34" ht="16" customHeight="1" thickBot="1">
      <c r="A413" s="7"/>
      <c r="B413" s="19" t="str">
        <f>"FA2 = "&amp;'FIG3'!$W$53&amp;" "&amp;'FIG3'!$X$53</f>
        <v>FA2 = FA2L1 FA2L2</v>
      </c>
      <c r="C413" s="7"/>
      <c r="D413" s="8"/>
      <c r="E413" s="8"/>
      <c r="F413" s="9"/>
      <c r="G413" s="8"/>
      <c r="H413" s="9"/>
      <c r="I413" s="9"/>
      <c r="J413" s="8"/>
      <c r="K413" s="8"/>
      <c r="L413" s="280"/>
      <c r="M413" s="9"/>
      <c r="N413" s="9"/>
      <c r="O413" s="8"/>
      <c r="P413" s="9"/>
      <c r="Q413" s="9"/>
      <c r="R413" s="8"/>
      <c r="S413" s="882"/>
      <c r="T413" s="883" t="str">
        <f>'$REV-DB'!$T$34</f>
        <v>Federal Revenues</v>
      </c>
      <c r="U413" s="883" t="str">
        <f>'$REV-DB'!$U$34</f>
        <v>local Revenues</v>
      </c>
      <c r="V413" s="883" t="str">
        <f>'$REV-DB'!$V$34</f>
        <v>Other Revenues</v>
      </c>
      <c r="W413" s="883" t="str">
        <f>'$REV-DB'!$W$34</f>
        <v>State revenues</v>
      </c>
      <c r="X413" s="883" t="str">
        <f>'$REV-DB'!$X$34</f>
        <v>UD5</v>
      </c>
      <c r="Y413" s="883" t="str">
        <f>'$REV-DB'!$Y$34</f>
        <v>UD6</v>
      </c>
      <c r="Z413" s="883" t="str">
        <f>'$REV-DB'!$Z$34</f>
        <v>UD7</v>
      </c>
      <c r="AA413" s="883" t="str">
        <f>'$REV-DB'!$AA$34</f>
        <v>UD8</v>
      </c>
      <c r="AB413" s="883" t="str">
        <f>'$REV-DB'!$AB$34</f>
        <v>UD9</v>
      </c>
      <c r="AC413" s="883" t="str">
        <f>'$REV-DB'!$AC$34</f>
        <v>UD10</v>
      </c>
      <c r="AD413" s="883" t="str">
        <f>'$REV-DB'!$AD$34</f>
        <v>UD11</v>
      </c>
      <c r="AE413" s="883" t="str">
        <f>'$REV-DB'!$AE$34</f>
        <v>UD12</v>
      </c>
      <c r="AF413" s="883" t="str">
        <f>'$REV-DB'!$AF$34</f>
        <v>UD13</v>
      </c>
      <c r="AG413" s="883" t="str">
        <f>'$REV-DB'!$AG$34</f>
        <v>UD14</v>
      </c>
    </row>
    <row r="414" spans="1:34" ht="16" customHeight="1" thickTop="1" thickBot="1">
      <c r="A414" s="7"/>
      <c r="B414" s="20" t="s">
        <v>1375</v>
      </c>
      <c r="C414" s="15"/>
      <c r="D414" s="276" t="s">
        <v>1386</v>
      </c>
      <c r="E414" s="276" t="s">
        <v>1387</v>
      </c>
      <c r="F414" s="276" t="s">
        <v>1388</v>
      </c>
      <c r="G414" s="276" t="s">
        <v>1389</v>
      </c>
      <c r="H414" s="301" t="s">
        <v>1406</v>
      </c>
      <c r="I414" s="301" t="s">
        <v>1390</v>
      </c>
      <c r="J414" s="301" t="s">
        <v>1391</v>
      </c>
      <c r="K414" s="301" t="s">
        <v>1392</v>
      </c>
      <c r="L414" s="301" t="s">
        <v>1188</v>
      </c>
      <c r="M414" s="301" t="s">
        <v>1437</v>
      </c>
      <c r="N414" s="276" t="s">
        <v>1348</v>
      </c>
      <c r="O414" s="276" t="s">
        <v>1393</v>
      </c>
      <c r="P414" s="276" t="s">
        <v>1342</v>
      </c>
      <c r="Q414" s="276" t="s">
        <v>1394</v>
      </c>
      <c r="R414" s="112" t="s">
        <v>1341</v>
      </c>
      <c r="S414" s="112" t="s">
        <v>846</v>
      </c>
      <c r="T414" s="873" t="s">
        <v>935</v>
      </c>
      <c r="U414" s="873" t="s">
        <v>936</v>
      </c>
      <c r="V414" s="873" t="s">
        <v>937</v>
      </c>
      <c r="W414" s="873" t="s">
        <v>938</v>
      </c>
      <c r="X414" s="873" t="s">
        <v>939</v>
      </c>
      <c r="Y414" s="873" t="s">
        <v>940</v>
      </c>
      <c r="Z414" s="873" t="s">
        <v>941</v>
      </c>
      <c r="AA414" s="873" t="s">
        <v>942</v>
      </c>
      <c r="AB414" s="873" t="s">
        <v>943</v>
      </c>
      <c r="AC414" s="873" t="s">
        <v>944</v>
      </c>
      <c r="AD414" s="873" t="s">
        <v>945</v>
      </c>
      <c r="AE414" s="873" t="s">
        <v>946</v>
      </c>
      <c r="AF414" s="873" t="s">
        <v>947</v>
      </c>
      <c r="AG414" s="873" t="s">
        <v>948</v>
      </c>
      <c r="AH414" s="6"/>
    </row>
    <row r="415" spans="1:34" ht="16" customHeight="1" thickTop="1">
      <c r="A415" s="7"/>
      <c r="B415" s="19" t="s">
        <v>1178</v>
      </c>
      <c r="C415" s="12"/>
      <c r="D415" s="194"/>
      <c r="E415" s="194"/>
      <c r="F415" s="193"/>
      <c r="G415" s="194"/>
      <c r="H415" s="193"/>
      <c r="I415" s="193"/>
      <c r="J415" s="194"/>
      <c r="K415" s="194"/>
      <c r="L415" s="285" t="s">
        <v>1429</v>
      </c>
      <c r="M415" s="193"/>
      <c r="N415" s="47" t="str">
        <f>J$6</f>
        <v>FY2010-11</v>
      </c>
      <c r="O415" s="47" t="s">
        <v>1353</v>
      </c>
      <c r="P415" s="47" t="s">
        <v>1347</v>
      </c>
      <c r="Q415" s="47" t="s">
        <v>1465</v>
      </c>
      <c r="R415" s="194"/>
      <c r="S415" s="194"/>
      <c r="T415" s="194"/>
      <c r="U415" s="194"/>
      <c r="V415" s="195"/>
      <c r="W415" s="195"/>
      <c r="X415" s="195"/>
      <c r="Y415" s="195"/>
      <c r="Z415" s="195"/>
      <c r="AA415" s="195"/>
      <c r="AB415" s="195"/>
      <c r="AC415" s="195"/>
      <c r="AD415" s="195"/>
      <c r="AE415" s="195"/>
      <c r="AF415" s="195"/>
      <c r="AG415" s="195"/>
      <c r="AH415" s="6"/>
    </row>
    <row r="416" spans="1:34" ht="16" customHeight="1">
      <c r="A416" s="7"/>
      <c r="B416" s="16">
        <f>DSUM('$REV-DB'!D35:AG374,"AMOUNT",'$REV-DSUM'!D414:AG421)</f>
        <v>0</v>
      </c>
      <c r="C416" s="12"/>
      <c r="D416" s="194"/>
      <c r="E416" s="194"/>
      <c r="F416" s="193"/>
      <c r="G416" s="194"/>
      <c r="H416" s="193"/>
      <c r="I416" s="193"/>
      <c r="J416" s="194"/>
      <c r="K416" s="194"/>
      <c r="L416" s="285" t="s">
        <v>1429</v>
      </c>
      <c r="M416" s="193"/>
      <c r="N416" s="47" t="str">
        <f t="shared" ref="N416:N421" si="40">J$6</f>
        <v>FY2010-11</v>
      </c>
      <c r="O416" s="47" t="s">
        <v>1353</v>
      </c>
      <c r="P416" s="47" t="s">
        <v>1347</v>
      </c>
      <c r="Q416" s="47" t="s">
        <v>1465</v>
      </c>
      <c r="R416" s="194"/>
      <c r="S416" s="194"/>
      <c r="T416" s="194"/>
      <c r="U416" s="194"/>
      <c r="V416" s="195"/>
      <c r="W416" s="195"/>
      <c r="X416" s="195"/>
      <c r="Y416" s="195"/>
      <c r="Z416" s="195"/>
      <c r="AA416" s="195"/>
      <c r="AB416" s="195"/>
      <c r="AC416" s="195"/>
      <c r="AD416" s="195"/>
      <c r="AE416" s="195"/>
      <c r="AF416" s="195"/>
      <c r="AG416" s="195"/>
      <c r="AH416" s="6"/>
    </row>
    <row r="417" spans="1:34" ht="16" customHeight="1">
      <c r="A417" s="7"/>
      <c r="B417" s="10"/>
      <c r="C417" s="12"/>
      <c r="D417" s="194"/>
      <c r="E417" s="194"/>
      <c r="F417" s="193"/>
      <c r="G417" s="194"/>
      <c r="H417" s="193"/>
      <c r="I417" s="193"/>
      <c r="J417" s="194"/>
      <c r="K417" s="194"/>
      <c r="L417" s="285" t="s">
        <v>1429</v>
      </c>
      <c r="M417" s="193"/>
      <c r="N417" s="47" t="str">
        <f t="shared" si="40"/>
        <v>FY2010-11</v>
      </c>
      <c r="O417" s="47" t="s">
        <v>1353</v>
      </c>
      <c r="P417" s="47" t="s">
        <v>1347</v>
      </c>
      <c r="Q417" s="47" t="s">
        <v>1465</v>
      </c>
      <c r="R417" s="194"/>
      <c r="S417" s="194"/>
      <c r="T417" s="194"/>
      <c r="U417" s="194"/>
      <c r="V417" s="195"/>
      <c r="W417" s="195"/>
      <c r="X417" s="195"/>
      <c r="Y417" s="195"/>
      <c r="Z417" s="195"/>
      <c r="AA417" s="195"/>
      <c r="AB417" s="195"/>
      <c r="AC417" s="195"/>
      <c r="AD417" s="195"/>
      <c r="AE417" s="195"/>
      <c r="AF417" s="195"/>
      <c r="AG417" s="195"/>
    </row>
    <row r="418" spans="1:34" ht="16" customHeight="1">
      <c r="A418" s="7"/>
      <c r="B418" s="10"/>
      <c r="C418" s="12"/>
      <c r="D418" s="194"/>
      <c r="E418" s="194"/>
      <c r="F418" s="193"/>
      <c r="G418" s="194"/>
      <c r="H418" s="193"/>
      <c r="I418" s="193"/>
      <c r="J418" s="194"/>
      <c r="K418" s="194"/>
      <c r="L418" s="285" t="s">
        <v>1429</v>
      </c>
      <c r="M418" s="193"/>
      <c r="N418" s="47" t="str">
        <f t="shared" si="40"/>
        <v>FY2010-11</v>
      </c>
      <c r="O418" s="47" t="s">
        <v>1353</v>
      </c>
      <c r="P418" s="47" t="s">
        <v>1347</v>
      </c>
      <c r="Q418" s="47" t="s">
        <v>1465</v>
      </c>
      <c r="R418" s="194"/>
      <c r="S418" s="194"/>
      <c r="T418" s="194"/>
      <c r="U418" s="194"/>
      <c r="V418" s="195"/>
      <c r="W418" s="195"/>
      <c r="X418" s="195"/>
      <c r="Y418" s="195"/>
      <c r="Z418" s="195"/>
      <c r="AA418" s="195"/>
      <c r="AB418" s="195"/>
      <c r="AC418" s="195"/>
      <c r="AD418" s="195"/>
      <c r="AE418" s="195"/>
      <c r="AF418" s="195"/>
      <c r="AG418" s="195"/>
    </row>
    <row r="419" spans="1:34" ht="16" customHeight="1">
      <c r="A419" s="7"/>
      <c r="B419" s="10"/>
      <c r="C419" s="12"/>
      <c r="D419" s="194"/>
      <c r="E419" s="194"/>
      <c r="F419" s="193"/>
      <c r="G419" s="194"/>
      <c r="H419" s="193"/>
      <c r="I419" s="193"/>
      <c r="J419" s="194"/>
      <c r="K419" s="194"/>
      <c r="L419" s="285" t="s">
        <v>1429</v>
      </c>
      <c r="M419" s="193"/>
      <c r="N419" s="47" t="str">
        <f t="shared" si="40"/>
        <v>FY2010-11</v>
      </c>
      <c r="O419" s="47" t="s">
        <v>1353</v>
      </c>
      <c r="P419" s="47" t="s">
        <v>1347</v>
      </c>
      <c r="Q419" s="47" t="s">
        <v>1465</v>
      </c>
      <c r="R419" s="194"/>
      <c r="S419" s="194"/>
      <c r="T419" s="194"/>
      <c r="U419" s="194"/>
      <c r="V419" s="195"/>
      <c r="W419" s="195"/>
      <c r="X419" s="195"/>
      <c r="Y419" s="195"/>
      <c r="Z419" s="195"/>
      <c r="AA419" s="195"/>
      <c r="AB419" s="195"/>
      <c r="AC419" s="195"/>
      <c r="AD419" s="195"/>
      <c r="AE419" s="195"/>
      <c r="AF419" s="195"/>
      <c r="AG419" s="195"/>
    </row>
    <row r="420" spans="1:34" ht="16" customHeight="1">
      <c r="A420" s="7"/>
      <c r="B420" s="10"/>
      <c r="C420" s="12"/>
      <c r="D420" s="194"/>
      <c r="E420" s="194"/>
      <c r="F420" s="193"/>
      <c r="G420" s="194"/>
      <c r="H420" s="193"/>
      <c r="I420" s="193"/>
      <c r="J420" s="194"/>
      <c r="K420" s="194"/>
      <c r="L420" s="285" t="s">
        <v>1429</v>
      </c>
      <c r="M420" s="193"/>
      <c r="N420" s="47" t="str">
        <f t="shared" si="40"/>
        <v>FY2010-11</v>
      </c>
      <c r="O420" s="47" t="s">
        <v>1353</v>
      </c>
      <c r="P420" s="47" t="s">
        <v>1347</v>
      </c>
      <c r="Q420" s="47" t="s">
        <v>1465</v>
      </c>
      <c r="R420" s="194"/>
      <c r="S420" s="194"/>
      <c r="T420" s="194"/>
      <c r="U420" s="194"/>
      <c r="V420" s="195"/>
      <c r="W420" s="195"/>
      <c r="X420" s="195"/>
      <c r="Y420" s="195"/>
      <c r="Z420" s="195"/>
      <c r="AA420" s="195"/>
      <c r="AB420" s="195"/>
      <c r="AC420" s="195"/>
      <c r="AD420" s="195"/>
      <c r="AE420" s="195"/>
      <c r="AF420" s="195"/>
      <c r="AG420" s="195"/>
    </row>
    <row r="421" spans="1:34" ht="16" customHeight="1">
      <c r="A421" s="7"/>
      <c r="B421" s="10"/>
      <c r="C421" s="12"/>
      <c r="D421" s="194"/>
      <c r="E421" s="194"/>
      <c r="F421" s="193"/>
      <c r="G421" s="194"/>
      <c r="H421" s="193"/>
      <c r="I421" s="193"/>
      <c r="J421" s="194"/>
      <c r="K421" s="194"/>
      <c r="L421" s="285" t="s">
        <v>1429</v>
      </c>
      <c r="M421" s="193"/>
      <c r="N421" s="47" t="str">
        <f t="shared" si="40"/>
        <v>FY2010-11</v>
      </c>
      <c r="O421" s="47" t="s">
        <v>1353</v>
      </c>
      <c r="P421" s="47" t="s">
        <v>1347</v>
      </c>
      <c r="Q421" s="47" t="s">
        <v>1465</v>
      </c>
      <c r="R421" s="194"/>
      <c r="S421" s="194"/>
      <c r="T421" s="194"/>
      <c r="U421" s="194"/>
      <c r="V421" s="195"/>
      <c r="W421" s="195"/>
      <c r="X421" s="195"/>
      <c r="Y421" s="195"/>
      <c r="Z421" s="195"/>
      <c r="AA421" s="195"/>
      <c r="AB421" s="195"/>
      <c r="AC421" s="195"/>
      <c r="AD421" s="195"/>
      <c r="AE421" s="195"/>
      <c r="AF421" s="195"/>
      <c r="AG421" s="195"/>
    </row>
    <row r="422" spans="1:34" ht="16" customHeight="1">
      <c r="A422" s="29"/>
      <c r="B422" s="30"/>
      <c r="C422" s="30"/>
      <c r="D422" s="31"/>
      <c r="E422" s="31"/>
      <c r="F422" s="32"/>
      <c r="G422" s="31"/>
      <c r="H422" s="32"/>
      <c r="I422" s="32"/>
      <c r="J422" s="31"/>
      <c r="K422" s="31"/>
      <c r="L422" s="284"/>
      <c r="M422" s="32"/>
      <c r="N422" s="32"/>
      <c r="O422" s="31"/>
      <c r="P422" s="32"/>
      <c r="Q422" s="32"/>
      <c r="R422" s="31"/>
      <c r="S422" s="31"/>
      <c r="T422" s="31"/>
      <c r="U422" s="31"/>
      <c r="V422" s="29"/>
      <c r="W422" s="29"/>
      <c r="X422" s="29"/>
      <c r="Y422" s="29"/>
      <c r="Z422" s="29"/>
      <c r="AA422" s="29"/>
      <c r="AB422" s="29"/>
      <c r="AC422" s="29"/>
      <c r="AD422" s="29"/>
      <c r="AE422" s="29"/>
      <c r="AF422" s="29"/>
      <c r="AG422" s="29"/>
    </row>
    <row r="423" spans="1:34" ht="16" customHeight="1" thickBot="1">
      <c r="A423" s="7"/>
      <c r="B423" s="19" t="str">
        <f>"FA2 = "&amp;'FIG3'!$W$53&amp;" "&amp;'FIG3'!$X$53</f>
        <v>FA2 = FA2L1 FA2L2</v>
      </c>
      <c r="C423" s="7"/>
      <c r="D423" s="8"/>
      <c r="E423" s="8"/>
      <c r="F423" s="9"/>
      <c r="G423" s="8"/>
      <c r="H423" s="9"/>
      <c r="I423" s="9"/>
      <c r="J423" s="8"/>
      <c r="K423" s="8"/>
      <c r="L423" s="280"/>
      <c r="M423" s="9"/>
      <c r="N423" s="9"/>
      <c r="O423" s="8"/>
      <c r="P423" s="9"/>
      <c r="Q423" s="9"/>
      <c r="R423" s="8"/>
      <c r="S423" s="882"/>
      <c r="T423" s="883" t="str">
        <f>'$REV-DB'!$T$34</f>
        <v>Federal Revenues</v>
      </c>
      <c r="U423" s="883" t="str">
        <f>'$REV-DB'!$U$34</f>
        <v>local Revenues</v>
      </c>
      <c r="V423" s="883" t="str">
        <f>'$REV-DB'!$V$34</f>
        <v>Other Revenues</v>
      </c>
      <c r="W423" s="883" t="str">
        <f>'$REV-DB'!$W$34</f>
        <v>State revenues</v>
      </c>
      <c r="X423" s="883" t="str">
        <f>'$REV-DB'!$X$34</f>
        <v>UD5</v>
      </c>
      <c r="Y423" s="883" t="str">
        <f>'$REV-DB'!$Y$34</f>
        <v>UD6</v>
      </c>
      <c r="Z423" s="883" t="str">
        <f>'$REV-DB'!$Z$34</f>
        <v>UD7</v>
      </c>
      <c r="AA423" s="883" t="str">
        <f>'$REV-DB'!$AA$34</f>
        <v>UD8</v>
      </c>
      <c r="AB423" s="883" t="str">
        <f>'$REV-DB'!$AB$34</f>
        <v>UD9</v>
      </c>
      <c r="AC423" s="883" t="str">
        <f>'$REV-DB'!$AC$34</f>
        <v>UD10</v>
      </c>
      <c r="AD423" s="883" t="str">
        <f>'$REV-DB'!$AD$34</f>
        <v>UD11</v>
      </c>
      <c r="AE423" s="883" t="str">
        <f>'$REV-DB'!$AE$34</f>
        <v>UD12</v>
      </c>
      <c r="AF423" s="883" t="str">
        <f>'$REV-DB'!$AF$34</f>
        <v>UD13</v>
      </c>
      <c r="AG423" s="883" t="str">
        <f>'$REV-DB'!$AG$34</f>
        <v>UD14</v>
      </c>
    </row>
    <row r="424" spans="1:34" ht="16" customHeight="1" thickTop="1" thickBot="1">
      <c r="A424" s="7"/>
      <c r="B424" s="20" t="s">
        <v>1375</v>
      </c>
      <c r="C424" s="15"/>
      <c r="D424" s="105" t="s">
        <v>1386</v>
      </c>
      <c r="E424" s="105" t="s">
        <v>1387</v>
      </c>
      <c r="F424" s="105" t="s">
        <v>1388</v>
      </c>
      <c r="G424" s="105" t="s">
        <v>1389</v>
      </c>
      <c r="H424" s="301" t="s">
        <v>1406</v>
      </c>
      <c r="I424" s="301" t="s">
        <v>1390</v>
      </c>
      <c r="J424" s="301" t="s">
        <v>1391</v>
      </c>
      <c r="K424" s="301" t="s">
        <v>1392</v>
      </c>
      <c r="L424" s="301" t="s">
        <v>1188</v>
      </c>
      <c r="M424" s="301" t="s">
        <v>1437</v>
      </c>
      <c r="N424" s="105" t="s">
        <v>1348</v>
      </c>
      <c r="O424" s="105" t="s">
        <v>1393</v>
      </c>
      <c r="P424" s="105" t="s">
        <v>1342</v>
      </c>
      <c r="Q424" s="105" t="s">
        <v>1394</v>
      </c>
      <c r="R424" s="112" t="s">
        <v>1341</v>
      </c>
      <c r="S424" s="112" t="s">
        <v>846</v>
      </c>
      <c r="T424" s="873" t="s">
        <v>935</v>
      </c>
      <c r="U424" s="873" t="s">
        <v>936</v>
      </c>
      <c r="V424" s="873" t="s">
        <v>937</v>
      </c>
      <c r="W424" s="873" t="s">
        <v>938</v>
      </c>
      <c r="X424" s="873" t="s">
        <v>939</v>
      </c>
      <c r="Y424" s="873" t="s">
        <v>940</v>
      </c>
      <c r="Z424" s="873" t="s">
        <v>941</v>
      </c>
      <c r="AA424" s="873" t="s">
        <v>942</v>
      </c>
      <c r="AB424" s="873" t="s">
        <v>943</v>
      </c>
      <c r="AC424" s="873" t="s">
        <v>944</v>
      </c>
      <c r="AD424" s="873" t="s">
        <v>945</v>
      </c>
      <c r="AE424" s="873" t="s">
        <v>946</v>
      </c>
      <c r="AF424" s="873" t="s">
        <v>947</v>
      </c>
      <c r="AG424" s="873" t="s">
        <v>948</v>
      </c>
      <c r="AH424" s="6"/>
    </row>
    <row r="425" spans="1:34" ht="16" customHeight="1" thickTop="1">
      <c r="A425" s="7"/>
      <c r="B425" s="19" t="s">
        <v>1350</v>
      </c>
      <c r="C425" s="12"/>
      <c r="D425" s="194"/>
      <c r="E425" s="194"/>
      <c r="F425" s="193"/>
      <c r="G425" s="194"/>
      <c r="H425" s="193"/>
      <c r="I425" s="193"/>
      <c r="J425" s="194"/>
      <c r="K425" s="194"/>
      <c r="L425" s="285" t="s">
        <v>1429</v>
      </c>
      <c r="M425" s="193"/>
      <c r="N425" s="47" t="str">
        <f>J$6</f>
        <v>FY2010-11</v>
      </c>
      <c r="O425" s="47" t="s">
        <v>1353</v>
      </c>
      <c r="P425" s="47" t="s">
        <v>1347</v>
      </c>
      <c r="Q425" s="47" t="s">
        <v>1340</v>
      </c>
      <c r="R425" s="194"/>
      <c r="S425" s="194"/>
      <c r="T425" s="194"/>
      <c r="U425" s="194"/>
      <c r="V425" s="195"/>
      <c r="W425" s="195"/>
      <c r="X425" s="195"/>
      <c r="Y425" s="195"/>
      <c r="Z425" s="195"/>
      <c r="AA425" s="195"/>
      <c r="AB425" s="195"/>
      <c r="AC425" s="195"/>
      <c r="AD425" s="195"/>
      <c r="AE425" s="195"/>
      <c r="AF425" s="195"/>
      <c r="AG425" s="195"/>
      <c r="AH425" s="6"/>
    </row>
    <row r="426" spans="1:34" ht="16" customHeight="1">
      <c r="A426" s="7"/>
      <c r="B426" s="16">
        <f>DSUM('$REV-DB'!D35:AG374,"AMOUNT",'$REV-DSUM'!D424:AG431)</f>
        <v>0</v>
      </c>
      <c r="C426" s="12"/>
      <c r="D426" s="194"/>
      <c r="E426" s="194"/>
      <c r="F426" s="193"/>
      <c r="G426" s="194"/>
      <c r="H426" s="193"/>
      <c r="I426" s="193"/>
      <c r="J426" s="194"/>
      <c r="K426" s="194"/>
      <c r="L426" s="285" t="s">
        <v>1429</v>
      </c>
      <c r="M426" s="193"/>
      <c r="N426" s="47" t="str">
        <f t="shared" ref="N426:N431" si="41">J$6</f>
        <v>FY2010-11</v>
      </c>
      <c r="O426" s="47" t="s">
        <v>1353</v>
      </c>
      <c r="P426" s="47" t="s">
        <v>1347</v>
      </c>
      <c r="Q426" s="47" t="s">
        <v>1340</v>
      </c>
      <c r="R426" s="194"/>
      <c r="S426" s="194"/>
      <c r="T426" s="194"/>
      <c r="U426" s="194"/>
      <c r="V426" s="195"/>
      <c r="W426" s="195"/>
      <c r="X426" s="195"/>
      <c r="Y426" s="195"/>
      <c r="Z426" s="195"/>
      <c r="AA426" s="195"/>
      <c r="AB426" s="195"/>
      <c r="AC426" s="195"/>
      <c r="AD426" s="195"/>
      <c r="AE426" s="195"/>
      <c r="AF426" s="195"/>
      <c r="AG426" s="195"/>
      <c r="AH426" s="6"/>
    </row>
    <row r="427" spans="1:34" ht="16" customHeight="1">
      <c r="A427" s="7"/>
      <c r="B427" s="10"/>
      <c r="C427" s="12"/>
      <c r="D427" s="194"/>
      <c r="E427" s="194"/>
      <c r="F427" s="193"/>
      <c r="G427" s="194"/>
      <c r="H427" s="193"/>
      <c r="I427" s="193"/>
      <c r="J427" s="194"/>
      <c r="K427" s="194"/>
      <c r="L427" s="285" t="s">
        <v>1429</v>
      </c>
      <c r="M427" s="193"/>
      <c r="N427" s="47" t="str">
        <f t="shared" si="41"/>
        <v>FY2010-11</v>
      </c>
      <c r="O427" s="47" t="s">
        <v>1353</v>
      </c>
      <c r="P427" s="47" t="s">
        <v>1347</v>
      </c>
      <c r="Q427" s="47" t="s">
        <v>1340</v>
      </c>
      <c r="R427" s="194"/>
      <c r="S427" s="194"/>
      <c r="T427" s="194"/>
      <c r="U427" s="194"/>
      <c r="V427" s="195"/>
      <c r="W427" s="195"/>
      <c r="X427" s="195"/>
      <c r="Y427" s="195"/>
      <c r="Z427" s="195"/>
      <c r="AA427" s="195"/>
      <c r="AB427" s="195"/>
      <c r="AC427" s="195"/>
      <c r="AD427" s="195"/>
      <c r="AE427" s="195"/>
      <c r="AF427" s="195"/>
      <c r="AG427" s="195"/>
    </row>
    <row r="428" spans="1:34" ht="16" customHeight="1">
      <c r="A428" s="7"/>
      <c r="B428" s="10"/>
      <c r="C428" s="12"/>
      <c r="D428" s="194"/>
      <c r="E428" s="194"/>
      <c r="F428" s="193"/>
      <c r="G428" s="194"/>
      <c r="H428" s="193"/>
      <c r="I428" s="193"/>
      <c r="J428" s="194"/>
      <c r="K428" s="194"/>
      <c r="L428" s="285" t="s">
        <v>1429</v>
      </c>
      <c r="M428" s="193"/>
      <c r="N428" s="47" t="str">
        <f t="shared" si="41"/>
        <v>FY2010-11</v>
      </c>
      <c r="O428" s="47" t="s">
        <v>1353</v>
      </c>
      <c r="P428" s="47" t="s">
        <v>1347</v>
      </c>
      <c r="Q428" s="47" t="s">
        <v>1340</v>
      </c>
      <c r="R428" s="194"/>
      <c r="S428" s="194"/>
      <c r="T428" s="194"/>
      <c r="U428" s="194"/>
      <c r="V428" s="195"/>
      <c r="W428" s="195"/>
      <c r="X428" s="195"/>
      <c r="Y428" s="195"/>
      <c r="Z428" s="195"/>
      <c r="AA428" s="195"/>
      <c r="AB428" s="195"/>
      <c r="AC428" s="195"/>
      <c r="AD428" s="195"/>
      <c r="AE428" s="195"/>
      <c r="AF428" s="195"/>
      <c r="AG428" s="195"/>
    </row>
    <row r="429" spans="1:34" ht="16" customHeight="1">
      <c r="A429" s="7"/>
      <c r="B429" s="10"/>
      <c r="C429" s="12"/>
      <c r="D429" s="194"/>
      <c r="E429" s="194"/>
      <c r="F429" s="193"/>
      <c r="G429" s="194"/>
      <c r="H429" s="193"/>
      <c r="I429" s="193"/>
      <c r="J429" s="194"/>
      <c r="K429" s="194"/>
      <c r="L429" s="285" t="s">
        <v>1429</v>
      </c>
      <c r="M429" s="193"/>
      <c r="N429" s="47" t="str">
        <f t="shared" si="41"/>
        <v>FY2010-11</v>
      </c>
      <c r="O429" s="47" t="s">
        <v>1353</v>
      </c>
      <c r="P429" s="47" t="s">
        <v>1347</v>
      </c>
      <c r="Q429" s="47" t="s">
        <v>1340</v>
      </c>
      <c r="R429" s="194"/>
      <c r="S429" s="194"/>
      <c r="T429" s="194"/>
      <c r="U429" s="194"/>
      <c r="V429" s="195"/>
      <c r="W429" s="195"/>
      <c r="X429" s="195"/>
      <c r="Y429" s="195"/>
      <c r="Z429" s="195"/>
      <c r="AA429" s="195"/>
      <c r="AB429" s="195"/>
      <c r="AC429" s="195"/>
      <c r="AD429" s="195"/>
      <c r="AE429" s="195"/>
      <c r="AF429" s="195"/>
      <c r="AG429" s="195"/>
    </row>
    <row r="430" spans="1:34" ht="16" customHeight="1">
      <c r="A430" s="7"/>
      <c r="B430" s="10"/>
      <c r="C430" s="12"/>
      <c r="D430" s="194"/>
      <c r="E430" s="194"/>
      <c r="F430" s="193"/>
      <c r="G430" s="194"/>
      <c r="H430" s="193"/>
      <c r="I430" s="193"/>
      <c r="J430" s="194"/>
      <c r="K430" s="194"/>
      <c r="L430" s="285" t="s">
        <v>1429</v>
      </c>
      <c r="M430" s="193"/>
      <c r="N430" s="47" t="str">
        <f t="shared" si="41"/>
        <v>FY2010-11</v>
      </c>
      <c r="O430" s="47" t="s">
        <v>1353</v>
      </c>
      <c r="P430" s="47" t="s">
        <v>1347</v>
      </c>
      <c r="Q430" s="47" t="s">
        <v>1340</v>
      </c>
      <c r="R430" s="194"/>
      <c r="S430" s="194"/>
      <c r="T430" s="194"/>
      <c r="U430" s="194"/>
      <c r="V430" s="195"/>
      <c r="W430" s="195"/>
      <c r="X430" s="195"/>
      <c r="Y430" s="195"/>
      <c r="Z430" s="195"/>
      <c r="AA430" s="195"/>
      <c r="AB430" s="195"/>
      <c r="AC430" s="195"/>
      <c r="AD430" s="195"/>
      <c r="AE430" s="195"/>
      <c r="AF430" s="195"/>
      <c r="AG430" s="195"/>
    </row>
    <row r="431" spans="1:34" ht="16" customHeight="1">
      <c r="A431" s="7"/>
      <c r="B431" s="10"/>
      <c r="C431" s="12"/>
      <c r="D431" s="194"/>
      <c r="E431" s="194"/>
      <c r="F431" s="193"/>
      <c r="G431" s="194"/>
      <c r="H431" s="193"/>
      <c r="I431" s="193"/>
      <c r="J431" s="194"/>
      <c r="K431" s="194"/>
      <c r="L431" s="285" t="s">
        <v>1429</v>
      </c>
      <c r="M431" s="193"/>
      <c r="N431" s="47" t="str">
        <f t="shared" si="41"/>
        <v>FY2010-11</v>
      </c>
      <c r="O431" s="47" t="s">
        <v>1353</v>
      </c>
      <c r="P431" s="47" t="s">
        <v>1347</v>
      </c>
      <c r="Q431" s="47" t="s">
        <v>1340</v>
      </c>
      <c r="R431" s="194"/>
      <c r="S431" s="194"/>
      <c r="T431" s="194"/>
      <c r="U431" s="194"/>
      <c r="V431" s="195"/>
      <c r="W431" s="195"/>
      <c r="X431" s="195"/>
      <c r="Y431" s="195"/>
      <c r="Z431" s="195"/>
      <c r="AA431" s="195"/>
      <c r="AB431" s="195"/>
      <c r="AC431" s="195"/>
      <c r="AD431" s="195"/>
      <c r="AE431" s="195"/>
      <c r="AF431" s="195"/>
      <c r="AG431" s="195"/>
    </row>
    <row r="432" spans="1:34" ht="16" customHeight="1">
      <c r="A432" s="21"/>
      <c r="B432" s="22"/>
      <c r="C432" s="22"/>
      <c r="D432" s="23"/>
      <c r="E432" s="23"/>
      <c r="F432" s="24"/>
      <c r="G432" s="23"/>
      <c r="H432" s="24"/>
      <c r="I432" s="24"/>
      <c r="J432" s="23"/>
      <c r="K432" s="23"/>
      <c r="L432" s="286"/>
      <c r="M432" s="24"/>
      <c r="N432" s="24"/>
      <c r="O432" s="23"/>
      <c r="P432" s="24"/>
      <c r="Q432" s="24"/>
      <c r="R432" s="23"/>
      <c r="S432" s="23"/>
      <c r="T432" s="23"/>
      <c r="U432" s="23"/>
      <c r="V432" s="21"/>
      <c r="W432" s="21"/>
      <c r="X432" s="21"/>
      <c r="Y432" s="21"/>
      <c r="Z432" s="21"/>
      <c r="AA432" s="21"/>
      <c r="AB432" s="21"/>
      <c r="AC432" s="21"/>
      <c r="AD432" s="21"/>
      <c r="AE432" s="21"/>
      <c r="AF432" s="21"/>
      <c r="AG432" s="21"/>
    </row>
    <row r="433" spans="1:34" ht="16" customHeight="1" thickBot="1">
      <c r="A433" s="7"/>
      <c r="B433" s="19" t="str">
        <f>"FA3 = "&amp;'FIG3'!$W$54&amp;" "&amp;'FIG3'!$X$54</f>
        <v>FA3 = FA3L1 FA3L2</v>
      </c>
      <c r="C433" s="7"/>
      <c r="D433" s="17"/>
      <c r="E433" s="17"/>
      <c r="F433" s="18"/>
      <c r="G433" s="17"/>
      <c r="H433" s="18"/>
      <c r="I433" s="18"/>
      <c r="J433" s="17"/>
      <c r="K433" s="17"/>
      <c r="L433" s="281"/>
      <c r="M433" s="18"/>
      <c r="N433" s="9"/>
      <c r="O433" s="17"/>
      <c r="P433" s="18"/>
      <c r="Q433" s="18"/>
      <c r="R433" s="17"/>
      <c r="S433" s="882"/>
      <c r="T433" s="883" t="str">
        <f>'$REV-DB'!$T$34</f>
        <v>Federal Revenues</v>
      </c>
      <c r="U433" s="883" t="str">
        <f>'$REV-DB'!$U$34</f>
        <v>local Revenues</v>
      </c>
      <c r="V433" s="883" t="str">
        <f>'$REV-DB'!$V$34</f>
        <v>Other Revenues</v>
      </c>
      <c r="W433" s="883" t="str">
        <f>'$REV-DB'!$W$34</f>
        <v>State revenues</v>
      </c>
      <c r="X433" s="883" t="str">
        <f>'$REV-DB'!$X$34</f>
        <v>UD5</v>
      </c>
      <c r="Y433" s="883" t="str">
        <f>'$REV-DB'!$Y$34</f>
        <v>UD6</v>
      </c>
      <c r="Z433" s="883" t="str">
        <f>'$REV-DB'!$Z$34</f>
        <v>UD7</v>
      </c>
      <c r="AA433" s="883" t="str">
        <f>'$REV-DB'!$AA$34</f>
        <v>UD8</v>
      </c>
      <c r="AB433" s="883" t="str">
        <f>'$REV-DB'!$AB$34</f>
        <v>UD9</v>
      </c>
      <c r="AC433" s="883" t="str">
        <f>'$REV-DB'!$AC$34</f>
        <v>UD10</v>
      </c>
      <c r="AD433" s="883" t="str">
        <f>'$REV-DB'!$AD$34</f>
        <v>UD11</v>
      </c>
      <c r="AE433" s="883" t="str">
        <f>'$REV-DB'!$AE$34</f>
        <v>UD12</v>
      </c>
      <c r="AF433" s="883" t="str">
        <f>'$REV-DB'!$AF$34</f>
        <v>UD13</v>
      </c>
      <c r="AG433" s="883" t="str">
        <f>'$REV-DB'!$AG$34</f>
        <v>UD14</v>
      </c>
    </row>
    <row r="434" spans="1:34" ht="16" customHeight="1" thickTop="1" thickBot="1">
      <c r="A434" s="7"/>
      <c r="B434" s="20" t="s">
        <v>1399</v>
      </c>
      <c r="C434" s="15"/>
      <c r="D434" s="105" t="s">
        <v>1386</v>
      </c>
      <c r="E434" s="105" t="s">
        <v>1387</v>
      </c>
      <c r="F434" s="105" t="s">
        <v>1388</v>
      </c>
      <c r="G434" s="105" t="s">
        <v>1389</v>
      </c>
      <c r="H434" s="301" t="s">
        <v>1406</v>
      </c>
      <c r="I434" s="301" t="s">
        <v>1390</v>
      </c>
      <c r="J434" s="301" t="s">
        <v>1391</v>
      </c>
      <c r="K434" s="301" t="s">
        <v>1392</v>
      </c>
      <c r="L434" s="301" t="s">
        <v>1188</v>
      </c>
      <c r="M434" s="301" t="s">
        <v>1437</v>
      </c>
      <c r="N434" s="105" t="s">
        <v>1348</v>
      </c>
      <c r="O434" s="105" t="s">
        <v>1393</v>
      </c>
      <c r="P434" s="105" t="s">
        <v>1342</v>
      </c>
      <c r="Q434" s="105" t="s">
        <v>1394</v>
      </c>
      <c r="R434" s="112" t="s">
        <v>1341</v>
      </c>
      <c r="S434" s="112" t="s">
        <v>846</v>
      </c>
      <c r="T434" s="873" t="s">
        <v>935</v>
      </c>
      <c r="U434" s="873" t="s">
        <v>936</v>
      </c>
      <c r="V434" s="873" t="s">
        <v>937</v>
      </c>
      <c r="W434" s="873" t="s">
        <v>938</v>
      </c>
      <c r="X434" s="873" t="s">
        <v>939</v>
      </c>
      <c r="Y434" s="873" t="s">
        <v>940</v>
      </c>
      <c r="Z434" s="873" t="s">
        <v>941</v>
      </c>
      <c r="AA434" s="873" t="s">
        <v>942</v>
      </c>
      <c r="AB434" s="873" t="s">
        <v>943</v>
      </c>
      <c r="AC434" s="873" t="s">
        <v>944</v>
      </c>
      <c r="AD434" s="873" t="s">
        <v>945</v>
      </c>
      <c r="AE434" s="873" t="s">
        <v>946</v>
      </c>
      <c r="AF434" s="873" t="s">
        <v>947</v>
      </c>
      <c r="AG434" s="873" t="s">
        <v>948</v>
      </c>
      <c r="AH434" s="6"/>
    </row>
    <row r="435" spans="1:34" ht="16" customHeight="1" thickTop="1">
      <c r="A435" s="7"/>
      <c r="B435" s="19" t="s">
        <v>1346</v>
      </c>
      <c r="C435" s="12"/>
      <c r="D435" s="196"/>
      <c r="E435" s="196"/>
      <c r="F435" s="196"/>
      <c r="G435" s="196"/>
      <c r="H435" s="196"/>
      <c r="I435" s="196"/>
      <c r="J435" s="196"/>
      <c r="K435" s="196"/>
      <c r="L435" s="287" t="s">
        <v>1429</v>
      </c>
      <c r="M435" s="196"/>
      <c r="N435" s="39" t="str">
        <f>J$6</f>
        <v>FY2010-11</v>
      </c>
      <c r="O435" s="39" t="s">
        <v>1354</v>
      </c>
      <c r="P435" s="39" t="s">
        <v>1338</v>
      </c>
      <c r="Q435" s="196"/>
      <c r="R435" s="196"/>
      <c r="S435" s="197"/>
      <c r="T435" s="197"/>
      <c r="U435" s="197"/>
      <c r="V435" s="198"/>
      <c r="W435" s="198"/>
      <c r="X435" s="198"/>
      <c r="Y435" s="198"/>
      <c r="Z435" s="198"/>
      <c r="AA435" s="198"/>
      <c r="AB435" s="198"/>
      <c r="AC435" s="198"/>
      <c r="AD435" s="198"/>
      <c r="AE435" s="198"/>
      <c r="AF435" s="198"/>
      <c r="AG435" s="198"/>
      <c r="AH435" s="6"/>
    </row>
    <row r="436" spans="1:34" ht="16" customHeight="1">
      <c r="A436" s="7"/>
      <c r="B436" s="16">
        <f>DSUM('$REV-DB'!D35:AG374,"AMOUNT",'$REV-DSUM'!D434:AG441)</f>
        <v>0</v>
      </c>
      <c r="C436" s="12"/>
      <c r="D436" s="196"/>
      <c r="E436" s="196"/>
      <c r="F436" s="196"/>
      <c r="G436" s="196"/>
      <c r="H436" s="196"/>
      <c r="I436" s="196"/>
      <c r="J436" s="196"/>
      <c r="K436" s="196"/>
      <c r="L436" s="287" t="s">
        <v>1429</v>
      </c>
      <c r="M436" s="196"/>
      <c r="N436" s="39" t="str">
        <f t="shared" ref="N436:N441" si="42">J$6</f>
        <v>FY2010-11</v>
      </c>
      <c r="O436" s="39" t="s">
        <v>1354</v>
      </c>
      <c r="P436" s="39" t="s">
        <v>1338</v>
      </c>
      <c r="Q436" s="196"/>
      <c r="R436" s="196"/>
      <c r="S436" s="197"/>
      <c r="T436" s="197"/>
      <c r="U436" s="197"/>
      <c r="V436" s="198"/>
      <c r="W436" s="198"/>
      <c r="X436" s="198"/>
      <c r="Y436" s="198"/>
      <c r="Z436" s="198"/>
      <c r="AA436" s="198"/>
      <c r="AB436" s="198"/>
      <c r="AC436" s="198"/>
      <c r="AD436" s="198"/>
      <c r="AE436" s="198"/>
      <c r="AF436" s="198"/>
      <c r="AG436" s="198"/>
      <c r="AH436" s="6"/>
    </row>
    <row r="437" spans="1:34" ht="16" customHeight="1">
      <c r="A437" s="7"/>
      <c r="B437" s="10"/>
      <c r="C437" s="12"/>
      <c r="D437" s="196"/>
      <c r="E437" s="196"/>
      <c r="F437" s="196"/>
      <c r="G437" s="196"/>
      <c r="H437" s="196"/>
      <c r="I437" s="196"/>
      <c r="J437" s="196"/>
      <c r="K437" s="196"/>
      <c r="L437" s="287" t="s">
        <v>1429</v>
      </c>
      <c r="M437" s="196"/>
      <c r="N437" s="39" t="str">
        <f t="shared" si="42"/>
        <v>FY2010-11</v>
      </c>
      <c r="O437" s="39" t="s">
        <v>1354</v>
      </c>
      <c r="P437" s="39" t="s">
        <v>1338</v>
      </c>
      <c r="Q437" s="196"/>
      <c r="R437" s="196"/>
      <c r="S437" s="197"/>
      <c r="T437" s="197"/>
      <c r="U437" s="197"/>
      <c r="V437" s="198"/>
      <c r="W437" s="198"/>
      <c r="X437" s="198"/>
      <c r="Y437" s="198"/>
      <c r="Z437" s="198"/>
      <c r="AA437" s="198"/>
      <c r="AB437" s="198"/>
      <c r="AC437" s="198"/>
      <c r="AD437" s="198"/>
      <c r="AE437" s="198"/>
      <c r="AF437" s="198"/>
      <c r="AG437" s="198"/>
    </row>
    <row r="438" spans="1:34" ht="16" customHeight="1">
      <c r="A438" s="7"/>
      <c r="B438" s="10"/>
      <c r="C438" s="12"/>
      <c r="D438" s="196"/>
      <c r="E438" s="196"/>
      <c r="F438" s="196"/>
      <c r="G438" s="196"/>
      <c r="H438" s="196"/>
      <c r="I438" s="196"/>
      <c r="J438" s="196"/>
      <c r="K438" s="196"/>
      <c r="L438" s="287" t="s">
        <v>1429</v>
      </c>
      <c r="M438" s="196"/>
      <c r="N438" s="39" t="str">
        <f t="shared" si="42"/>
        <v>FY2010-11</v>
      </c>
      <c r="O438" s="39" t="s">
        <v>1354</v>
      </c>
      <c r="P438" s="39" t="s">
        <v>1338</v>
      </c>
      <c r="Q438" s="196"/>
      <c r="R438" s="196"/>
      <c r="S438" s="197"/>
      <c r="T438" s="197"/>
      <c r="U438" s="197"/>
      <c r="V438" s="198"/>
      <c r="W438" s="198"/>
      <c r="X438" s="198"/>
      <c r="Y438" s="198"/>
      <c r="Z438" s="198"/>
      <c r="AA438" s="198"/>
      <c r="AB438" s="198"/>
      <c r="AC438" s="198"/>
      <c r="AD438" s="198"/>
      <c r="AE438" s="198"/>
      <c r="AF438" s="198"/>
      <c r="AG438" s="198"/>
    </row>
    <row r="439" spans="1:34" ht="16" customHeight="1">
      <c r="A439" s="7"/>
      <c r="B439" s="10"/>
      <c r="C439" s="12"/>
      <c r="D439" s="196"/>
      <c r="E439" s="196"/>
      <c r="F439" s="196"/>
      <c r="G439" s="196"/>
      <c r="H439" s="196"/>
      <c r="I439" s="196"/>
      <c r="J439" s="196"/>
      <c r="K439" s="196"/>
      <c r="L439" s="287" t="s">
        <v>1429</v>
      </c>
      <c r="M439" s="196"/>
      <c r="N439" s="39" t="str">
        <f t="shared" si="42"/>
        <v>FY2010-11</v>
      </c>
      <c r="O439" s="39" t="s">
        <v>1354</v>
      </c>
      <c r="P439" s="39" t="s">
        <v>1338</v>
      </c>
      <c r="Q439" s="196"/>
      <c r="R439" s="196"/>
      <c r="S439" s="197"/>
      <c r="T439" s="197"/>
      <c r="U439" s="197"/>
      <c r="V439" s="198"/>
      <c r="W439" s="198"/>
      <c r="X439" s="198"/>
      <c r="Y439" s="198"/>
      <c r="Z439" s="198"/>
      <c r="AA439" s="198"/>
      <c r="AB439" s="198"/>
      <c r="AC439" s="198"/>
      <c r="AD439" s="198"/>
      <c r="AE439" s="198"/>
      <c r="AF439" s="198"/>
      <c r="AG439" s="198"/>
    </row>
    <row r="440" spans="1:34" ht="16" customHeight="1">
      <c r="A440" s="7"/>
      <c r="B440" s="10"/>
      <c r="C440" s="12"/>
      <c r="D440" s="196"/>
      <c r="E440" s="196"/>
      <c r="F440" s="196"/>
      <c r="G440" s="196"/>
      <c r="H440" s="196"/>
      <c r="I440" s="196"/>
      <c r="J440" s="196"/>
      <c r="K440" s="196"/>
      <c r="L440" s="287" t="s">
        <v>1429</v>
      </c>
      <c r="M440" s="196"/>
      <c r="N440" s="39" t="str">
        <f t="shared" si="42"/>
        <v>FY2010-11</v>
      </c>
      <c r="O440" s="39" t="s">
        <v>1354</v>
      </c>
      <c r="P440" s="39" t="s">
        <v>1338</v>
      </c>
      <c r="Q440" s="196"/>
      <c r="R440" s="196"/>
      <c r="S440" s="197"/>
      <c r="T440" s="197"/>
      <c r="U440" s="197"/>
      <c r="V440" s="198"/>
      <c r="W440" s="198"/>
      <c r="X440" s="198"/>
      <c r="Y440" s="198"/>
      <c r="Z440" s="198"/>
      <c r="AA440" s="198"/>
      <c r="AB440" s="198"/>
      <c r="AC440" s="198"/>
      <c r="AD440" s="198"/>
      <c r="AE440" s="198"/>
      <c r="AF440" s="198"/>
      <c r="AG440" s="198"/>
    </row>
    <row r="441" spans="1:34" ht="16" customHeight="1">
      <c r="A441" s="7"/>
      <c r="B441" s="10"/>
      <c r="C441" s="12"/>
      <c r="D441" s="196"/>
      <c r="E441" s="196"/>
      <c r="F441" s="196"/>
      <c r="G441" s="196"/>
      <c r="H441" s="196"/>
      <c r="I441" s="196"/>
      <c r="J441" s="196"/>
      <c r="K441" s="196"/>
      <c r="L441" s="287" t="s">
        <v>1429</v>
      </c>
      <c r="M441" s="196"/>
      <c r="N441" s="39" t="str">
        <f t="shared" si="42"/>
        <v>FY2010-11</v>
      </c>
      <c r="O441" s="39" t="s">
        <v>1354</v>
      </c>
      <c r="P441" s="39" t="s">
        <v>1338</v>
      </c>
      <c r="Q441" s="196"/>
      <c r="R441" s="196"/>
      <c r="S441" s="197"/>
      <c r="T441" s="197"/>
      <c r="U441" s="197"/>
      <c r="V441" s="198"/>
      <c r="W441" s="198"/>
      <c r="X441" s="198"/>
      <c r="Y441" s="198"/>
      <c r="Z441" s="198"/>
      <c r="AA441" s="198"/>
      <c r="AB441" s="198"/>
      <c r="AC441" s="198"/>
      <c r="AD441" s="198"/>
      <c r="AE441" s="198"/>
      <c r="AF441" s="198"/>
      <c r="AG441" s="198"/>
    </row>
    <row r="442" spans="1:34" ht="16" customHeight="1">
      <c r="A442" s="21"/>
      <c r="B442" s="22"/>
      <c r="C442" s="22"/>
      <c r="D442" s="23"/>
      <c r="E442" s="23"/>
      <c r="F442" s="24"/>
      <c r="G442" s="23"/>
      <c r="H442" s="24"/>
      <c r="I442" s="24"/>
      <c r="J442" s="23"/>
      <c r="K442" s="23"/>
      <c r="L442" s="286"/>
      <c r="M442" s="24"/>
      <c r="N442" s="24"/>
      <c r="O442" s="23"/>
      <c r="P442" s="24"/>
      <c r="Q442" s="24"/>
      <c r="R442" s="23"/>
      <c r="S442" s="23"/>
      <c r="T442" s="23"/>
      <c r="U442" s="23"/>
      <c r="V442" s="21"/>
      <c r="W442" s="21"/>
      <c r="X442" s="21"/>
      <c r="Y442" s="21"/>
      <c r="Z442" s="21"/>
      <c r="AA442" s="21"/>
      <c r="AB442" s="21"/>
      <c r="AC442" s="21"/>
      <c r="AD442" s="21"/>
      <c r="AE442" s="21"/>
      <c r="AF442" s="21"/>
      <c r="AG442" s="21"/>
    </row>
    <row r="443" spans="1:34" ht="16" customHeight="1" thickBot="1">
      <c r="A443" s="7"/>
      <c r="B443" s="19" t="str">
        <f>"FA3 = "&amp;'FIG3'!$W$54&amp;" "&amp;'FIG3'!$X$54</f>
        <v>FA3 = FA3L1 FA3L2</v>
      </c>
      <c r="C443" s="7"/>
      <c r="D443" s="8"/>
      <c r="E443" s="8"/>
      <c r="F443" s="9"/>
      <c r="G443" s="8"/>
      <c r="H443" s="9"/>
      <c r="I443" s="9"/>
      <c r="J443" s="8"/>
      <c r="K443" s="8"/>
      <c r="L443" s="280"/>
      <c r="M443" s="9"/>
      <c r="N443" s="9"/>
      <c r="O443" s="8"/>
      <c r="P443" s="9"/>
      <c r="Q443" s="9"/>
      <c r="R443" s="8"/>
      <c r="S443" s="882"/>
      <c r="T443" s="883" t="str">
        <f>'$REV-DB'!$T$34</f>
        <v>Federal Revenues</v>
      </c>
      <c r="U443" s="883" t="str">
        <f>'$REV-DB'!$U$34</f>
        <v>local Revenues</v>
      </c>
      <c r="V443" s="883" t="str">
        <f>'$REV-DB'!$V$34</f>
        <v>Other Revenues</v>
      </c>
      <c r="W443" s="883" t="str">
        <f>'$REV-DB'!$W$34</f>
        <v>State revenues</v>
      </c>
      <c r="X443" s="883" t="str">
        <f>'$REV-DB'!$X$34</f>
        <v>UD5</v>
      </c>
      <c r="Y443" s="883" t="str">
        <f>'$REV-DB'!$Y$34</f>
        <v>UD6</v>
      </c>
      <c r="Z443" s="883" t="str">
        <f>'$REV-DB'!$Z$34</f>
        <v>UD7</v>
      </c>
      <c r="AA443" s="883" t="str">
        <f>'$REV-DB'!$AA$34</f>
        <v>UD8</v>
      </c>
      <c r="AB443" s="883" t="str">
        <f>'$REV-DB'!$AB$34</f>
        <v>UD9</v>
      </c>
      <c r="AC443" s="883" t="str">
        <f>'$REV-DB'!$AC$34</f>
        <v>UD10</v>
      </c>
      <c r="AD443" s="883" t="str">
        <f>'$REV-DB'!$AD$34</f>
        <v>UD11</v>
      </c>
      <c r="AE443" s="883" t="str">
        <f>'$REV-DB'!$AE$34</f>
        <v>UD12</v>
      </c>
      <c r="AF443" s="883" t="str">
        <f>'$REV-DB'!$AF$34</f>
        <v>UD13</v>
      </c>
      <c r="AG443" s="883" t="str">
        <f>'$REV-DB'!$AG$34</f>
        <v>UD14</v>
      </c>
    </row>
    <row r="444" spans="1:34" ht="16" customHeight="1" thickTop="1" thickBot="1">
      <c r="A444" s="7"/>
      <c r="B444" s="20" t="s">
        <v>1399</v>
      </c>
      <c r="C444" s="15"/>
      <c r="D444" s="105" t="s">
        <v>1386</v>
      </c>
      <c r="E444" s="105" t="s">
        <v>1387</v>
      </c>
      <c r="F444" s="105" t="s">
        <v>1388</v>
      </c>
      <c r="G444" s="105" t="s">
        <v>1389</v>
      </c>
      <c r="H444" s="301" t="s">
        <v>1406</v>
      </c>
      <c r="I444" s="301" t="s">
        <v>1390</v>
      </c>
      <c r="J444" s="301" t="s">
        <v>1391</v>
      </c>
      <c r="K444" s="301" t="s">
        <v>1392</v>
      </c>
      <c r="L444" s="301" t="s">
        <v>1188</v>
      </c>
      <c r="M444" s="301" t="s">
        <v>1437</v>
      </c>
      <c r="N444" s="105" t="s">
        <v>1348</v>
      </c>
      <c r="O444" s="105" t="s">
        <v>1393</v>
      </c>
      <c r="P444" s="105" t="s">
        <v>1342</v>
      </c>
      <c r="Q444" s="105" t="s">
        <v>1394</v>
      </c>
      <c r="R444" s="112" t="s">
        <v>1341</v>
      </c>
      <c r="S444" s="112" t="s">
        <v>846</v>
      </c>
      <c r="T444" s="873" t="s">
        <v>935</v>
      </c>
      <c r="U444" s="873" t="s">
        <v>936</v>
      </c>
      <c r="V444" s="873" t="s">
        <v>937</v>
      </c>
      <c r="W444" s="873" t="s">
        <v>938</v>
      </c>
      <c r="X444" s="873" t="s">
        <v>939</v>
      </c>
      <c r="Y444" s="873" t="s">
        <v>940</v>
      </c>
      <c r="Z444" s="873" t="s">
        <v>941</v>
      </c>
      <c r="AA444" s="873" t="s">
        <v>942</v>
      </c>
      <c r="AB444" s="873" t="s">
        <v>943</v>
      </c>
      <c r="AC444" s="873" t="s">
        <v>944</v>
      </c>
      <c r="AD444" s="873" t="s">
        <v>945</v>
      </c>
      <c r="AE444" s="873" t="s">
        <v>946</v>
      </c>
      <c r="AF444" s="873" t="s">
        <v>947</v>
      </c>
      <c r="AG444" s="873" t="s">
        <v>948</v>
      </c>
      <c r="AH444" s="6"/>
    </row>
    <row r="445" spans="1:34" ht="16" customHeight="1" thickTop="1">
      <c r="A445" s="7"/>
      <c r="B445" s="19" t="s">
        <v>1345</v>
      </c>
      <c r="C445" s="12"/>
      <c r="D445" s="197"/>
      <c r="E445" s="197"/>
      <c r="F445" s="196"/>
      <c r="G445" s="197"/>
      <c r="H445" s="196"/>
      <c r="I445" s="196"/>
      <c r="J445" s="197"/>
      <c r="K445" s="197"/>
      <c r="L445" s="287" t="s">
        <v>1429</v>
      </c>
      <c r="M445" s="196"/>
      <c r="N445" s="39" t="str">
        <f>J$6</f>
        <v>FY2010-11</v>
      </c>
      <c r="O445" s="39" t="s">
        <v>1354</v>
      </c>
      <c r="P445" s="39" t="s">
        <v>1338</v>
      </c>
      <c r="Q445" s="39" t="s">
        <v>1380</v>
      </c>
      <c r="R445" s="197"/>
      <c r="S445" s="197"/>
      <c r="T445" s="197"/>
      <c r="U445" s="197"/>
      <c r="V445" s="198"/>
      <c r="W445" s="198"/>
      <c r="X445" s="198"/>
      <c r="Y445" s="198"/>
      <c r="Z445" s="198"/>
      <c r="AA445" s="198"/>
      <c r="AB445" s="198"/>
      <c r="AC445" s="198"/>
      <c r="AD445" s="198"/>
      <c r="AE445" s="198"/>
      <c r="AF445" s="198"/>
      <c r="AG445" s="198"/>
      <c r="AH445" s="6"/>
    </row>
    <row r="446" spans="1:34" ht="16" customHeight="1">
      <c r="A446" s="7"/>
      <c r="B446" s="16">
        <f>DSUM('$REV-DB'!D35:AG374,"AMOUNT",'$REV-DSUM'!D444:AG451)</f>
        <v>0</v>
      </c>
      <c r="C446" s="12"/>
      <c r="D446" s="197"/>
      <c r="E446" s="197"/>
      <c r="F446" s="196"/>
      <c r="G446" s="197"/>
      <c r="H446" s="196"/>
      <c r="I446" s="196"/>
      <c r="J446" s="197"/>
      <c r="K446" s="197"/>
      <c r="L446" s="287" t="s">
        <v>1429</v>
      </c>
      <c r="M446" s="196"/>
      <c r="N446" s="39" t="str">
        <f t="shared" ref="N446:N451" si="43">J$6</f>
        <v>FY2010-11</v>
      </c>
      <c r="O446" s="39" t="s">
        <v>1354</v>
      </c>
      <c r="P446" s="39" t="s">
        <v>1338</v>
      </c>
      <c r="Q446" s="39" t="s">
        <v>1380</v>
      </c>
      <c r="R446" s="197"/>
      <c r="S446" s="197"/>
      <c r="T446" s="197"/>
      <c r="U446" s="197"/>
      <c r="V446" s="198"/>
      <c r="W446" s="198"/>
      <c r="X446" s="198"/>
      <c r="Y446" s="198"/>
      <c r="Z446" s="198"/>
      <c r="AA446" s="198"/>
      <c r="AB446" s="198"/>
      <c r="AC446" s="198"/>
      <c r="AD446" s="198"/>
      <c r="AE446" s="198"/>
      <c r="AF446" s="198"/>
      <c r="AG446" s="198"/>
      <c r="AH446" s="6"/>
    </row>
    <row r="447" spans="1:34" ht="16" customHeight="1">
      <c r="A447" s="7"/>
      <c r="B447" s="10"/>
      <c r="C447" s="12"/>
      <c r="D447" s="197"/>
      <c r="E447" s="197"/>
      <c r="F447" s="196"/>
      <c r="G447" s="197"/>
      <c r="H447" s="196"/>
      <c r="I447" s="196"/>
      <c r="J447" s="197"/>
      <c r="K447" s="197"/>
      <c r="L447" s="287" t="s">
        <v>1429</v>
      </c>
      <c r="M447" s="196"/>
      <c r="N447" s="39" t="str">
        <f t="shared" si="43"/>
        <v>FY2010-11</v>
      </c>
      <c r="O447" s="39" t="s">
        <v>1354</v>
      </c>
      <c r="P447" s="39" t="s">
        <v>1338</v>
      </c>
      <c r="Q447" s="39" t="s">
        <v>1380</v>
      </c>
      <c r="R447" s="197"/>
      <c r="S447" s="197"/>
      <c r="T447" s="197"/>
      <c r="U447" s="197"/>
      <c r="V447" s="198"/>
      <c r="W447" s="198"/>
      <c r="X447" s="198"/>
      <c r="Y447" s="198"/>
      <c r="Z447" s="198"/>
      <c r="AA447" s="198"/>
      <c r="AB447" s="198"/>
      <c r="AC447" s="198"/>
      <c r="AD447" s="198"/>
      <c r="AE447" s="198"/>
      <c r="AF447" s="198"/>
      <c r="AG447" s="198"/>
    </row>
    <row r="448" spans="1:34" ht="16" customHeight="1">
      <c r="A448" s="7"/>
      <c r="B448" s="10"/>
      <c r="C448" s="12"/>
      <c r="D448" s="197"/>
      <c r="E448" s="197"/>
      <c r="F448" s="196"/>
      <c r="G448" s="197"/>
      <c r="H448" s="196"/>
      <c r="I448" s="196"/>
      <c r="J448" s="197"/>
      <c r="K448" s="197"/>
      <c r="L448" s="287" t="s">
        <v>1429</v>
      </c>
      <c r="M448" s="196"/>
      <c r="N448" s="39" t="str">
        <f t="shared" si="43"/>
        <v>FY2010-11</v>
      </c>
      <c r="O448" s="39" t="s">
        <v>1354</v>
      </c>
      <c r="P448" s="39" t="s">
        <v>1338</v>
      </c>
      <c r="Q448" s="39" t="s">
        <v>1380</v>
      </c>
      <c r="R448" s="197"/>
      <c r="S448" s="197"/>
      <c r="T448" s="197"/>
      <c r="U448" s="197"/>
      <c r="V448" s="198"/>
      <c r="W448" s="198"/>
      <c r="X448" s="198"/>
      <c r="Y448" s="198"/>
      <c r="Z448" s="198"/>
      <c r="AA448" s="198"/>
      <c r="AB448" s="198"/>
      <c r="AC448" s="198"/>
      <c r="AD448" s="198"/>
      <c r="AE448" s="198"/>
      <c r="AF448" s="198"/>
      <c r="AG448" s="198"/>
    </row>
    <row r="449" spans="1:34" ht="16" customHeight="1">
      <c r="A449" s="7"/>
      <c r="B449" s="10"/>
      <c r="C449" s="12"/>
      <c r="D449" s="197"/>
      <c r="E449" s="197"/>
      <c r="F449" s="196"/>
      <c r="G449" s="197"/>
      <c r="H449" s="196"/>
      <c r="I449" s="196"/>
      <c r="J449" s="197"/>
      <c r="K449" s="197"/>
      <c r="L449" s="287" t="s">
        <v>1429</v>
      </c>
      <c r="M449" s="196"/>
      <c r="N449" s="39" t="str">
        <f t="shared" si="43"/>
        <v>FY2010-11</v>
      </c>
      <c r="O449" s="39" t="s">
        <v>1354</v>
      </c>
      <c r="P449" s="39" t="s">
        <v>1338</v>
      </c>
      <c r="Q449" s="39" t="s">
        <v>1380</v>
      </c>
      <c r="R449" s="197"/>
      <c r="S449" s="197"/>
      <c r="T449" s="197"/>
      <c r="U449" s="197"/>
      <c r="V449" s="198"/>
      <c r="W449" s="198"/>
      <c r="X449" s="198"/>
      <c r="Y449" s="198"/>
      <c r="Z449" s="198"/>
      <c r="AA449" s="198"/>
      <c r="AB449" s="198"/>
      <c r="AC449" s="198"/>
      <c r="AD449" s="198"/>
      <c r="AE449" s="198"/>
      <c r="AF449" s="198"/>
      <c r="AG449" s="198"/>
    </row>
    <row r="450" spans="1:34" ht="16" customHeight="1">
      <c r="A450" s="7"/>
      <c r="B450" s="10"/>
      <c r="C450" s="12"/>
      <c r="D450" s="197"/>
      <c r="E450" s="197"/>
      <c r="F450" s="196"/>
      <c r="G450" s="197"/>
      <c r="H450" s="196"/>
      <c r="I450" s="196"/>
      <c r="J450" s="197"/>
      <c r="K450" s="197"/>
      <c r="L450" s="287" t="s">
        <v>1429</v>
      </c>
      <c r="M450" s="196"/>
      <c r="N450" s="39" t="str">
        <f t="shared" si="43"/>
        <v>FY2010-11</v>
      </c>
      <c r="O450" s="39" t="s">
        <v>1354</v>
      </c>
      <c r="P450" s="39" t="s">
        <v>1338</v>
      </c>
      <c r="Q450" s="39" t="s">
        <v>1380</v>
      </c>
      <c r="R450" s="197"/>
      <c r="S450" s="197"/>
      <c r="T450" s="197"/>
      <c r="U450" s="197"/>
      <c r="V450" s="198"/>
      <c r="W450" s="198"/>
      <c r="X450" s="198"/>
      <c r="Y450" s="198"/>
      <c r="Z450" s="198"/>
      <c r="AA450" s="198"/>
      <c r="AB450" s="198"/>
      <c r="AC450" s="198"/>
      <c r="AD450" s="198"/>
      <c r="AE450" s="198"/>
      <c r="AF450" s="198"/>
      <c r="AG450" s="198"/>
    </row>
    <row r="451" spans="1:34" ht="16" customHeight="1">
      <c r="A451" s="7"/>
      <c r="B451" s="10"/>
      <c r="C451" s="12"/>
      <c r="D451" s="197"/>
      <c r="E451" s="197"/>
      <c r="F451" s="196"/>
      <c r="G451" s="197"/>
      <c r="H451" s="196"/>
      <c r="I451" s="196"/>
      <c r="J451" s="197"/>
      <c r="K451" s="197"/>
      <c r="L451" s="287" t="s">
        <v>1429</v>
      </c>
      <c r="M451" s="196"/>
      <c r="N451" s="39" t="str">
        <f t="shared" si="43"/>
        <v>FY2010-11</v>
      </c>
      <c r="O451" s="39" t="s">
        <v>1354</v>
      </c>
      <c r="P451" s="39" t="s">
        <v>1338</v>
      </c>
      <c r="Q451" s="39" t="s">
        <v>1380</v>
      </c>
      <c r="R451" s="197"/>
      <c r="S451" s="197"/>
      <c r="T451" s="197"/>
      <c r="U451" s="197"/>
      <c r="V451" s="198"/>
      <c r="W451" s="198"/>
      <c r="X451" s="198"/>
      <c r="Y451" s="198"/>
      <c r="Z451" s="198"/>
      <c r="AA451" s="198"/>
      <c r="AB451" s="198"/>
      <c r="AC451" s="198"/>
      <c r="AD451" s="198"/>
      <c r="AE451" s="198"/>
      <c r="AF451" s="198"/>
      <c r="AG451" s="198"/>
    </row>
    <row r="452" spans="1:34" ht="16" customHeight="1">
      <c r="A452" s="21"/>
      <c r="B452" s="22"/>
      <c r="C452" s="22"/>
      <c r="D452" s="23"/>
      <c r="E452" s="23"/>
      <c r="F452" s="24"/>
      <c r="G452" s="23"/>
      <c r="H452" s="24"/>
      <c r="I452" s="24"/>
      <c r="J452" s="23"/>
      <c r="K452" s="23"/>
      <c r="L452" s="286"/>
      <c r="M452" s="24"/>
      <c r="N452" s="24"/>
      <c r="O452" s="23"/>
      <c r="P452" s="24"/>
      <c r="Q452" s="24"/>
      <c r="R452" s="23"/>
      <c r="S452" s="23"/>
      <c r="T452" s="23"/>
      <c r="U452" s="23"/>
      <c r="V452" s="21"/>
      <c r="W452" s="21"/>
      <c r="X452" s="21"/>
      <c r="Y452" s="21"/>
      <c r="Z452" s="21"/>
      <c r="AA452" s="21"/>
      <c r="AB452" s="21"/>
      <c r="AC452" s="21"/>
      <c r="AD452" s="21"/>
      <c r="AE452" s="21"/>
      <c r="AF452" s="21"/>
      <c r="AG452" s="21"/>
    </row>
    <row r="453" spans="1:34" ht="16" customHeight="1" thickBot="1">
      <c r="A453" s="7"/>
      <c r="B453" s="19" t="str">
        <f>"FA3 = "&amp;'FIG3'!$W$54&amp;" "&amp;'FIG3'!$X$54</f>
        <v>FA3 = FA3L1 FA3L2</v>
      </c>
      <c r="C453" s="7"/>
      <c r="D453" s="8"/>
      <c r="E453" s="8"/>
      <c r="F453" s="9"/>
      <c r="G453" s="8"/>
      <c r="H453" s="9"/>
      <c r="I453" s="9"/>
      <c r="J453" s="8"/>
      <c r="K453" s="8"/>
      <c r="L453" s="280"/>
      <c r="M453" s="9"/>
      <c r="N453" s="9"/>
      <c r="O453" s="8"/>
      <c r="P453" s="9"/>
      <c r="Q453" s="9"/>
      <c r="R453" s="8"/>
      <c r="S453" s="882"/>
      <c r="T453" s="883" t="str">
        <f>'$REV-DB'!$T$34</f>
        <v>Federal Revenues</v>
      </c>
      <c r="U453" s="883" t="str">
        <f>'$REV-DB'!$U$34</f>
        <v>local Revenues</v>
      </c>
      <c r="V453" s="883" t="str">
        <f>'$REV-DB'!$V$34</f>
        <v>Other Revenues</v>
      </c>
      <c r="W453" s="883" t="str">
        <f>'$REV-DB'!$W$34</f>
        <v>State revenues</v>
      </c>
      <c r="X453" s="883" t="str">
        <f>'$REV-DB'!$X$34</f>
        <v>UD5</v>
      </c>
      <c r="Y453" s="883" t="str">
        <f>'$REV-DB'!$Y$34</f>
        <v>UD6</v>
      </c>
      <c r="Z453" s="883" t="str">
        <f>'$REV-DB'!$Z$34</f>
        <v>UD7</v>
      </c>
      <c r="AA453" s="883" t="str">
        <f>'$REV-DB'!$AA$34</f>
        <v>UD8</v>
      </c>
      <c r="AB453" s="883" t="str">
        <f>'$REV-DB'!$AB$34</f>
        <v>UD9</v>
      </c>
      <c r="AC453" s="883" t="str">
        <f>'$REV-DB'!$AC$34</f>
        <v>UD10</v>
      </c>
      <c r="AD453" s="883" t="str">
        <f>'$REV-DB'!$AD$34</f>
        <v>UD11</v>
      </c>
      <c r="AE453" s="883" t="str">
        <f>'$REV-DB'!$AE$34</f>
        <v>UD12</v>
      </c>
      <c r="AF453" s="883" t="str">
        <f>'$REV-DB'!$AF$34</f>
        <v>UD13</v>
      </c>
      <c r="AG453" s="883" t="str">
        <f>'$REV-DB'!$AG$34</f>
        <v>UD14</v>
      </c>
    </row>
    <row r="454" spans="1:34" ht="16" customHeight="1" thickTop="1" thickBot="1">
      <c r="A454" s="7"/>
      <c r="B454" s="20" t="s">
        <v>1399</v>
      </c>
      <c r="C454" s="15"/>
      <c r="D454" s="105" t="s">
        <v>1386</v>
      </c>
      <c r="E454" s="105" t="s">
        <v>1387</v>
      </c>
      <c r="F454" s="105" t="s">
        <v>1388</v>
      </c>
      <c r="G454" s="105" t="s">
        <v>1389</v>
      </c>
      <c r="H454" s="301" t="s">
        <v>1406</v>
      </c>
      <c r="I454" s="301" t="s">
        <v>1390</v>
      </c>
      <c r="J454" s="301" t="s">
        <v>1391</v>
      </c>
      <c r="K454" s="301" t="s">
        <v>1392</v>
      </c>
      <c r="L454" s="301" t="s">
        <v>1188</v>
      </c>
      <c r="M454" s="301" t="s">
        <v>1437</v>
      </c>
      <c r="N454" s="105" t="s">
        <v>1348</v>
      </c>
      <c r="O454" s="105" t="s">
        <v>1393</v>
      </c>
      <c r="P454" s="105" t="s">
        <v>1342</v>
      </c>
      <c r="Q454" s="105" t="s">
        <v>1394</v>
      </c>
      <c r="R454" s="112" t="s">
        <v>1341</v>
      </c>
      <c r="S454" s="112" t="s">
        <v>846</v>
      </c>
      <c r="T454" s="873" t="s">
        <v>935</v>
      </c>
      <c r="U454" s="873" t="s">
        <v>936</v>
      </c>
      <c r="V454" s="873" t="s">
        <v>937</v>
      </c>
      <c r="W454" s="873" t="s">
        <v>938</v>
      </c>
      <c r="X454" s="873" t="s">
        <v>939</v>
      </c>
      <c r="Y454" s="873" t="s">
        <v>940</v>
      </c>
      <c r="Z454" s="873" t="s">
        <v>941</v>
      </c>
      <c r="AA454" s="873" t="s">
        <v>942</v>
      </c>
      <c r="AB454" s="873" t="s">
        <v>943</v>
      </c>
      <c r="AC454" s="873" t="s">
        <v>944</v>
      </c>
      <c r="AD454" s="873" t="s">
        <v>945</v>
      </c>
      <c r="AE454" s="873" t="s">
        <v>946</v>
      </c>
      <c r="AF454" s="873" t="s">
        <v>947</v>
      </c>
      <c r="AG454" s="873" t="s">
        <v>948</v>
      </c>
      <c r="AH454" s="6"/>
    </row>
    <row r="455" spans="1:34" ht="16" customHeight="1" thickTop="1">
      <c r="A455" s="7"/>
      <c r="B455" s="19" t="s">
        <v>1344</v>
      </c>
      <c r="C455" s="12"/>
      <c r="D455" s="197"/>
      <c r="E455" s="197"/>
      <c r="F455" s="196"/>
      <c r="G455" s="197"/>
      <c r="H455" s="196"/>
      <c r="I455" s="196"/>
      <c r="J455" s="197"/>
      <c r="K455" s="197"/>
      <c r="L455" s="287" t="s">
        <v>1429</v>
      </c>
      <c r="M455" s="196"/>
      <c r="N455" s="39" t="str">
        <f>J$6</f>
        <v>FY2010-11</v>
      </c>
      <c r="O455" s="39" t="s">
        <v>1354</v>
      </c>
      <c r="P455" s="39" t="s">
        <v>1338</v>
      </c>
      <c r="Q455" s="39" t="s">
        <v>1339</v>
      </c>
      <c r="R455" s="197"/>
      <c r="S455" s="197"/>
      <c r="T455" s="197"/>
      <c r="U455" s="197"/>
      <c r="V455" s="198"/>
      <c r="W455" s="198"/>
      <c r="X455" s="198"/>
      <c r="Y455" s="198"/>
      <c r="Z455" s="198"/>
      <c r="AA455" s="198"/>
      <c r="AB455" s="198"/>
      <c r="AC455" s="198"/>
      <c r="AD455" s="198"/>
      <c r="AE455" s="198"/>
      <c r="AF455" s="198"/>
      <c r="AG455" s="198"/>
      <c r="AH455" s="6"/>
    </row>
    <row r="456" spans="1:34" ht="16" customHeight="1">
      <c r="A456" s="7"/>
      <c r="B456" s="16">
        <f>DSUM('$REV-DB'!D35:AG374,"AMOUNT",'$REV-DSUM'!D454:AG461)</f>
        <v>0</v>
      </c>
      <c r="C456" s="12"/>
      <c r="D456" s="197"/>
      <c r="E456" s="197"/>
      <c r="F456" s="196"/>
      <c r="G456" s="197"/>
      <c r="H456" s="196"/>
      <c r="I456" s="196"/>
      <c r="J456" s="197"/>
      <c r="K456" s="197"/>
      <c r="L456" s="287" t="s">
        <v>1429</v>
      </c>
      <c r="M456" s="196"/>
      <c r="N456" s="39" t="str">
        <f t="shared" ref="N456:N461" si="44">J$6</f>
        <v>FY2010-11</v>
      </c>
      <c r="O456" s="39" t="s">
        <v>1354</v>
      </c>
      <c r="P456" s="39" t="s">
        <v>1338</v>
      </c>
      <c r="Q456" s="39" t="s">
        <v>1339</v>
      </c>
      <c r="R456" s="197"/>
      <c r="S456" s="197"/>
      <c r="T456" s="197"/>
      <c r="U456" s="197"/>
      <c r="V456" s="198"/>
      <c r="W456" s="198"/>
      <c r="X456" s="198"/>
      <c r="Y456" s="198"/>
      <c r="Z456" s="198"/>
      <c r="AA456" s="198"/>
      <c r="AB456" s="198"/>
      <c r="AC456" s="198"/>
      <c r="AD456" s="198"/>
      <c r="AE456" s="198"/>
      <c r="AF456" s="198"/>
      <c r="AG456" s="198"/>
      <c r="AH456" s="6"/>
    </row>
    <row r="457" spans="1:34" ht="16" customHeight="1">
      <c r="A457" s="7"/>
      <c r="B457" s="10"/>
      <c r="C457" s="12"/>
      <c r="D457" s="197"/>
      <c r="E457" s="197"/>
      <c r="F457" s="196"/>
      <c r="G457" s="197"/>
      <c r="H457" s="196"/>
      <c r="I457" s="196"/>
      <c r="J457" s="197"/>
      <c r="K457" s="197"/>
      <c r="L457" s="287" t="s">
        <v>1429</v>
      </c>
      <c r="M457" s="196"/>
      <c r="N457" s="39" t="str">
        <f t="shared" si="44"/>
        <v>FY2010-11</v>
      </c>
      <c r="O457" s="39" t="s">
        <v>1354</v>
      </c>
      <c r="P457" s="39" t="s">
        <v>1338</v>
      </c>
      <c r="Q457" s="39" t="s">
        <v>1339</v>
      </c>
      <c r="R457" s="197"/>
      <c r="S457" s="197"/>
      <c r="T457" s="197"/>
      <c r="U457" s="197"/>
      <c r="V457" s="198"/>
      <c r="W457" s="198"/>
      <c r="X457" s="198"/>
      <c r="Y457" s="198"/>
      <c r="Z457" s="198"/>
      <c r="AA457" s="198"/>
      <c r="AB457" s="198"/>
      <c r="AC457" s="198"/>
      <c r="AD457" s="198"/>
      <c r="AE457" s="198"/>
      <c r="AF457" s="198"/>
      <c r="AG457" s="198"/>
    </row>
    <row r="458" spans="1:34" ht="16" customHeight="1">
      <c r="A458" s="7"/>
      <c r="B458" s="10"/>
      <c r="C458" s="12"/>
      <c r="D458" s="197"/>
      <c r="E458" s="197"/>
      <c r="F458" s="196"/>
      <c r="G458" s="197"/>
      <c r="H458" s="196"/>
      <c r="I458" s="196"/>
      <c r="J458" s="197"/>
      <c r="K458" s="197"/>
      <c r="L458" s="287" t="s">
        <v>1429</v>
      </c>
      <c r="M458" s="196"/>
      <c r="N458" s="39" t="str">
        <f t="shared" si="44"/>
        <v>FY2010-11</v>
      </c>
      <c r="O458" s="39" t="s">
        <v>1354</v>
      </c>
      <c r="P458" s="39" t="s">
        <v>1338</v>
      </c>
      <c r="Q458" s="39" t="s">
        <v>1339</v>
      </c>
      <c r="R458" s="197"/>
      <c r="S458" s="197"/>
      <c r="T458" s="197"/>
      <c r="U458" s="197"/>
      <c r="V458" s="198"/>
      <c r="W458" s="198"/>
      <c r="X458" s="198"/>
      <c r="Y458" s="198"/>
      <c r="Z458" s="198"/>
      <c r="AA458" s="198"/>
      <c r="AB458" s="198"/>
      <c r="AC458" s="198"/>
      <c r="AD458" s="198"/>
      <c r="AE458" s="198"/>
      <c r="AF458" s="198"/>
      <c r="AG458" s="198"/>
    </row>
    <row r="459" spans="1:34" ht="16" customHeight="1">
      <c r="A459" s="7"/>
      <c r="B459" s="10"/>
      <c r="C459" s="12"/>
      <c r="D459" s="197"/>
      <c r="E459" s="197"/>
      <c r="F459" s="196"/>
      <c r="G459" s="197"/>
      <c r="H459" s="196"/>
      <c r="I459" s="196"/>
      <c r="J459" s="197"/>
      <c r="K459" s="197"/>
      <c r="L459" s="287" t="s">
        <v>1429</v>
      </c>
      <c r="M459" s="196"/>
      <c r="N459" s="39" t="str">
        <f t="shared" si="44"/>
        <v>FY2010-11</v>
      </c>
      <c r="O459" s="39" t="s">
        <v>1354</v>
      </c>
      <c r="P459" s="39" t="s">
        <v>1338</v>
      </c>
      <c r="Q459" s="39" t="s">
        <v>1339</v>
      </c>
      <c r="R459" s="197"/>
      <c r="S459" s="197"/>
      <c r="T459" s="197"/>
      <c r="U459" s="197"/>
      <c r="V459" s="198"/>
      <c r="W459" s="198"/>
      <c r="X459" s="198"/>
      <c r="Y459" s="198"/>
      <c r="Z459" s="198"/>
      <c r="AA459" s="198"/>
      <c r="AB459" s="198"/>
      <c r="AC459" s="198"/>
      <c r="AD459" s="198"/>
      <c r="AE459" s="198"/>
      <c r="AF459" s="198"/>
      <c r="AG459" s="198"/>
    </row>
    <row r="460" spans="1:34" ht="16" customHeight="1">
      <c r="A460" s="7"/>
      <c r="B460" s="10"/>
      <c r="C460" s="12"/>
      <c r="D460" s="197"/>
      <c r="E460" s="197"/>
      <c r="F460" s="196"/>
      <c r="G460" s="197"/>
      <c r="H460" s="196"/>
      <c r="I460" s="196"/>
      <c r="J460" s="197"/>
      <c r="K460" s="197"/>
      <c r="L460" s="287" t="s">
        <v>1429</v>
      </c>
      <c r="M460" s="196"/>
      <c r="N460" s="39" t="str">
        <f t="shared" si="44"/>
        <v>FY2010-11</v>
      </c>
      <c r="O460" s="39" t="s">
        <v>1354</v>
      </c>
      <c r="P460" s="39" t="s">
        <v>1338</v>
      </c>
      <c r="Q460" s="39" t="s">
        <v>1339</v>
      </c>
      <c r="R460" s="197"/>
      <c r="S460" s="197"/>
      <c r="T460" s="197"/>
      <c r="U460" s="197"/>
      <c r="V460" s="198"/>
      <c r="W460" s="198"/>
      <c r="X460" s="198"/>
      <c r="Y460" s="198"/>
      <c r="Z460" s="198"/>
      <c r="AA460" s="198"/>
      <c r="AB460" s="198"/>
      <c r="AC460" s="198"/>
      <c r="AD460" s="198"/>
      <c r="AE460" s="198"/>
      <c r="AF460" s="198"/>
      <c r="AG460" s="198"/>
    </row>
    <row r="461" spans="1:34" ht="16" customHeight="1">
      <c r="A461" s="7"/>
      <c r="B461" s="10"/>
      <c r="C461" s="12"/>
      <c r="D461" s="197"/>
      <c r="E461" s="197"/>
      <c r="F461" s="196"/>
      <c r="G461" s="197"/>
      <c r="H461" s="196"/>
      <c r="I461" s="196"/>
      <c r="J461" s="197"/>
      <c r="K461" s="197"/>
      <c r="L461" s="287" t="s">
        <v>1429</v>
      </c>
      <c r="M461" s="196"/>
      <c r="N461" s="39" t="str">
        <f t="shared" si="44"/>
        <v>FY2010-11</v>
      </c>
      <c r="O461" s="39" t="s">
        <v>1354</v>
      </c>
      <c r="P461" s="39" t="s">
        <v>1338</v>
      </c>
      <c r="Q461" s="39" t="s">
        <v>1339</v>
      </c>
      <c r="R461" s="197"/>
      <c r="S461" s="197"/>
      <c r="T461" s="197"/>
      <c r="U461" s="197"/>
      <c r="V461" s="198"/>
      <c r="W461" s="198"/>
      <c r="X461" s="198"/>
      <c r="Y461" s="198"/>
      <c r="Z461" s="198"/>
      <c r="AA461" s="198"/>
      <c r="AB461" s="198"/>
      <c r="AC461" s="198"/>
      <c r="AD461" s="198"/>
      <c r="AE461" s="198"/>
      <c r="AF461" s="198"/>
      <c r="AG461" s="198"/>
    </row>
    <row r="462" spans="1:34" ht="16" customHeight="1">
      <c r="A462" s="21"/>
      <c r="B462" s="22"/>
      <c r="C462" s="22"/>
      <c r="D462" s="23"/>
      <c r="E462" s="23"/>
      <c r="F462" s="24"/>
      <c r="G462" s="23"/>
      <c r="H462" s="24"/>
      <c r="I462" s="24"/>
      <c r="J462" s="23"/>
      <c r="K462" s="23"/>
      <c r="L462" s="286"/>
      <c r="M462" s="24"/>
      <c r="N462" s="24"/>
      <c r="O462" s="23"/>
      <c r="P462" s="24"/>
      <c r="Q462" s="24"/>
      <c r="R462" s="23"/>
      <c r="S462" s="23"/>
      <c r="T462" s="23"/>
      <c r="U462" s="23"/>
      <c r="V462" s="21"/>
      <c r="W462" s="21"/>
      <c r="X462" s="21"/>
      <c r="Y462" s="21"/>
      <c r="Z462" s="21"/>
      <c r="AA462" s="21"/>
      <c r="AB462" s="21"/>
      <c r="AC462" s="21"/>
      <c r="AD462" s="21"/>
      <c r="AE462" s="21"/>
      <c r="AF462" s="21"/>
      <c r="AG462" s="21"/>
    </row>
    <row r="463" spans="1:34" ht="16" customHeight="1" thickBot="1">
      <c r="A463" s="7"/>
      <c r="B463" s="19" t="str">
        <f>"FA3 = "&amp;'FIG3'!$W$54&amp;" "&amp;'FIG3'!$X$54</f>
        <v>FA3 = FA3L1 FA3L2</v>
      </c>
      <c r="C463" s="7"/>
      <c r="D463" s="8"/>
      <c r="E463" s="8"/>
      <c r="F463" s="9"/>
      <c r="G463" s="8"/>
      <c r="H463" s="9"/>
      <c r="I463" s="9"/>
      <c r="J463" s="8"/>
      <c r="K463" s="8"/>
      <c r="L463" s="280"/>
      <c r="M463" s="9"/>
      <c r="N463" s="9"/>
      <c r="O463" s="8"/>
      <c r="P463" s="9"/>
      <c r="Q463" s="9"/>
      <c r="R463" s="8"/>
      <c r="S463" s="882"/>
      <c r="T463" s="883" t="str">
        <f>'$REV-DB'!$T$34</f>
        <v>Federal Revenues</v>
      </c>
      <c r="U463" s="883" t="str">
        <f>'$REV-DB'!$U$34</f>
        <v>local Revenues</v>
      </c>
      <c r="V463" s="883" t="str">
        <f>'$REV-DB'!$V$34</f>
        <v>Other Revenues</v>
      </c>
      <c r="W463" s="883" t="str">
        <f>'$REV-DB'!$W$34</f>
        <v>State revenues</v>
      </c>
      <c r="X463" s="883" t="str">
        <f>'$REV-DB'!$X$34</f>
        <v>UD5</v>
      </c>
      <c r="Y463" s="883" t="str">
        <f>'$REV-DB'!$Y$34</f>
        <v>UD6</v>
      </c>
      <c r="Z463" s="883" t="str">
        <f>'$REV-DB'!$Z$34</f>
        <v>UD7</v>
      </c>
      <c r="AA463" s="883" t="str">
        <f>'$REV-DB'!$AA$34</f>
        <v>UD8</v>
      </c>
      <c r="AB463" s="883" t="str">
        <f>'$REV-DB'!$AB$34</f>
        <v>UD9</v>
      </c>
      <c r="AC463" s="883" t="str">
        <f>'$REV-DB'!$AC$34</f>
        <v>UD10</v>
      </c>
      <c r="AD463" s="883" t="str">
        <f>'$REV-DB'!$AD$34</f>
        <v>UD11</v>
      </c>
      <c r="AE463" s="883" t="str">
        <f>'$REV-DB'!$AE$34</f>
        <v>UD12</v>
      </c>
      <c r="AF463" s="883" t="str">
        <f>'$REV-DB'!$AF$34</f>
        <v>UD13</v>
      </c>
      <c r="AG463" s="883" t="str">
        <f>'$REV-DB'!$AG$34</f>
        <v>UD14</v>
      </c>
    </row>
    <row r="464" spans="1:34" ht="16" customHeight="1" thickTop="1" thickBot="1">
      <c r="A464" s="7"/>
      <c r="B464" s="20" t="s">
        <v>1399</v>
      </c>
      <c r="C464" s="15"/>
      <c r="D464" s="105" t="s">
        <v>1386</v>
      </c>
      <c r="E464" s="105" t="s">
        <v>1387</v>
      </c>
      <c r="F464" s="105" t="s">
        <v>1388</v>
      </c>
      <c r="G464" s="105" t="s">
        <v>1389</v>
      </c>
      <c r="H464" s="301" t="s">
        <v>1406</v>
      </c>
      <c r="I464" s="301" t="s">
        <v>1390</v>
      </c>
      <c r="J464" s="301" t="s">
        <v>1391</v>
      </c>
      <c r="K464" s="301" t="s">
        <v>1392</v>
      </c>
      <c r="L464" s="301" t="s">
        <v>1188</v>
      </c>
      <c r="M464" s="301" t="s">
        <v>1437</v>
      </c>
      <c r="N464" s="105" t="s">
        <v>1348</v>
      </c>
      <c r="O464" s="105" t="s">
        <v>1393</v>
      </c>
      <c r="P464" s="105" t="s">
        <v>1342</v>
      </c>
      <c r="Q464" s="105" t="s">
        <v>1394</v>
      </c>
      <c r="R464" s="112" t="s">
        <v>1341</v>
      </c>
      <c r="S464" s="112" t="s">
        <v>846</v>
      </c>
      <c r="T464" s="873" t="s">
        <v>935</v>
      </c>
      <c r="U464" s="873" t="s">
        <v>936</v>
      </c>
      <c r="V464" s="873" t="s">
        <v>937</v>
      </c>
      <c r="W464" s="873" t="s">
        <v>938</v>
      </c>
      <c r="X464" s="873" t="s">
        <v>939</v>
      </c>
      <c r="Y464" s="873" t="s">
        <v>940</v>
      </c>
      <c r="Z464" s="873" t="s">
        <v>941</v>
      </c>
      <c r="AA464" s="873" t="s">
        <v>942</v>
      </c>
      <c r="AB464" s="873" t="s">
        <v>943</v>
      </c>
      <c r="AC464" s="873" t="s">
        <v>944</v>
      </c>
      <c r="AD464" s="873" t="s">
        <v>945</v>
      </c>
      <c r="AE464" s="873" t="s">
        <v>946</v>
      </c>
      <c r="AF464" s="873" t="s">
        <v>947</v>
      </c>
      <c r="AG464" s="873" t="s">
        <v>948</v>
      </c>
      <c r="AH464" s="6"/>
    </row>
    <row r="465" spans="1:34" ht="16" customHeight="1" thickTop="1">
      <c r="A465" s="7"/>
      <c r="B465" s="19" t="s">
        <v>1343</v>
      </c>
      <c r="C465" s="12"/>
      <c r="D465" s="197"/>
      <c r="E465" s="197"/>
      <c r="F465" s="196"/>
      <c r="G465" s="197"/>
      <c r="H465" s="196"/>
      <c r="I465" s="196"/>
      <c r="J465" s="197"/>
      <c r="K465" s="197"/>
      <c r="L465" s="287" t="s">
        <v>1429</v>
      </c>
      <c r="M465" s="196"/>
      <c r="N465" s="39" t="str">
        <f>J$6</f>
        <v>FY2010-11</v>
      </c>
      <c r="O465" s="39" t="s">
        <v>1354</v>
      </c>
      <c r="P465" s="39" t="s">
        <v>1338</v>
      </c>
      <c r="Q465" s="39" t="s">
        <v>1379</v>
      </c>
      <c r="R465" s="197"/>
      <c r="S465" s="197"/>
      <c r="T465" s="197"/>
      <c r="U465" s="197"/>
      <c r="V465" s="198"/>
      <c r="W465" s="198"/>
      <c r="X465" s="198"/>
      <c r="Y465" s="198"/>
      <c r="Z465" s="198"/>
      <c r="AA465" s="198"/>
      <c r="AB465" s="198"/>
      <c r="AC465" s="198"/>
      <c r="AD465" s="198"/>
      <c r="AE465" s="198"/>
      <c r="AF465" s="198"/>
      <c r="AG465" s="198"/>
      <c r="AH465" s="6"/>
    </row>
    <row r="466" spans="1:34" ht="16" customHeight="1">
      <c r="A466" s="7"/>
      <c r="B466" s="16">
        <f>DSUM('$REV-DB'!D35:AG374,"AMOUNT",'$REV-DSUM'!D464:AG471)</f>
        <v>0</v>
      </c>
      <c r="C466" s="12"/>
      <c r="D466" s="197"/>
      <c r="E466" s="197"/>
      <c r="F466" s="196"/>
      <c r="G466" s="197"/>
      <c r="H466" s="196"/>
      <c r="I466" s="196"/>
      <c r="J466" s="197"/>
      <c r="K466" s="197"/>
      <c r="L466" s="287" t="s">
        <v>1429</v>
      </c>
      <c r="M466" s="196"/>
      <c r="N466" s="39" t="str">
        <f t="shared" ref="N466:N471" si="45">J$6</f>
        <v>FY2010-11</v>
      </c>
      <c r="O466" s="39" t="s">
        <v>1354</v>
      </c>
      <c r="P466" s="39" t="s">
        <v>1338</v>
      </c>
      <c r="Q466" s="39" t="s">
        <v>1379</v>
      </c>
      <c r="R466" s="197"/>
      <c r="S466" s="197"/>
      <c r="T466" s="197"/>
      <c r="U466" s="197"/>
      <c r="V466" s="198"/>
      <c r="W466" s="198"/>
      <c r="X466" s="198"/>
      <c r="Y466" s="198"/>
      <c r="Z466" s="198"/>
      <c r="AA466" s="198"/>
      <c r="AB466" s="198"/>
      <c r="AC466" s="198"/>
      <c r="AD466" s="198"/>
      <c r="AE466" s="198"/>
      <c r="AF466" s="198"/>
      <c r="AG466" s="198"/>
      <c r="AH466" s="6"/>
    </row>
    <row r="467" spans="1:34" ht="16" customHeight="1">
      <c r="A467" s="7"/>
      <c r="B467" s="10"/>
      <c r="C467" s="12"/>
      <c r="D467" s="197"/>
      <c r="E467" s="197"/>
      <c r="F467" s="196"/>
      <c r="G467" s="197"/>
      <c r="H467" s="196"/>
      <c r="I467" s="196"/>
      <c r="J467" s="197"/>
      <c r="K467" s="197"/>
      <c r="L467" s="287" t="s">
        <v>1429</v>
      </c>
      <c r="M467" s="196"/>
      <c r="N467" s="39" t="str">
        <f t="shared" si="45"/>
        <v>FY2010-11</v>
      </c>
      <c r="O467" s="39" t="s">
        <v>1354</v>
      </c>
      <c r="P467" s="39" t="s">
        <v>1338</v>
      </c>
      <c r="Q467" s="39" t="s">
        <v>1379</v>
      </c>
      <c r="R467" s="197"/>
      <c r="S467" s="197"/>
      <c r="T467" s="197"/>
      <c r="U467" s="197"/>
      <c r="V467" s="198"/>
      <c r="W467" s="198"/>
      <c r="X467" s="198"/>
      <c r="Y467" s="198"/>
      <c r="Z467" s="198"/>
      <c r="AA467" s="198"/>
      <c r="AB467" s="198"/>
      <c r="AC467" s="198"/>
      <c r="AD467" s="198"/>
      <c r="AE467" s="198"/>
      <c r="AF467" s="198"/>
      <c r="AG467" s="198"/>
    </row>
    <row r="468" spans="1:34" ht="16" customHeight="1">
      <c r="A468" s="7"/>
      <c r="B468" s="10"/>
      <c r="C468" s="12"/>
      <c r="D468" s="197"/>
      <c r="E468" s="197"/>
      <c r="F468" s="196"/>
      <c r="G468" s="197"/>
      <c r="H468" s="196"/>
      <c r="I468" s="196"/>
      <c r="J468" s="197"/>
      <c r="K468" s="197"/>
      <c r="L468" s="287" t="s">
        <v>1429</v>
      </c>
      <c r="M468" s="196"/>
      <c r="N468" s="39" t="str">
        <f t="shared" si="45"/>
        <v>FY2010-11</v>
      </c>
      <c r="O468" s="39" t="s">
        <v>1354</v>
      </c>
      <c r="P468" s="39" t="s">
        <v>1338</v>
      </c>
      <c r="Q468" s="39" t="s">
        <v>1379</v>
      </c>
      <c r="R468" s="197"/>
      <c r="S468" s="197"/>
      <c r="T468" s="197"/>
      <c r="U468" s="197"/>
      <c r="V468" s="198"/>
      <c r="W468" s="198"/>
      <c r="X468" s="198"/>
      <c r="Y468" s="198"/>
      <c r="Z468" s="198"/>
      <c r="AA468" s="198"/>
      <c r="AB468" s="198"/>
      <c r="AC468" s="198"/>
      <c r="AD468" s="198"/>
      <c r="AE468" s="198"/>
      <c r="AF468" s="198"/>
      <c r="AG468" s="198"/>
    </row>
    <row r="469" spans="1:34" ht="16" customHeight="1">
      <c r="A469" s="7"/>
      <c r="B469" s="10"/>
      <c r="C469" s="12"/>
      <c r="D469" s="197"/>
      <c r="E469" s="197"/>
      <c r="F469" s="196"/>
      <c r="G469" s="197"/>
      <c r="H469" s="196"/>
      <c r="I469" s="196"/>
      <c r="J469" s="197"/>
      <c r="K469" s="197"/>
      <c r="L469" s="287" t="s">
        <v>1429</v>
      </c>
      <c r="M469" s="196"/>
      <c r="N469" s="39" t="str">
        <f t="shared" si="45"/>
        <v>FY2010-11</v>
      </c>
      <c r="O469" s="39" t="s">
        <v>1354</v>
      </c>
      <c r="P469" s="39" t="s">
        <v>1338</v>
      </c>
      <c r="Q469" s="39" t="s">
        <v>1379</v>
      </c>
      <c r="R469" s="197"/>
      <c r="S469" s="197"/>
      <c r="T469" s="197"/>
      <c r="U469" s="197"/>
      <c r="V469" s="198"/>
      <c r="W469" s="198"/>
      <c r="X469" s="198"/>
      <c r="Y469" s="198"/>
      <c r="Z469" s="198"/>
      <c r="AA469" s="198"/>
      <c r="AB469" s="198"/>
      <c r="AC469" s="198"/>
      <c r="AD469" s="198"/>
      <c r="AE469" s="198"/>
      <c r="AF469" s="198"/>
      <c r="AG469" s="198"/>
    </row>
    <row r="470" spans="1:34" ht="16" customHeight="1">
      <c r="A470" s="7"/>
      <c r="B470" s="10"/>
      <c r="C470" s="12"/>
      <c r="D470" s="197"/>
      <c r="E470" s="197"/>
      <c r="F470" s="196"/>
      <c r="G470" s="197"/>
      <c r="H470" s="196"/>
      <c r="I470" s="196"/>
      <c r="J470" s="197"/>
      <c r="K470" s="197"/>
      <c r="L470" s="287" t="s">
        <v>1429</v>
      </c>
      <c r="M470" s="196"/>
      <c r="N470" s="39" t="str">
        <f t="shared" si="45"/>
        <v>FY2010-11</v>
      </c>
      <c r="O470" s="39" t="s">
        <v>1354</v>
      </c>
      <c r="P470" s="39" t="s">
        <v>1338</v>
      </c>
      <c r="Q470" s="39" t="s">
        <v>1379</v>
      </c>
      <c r="R470" s="197"/>
      <c r="S470" s="197"/>
      <c r="T470" s="197"/>
      <c r="U470" s="197"/>
      <c r="V470" s="198"/>
      <c r="W470" s="198"/>
      <c r="X470" s="198"/>
      <c r="Y470" s="198"/>
      <c r="Z470" s="198"/>
      <c r="AA470" s="198"/>
      <c r="AB470" s="198"/>
      <c r="AC470" s="198"/>
      <c r="AD470" s="198"/>
      <c r="AE470" s="198"/>
      <c r="AF470" s="198"/>
      <c r="AG470" s="198"/>
    </row>
    <row r="471" spans="1:34" ht="16" customHeight="1">
      <c r="A471" s="7"/>
      <c r="B471" s="10"/>
      <c r="C471" s="12"/>
      <c r="D471" s="197"/>
      <c r="E471" s="197"/>
      <c r="F471" s="196"/>
      <c r="G471" s="197"/>
      <c r="H471" s="196"/>
      <c r="I471" s="196"/>
      <c r="J471" s="197"/>
      <c r="K471" s="197"/>
      <c r="L471" s="287" t="s">
        <v>1429</v>
      </c>
      <c r="M471" s="196"/>
      <c r="N471" s="39" t="str">
        <f t="shared" si="45"/>
        <v>FY2010-11</v>
      </c>
      <c r="O471" s="39" t="s">
        <v>1354</v>
      </c>
      <c r="P471" s="39" t="s">
        <v>1338</v>
      </c>
      <c r="Q471" s="39" t="s">
        <v>1379</v>
      </c>
      <c r="R471" s="197"/>
      <c r="S471" s="197"/>
      <c r="T471" s="197"/>
      <c r="U471" s="197"/>
      <c r="V471" s="198"/>
      <c r="W471" s="198"/>
      <c r="X471" s="198"/>
      <c r="Y471" s="198"/>
      <c r="Z471" s="198"/>
      <c r="AA471" s="198"/>
      <c r="AB471" s="198"/>
      <c r="AC471" s="198"/>
      <c r="AD471" s="198"/>
      <c r="AE471" s="198"/>
      <c r="AF471" s="198"/>
      <c r="AG471" s="198"/>
    </row>
    <row r="472" spans="1:34" ht="16" customHeight="1">
      <c r="A472" s="21"/>
      <c r="B472" s="22"/>
      <c r="C472" s="22"/>
      <c r="D472" s="23"/>
      <c r="E472" s="23"/>
      <c r="F472" s="24"/>
      <c r="G472" s="23"/>
      <c r="H472" s="24"/>
      <c r="I472" s="24"/>
      <c r="J472" s="23"/>
      <c r="K472" s="23"/>
      <c r="L472" s="286"/>
      <c r="M472" s="24"/>
      <c r="N472" s="24"/>
      <c r="O472" s="23"/>
      <c r="P472" s="24"/>
      <c r="Q472" s="24"/>
      <c r="R472" s="23"/>
      <c r="S472" s="23"/>
      <c r="T472" s="23"/>
      <c r="U472" s="23"/>
      <c r="V472" s="21"/>
      <c r="W472" s="21"/>
      <c r="X472" s="21"/>
      <c r="Y472" s="21"/>
      <c r="Z472" s="21"/>
      <c r="AA472" s="21"/>
      <c r="AB472" s="21"/>
      <c r="AC472" s="21"/>
      <c r="AD472" s="21"/>
      <c r="AE472" s="21"/>
      <c r="AF472" s="21"/>
      <c r="AG472" s="21"/>
    </row>
    <row r="473" spans="1:34" ht="16" customHeight="1" thickBot="1">
      <c r="A473" s="7"/>
      <c r="B473" s="19" t="str">
        <f>"FA3 = "&amp;'FIG3'!$W$54&amp;" "&amp;'FIG3'!$X$54</f>
        <v>FA3 = FA3L1 FA3L2</v>
      </c>
      <c r="C473" s="7"/>
      <c r="D473" s="8"/>
      <c r="E473" s="8"/>
      <c r="F473" s="9"/>
      <c r="G473" s="8"/>
      <c r="H473" s="9"/>
      <c r="I473" s="9"/>
      <c r="J473" s="8"/>
      <c r="K473" s="8"/>
      <c r="L473" s="280"/>
      <c r="M473" s="9"/>
      <c r="N473" s="9"/>
      <c r="O473" s="8"/>
      <c r="P473" s="9"/>
      <c r="Q473" s="9"/>
      <c r="R473" s="8"/>
      <c r="S473" s="882"/>
      <c r="T473" s="883" t="str">
        <f>'$REV-DB'!$T$34</f>
        <v>Federal Revenues</v>
      </c>
      <c r="U473" s="883" t="str">
        <f>'$REV-DB'!$U$34</f>
        <v>local Revenues</v>
      </c>
      <c r="V473" s="883" t="str">
        <f>'$REV-DB'!$V$34</f>
        <v>Other Revenues</v>
      </c>
      <c r="W473" s="883" t="str">
        <f>'$REV-DB'!$W$34</f>
        <v>State revenues</v>
      </c>
      <c r="X473" s="883" t="str">
        <f>'$REV-DB'!$X$34</f>
        <v>UD5</v>
      </c>
      <c r="Y473" s="883" t="str">
        <f>'$REV-DB'!$Y$34</f>
        <v>UD6</v>
      </c>
      <c r="Z473" s="883" t="str">
        <f>'$REV-DB'!$Z$34</f>
        <v>UD7</v>
      </c>
      <c r="AA473" s="883" t="str">
        <f>'$REV-DB'!$AA$34</f>
        <v>UD8</v>
      </c>
      <c r="AB473" s="883" t="str">
        <f>'$REV-DB'!$AB$34</f>
        <v>UD9</v>
      </c>
      <c r="AC473" s="883" t="str">
        <f>'$REV-DB'!$AC$34</f>
        <v>UD10</v>
      </c>
      <c r="AD473" s="883" t="str">
        <f>'$REV-DB'!$AD$34</f>
        <v>UD11</v>
      </c>
      <c r="AE473" s="883" t="str">
        <f>'$REV-DB'!$AE$34</f>
        <v>UD12</v>
      </c>
      <c r="AF473" s="883" t="str">
        <f>'$REV-DB'!$AF$34</f>
        <v>UD13</v>
      </c>
      <c r="AG473" s="883" t="str">
        <f>'$REV-DB'!$AG$34</f>
        <v>UD14</v>
      </c>
    </row>
    <row r="474" spans="1:34" ht="16" customHeight="1" thickTop="1" thickBot="1">
      <c r="A474" s="7"/>
      <c r="B474" s="20" t="s">
        <v>1399</v>
      </c>
      <c r="C474" s="15"/>
      <c r="D474" s="105" t="s">
        <v>1386</v>
      </c>
      <c r="E474" s="105" t="s">
        <v>1387</v>
      </c>
      <c r="F474" s="105" t="s">
        <v>1388</v>
      </c>
      <c r="G474" s="105" t="s">
        <v>1389</v>
      </c>
      <c r="H474" s="301" t="s">
        <v>1406</v>
      </c>
      <c r="I474" s="301" t="s">
        <v>1390</v>
      </c>
      <c r="J474" s="301" t="s">
        <v>1391</v>
      </c>
      <c r="K474" s="301" t="s">
        <v>1392</v>
      </c>
      <c r="L474" s="301" t="s">
        <v>1188</v>
      </c>
      <c r="M474" s="301" t="s">
        <v>1437</v>
      </c>
      <c r="N474" s="105" t="s">
        <v>1348</v>
      </c>
      <c r="O474" s="105" t="s">
        <v>1393</v>
      </c>
      <c r="P474" s="105" t="s">
        <v>1342</v>
      </c>
      <c r="Q474" s="105" t="s">
        <v>1394</v>
      </c>
      <c r="R474" s="112" t="s">
        <v>1341</v>
      </c>
      <c r="S474" s="112" t="s">
        <v>846</v>
      </c>
      <c r="T474" s="873" t="s">
        <v>935</v>
      </c>
      <c r="U474" s="873" t="s">
        <v>936</v>
      </c>
      <c r="V474" s="873" t="s">
        <v>937</v>
      </c>
      <c r="W474" s="873" t="s">
        <v>938</v>
      </c>
      <c r="X474" s="873" t="s">
        <v>939</v>
      </c>
      <c r="Y474" s="873" t="s">
        <v>940</v>
      </c>
      <c r="Z474" s="873" t="s">
        <v>941</v>
      </c>
      <c r="AA474" s="873" t="s">
        <v>942</v>
      </c>
      <c r="AB474" s="873" t="s">
        <v>943</v>
      </c>
      <c r="AC474" s="873" t="s">
        <v>944</v>
      </c>
      <c r="AD474" s="873" t="s">
        <v>945</v>
      </c>
      <c r="AE474" s="873" t="s">
        <v>946</v>
      </c>
      <c r="AF474" s="873" t="s">
        <v>947</v>
      </c>
      <c r="AG474" s="873" t="s">
        <v>948</v>
      </c>
      <c r="AH474" s="6"/>
    </row>
    <row r="475" spans="1:34" ht="16" customHeight="1" thickTop="1">
      <c r="A475" s="7"/>
      <c r="B475" s="19" t="s">
        <v>1349</v>
      </c>
      <c r="C475" s="12"/>
      <c r="D475" s="197"/>
      <c r="E475" s="197"/>
      <c r="F475" s="196"/>
      <c r="G475" s="197"/>
      <c r="H475" s="196"/>
      <c r="I475" s="196"/>
      <c r="J475" s="197"/>
      <c r="K475" s="197"/>
      <c r="L475" s="287" t="s">
        <v>1429</v>
      </c>
      <c r="M475" s="196"/>
      <c r="N475" s="39" t="str">
        <f>J$6</f>
        <v>FY2010-11</v>
      </c>
      <c r="O475" s="39" t="s">
        <v>1354</v>
      </c>
      <c r="P475" s="39" t="s">
        <v>1338</v>
      </c>
      <c r="Q475" s="39" t="s">
        <v>1397</v>
      </c>
      <c r="R475" s="197"/>
      <c r="S475" s="197"/>
      <c r="T475" s="197"/>
      <c r="U475" s="197"/>
      <c r="V475" s="198"/>
      <c r="W475" s="198"/>
      <c r="X475" s="198"/>
      <c r="Y475" s="198"/>
      <c r="Z475" s="198"/>
      <c r="AA475" s="198"/>
      <c r="AB475" s="198"/>
      <c r="AC475" s="198"/>
      <c r="AD475" s="198"/>
      <c r="AE475" s="198"/>
      <c r="AF475" s="198"/>
      <c r="AG475" s="198"/>
      <c r="AH475" s="6"/>
    </row>
    <row r="476" spans="1:34" ht="16" customHeight="1">
      <c r="A476" s="7"/>
      <c r="B476" s="16">
        <f>DSUM('$REV-DB'!D35:AG374,"AMOUNT",'$REV-DSUM'!D474:AG481)</f>
        <v>0</v>
      </c>
      <c r="C476" s="12"/>
      <c r="D476" s="197"/>
      <c r="E476" s="197"/>
      <c r="F476" s="196"/>
      <c r="G476" s="197"/>
      <c r="H476" s="196"/>
      <c r="I476" s="196"/>
      <c r="J476" s="197"/>
      <c r="K476" s="197"/>
      <c r="L476" s="287" t="s">
        <v>1429</v>
      </c>
      <c r="M476" s="196"/>
      <c r="N476" s="39" t="str">
        <f t="shared" ref="N476:N481" si="46">J$6</f>
        <v>FY2010-11</v>
      </c>
      <c r="O476" s="39" t="s">
        <v>1354</v>
      </c>
      <c r="P476" s="39" t="s">
        <v>1338</v>
      </c>
      <c r="Q476" s="39" t="s">
        <v>1397</v>
      </c>
      <c r="R476" s="197"/>
      <c r="S476" s="197"/>
      <c r="T476" s="197"/>
      <c r="U476" s="197"/>
      <c r="V476" s="198"/>
      <c r="W476" s="198"/>
      <c r="X476" s="198"/>
      <c r="Y476" s="198"/>
      <c r="Z476" s="198"/>
      <c r="AA476" s="198"/>
      <c r="AB476" s="198"/>
      <c r="AC476" s="198"/>
      <c r="AD476" s="198"/>
      <c r="AE476" s="198"/>
      <c r="AF476" s="198"/>
      <c r="AG476" s="198"/>
      <c r="AH476" s="6"/>
    </row>
    <row r="477" spans="1:34" ht="16" customHeight="1">
      <c r="A477" s="7"/>
      <c r="B477" s="10"/>
      <c r="C477" s="12"/>
      <c r="D477" s="197"/>
      <c r="E477" s="197"/>
      <c r="F477" s="196"/>
      <c r="G477" s="197"/>
      <c r="H477" s="196"/>
      <c r="I477" s="196"/>
      <c r="J477" s="197"/>
      <c r="K477" s="197"/>
      <c r="L477" s="287" t="s">
        <v>1429</v>
      </c>
      <c r="M477" s="196"/>
      <c r="N477" s="39" t="str">
        <f t="shared" si="46"/>
        <v>FY2010-11</v>
      </c>
      <c r="O477" s="39" t="s">
        <v>1354</v>
      </c>
      <c r="P477" s="39" t="s">
        <v>1338</v>
      </c>
      <c r="Q477" s="39" t="s">
        <v>1397</v>
      </c>
      <c r="R477" s="197"/>
      <c r="S477" s="197"/>
      <c r="T477" s="197"/>
      <c r="U477" s="197"/>
      <c r="V477" s="198"/>
      <c r="W477" s="198"/>
      <c r="X477" s="198"/>
      <c r="Y477" s="198"/>
      <c r="Z477" s="198"/>
      <c r="AA477" s="198"/>
      <c r="AB477" s="198"/>
      <c r="AC477" s="198"/>
      <c r="AD477" s="198"/>
      <c r="AE477" s="198"/>
      <c r="AF477" s="198"/>
      <c r="AG477" s="198"/>
    </row>
    <row r="478" spans="1:34" ht="16" customHeight="1">
      <c r="A478" s="7"/>
      <c r="B478" s="10"/>
      <c r="C478" s="12"/>
      <c r="D478" s="197"/>
      <c r="E478" s="197"/>
      <c r="F478" s="196"/>
      <c r="G478" s="197"/>
      <c r="H478" s="196"/>
      <c r="I478" s="196"/>
      <c r="J478" s="197"/>
      <c r="K478" s="197"/>
      <c r="L478" s="287" t="s">
        <v>1429</v>
      </c>
      <c r="M478" s="196"/>
      <c r="N478" s="39" t="str">
        <f t="shared" si="46"/>
        <v>FY2010-11</v>
      </c>
      <c r="O478" s="39" t="s">
        <v>1354</v>
      </c>
      <c r="P478" s="39" t="s">
        <v>1338</v>
      </c>
      <c r="Q478" s="39" t="s">
        <v>1397</v>
      </c>
      <c r="R478" s="197"/>
      <c r="S478" s="197"/>
      <c r="T478" s="197"/>
      <c r="U478" s="197"/>
      <c r="V478" s="198"/>
      <c r="W478" s="198"/>
      <c r="X478" s="198"/>
      <c r="Y478" s="198"/>
      <c r="Z478" s="198"/>
      <c r="AA478" s="198"/>
      <c r="AB478" s="198"/>
      <c r="AC478" s="198"/>
      <c r="AD478" s="198"/>
      <c r="AE478" s="198"/>
      <c r="AF478" s="198"/>
      <c r="AG478" s="198"/>
    </row>
    <row r="479" spans="1:34" ht="16" customHeight="1">
      <c r="A479" s="7"/>
      <c r="B479" s="10"/>
      <c r="C479" s="12"/>
      <c r="D479" s="197"/>
      <c r="E479" s="197"/>
      <c r="F479" s="196"/>
      <c r="G479" s="197"/>
      <c r="H479" s="196"/>
      <c r="I479" s="196"/>
      <c r="J479" s="197"/>
      <c r="K479" s="197"/>
      <c r="L479" s="287" t="s">
        <v>1429</v>
      </c>
      <c r="M479" s="196"/>
      <c r="N479" s="39" t="str">
        <f t="shared" si="46"/>
        <v>FY2010-11</v>
      </c>
      <c r="O479" s="39" t="s">
        <v>1354</v>
      </c>
      <c r="P479" s="39" t="s">
        <v>1338</v>
      </c>
      <c r="Q479" s="39" t="s">
        <v>1397</v>
      </c>
      <c r="R479" s="197"/>
      <c r="S479" s="197"/>
      <c r="T479" s="197"/>
      <c r="U479" s="197"/>
      <c r="V479" s="198"/>
      <c r="W479" s="198"/>
      <c r="X479" s="198"/>
      <c r="Y479" s="198"/>
      <c r="Z479" s="198"/>
      <c r="AA479" s="198"/>
      <c r="AB479" s="198"/>
      <c r="AC479" s="198"/>
      <c r="AD479" s="198"/>
      <c r="AE479" s="198"/>
      <c r="AF479" s="198"/>
      <c r="AG479" s="198"/>
    </row>
    <row r="480" spans="1:34" ht="16" customHeight="1">
      <c r="A480" s="7"/>
      <c r="B480" s="10"/>
      <c r="C480" s="12"/>
      <c r="D480" s="197"/>
      <c r="E480" s="197"/>
      <c r="F480" s="196"/>
      <c r="G480" s="197"/>
      <c r="H480" s="196"/>
      <c r="I480" s="196"/>
      <c r="J480" s="197"/>
      <c r="K480" s="197"/>
      <c r="L480" s="287" t="s">
        <v>1429</v>
      </c>
      <c r="M480" s="196"/>
      <c r="N480" s="39" t="str">
        <f t="shared" si="46"/>
        <v>FY2010-11</v>
      </c>
      <c r="O480" s="39" t="s">
        <v>1354</v>
      </c>
      <c r="P480" s="39" t="s">
        <v>1338</v>
      </c>
      <c r="Q480" s="39" t="s">
        <v>1397</v>
      </c>
      <c r="R480" s="197"/>
      <c r="S480" s="197"/>
      <c r="T480" s="197"/>
      <c r="U480" s="197"/>
      <c r="V480" s="198"/>
      <c r="W480" s="198"/>
      <c r="X480" s="198"/>
      <c r="Y480" s="198"/>
      <c r="Z480" s="198"/>
      <c r="AA480" s="198"/>
      <c r="AB480" s="198"/>
      <c r="AC480" s="198"/>
      <c r="AD480" s="198"/>
      <c r="AE480" s="198"/>
      <c r="AF480" s="198"/>
      <c r="AG480" s="198"/>
    </row>
    <row r="481" spans="1:34" ht="16" customHeight="1">
      <c r="A481" s="7"/>
      <c r="B481" s="10"/>
      <c r="C481" s="12"/>
      <c r="D481" s="197"/>
      <c r="E481" s="197"/>
      <c r="F481" s="196"/>
      <c r="G481" s="197"/>
      <c r="H481" s="196"/>
      <c r="I481" s="196"/>
      <c r="J481" s="197"/>
      <c r="K481" s="197"/>
      <c r="L481" s="287" t="s">
        <v>1429</v>
      </c>
      <c r="M481" s="196"/>
      <c r="N481" s="39" t="str">
        <f t="shared" si="46"/>
        <v>FY2010-11</v>
      </c>
      <c r="O481" s="39" t="s">
        <v>1354</v>
      </c>
      <c r="P481" s="39" t="s">
        <v>1338</v>
      </c>
      <c r="Q481" s="39" t="s">
        <v>1397</v>
      </c>
      <c r="R481" s="197"/>
      <c r="S481" s="197"/>
      <c r="T481" s="197"/>
      <c r="U481" s="197"/>
      <c r="V481" s="198"/>
      <c r="W481" s="198"/>
      <c r="X481" s="198"/>
      <c r="Y481" s="198"/>
      <c r="Z481" s="198"/>
      <c r="AA481" s="198"/>
      <c r="AB481" s="198"/>
      <c r="AC481" s="198"/>
      <c r="AD481" s="198"/>
      <c r="AE481" s="198"/>
      <c r="AF481" s="198"/>
      <c r="AG481" s="198"/>
    </row>
    <row r="482" spans="1:34" ht="16" customHeight="1">
      <c r="A482" s="21"/>
      <c r="B482" s="22"/>
      <c r="C482" s="22"/>
      <c r="D482" s="23"/>
      <c r="E482" s="23"/>
      <c r="F482" s="24"/>
      <c r="G482" s="23"/>
      <c r="H482" s="24"/>
      <c r="I482" s="24"/>
      <c r="J482" s="23"/>
      <c r="K482" s="23"/>
      <c r="L482" s="286"/>
      <c r="M482" s="24"/>
      <c r="N482" s="24"/>
      <c r="O482" s="23"/>
      <c r="P482" s="24"/>
      <c r="Q482" s="24"/>
      <c r="R482" s="23"/>
      <c r="S482" s="23"/>
      <c r="T482" s="23"/>
      <c r="U482" s="23"/>
      <c r="V482" s="21"/>
      <c r="W482" s="21"/>
      <c r="X482" s="21"/>
      <c r="Y482" s="21"/>
      <c r="Z482" s="21"/>
      <c r="AA482" s="21"/>
      <c r="AB482" s="21"/>
      <c r="AC482" s="21"/>
      <c r="AD482" s="21"/>
      <c r="AE482" s="21"/>
      <c r="AF482" s="21"/>
      <c r="AG482" s="21"/>
    </row>
    <row r="483" spans="1:34" ht="16" customHeight="1" thickBot="1">
      <c r="A483" s="7"/>
      <c r="B483" s="19" t="str">
        <f>"FA3 = "&amp;'FIG3'!$W$54&amp;" "&amp;'FIG3'!$X$54</f>
        <v>FA3 = FA3L1 FA3L2</v>
      </c>
      <c r="C483" s="7"/>
      <c r="D483" s="8"/>
      <c r="E483" s="8"/>
      <c r="F483" s="9"/>
      <c r="G483" s="8"/>
      <c r="H483" s="9"/>
      <c r="I483" s="9"/>
      <c r="J483" s="8"/>
      <c r="K483" s="8"/>
      <c r="L483" s="280"/>
      <c r="M483" s="9"/>
      <c r="N483" s="9"/>
      <c r="O483" s="8"/>
      <c r="P483" s="9"/>
      <c r="Q483" s="9"/>
      <c r="R483" s="8"/>
      <c r="S483" s="882"/>
      <c r="T483" s="883" t="str">
        <f>'$REV-DB'!$T$34</f>
        <v>Federal Revenues</v>
      </c>
      <c r="U483" s="883" t="str">
        <f>'$REV-DB'!$U$34</f>
        <v>local Revenues</v>
      </c>
      <c r="V483" s="883" t="str">
        <f>'$REV-DB'!$V$34</f>
        <v>Other Revenues</v>
      </c>
      <c r="W483" s="883" t="str">
        <f>'$REV-DB'!$W$34</f>
        <v>State revenues</v>
      </c>
      <c r="X483" s="883" t="str">
        <f>'$REV-DB'!$X$34</f>
        <v>UD5</v>
      </c>
      <c r="Y483" s="883" t="str">
        <f>'$REV-DB'!$Y$34</f>
        <v>UD6</v>
      </c>
      <c r="Z483" s="883" t="str">
        <f>'$REV-DB'!$Z$34</f>
        <v>UD7</v>
      </c>
      <c r="AA483" s="883" t="str">
        <f>'$REV-DB'!$AA$34</f>
        <v>UD8</v>
      </c>
      <c r="AB483" s="883" t="str">
        <f>'$REV-DB'!$AB$34</f>
        <v>UD9</v>
      </c>
      <c r="AC483" s="883" t="str">
        <f>'$REV-DB'!$AC$34</f>
        <v>UD10</v>
      </c>
      <c r="AD483" s="883" t="str">
        <f>'$REV-DB'!$AD$34</f>
        <v>UD11</v>
      </c>
      <c r="AE483" s="883" t="str">
        <f>'$REV-DB'!$AE$34</f>
        <v>UD12</v>
      </c>
      <c r="AF483" s="883" t="str">
        <f>'$REV-DB'!$AF$34</f>
        <v>UD13</v>
      </c>
      <c r="AG483" s="883" t="str">
        <f>'$REV-DB'!$AG$34</f>
        <v>UD14</v>
      </c>
    </row>
    <row r="484" spans="1:34" ht="16" customHeight="1" thickTop="1" thickBot="1">
      <c r="A484" s="7"/>
      <c r="B484" s="20" t="s">
        <v>1399</v>
      </c>
      <c r="C484" s="15"/>
      <c r="D484" s="276" t="s">
        <v>1386</v>
      </c>
      <c r="E484" s="276" t="s">
        <v>1387</v>
      </c>
      <c r="F484" s="276" t="s">
        <v>1388</v>
      </c>
      <c r="G484" s="276" t="s">
        <v>1389</v>
      </c>
      <c r="H484" s="301" t="s">
        <v>1406</v>
      </c>
      <c r="I484" s="301" t="s">
        <v>1390</v>
      </c>
      <c r="J484" s="301" t="s">
        <v>1391</v>
      </c>
      <c r="K484" s="301" t="s">
        <v>1392</v>
      </c>
      <c r="L484" s="301" t="s">
        <v>1188</v>
      </c>
      <c r="M484" s="301" t="s">
        <v>1437</v>
      </c>
      <c r="N484" s="276" t="s">
        <v>1348</v>
      </c>
      <c r="O484" s="276" t="s">
        <v>1393</v>
      </c>
      <c r="P484" s="276" t="s">
        <v>1342</v>
      </c>
      <c r="Q484" s="276" t="s">
        <v>1394</v>
      </c>
      <c r="R484" s="112" t="s">
        <v>1341</v>
      </c>
      <c r="S484" s="112" t="s">
        <v>846</v>
      </c>
      <c r="T484" s="873" t="s">
        <v>935</v>
      </c>
      <c r="U484" s="873" t="s">
        <v>936</v>
      </c>
      <c r="V484" s="873" t="s">
        <v>937</v>
      </c>
      <c r="W484" s="873" t="s">
        <v>938</v>
      </c>
      <c r="X484" s="873" t="s">
        <v>939</v>
      </c>
      <c r="Y484" s="873" t="s">
        <v>940</v>
      </c>
      <c r="Z484" s="873" t="s">
        <v>941</v>
      </c>
      <c r="AA484" s="873" t="s">
        <v>942</v>
      </c>
      <c r="AB484" s="873" t="s">
        <v>943</v>
      </c>
      <c r="AC484" s="873" t="s">
        <v>944</v>
      </c>
      <c r="AD484" s="873" t="s">
        <v>945</v>
      </c>
      <c r="AE484" s="873" t="s">
        <v>946</v>
      </c>
      <c r="AF484" s="873" t="s">
        <v>947</v>
      </c>
      <c r="AG484" s="873" t="s">
        <v>948</v>
      </c>
      <c r="AH484" s="6"/>
    </row>
    <row r="485" spans="1:34" ht="16" customHeight="1" thickTop="1">
      <c r="A485" s="7"/>
      <c r="B485" s="19" t="s">
        <v>1178</v>
      </c>
      <c r="C485" s="12"/>
      <c r="D485" s="197"/>
      <c r="E485" s="197"/>
      <c r="F485" s="196"/>
      <c r="G485" s="197"/>
      <c r="H485" s="196"/>
      <c r="I485" s="196"/>
      <c r="J485" s="197"/>
      <c r="K485" s="197"/>
      <c r="L485" s="287" t="s">
        <v>1429</v>
      </c>
      <c r="M485" s="196"/>
      <c r="N485" s="39" t="str">
        <f>J$6</f>
        <v>FY2010-11</v>
      </c>
      <c r="O485" s="39" t="s">
        <v>1354</v>
      </c>
      <c r="P485" s="39" t="s">
        <v>1338</v>
      </c>
      <c r="Q485" s="39" t="s">
        <v>1465</v>
      </c>
      <c r="R485" s="197"/>
      <c r="S485" s="197"/>
      <c r="T485" s="197"/>
      <c r="U485" s="197"/>
      <c r="V485" s="198"/>
      <c r="W485" s="198"/>
      <c r="X485" s="198"/>
      <c r="Y485" s="198"/>
      <c r="Z485" s="198"/>
      <c r="AA485" s="198"/>
      <c r="AB485" s="198"/>
      <c r="AC485" s="198"/>
      <c r="AD485" s="198"/>
      <c r="AE485" s="198"/>
      <c r="AF485" s="198"/>
      <c r="AG485" s="198"/>
      <c r="AH485" s="6"/>
    </row>
    <row r="486" spans="1:34" ht="16" customHeight="1">
      <c r="A486" s="7"/>
      <c r="B486" s="16">
        <f>DSUM('$REV-DB'!D35:AG374,"AMOUNT",'$REV-DSUM'!D484:AG491)</f>
        <v>0</v>
      </c>
      <c r="C486" s="12"/>
      <c r="D486" s="197"/>
      <c r="E486" s="197"/>
      <c r="F486" s="196"/>
      <c r="G486" s="197"/>
      <c r="H486" s="196"/>
      <c r="I486" s="196"/>
      <c r="J486" s="197"/>
      <c r="K486" s="197"/>
      <c r="L486" s="287" t="s">
        <v>1429</v>
      </c>
      <c r="M486" s="196"/>
      <c r="N486" s="39" t="str">
        <f t="shared" ref="N486:N491" si="47">J$6</f>
        <v>FY2010-11</v>
      </c>
      <c r="O486" s="39" t="s">
        <v>1354</v>
      </c>
      <c r="P486" s="39" t="s">
        <v>1338</v>
      </c>
      <c r="Q486" s="39" t="s">
        <v>1465</v>
      </c>
      <c r="R486" s="197"/>
      <c r="S486" s="197"/>
      <c r="T486" s="197"/>
      <c r="U486" s="197"/>
      <c r="V486" s="198"/>
      <c r="W486" s="198"/>
      <c r="X486" s="198"/>
      <c r="Y486" s="198"/>
      <c r="Z486" s="198"/>
      <c r="AA486" s="198"/>
      <c r="AB486" s="198"/>
      <c r="AC486" s="198"/>
      <c r="AD486" s="198"/>
      <c r="AE486" s="198"/>
      <c r="AF486" s="198"/>
      <c r="AG486" s="198"/>
      <c r="AH486" s="6"/>
    </row>
    <row r="487" spans="1:34" ht="16" customHeight="1">
      <c r="A487" s="7"/>
      <c r="B487" s="10"/>
      <c r="C487" s="12"/>
      <c r="D487" s="197"/>
      <c r="E487" s="197"/>
      <c r="F487" s="196"/>
      <c r="G487" s="197"/>
      <c r="H487" s="196"/>
      <c r="I487" s="196"/>
      <c r="J487" s="197"/>
      <c r="K487" s="197"/>
      <c r="L487" s="287" t="s">
        <v>1429</v>
      </c>
      <c r="M487" s="196"/>
      <c r="N487" s="39" t="str">
        <f t="shared" si="47"/>
        <v>FY2010-11</v>
      </c>
      <c r="O487" s="39" t="s">
        <v>1354</v>
      </c>
      <c r="P487" s="39" t="s">
        <v>1338</v>
      </c>
      <c r="Q487" s="39" t="s">
        <v>1465</v>
      </c>
      <c r="R487" s="197"/>
      <c r="S487" s="197"/>
      <c r="T487" s="197"/>
      <c r="U487" s="197"/>
      <c r="V487" s="198"/>
      <c r="W487" s="198"/>
      <c r="X487" s="198"/>
      <c r="Y487" s="198"/>
      <c r="Z487" s="198"/>
      <c r="AA487" s="198"/>
      <c r="AB487" s="198"/>
      <c r="AC487" s="198"/>
      <c r="AD487" s="198"/>
      <c r="AE487" s="198"/>
      <c r="AF487" s="198"/>
      <c r="AG487" s="198"/>
    </row>
    <row r="488" spans="1:34" ht="16" customHeight="1">
      <c r="A488" s="7"/>
      <c r="B488" s="10"/>
      <c r="C488" s="12"/>
      <c r="D488" s="197"/>
      <c r="E488" s="197"/>
      <c r="F488" s="196"/>
      <c r="G488" s="197"/>
      <c r="H488" s="196"/>
      <c r="I488" s="196"/>
      <c r="J488" s="197"/>
      <c r="K488" s="197"/>
      <c r="L488" s="287" t="s">
        <v>1429</v>
      </c>
      <c r="M488" s="196"/>
      <c r="N488" s="39" t="str">
        <f t="shared" si="47"/>
        <v>FY2010-11</v>
      </c>
      <c r="O488" s="39" t="s">
        <v>1354</v>
      </c>
      <c r="P488" s="39" t="s">
        <v>1338</v>
      </c>
      <c r="Q488" s="39" t="s">
        <v>1465</v>
      </c>
      <c r="R488" s="197"/>
      <c r="S488" s="197"/>
      <c r="T488" s="197"/>
      <c r="U488" s="197"/>
      <c r="V488" s="198"/>
      <c r="W488" s="198"/>
      <c r="X488" s="198"/>
      <c r="Y488" s="198"/>
      <c r="Z488" s="198"/>
      <c r="AA488" s="198"/>
      <c r="AB488" s="198"/>
      <c r="AC488" s="198"/>
      <c r="AD488" s="198"/>
      <c r="AE488" s="198"/>
      <c r="AF488" s="198"/>
      <c r="AG488" s="198"/>
    </row>
    <row r="489" spans="1:34" ht="16" customHeight="1">
      <c r="A489" s="7"/>
      <c r="B489" s="10"/>
      <c r="C489" s="12"/>
      <c r="D489" s="197"/>
      <c r="E489" s="197"/>
      <c r="F489" s="196"/>
      <c r="G489" s="197"/>
      <c r="H489" s="196"/>
      <c r="I489" s="196"/>
      <c r="J489" s="197"/>
      <c r="K489" s="197"/>
      <c r="L489" s="287" t="s">
        <v>1429</v>
      </c>
      <c r="M489" s="196"/>
      <c r="N489" s="39" t="str">
        <f t="shared" si="47"/>
        <v>FY2010-11</v>
      </c>
      <c r="O489" s="39" t="s">
        <v>1354</v>
      </c>
      <c r="P489" s="39" t="s">
        <v>1338</v>
      </c>
      <c r="Q489" s="39" t="s">
        <v>1465</v>
      </c>
      <c r="R489" s="197"/>
      <c r="S489" s="197"/>
      <c r="T489" s="197"/>
      <c r="U489" s="197"/>
      <c r="V489" s="198"/>
      <c r="W489" s="198"/>
      <c r="X489" s="198"/>
      <c r="Y489" s="198"/>
      <c r="Z489" s="198"/>
      <c r="AA489" s="198"/>
      <c r="AB489" s="198"/>
      <c r="AC489" s="198"/>
      <c r="AD489" s="198"/>
      <c r="AE489" s="198"/>
      <c r="AF489" s="198"/>
      <c r="AG489" s="198"/>
    </row>
    <row r="490" spans="1:34" ht="16" customHeight="1">
      <c r="A490" s="7"/>
      <c r="B490" s="10"/>
      <c r="C490" s="12"/>
      <c r="D490" s="197"/>
      <c r="E490" s="197"/>
      <c r="F490" s="196"/>
      <c r="G490" s="197"/>
      <c r="H490" s="196"/>
      <c r="I490" s="196"/>
      <c r="J490" s="197"/>
      <c r="K490" s="197"/>
      <c r="L490" s="287" t="s">
        <v>1429</v>
      </c>
      <c r="M490" s="196"/>
      <c r="N490" s="39" t="str">
        <f t="shared" si="47"/>
        <v>FY2010-11</v>
      </c>
      <c r="O490" s="39" t="s">
        <v>1354</v>
      </c>
      <c r="P490" s="39" t="s">
        <v>1338</v>
      </c>
      <c r="Q490" s="39" t="s">
        <v>1465</v>
      </c>
      <c r="R490" s="197"/>
      <c r="S490" s="197"/>
      <c r="T490" s="197"/>
      <c r="U490" s="197"/>
      <c r="V490" s="198"/>
      <c r="W490" s="198"/>
      <c r="X490" s="198"/>
      <c r="Y490" s="198"/>
      <c r="Z490" s="198"/>
      <c r="AA490" s="198"/>
      <c r="AB490" s="198"/>
      <c r="AC490" s="198"/>
      <c r="AD490" s="198"/>
      <c r="AE490" s="198"/>
      <c r="AF490" s="198"/>
      <c r="AG490" s="198"/>
    </row>
    <row r="491" spans="1:34" ht="16" customHeight="1">
      <c r="A491" s="7"/>
      <c r="B491" s="10"/>
      <c r="C491" s="12"/>
      <c r="D491" s="197"/>
      <c r="E491" s="197"/>
      <c r="F491" s="196"/>
      <c r="G491" s="197"/>
      <c r="H491" s="196"/>
      <c r="I491" s="196"/>
      <c r="J491" s="197"/>
      <c r="K491" s="197"/>
      <c r="L491" s="287" t="s">
        <v>1429</v>
      </c>
      <c r="M491" s="196"/>
      <c r="N491" s="39" t="str">
        <f t="shared" si="47"/>
        <v>FY2010-11</v>
      </c>
      <c r="O491" s="39" t="s">
        <v>1354</v>
      </c>
      <c r="P491" s="39" t="s">
        <v>1338</v>
      </c>
      <c r="Q491" s="39" t="s">
        <v>1465</v>
      </c>
      <c r="R491" s="197"/>
      <c r="S491" s="197"/>
      <c r="T491" s="197"/>
      <c r="U491" s="197"/>
      <c r="V491" s="198"/>
      <c r="W491" s="198"/>
      <c r="X491" s="198"/>
      <c r="Y491" s="198"/>
      <c r="Z491" s="198"/>
      <c r="AA491" s="198"/>
      <c r="AB491" s="198"/>
      <c r="AC491" s="198"/>
      <c r="AD491" s="198"/>
      <c r="AE491" s="198"/>
      <c r="AF491" s="198"/>
      <c r="AG491" s="198"/>
    </row>
    <row r="492" spans="1:34" ht="16" customHeight="1">
      <c r="A492" s="21"/>
      <c r="B492" s="22"/>
      <c r="C492" s="22"/>
      <c r="D492" s="23"/>
      <c r="E492" s="23"/>
      <c r="F492" s="24"/>
      <c r="G492" s="23"/>
      <c r="H492" s="24"/>
      <c r="I492" s="24"/>
      <c r="J492" s="23"/>
      <c r="K492" s="23"/>
      <c r="L492" s="286"/>
      <c r="M492" s="24"/>
      <c r="N492" s="24"/>
      <c r="O492" s="23"/>
      <c r="P492" s="24"/>
      <c r="Q492" s="24"/>
      <c r="R492" s="23"/>
      <c r="S492" s="23"/>
      <c r="T492" s="23"/>
      <c r="U492" s="23"/>
      <c r="V492" s="21"/>
      <c r="W492" s="21"/>
      <c r="X492" s="21"/>
      <c r="Y492" s="21"/>
      <c r="Z492" s="21"/>
      <c r="AA492" s="21"/>
      <c r="AB492" s="21"/>
      <c r="AC492" s="21"/>
      <c r="AD492" s="21"/>
      <c r="AE492" s="21"/>
      <c r="AF492" s="21"/>
      <c r="AG492" s="21"/>
    </row>
    <row r="493" spans="1:34" ht="16" customHeight="1" thickBot="1">
      <c r="A493" s="7"/>
      <c r="B493" s="19" t="str">
        <f>"FA3 = "&amp;'FIG3'!$W$54&amp;" "&amp;'FIG3'!$X$54</f>
        <v>FA3 = FA3L1 FA3L2</v>
      </c>
      <c r="C493" s="7"/>
      <c r="D493" s="8"/>
      <c r="E493" s="8"/>
      <c r="F493" s="9"/>
      <c r="G493" s="8"/>
      <c r="H493" s="9"/>
      <c r="I493" s="9"/>
      <c r="J493" s="8"/>
      <c r="K493" s="8"/>
      <c r="L493" s="280"/>
      <c r="M493" s="9"/>
      <c r="N493" s="9"/>
      <c r="O493" s="8"/>
      <c r="P493" s="9"/>
      <c r="Q493" s="9"/>
      <c r="R493" s="8"/>
      <c r="S493" s="882"/>
      <c r="T493" s="883" t="str">
        <f>'$REV-DB'!$T$34</f>
        <v>Federal Revenues</v>
      </c>
      <c r="U493" s="883" t="str">
        <f>'$REV-DB'!$U$34</f>
        <v>local Revenues</v>
      </c>
      <c r="V493" s="883" t="str">
        <f>'$REV-DB'!$V$34</f>
        <v>Other Revenues</v>
      </c>
      <c r="W493" s="883" t="str">
        <f>'$REV-DB'!$W$34</f>
        <v>State revenues</v>
      </c>
      <c r="X493" s="883" t="str">
        <f>'$REV-DB'!$X$34</f>
        <v>UD5</v>
      </c>
      <c r="Y493" s="883" t="str">
        <f>'$REV-DB'!$Y$34</f>
        <v>UD6</v>
      </c>
      <c r="Z493" s="883" t="str">
        <f>'$REV-DB'!$Z$34</f>
        <v>UD7</v>
      </c>
      <c r="AA493" s="883" t="str">
        <f>'$REV-DB'!$AA$34</f>
        <v>UD8</v>
      </c>
      <c r="AB493" s="883" t="str">
        <f>'$REV-DB'!$AB$34</f>
        <v>UD9</v>
      </c>
      <c r="AC493" s="883" t="str">
        <f>'$REV-DB'!$AC$34</f>
        <v>UD10</v>
      </c>
      <c r="AD493" s="883" t="str">
        <f>'$REV-DB'!$AD$34</f>
        <v>UD11</v>
      </c>
      <c r="AE493" s="883" t="str">
        <f>'$REV-DB'!$AE$34</f>
        <v>UD12</v>
      </c>
      <c r="AF493" s="883" t="str">
        <f>'$REV-DB'!$AF$34</f>
        <v>UD13</v>
      </c>
      <c r="AG493" s="883" t="str">
        <f>'$REV-DB'!$AG$34</f>
        <v>UD14</v>
      </c>
    </row>
    <row r="494" spans="1:34" ht="16" customHeight="1" thickTop="1" thickBot="1">
      <c r="A494" s="7"/>
      <c r="B494" s="20" t="s">
        <v>1399</v>
      </c>
      <c r="C494" s="15"/>
      <c r="D494" s="105" t="s">
        <v>1386</v>
      </c>
      <c r="E494" s="105" t="s">
        <v>1387</v>
      </c>
      <c r="F494" s="105" t="s">
        <v>1388</v>
      </c>
      <c r="G494" s="105" t="s">
        <v>1389</v>
      </c>
      <c r="H494" s="301" t="s">
        <v>1406</v>
      </c>
      <c r="I494" s="301" t="s">
        <v>1390</v>
      </c>
      <c r="J494" s="301" t="s">
        <v>1391</v>
      </c>
      <c r="K494" s="301" t="s">
        <v>1392</v>
      </c>
      <c r="L494" s="301" t="s">
        <v>1188</v>
      </c>
      <c r="M494" s="301" t="s">
        <v>1437</v>
      </c>
      <c r="N494" s="105" t="s">
        <v>1348</v>
      </c>
      <c r="O494" s="105" t="s">
        <v>1393</v>
      </c>
      <c r="P494" s="105" t="s">
        <v>1342</v>
      </c>
      <c r="Q494" s="105" t="s">
        <v>1394</v>
      </c>
      <c r="R494" s="112" t="s">
        <v>1341</v>
      </c>
      <c r="S494" s="112" t="s">
        <v>846</v>
      </c>
      <c r="T494" s="873" t="s">
        <v>935</v>
      </c>
      <c r="U494" s="873" t="s">
        <v>936</v>
      </c>
      <c r="V494" s="873" t="s">
        <v>937</v>
      </c>
      <c r="W494" s="873" t="s">
        <v>938</v>
      </c>
      <c r="X494" s="873" t="s">
        <v>939</v>
      </c>
      <c r="Y494" s="873" t="s">
        <v>940</v>
      </c>
      <c r="Z494" s="873" t="s">
        <v>941</v>
      </c>
      <c r="AA494" s="873" t="s">
        <v>942</v>
      </c>
      <c r="AB494" s="873" t="s">
        <v>943</v>
      </c>
      <c r="AC494" s="873" t="s">
        <v>944</v>
      </c>
      <c r="AD494" s="873" t="s">
        <v>945</v>
      </c>
      <c r="AE494" s="873" t="s">
        <v>946</v>
      </c>
      <c r="AF494" s="873" t="s">
        <v>947</v>
      </c>
      <c r="AG494" s="873" t="s">
        <v>948</v>
      </c>
      <c r="AH494" s="6"/>
    </row>
    <row r="495" spans="1:34" ht="16" customHeight="1" thickTop="1">
      <c r="A495" s="7"/>
      <c r="B495" s="19" t="s">
        <v>1350</v>
      </c>
      <c r="C495" s="12"/>
      <c r="D495" s="197"/>
      <c r="E495" s="197"/>
      <c r="F495" s="196"/>
      <c r="G495" s="197"/>
      <c r="H495" s="196"/>
      <c r="I495" s="196"/>
      <c r="J495" s="197"/>
      <c r="K495" s="197"/>
      <c r="L495" s="287" t="s">
        <v>1429</v>
      </c>
      <c r="M495" s="196"/>
      <c r="N495" s="39" t="str">
        <f>J$6</f>
        <v>FY2010-11</v>
      </c>
      <c r="O495" s="39" t="s">
        <v>1354</v>
      </c>
      <c r="P495" s="39" t="s">
        <v>1338</v>
      </c>
      <c r="Q495" s="39" t="s">
        <v>1340</v>
      </c>
      <c r="R495" s="197"/>
      <c r="S495" s="197"/>
      <c r="T495" s="197"/>
      <c r="U495" s="197"/>
      <c r="V495" s="198"/>
      <c r="W495" s="198"/>
      <c r="X495" s="198"/>
      <c r="Y495" s="198"/>
      <c r="Z495" s="198"/>
      <c r="AA495" s="198"/>
      <c r="AB495" s="198"/>
      <c r="AC495" s="198"/>
      <c r="AD495" s="198"/>
      <c r="AE495" s="198"/>
      <c r="AF495" s="198"/>
      <c r="AG495" s="198"/>
      <c r="AH495" s="6"/>
    </row>
    <row r="496" spans="1:34" ht="16" customHeight="1">
      <c r="A496" s="7"/>
      <c r="B496" s="16">
        <f>DSUM('$REV-DB'!D35:AG374,"AMOUNT",'$REV-DSUM'!D494:AG501)</f>
        <v>0</v>
      </c>
      <c r="C496" s="12"/>
      <c r="D496" s="197"/>
      <c r="E496" s="197"/>
      <c r="F496" s="196"/>
      <c r="G496" s="197"/>
      <c r="H496" s="196"/>
      <c r="I496" s="196"/>
      <c r="J496" s="197"/>
      <c r="K496" s="197"/>
      <c r="L496" s="287" t="s">
        <v>1429</v>
      </c>
      <c r="M496" s="196"/>
      <c r="N496" s="39" t="str">
        <f t="shared" ref="N496:N501" si="48">J$6</f>
        <v>FY2010-11</v>
      </c>
      <c r="O496" s="39" t="s">
        <v>1354</v>
      </c>
      <c r="P496" s="39" t="s">
        <v>1338</v>
      </c>
      <c r="Q496" s="39" t="s">
        <v>1340</v>
      </c>
      <c r="R496" s="197"/>
      <c r="S496" s="197"/>
      <c r="T496" s="197"/>
      <c r="U496" s="197"/>
      <c r="V496" s="198"/>
      <c r="W496" s="198"/>
      <c r="X496" s="198"/>
      <c r="Y496" s="198"/>
      <c r="Z496" s="198"/>
      <c r="AA496" s="198"/>
      <c r="AB496" s="198"/>
      <c r="AC496" s="198"/>
      <c r="AD496" s="198"/>
      <c r="AE496" s="198"/>
      <c r="AF496" s="198"/>
      <c r="AG496" s="198"/>
      <c r="AH496" s="6"/>
    </row>
    <row r="497" spans="1:34" ht="16" customHeight="1">
      <c r="A497" s="7"/>
      <c r="B497" s="10"/>
      <c r="C497" s="12"/>
      <c r="D497" s="197"/>
      <c r="E497" s="197"/>
      <c r="F497" s="196"/>
      <c r="G497" s="197"/>
      <c r="H497" s="196"/>
      <c r="I497" s="196"/>
      <c r="J497" s="197"/>
      <c r="K497" s="197"/>
      <c r="L497" s="287" t="s">
        <v>1429</v>
      </c>
      <c r="M497" s="196"/>
      <c r="N497" s="39" t="str">
        <f t="shared" si="48"/>
        <v>FY2010-11</v>
      </c>
      <c r="O497" s="39" t="s">
        <v>1354</v>
      </c>
      <c r="P497" s="39" t="s">
        <v>1338</v>
      </c>
      <c r="Q497" s="39" t="s">
        <v>1340</v>
      </c>
      <c r="R497" s="197"/>
      <c r="S497" s="197"/>
      <c r="T497" s="197"/>
      <c r="U497" s="197"/>
      <c r="V497" s="198"/>
      <c r="W497" s="198"/>
      <c r="X497" s="198"/>
      <c r="Y497" s="198"/>
      <c r="Z497" s="198"/>
      <c r="AA497" s="198"/>
      <c r="AB497" s="198"/>
      <c r="AC497" s="198"/>
      <c r="AD497" s="198"/>
      <c r="AE497" s="198"/>
      <c r="AF497" s="198"/>
      <c r="AG497" s="198"/>
    </row>
    <row r="498" spans="1:34" ht="16" customHeight="1">
      <c r="A498" s="7"/>
      <c r="B498" s="10"/>
      <c r="C498" s="12"/>
      <c r="D498" s="197"/>
      <c r="E498" s="197"/>
      <c r="F498" s="196"/>
      <c r="G498" s="197"/>
      <c r="H498" s="196"/>
      <c r="I498" s="196"/>
      <c r="J498" s="197"/>
      <c r="K498" s="197"/>
      <c r="L498" s="287" t="s">
        <v>1429</v>
      </c>
      <c r="M498" s="196"/>
      <c r="N498" s="39" t="str">
        <f t="shared" si="48"/>
        <v>FY2010-11</v>
      </c>
      <c r="O498" s="39" t="s">
        <v>1354</v>
      </c>
      <c r="P498" s="39" t="s">
        <v>1338</v>
      </c>
      <c r="Q498" s="39" t="s">
        <v>1340</v>
      </c>
      <c r="R498" s="197"/>
      <c r="S498" s="197"/>
      <c r="T498" s="197"/>
      <c r="U498" s="197"/>
      <c r="V498" s="198"/>
      <c r="W498" s="198"/>
      <c r="X498" s="198"/>
      <c r="Y498" s="198"/>
      <c r="Z498" s="198"/>
      <c r="AA498" s="198"/>
      <c r="AB498" s="198"/>
      <c r="AC498" s="198"/>
      <c r="AD498" s="198"/>
      <c r="AE498" s="198"/>
      <c r="AF498" s="198"/>
      <c r="AG498" s="198"/>
    </row>
    <row r="499" spans="1:34" ht="16" customHeight="1">
      <c r="A499" s="7"/>
      <c r="B499" s="10"/>
      <c r="C499" s="12"/>
      <c r="D499" s="197"/>
      <c r="E499" s="197"/>
      <c r="F499" s="196"/>
      <c r="G499" s="197"/>
      <c r="H499" s="196"/>
      <c r="I499" s="196"/>
      <c r="J499" s="197"/>
      <c r="K499" s="197"/>
      <c r="L499" s="287" t="s">
        <v>1429</v>
      </c>
      <c r="M499" s="196"/>
      <c r="N499" s="39" t="str">
        <f t="shared" si="48"/>
        <v>FY2010-11</v>
      </c>
      <c r="O499" s="39" t="s">
        <v>1354</v>
      </c>
      <c r="P499" s="39" t="s">
        <v>1338</v>
      </c>
      <c r="Q499" s="39" t="s">
        <v>1340</v>
      </c>
      <c r="R499" s="197"/>
      <c r="S499" s="197"/>
      <c r="T499" s="197"/>
      <c r="U499" s="197"/>
      <c r="V499" s="198"/>
      <c r="W499" s="198"/>
      <c r="X499" s="198"/>
      <c r="Y499" s="198"/>
      <c r="Z499" s="198"/>
      <c r="AA499" s="198"/>
      <c r="AB499" s="198"/>
      <c r="AC499" s="198"/>
      <c r="AD499" s="198"/>
      <c r="AE499" s="198"/>
      <c r="AF499" s="198"/>
      <c r="AG499" s="198"/>
    </row>
    <row r="500" spans="1:34" ht="16" customHeight="1">
      <c r="A500" s="7"/>
      <c r="B500" s="10"/>
      <c r="C500" s="12"/>
      <c r="D500" s="197"/>
      <c r="E500" s="197"/>
      <c r="F500" s="196"/>
      <c r="G500" s="197"/>
      <c r="H500" s="196"/>
      <c r="I500" s="196"/>
      <c r="J500" s="197"/>
      <c r="K500" s="197"/>
      <c r="L500" s="287" t="s">
        <v>1429</v>
      </c>
      <c r="M500" s="196"/>
      <c r="N500" s="39" t="str">
        <f t="shared" si="48"/>
        <v>FY2010-11</v>
      </c>
      <c r="O500" s="39" t="s">
        <v>1354</v>
      </c>
      <c r="P500" s="39" t="s">
        <v>1338</v>
      </c>
      <c r="Q500" s="39" t="s">
        <v>1340</v>
      </c>
      <c r="R500" s="197"/>
      <c r="S500" s="197"/>
      <c r="T500" s="197"/>
      <c r="U500" s="197"/>
      <c r="V500" s="198"/>
      <c r="W500" s="198"/>
      <c r="X500" s="198"/>
      <c r="Y500" s="198"/>
      <c r="Z500" s="198"/>
      <c r="AA500" s="198"/>
      <c r="AB500" s="198"/>
      <c r="AC500" s="198"/>
      <c r="AD500" s="198"/>
      <c r="AE500" s="198"/>
      <c r="AF500" s="198"/>
      <c r="AG500" s="198"/>
    </row>
    <row r="501" spans="1:34" ht="16" customHeight="1">
      <c r="A501" s="7"/>
      <c r="B501" s="10"/>
      <c r="C501" s="12"/>
      <c r="D501" s="197"/>
      <c r="E501" s="197"/>
      <c r="F501" s="196"/>
      <c r="G501" s="197"/>
      <c r="H501" s="196"/>
      <c r="I501" s="196"/>
      <c r="J501" s="197"/>
      <c r="K501" s="197"/>
      <c r="L501" s="287" t="s">
        <v>1429</v>
      </c>
      <c r="M501" s="196"/>
      <c r="N501" s="39" t="str">
        <f t="shared" si="48"/>
        <v>FY2010-11</v>
      </c>
      <c r="O501" s="39" t="s">
        <v>1354</v>
      </c>
      <c r="P501" s="39" t="s">
        <v>1338</v>
      </c>
      <c r="Q501" s="39" t="s">
        <v>1340</v>
      </c>
      <c r="R501" s="197"/>
      <c r="S501" s="197"/>
      <c r="T501" s="197"/>
      <c r="U501" s="197"/>
      <c r="V501" s="198"/>
      <c r="W501" s="198"/>
      <c r="X501" s="198"/>
      <c r="Y501" s="198"/>
      <c r="Z501" s="198"/>
      <c r="AA501" s="198"/>
      <c r="AB501" s="198"/>
      <c r="AC501" s="198"/>
      <c r="AD501" s="198"/>
      <c r="AE501" s="198"/>
      <c r="AF501" s="198"/>
      <c r="AG501" s="198"/>
    </row>
    <row r="502" spans="1:34" ht="16" customHeight="1">
      <c r="A502" s="21"/>
      <c r="B502" s="22"/>
      <c r="C502" s="22"/>
      <c r="D502" s="23"/>
      <c r="E502" s="23"/>
      <c r="F502" s="24"/>
      <c r="G502" s="23"/>
      <c r="H502" s="24"/>
      <c r="I502" s="24"/>
      <c r="J502" s="23"/>
      <c r="K502" s="23"/>
      <c r="L502" s="286"/>
      <c r="M502" s="24"/>
      <c r="N502" s="24"/>
      <c r="O502" s="23"/>
      <c r="P502" s="24"/>
      <c r="Q502" s="24"/>
      <c r="R502" s="23"/>
      <c r="S502" s="23"/>
      <c r="T502" s="23"/>
      <c r="U502" s="23"/>
      <c r="V502" s="21"/>
      <c r="W502" s="21"/>
      <c r="X502" s="21"/>
      <c r="Y502" s="21"/>
      <c r="Z502" s="21"/>
      <c r="AA502" s="21"/>
      <c r="AB502" s="21"/>
      <c r="AC502" s="21"/>
      <c r="AD502" s="21"/>
      <c r="AE502" s="21"/>
      <c r="AF502" s="21"/>
      <c r="AG502" s="21"/>
    </row>
    <row r="503" spans="1:34" ht="16" customHeight="1" thickBot="1">
      <c r="A503" s="7"/>
      <c r="B503" s="19" t="str">
        <f>"FA3 = "&amp;'FIG3'!$W$54&amp;" "&amp;'FIG3'!$X$54</f>
        <v>FA3 = FA3L1 FA3L2</v>
      </c>
      <c r="C503" s="7"/>
      <c r="D503" s="17"/>
      <c r="E503" s="17"/>
      <c r="F503" s="18"/>
      <c r="G503" s="17"/>
      <c r="H503" s="18"/>
      <c r="I503" s="18"/>
      <c r="J503" s="17"/>
      <c r="K503" s="17"/>
      <c r="L503" s="281"/>
      <c r="M503" s="18"/>
      <c r="N503" s="9"/>
      <c r="O503" s="17"/>
      <c r="P503" s="18"/>
      <c r="Q503" s="18"/>
      <c r="R503" s="17"/>
      <c r="S503" s="882"/>
      <c r="T503" s="883" t="str">
        <f>'$REV-DB'!$T$34</f>
        <v>Federal Revenues</v>
      </c>
      <c r="U503" s="883" t="str">
        <f>'$REV-DB'!$U$34</f>
        <v>local Revenues</v>
      </c>
      <c r="V503" s="883" t="str">
        <f>'$REV-DB'!$V$34</f>
        <v>Other Revenues</v>
      </c>
      <c r="W503" s="883" t="str">
        <f>'$REV-DB'!$W$34</f>
        <v>State revenues</v>
      </c>
      <c r="X503" s="883" t="str">
        <f>'$REV-DB'!$X$34</f>
        <v>UD5</v>
      </c>
      <c r="Y503" s="883" t="str">
        <f>'$REV-DB'!$Y$34</f>
        <v>UD6</v>
      </c>
      <c r="Z503" s="883" t="str">
        <f>'$REV-DB'!$Z$34</f>
        <v>UD7</v>
      </c>
      <c r="AA503" s="883" t="str">
        <f>'$REV-DB'!$AA$34</f>
        <v>UD8</v>
      </c>
      <c r="AB503" s="883" t="str">
        <f>'$REV-DB'!$AB$34</f>
        <v>UD9</v>
      </c>
      <c r="AC503" s="883" t="str">
        <f>'$REV-DB'!$AC$34</f>
        <v>UD10</v>
      </c>
      <c r="AD503" s="883" t="str">
        <f>'$REV-DB'!$AD$34</f>
        <v>UD11</v>
      </c>
      <c r="AE503" s="883" t="str">
        <f>'$REV-DB'!$AE$34</f>
        <v>UD12</v>
      </c>
      <c r="AF503" s="883" t="str">
        <f>'$REV-DB'!$AF$34</f>
        <v>UD13</v>
      </c>
      <c r="AG503" s="883" t="str">
        <f>'$REV-DB'!$AG$34</f>
        <v>UD14</v>
      </c>
    </row>
    <row r="504" spans="1:34" ht="16" customHeight="1" thickTop="1" thickBot="1">
      <c r="A504" s="7"/>
      <c r="B504" s="20" t="s">
        <v>1375</v>
      </c>
      <c r="C504" s="15"/>
      <c r="D504" s="105" t="s">
        <v>1386</v>
      </c>
      <c r="E504" s="105" t="s">
        <v>1387</v>
      </c>
      <c r="F504" s="105" t="s">
        <v>1388</v>
      </c>
      <c r="G504" s="105" t="s">
        <v>1389</v>
      </c>
      <c r="H504" s="301" t="s">
        <v>1406</v>
      </c>
      <c r="I504" s="301" t="s">
        <v>1390</v>
      </c>
      <c r="J504" s="301" t="s">
        <v>1391</v>
      </c>
      <c r="K504" s="301" t="s">
        <v>1392</v>
      </c>
      <c r="L504" s="301" t="s">
        <v>1188</v>
      </c>
      <c r="M504" s="301" t="s">
        <v>1437</v>
      </c>
      <c r="N504" s="105" t="s">
        <v>1348</v>
      </c>
      <c r="O504" s="105" t="s">
        <v>1393</v>
      </c>
      <c r="P504" s="105" t="s">
        <v>1342</v>
      </c>
      <c r="Q504" s="105" t="s">
        <v>1394</v>
      </c>
      <c r="R504" s="112" t="s">
        <v>1341</v>
      </c>
      <c r="S504" s="112" t="s">
        <v>846</v>
      </c>
      <c r="T504" s="873" t="s">
        <v>935</v>
      </c>
      <c r="U504" s="873" t="s">
        <v>936</v>
      </c>
      <c r="V504" s="873" t="s">
        <v>937</v>
      </c>
      <c r="W504" s="873" t="s">
        <v>938</v>
      </c>
      <c r="X504" s="873" t="s">
        <v>939</v>
      </c>
      <c r="Y504" s="873" t="s">
        <v>940</v>
      </c>
      <c r="Z504" s="873" t="s">
        <v>941</v>
      </c>
      <c r="AA504" s="873" t="s">
        <v>942</v>
      </c>
      <c r="AB504" s="873" t="s">
        <v>943</v>
      </c>
      <c r="AC504" s="873" t="s">
        <v>944</v>
      </c>
      <c r="AD504" s="873" t="s">
        <v>945</v>
      </c>
      <c r="AE504" s="873" t="s">
        <v>946</v>
      </c>
      <c r="AF504" s="873" t="s">
        <v>947</v>
      </c>
      <c r="AG504" s="873" t="s">
        <v>948</v>
      </c>
      <c r="AH504" s="6"/>
    </row>
    <row r="505" spans="1:34" ht="16" customHeight="1" thickTop="1">
      <c r="A505" s="7"/>
      <c r="B505" s="19" t="s">
        <v>1346</v>
      </c>
      <c r="C505" s="12"/>
      <c r="D505" s="197"/>
      <c r="E505" s="197"/>
      <c r="F505" s="196"/>
      <c r="G505" s="197"/>
      <c r="H505" s="196"/>
      <c r="I505" s="196"/>
      <c r="J505" s="197"/>
      <c r="K505" s="197"/>
      <c r="L505" s="287" t="s">
        <v>1429</v>
      </c>
      <c r="M505" s="196"/>
      <c r="N505" s="39" t="str">
        <f>J$6</f>
        <v>FY2010-11</v>
      </c>
      <c r="O505" s="39" t="s">
        <v>1354</v>
      </c>
      <c r="P505" s="39" t="s">
        <v>1347</v>
      </c>
      <c r="Q505" s="39"/>
      <c r="R505" s="197"/>
      <c r="S505" s="197"/>
      <c r="T505" s="197"/>
      <c r="U505" s="197"/>
      <c r="V505" s="198"/>
      <c r="W505" s="198"/>
      <c r="X505" s="198"/>
      <c r="Y505" s="198"/>
      <c r="Z505" s="198"/>
      <c r="AA505" s="198"/>
      <c r="AB505" s="198"/>
      <c r="AC505" s="198"/>
      <c r="AD505" s="198"/>
      <c r="AE505" s="198"/>
      <c r="AF505" s="198"/>
      <c r="AG505" s="198"/>
      <c r="AH505" s="6"/>
    </row>
    <row r="506" spans="1:34" ht="16" customHeight="1">
      <c r="A506" s="7"/>
      <c r="B506" s="16">
        <f>DSUM('$REV-DB'!D35:AG374,"AMOUNT",'$REV-DSUM'!D504:AG511)</f>
        <v>0</v>
      </c>
      <c r="C506" s="12"/>
      <c r="D506" s="197"/>
      <c r="E506" s="197"/>
      <c r="F506" s="196"/>
      <c r="G506" s="197"/>
      <c r="H506" s="196"/>
      <c r="I506" s="196"/>
      <c r="J506" s="197"/>
      <c r="K506" s="197"/>
      <c r="L506" s="287" t="s">
        <v>1429</v>
      </c>
      <c r="M506" s="196"/>
      <c r="N506" s="39" t="str">
        <f t="shared" ref="N506:N511" si="49">J$6</f>
        <v>FY2010-11</v>
      </c>
      <c r="O506" s="39" t="s">
        <v>1354</v>
      </c>
      <c r="P506" s="39" t="s">
        <v>1347</v>
      </c>
      <c r="Q506" s="39"/>
      <c r="R506" s="197"/>
      <c r="S506" s="197"/>
      <c r="T506" s="197"/>
      <c r="U506" s="197"/>
      <c r="V506" s="198"/>
      <c r="W506" s="198"/>
      <c r="X506" s="198"/>
      <c r="Y506" s="198"/>
      <c r="Z506" s="198"/>
      <c r="AA506" s="198"/>
      <c r="AB506" s="198"/>
      <c r="AC506" s="198"/>
      <c r="AD506" s="198"/>
      <c r="AE506" s="198"/>
      <c r="AF506" s="198"/>
      <c r="AG506" s="198"/>
      <c r="AH506" s="6"/>
    </row>
    <row r="507" spans="1:34" ht="16" customHeight="1">
      <c r="A507" s="7"/>
      <c r="B507" s="10"/>
      <c r="C507" s="12"/>
      <c r="D507" s="197"/>
      <c r="E507" s="197"/>
      <c r="F507" s="196"/>
      <c r="G507" s="197"/>
      <c r="H507" s="196"/>
      <c r="I507" s="196"/>
      <c r="J507" s="197"/>
      <c r="K507" s="197"/>
      <c r="L507" s="287" t="s">
        <v>1429</v>
      </c>
      <c r="M507" s="196"/>
      <c r="N507" s="39" t="str">
        <f t="shared" si="49"/>
        <v>FY2010-11</v>
      </c>
      <c r="O507" s="39" t="s">
        <v>1354</v>
      </c>
      <c r="P507" s="39" t="s">
        <v>1347</v>
      </c>
      <c r="Q507" s="39"/>
      <c r="R507" s="197"/>
      <c r="S507" s="197"/>
      <c r="T507" s="197"/>
      <c r="U507" s="197"/>
      <c r="V507" s="198"/>
      <c r="W507" s="198"/>
      <c r="X507" s="198"/>
      <c r="Y507" s="198"/>
      <c r="Z507" s="198"/>
      <c r="AA507" s="198"/>
      <c r="AB507" s="198"/>
      <c r="AC507" s="198"/>
      <c r="AD507" s="198"/>
      <c r="AE507" s="198"/>
      <c r="AF507" s="198"/>
      <c r="AG507" s="198"/>
    </row>
    <row r="508" spans="1:34" ht="16" customHeight="1">
      <c r="A508" s="7"/>
      <c r="B508" s="10"/>
      <c r="C508" s="12"/>
      <c r="D508" s="197"/>
      <c r="E508" s="197"/>
      <c r="F508" s="196"/>
      <c r="G508" s="197"/>
      <c r="H508" s="196"/>
      <c r="I508" s="196"/>
      <c r="J508" s="197"/>
      <c r="K508" s="197"/>
      <c r="L508" s="287" t="s">
        <v>1429</v>
      </c>
      <c r="M508" s="196"/>
      <c r="N508" s="39" t="str">
        <f t="shared" si="49"/>
        <v>FY2010-11</v>
      </c>
      <c r="O508" s="39" t="s">
        <v>1354</v>
      </c>
      <c r="P508" s="39" t="s">
        <v>1347</v>
      </c>
      <c r="Q508" s="39"/>
      <c r="R508" s="197"/>
      <c r="S508" s="197"/>
      <c r="T508" s="197"/>
      <c r="U508" s="197"/>
      <c r="V508" s="198"/>
      <c r="W508" s="198"/>
      <c r="X508" s="198"/>
      <c r="Y508" s="198"/>
      <c r="Z508" s="198"/>
      <c r="AA508" s="198"/>
      <c r="AB508" s="198"/>
      <c r="AC508" s="198"/>
      <c r="AD508" s="198"/>
      <c r="AE508" s="198"/>
      <c r="AF508" s="198"/>
      <c r="AG508" s="198"/>
    </row>
    <row r="509" spans="1:34" ht="16" customHeight="1">
      <c r="A509" s="7"/>
      <c r="B509" s="10"/>
      <c r="C509" s="12"/>
      <c r="D509" s="197"/>
      <c r="E509" s="197"/>
      <c r="F509" s="196"/>
      <c r="G509" s="197"/>
      <c r="H509" s="196"/>
      <c r="I509" s="196"/>
      <c r="J509" s="197"/>
      <c r="K509" s="197"/>
      <c r="L509" s="287" t="s">
        <v>1429</v>
      </c>
      <c r="M509" s="196"/>
      <c r="N509" s="39" t="str">
        <f t="shared" si="49"/>
        <v>FY2010-11</v>
      </c>
      <c r="O509" s="39" t="s">
        <v>1354</v>
      </c>
      <c r="P509" s="39" t="s">
        <v>1347</v>
      </c>
      <c r="Q509" s="39"/>
      <c r="R509" s="197"/>
      <c r="S509" s="197"/>
      <c r="T509" s="197"/>
      <c r="U509" s="197"/>
      <c r="V509" s="198"/>
      <c r="W509" s="198"/>
      <c r="X509" s="198"/>
      <c r="Y509" s="198"/>
      <c r="Z509" s="198"/>
      <c r="AA509" s="198"/>
      <c r="AB509" s="198"/>
      <c r="AC509" s="198"/>
      <c r="AD509" s="198"/>
      <c r="AE509" s="198"/>
      <c r="AF509" s="198"/>
      <c r="AG509" s="198"/>
    </row>
    <row r="510" spans="1:34" ht="16" customHeight="1">
      <c r="A510" s="7"/>
      <c r="B510" s="10"/>
      <c r="C510" s="12"/>
      <c r="D510" s="197"/>
      <c r="E510" s="197"/>
      <c r="F510" s="196"/>
      <c r="G510" s="197"/>
      <c r="H510" s="196"/>
      <c r="I510" s="196"/>
      <c r="J510" s="197"/>
      <c r="K510" s="197"/>
      <c r="L510" s="287" t="s">
        <v>1429</v>
      </c>
      <c r="M510" s="196"/>
      <c r="N510" s="39" t="str">
        <f t="shared" si="49"/>
        <v>FY2010-11</v>
      </c>
      <c r="O510" s="39" t="s">
        <v>1354</v>
      </c>
      <c r="P510" s="39" t="s">
        <v>1347</v>
      </c>
      <c r="Q510" s="39"/>
      <c r="R510" s="197"/>
      <c r="S510" s="197"/>
      <c r="T510" s="197"/>
      <c r="U510" s="197"/>
      <c r="V510" s="198"/>
      <c r="W510" s="198"/>
      <c r="X510" s="198"/>
      <c r="Y510" s="198"/>
      <c r="Z510" s="198"/>
      <c r="AA510" s="198"/>
      <c r="AB510" s="198"/>
      <c r="AC510" s="198"/>
      <c r="AD510" s="198"/>
      <c r="AE510" s="198"/>
      <c r="AF510" s="198"/>
      <c r="AG510" s="198"/>
    </row>
    <row r="511" spans="1:34" ht="16" customHeight="1">
      <c r="A511" s="7"/>
      <c r="B511" s="10"/>
      <c r="C511" s="12"/>
      <c r="D511" s="197"/>
      <c r="E511" s="197"/>
      <c r="F511" s="196"/>
      <c r="G511" s="197"/>
      <c r="H511" s="196"/>
      <c r="I511" s="196"/>
      <c r="J511" s="197"/>
      <c r="K511" s="197"/>
      <c r="L511" s="287" t="s">
        <v>1429</v>
      </c>
      <c r="M511" s="196"/>
      <c r="N511" s="39" t="str">
        <f t="shared" si="49"/>
        <v>FY2010-11</v>
      </c>
      <c r="O511" s="39" t="s">
        <v>1354</v>
      </c>
      <c r="P511" s="39" t="s">
        <v>1347</v>
      </c>
      <c r="Q511" s="39"/>
      <c r="R511" s="197"/>
      <c r="S511" s="197"/>
      <c r="T511" s="197"/>
      <c r="U511" s="197"/>
      <c r="V511" s="198"/>
      <c r="W511" s="198"/>
      <c r="X511" s="198"/>
      <c r="Y511" s="198"/>
      <c r="Z511" s="198"/>
      <c r="AA511" s="198"/>
      <c r="AB511" s="198"/>
      <c r="AC511" s="198"/>
      <c r="AD511" s="198"/>
      <c r="AE511" s="198"/>
      <c r="AF511" s="198"/>
      <c r="AG511" s="198"/>
    </row>
    <row r="512" spans="1:34" ht="16" customHeight="1">
      <c r="A512" s="21"/>
      <c r="B512" s="22"/>
      <c r="C512" s="22"/>
      <c r="D512" s="23"/>
      <c r="E512" s="23"/>
      <c r="F512" s="24"/>
      <c r="G512" s="23"/>
      <c r="H512" s="24"/>
      <c r="I512" s="24"/>
      <c r="J512" s="23"/>
      <c r="K512" s="23"/>
      <c r="L512" s="286"/>
      <c r="M512" s="24"/>
      <c r="N512" s="24"/>
      <c r="O512" s="23"/>
      <c r="P512" s="24"/>
      <c r="Q512" s="24"/>
      <c r="R512" s="23"/>
      <c r="S512" s="23"/>
      <c r="T512" s="23"/>
      <c r="U512" s="23"/>
      <c r="V512" s="21"/>
      <c r="W512" s="21"/>
      <c r="X512" s="21"/>
      <c r="Y512" s="21"/>
      <c r="Z512" s="21"/>
      <c r="AA512" s="21"/>
      <c r="AB512" s="21"/>
      <c r="AC512" s="21"/>
      <c r="AD512" s="21"/>
      <c r="AE512" s="21"/>
      <c r="AF512" s="21"/>
      <c r="AG512" s="21"/>
    </row>
    <row r="513" spans="1:34" ht="16" customHeight="1" thickBot="1">
      <c r="A513" s="7"/>
      <c r="B513" s="19" t="str">
        <f>"FA3 = "&amp;'FIG3'!$W$54&amp;" "&amp;'FIG3'!$X$54</f>
        <v>FA3 = FA3L1 FA3L2</v>
      </c>
      <c r="C513" s="7"/>
      <c r="D513" s="8"/>
      <c r="E513" s="8"/>
      <c r="F513" s="9"/>
      <c r="G513" s="8"/>
      <c r="H513" s="9"/>
      <c r="I513" s="9"/>
      <c r="J513" s="8"/>
      <c r="K513" s="8"/>
      <c r="L513" s="280"/>
      <c r="M513" s="9"/>
      <c r="N513" s="9"/>
      <c r="O513" s="8"/>
      <c r="P513" s="9"/>
      <c r="Q513" s="9"/>
      <c r="R513" s="8"/>
      <c r="S513" s="882"/>
      <c r="T513" s="883" t="str">
        <f>'$REV-DB'!$T$34</f>
        <v>Federal Revenues</v>
      </c>
      <c r="U513" s="883" t="str">
        <f>'$REV-DB'!$U$34</f>
        <v>local Revenues</v>
      </c>
      <c r="V513" s="883" t="str">
        <f>'$REV-DB'!$V$34</f>
        <v>Other Revenues</v>
      </c>
      <c r="W513" s="883" t="str">
        <f>'$REV-DB'!$W$34</f>
        <v>State revenues</v>
      </c>
      <c r="X513" s="883" t="str">
        <f>'$REV-DB'!$X$34</f>
        <v>UD5</v>
      </c>
      <c r="Y513" s="883" t="str">
        <f>'$REV-DB'!$Y$34</f>
        <v>UD6</v>
      </c>
      <c r="Z513" s="883" t="str">
        <f>'$REV-DB'!$Z$34</f>
        <v>UD7</v>
      </c>
      <c r="AA513" s="883" t="str">
        <f>'$REV-DB'!$AA$34</f>
        <v>UD8</v>
      </c>
      <c r="AB513" s="883" t="str">
        <f>'$REV-DB'!$AB$34</f>
        <v>UD9</v>
      </c>
      <c r="AC513" s="883" t="str">
        <f>'$REV-DB'!$AC$34</f>
        <v>UD10</v>
      </c>
      <c r="AD513" s="883" t="str">
        <f>'$REV-DB'!$AD$34</f>
        <v>UD11</v>
      </c>
      <c r="AE513" s="883" t="str">
        <f>'$REV-DB'!$AE$34</f>
        <v>UD12</v>
      </c>
      <c r="AF513" s="883" t="str">
        <f>'$REV-DB'!$AF$34</f>
        <v>UD13</v>
      </c>
      <c r="AG513" s="883" t="str">
        <f>'$REV-DB'!$AG$34</f>
        <v>UD14</v>
      </c>
    </row>
    <row r="514" spans="1:34" ht="16" customHeight="1" thickTop="1" thickBot="1">
      <c r="A514" s="7"/>
      <c r="B514" s="20" t="s">
        <v>1375</v>
      </c>
      <c r="C514" s="15"/>
      <c r="D514" s="105" t="s">
        <v>1386</v>
      </c>
      <c r="E514" s="105" t="s">
        <v>1387</v>
      </c>
      <c r="F514" s="105" t="s">
        <v>1388</v>
      </c>
      <c r="G514" s="105" t="s">
        <v>1389</v>
      </c>
      <c r="H514" s="301" t="s">
        <v>1406</v>
      </c>
      <c r="I514" s="301" t="s">
        <v>1390</v>
      </c>
      <c r="J514" s="301" t="s">
        <v>1391</v>
      </c>
      <c r="K514" s="301" t="s">
        <v>1392</v>
      </c>
      <c r="L514" s="301" t="s">
        <v>1188</v>
      </c>
      <c r="M514" s="301" t="s">
        <v>1437</v>
      </c>
      <c r="N514" s="105" t="s">
        <v>1348</v>
      </c>
      <c r="O514" s="105" t="s">
        <v>1393</v>
      </c>
      <c r="P514" s="105" t="s">
        <v>1342</v>
      </c>
      <c r="Q514" s="105" t="s">
        <v>1394</v>
      </c>
      <c r="R514" s="112" t="s">
        <v>1341</v>
      </c>
      <c r="S514" s="112" t="s">
        <v>846</v>
      </c>
      <c r="T514" s="873" t="s">
        <v>935</v>
      </c>
      <c r="U514" s="873" t="s">
        <v>936</v>
      </c>
      <c r="V514" s="873" t="s">
        <v>937</v>
      </c>
      <c r="W514" s="873" t="s">
        <v>938</v>
      </c>
      <c r="X514" s="873" t="s">
        <v>939</v>
      </c>
      <c r="Y514" s="873" t="s">
        <v>940</v>
      </c>
      <c r="Z514" s="873" t="s">
        <v>941</v>
      </c>
      <c r="AA514" s="873" t="s">
        <v>942</v>
      </c>
      <c r="AB514" s="873" t="s">
        <v>943</v>
      </c>
      <c r="AC514" s="873" t="s">
        <v>944</v>
      </c>
      <c r="AD514" s="873" t="s">
        <v>945</v>
      </c>
      <c r="AE514" s="873" t="s">
        <v>946</v>
      </c>
      <c r="AF514" s="873" t="s">
        <v>947</v>
      </c>
      <c r="AG514" s="873" t="s">
        <v>948</v>
      </c>
      <c r="AH514" s="6"/>
    </row>
    <row r="515" spans="1:34" ht="16" customHeight="1" thickTop="1">
      <c r="A515" s="7"/>
      <c r="B515" s="19" t="s">
        <v>1345</v>
      </c>
      <c r="C515" s="12"/>
      <c r="D515" s="197"/>
      <c r="E515" s="197"/>
      <c r="F515" s="196"/>
      <c r="G515" s="197"/>
      <c r="H515" s="196"/>
      <c r="I515" s="196"/>
      <c r="J515" s="197"/>
      <c r="K515" s="197"/>
      <c r="L515" s="287" t="s">
        <v>1429</v>
      </c>
      <c r="M515" s="196"/>
      <c r="N515" s="39" t="str">
        <f>J$6</f>
        <v>FY2010-11</v>
      </c>
      <c r="O515" s="39" t="s">
        <v>1354</v>
      </c>
      <c r="P515" s="39" t="s">
        <v>1347</v>
      </c>
      <c r="Q515" s="39" t="s">
        <v>1380</v>
      </c>
      <c r="R515" s="197"/>
      <c r="S515" s="197"/>
      <c r="T515" s="197"/>
      <c r="U515" s="197"/>
      <c r="V515" s="198"/>
      <c r="W515" s="198"/>
      <c r="X515" s="198"/>
      <c r="Y515" s="198"/>
      <c r="Z515" s="198"/>
      <c r="AA515" s="198"/>
      <c r="AB515" s="198"/>
      <c r="AC515" s="198"/>
      <c r="AD515" s="198"/>
      <c r="AE515" s="198"/>
      <c r="AF515" s="198"/>
      <c r="AG515" s="198"/>
      <c r="AH515" s="6"/>
    </row>
    <row r="516" spans="1:34" ht="16" customHeight="1">
      <c r="A516" s="7"/>
      <c r="B516" s="16">
        <f>DSUM('$REV-DB'!D35:AG374,"AMOUNT",'$REV-DSUM'!D514:AG521)</f>
        <v>0</v>
      </c>
      <c r="C516" s="12"/>
      <c r="D516" s="197"/>
      <c r="E516" s="197"/>
      <c r="F516" s="196"/>
      <c r="G516" s="197"/>
      <c r="H516" s="196"/>
      <c r="I516" s="196"/>
      <c r="J516" s="197"/>
      <c r="K516" s="197"/>
      <c r="L516" s="287" t="s">
        <v>1429</v>
      </c>
      <c r="M516" s="196"/>
      <c r="N516" s="39" t="str">
        <f t="shared" ref="N516:N521" si="50">J$6</f>
        <v>FY2010-11</v>
      </c>
      <c r="O516" s="39" t="s">
        <v>1354</v>
      </c>
      <c r="P516" s="39" t="s">
        <v>1347</v>
      </c>
      <c r="Q516" s="39" t="s">
        <v>1380</v>
      </c>
      <c r="R516" s="197"/>
      <c r="S516" s="197"/>
      <c r="T516" s="197"/>
      <c r="U516" s="197"/>
      <c r="V516" s="198"/>
      <c r="W516" s="198"/>
      <c r="X516" s="198"/>
      <c r="Y516" s="198"/>
      <c r="Z516" s="198"/>
      <c r="AA516" s="198"/>
      <c r="AB516" s="198"/>
      <c r="AC516" s="198"/>
      <c r="AD516" s="198"/>
      <c r="AE516" s="198"/>
      <c r="AF516" s="198"/>
      <c r="AG516" s="198"/>
      <c r="AH516" s="6"/>
    </row>
    <row r="517" spans="1:34" ht="16" customHeight="1">
      <c r="A517" s="7"/>
      <c r="B517" s="10"/>
      <c r="C517" s="12"/>
      <c r="D517" s="197"/>
      <c r="E517" s="197"/>
      <c r="F517" s="196"/>
      <c r="G517" s="197"/>
      <c r="H517" s="196"/>
      <c r="I517" s="196"/>
      <c r="J517" s="197"/>
      <c r="K517" s="197"/>
      <c r="L517" s="287" t="s">
        <v>1429</v>
      </c>
      <c r="M517" s="196"/>
      <c r="N517" s="39" t="str">
        <f t="shared" si="50"/>
        <v>FY2010-11</v>
      </c>
      <c r="O517" s="39" t="s">
        <v>1354</v>
      </c>
      <c r="P517" s="39" t="s">
        <v>1347</v>
      </c>
      <c r="Q517" s="39" t="s">
        <v>1380</v>
      </c>
      <c r="R517" s="197"/>
      <c r="S517" s="197"/>
      <c r="T517" s="197"/>
      <c r="U517" s="197"/>
      <c r="V517" s="198"/>
      <c r="W517" s="198"/>
      <c r="X517" s="198"/>
      <c r="Y517" s="198"/>
      <c r="Z517" s="198"/>
      <c r="AA517" s="198"/>
      <c r="AB517" s="198"/>
      <c r="AC517" s="198"/>
      <c r="AD517" s="198"/>
      <c r="AE517" s="198"/>
      <c r="AF517" s="198"/>
      <c r="AG517" s="198"/>
    </row>
    <row r="518" spans="1:34" ht="16" customHeight="1">
      <c r="A518" s="7"/>
      <c r="B518" s="10"/>
      <c r="C518" s="12"/>
      <c r="D518" s="197"/>
      <c r="E518" s="197"/>
      <c r="F518" s="196"/>
      <c r="G518" s="197"/>
      <c r="H518" s="196"/>
      <c r="I518" s="196"/>
      <c r="J518" s="197"/>
      <c r="K518" s="197"/>
      <c r="L518" s="287" t="s">
        <v>1429</v>
      </c>
      <c r="M518" s="196"/>
      <c r="N518" s="39" t="str">
        <f t="shared" si="50"/>
        <v>FY2010-11</v>
      </c>
      <c r="O518" s="39" t="s">
        <v>1354</v>
      </c>
      <c r="P518" s="39" t="s">
        <v>1347</v>
      </c>
      <c r="Q518" s="39" t="s">
        <v>1380</v>
      </c>
      <c r="R518" s="197"/>
      <c r="S518" s="197"/>
      <c r="T518" s="197"/>
      <c r="U518" s="197"/>
      <c r="V518" s="198"/>
      <c r="W518" s="198"/>
      <c r="X518" s="198"/>
      <c r="Y518" s="198"/>
      <c r="Z518" s="198"/>
      <c r="AA518" s="198"/>
      <c r="AB518" s="198"/>
      <c r="AC518" s="198"/>
      <c r="AD518" s="198"/>
      <c r="AE518" s="198"/>
      <c r="AF518" s="198"/>
      <c r="AG518" s="198"/>
    </row>
    <row r="519" spans="1:34" ht="16" customHeight="1">
      <c r="A519" s="7"/>
      <c r="B519" s="10"/>
      <c r="C519" s="12"/>
      <c r="D519" s="197"/>
      <c r="E519" s="197"/>
      <c r="F519" s="196"/>
      <c r="G519" s="197"/>
      <c r="H519" s="196"/>
      <c r="I519" s="196"/>
      <c r="J519" s="197"/>
      <c r="K519" s="197"/>
      <c r="L519" s="287" t="s">
        <v>1429</v>
      </c>
      <c r="M519" s="196"/>
      <c r="N519" s="39" t="str">
        <f t="shared" si="50"/>
        <v>FY2010-11</v>
      </c>
      <c r="O519" s="39" t="s">
        <v>1354</v>
      </c>
      <c r="P519" s="39" t="s">
        <v>1347</v>
      </c>
      <c r="Q519" s="39" t="s">
        <v>1380</v>
      </c>
      <c r="R519" s="197"/>
      <c r="S519" s="197"/>
      <c r="T519" s="197"/>
      <c r="U519" s="197"/>
      <c r="V519" s="198"/>
      <c r="W519" s="198"/>
      <c r="X519" s="198"/>
      <c r="Y519" s="198"/>
      <c r="Z519" s="198"/>
      <c r="AA519" s="198"/>
      <c r="AB519" s="198"/>
      <c r="AC519" s="198"/>
      <c r="AD519" s="198"/>
      <c r="AE519" s="198"/>
      <c r="AF519" s="198"/>
      <c r="AG519" s="198"/>
    </row>
    <row r="520" spans="1:34" ht="16" customHeight="1">
      <c r="A520" s="7"/>
      <c r="B520" s="10"/>
      <c r="C520" s="12"/>
      <c r="D520" s="197"/>
      <c r="E520" s="197"/>
      <c r="F520" s="196"/>
      <c r="G520" s="197"/>
      <c r="H520" s="196"/>
      <c r="I520" s="196"/>
      <c r="J520" s="197"/>
      <c r="K520" s="197"/>
      <c r="L520" s="287" t="s">
        <v>1429</v>
      </c>
      <c r="M520" s="196"/>
      <c r="N520" s="39" t="str">
        <f t="shared" si="50"/>
        <v>FY2010-11</v>
      </c>
      <c r="O520" s="39" t="s">
        <v>1354</v>
      </c>
      <c r="P520" s="39" t="s">
        <v>1347</v>
      </c>
      <c r="Q520" s="39" t="s">
        <v>1380</v>
      </c>
      <c r="R520" s="197"/>
      <c r="S520" s="197"/>
      <c r="T520" s="197"/>
      <c r="U520" s="197"/>
      <c r="V520" s="198"/>
      <c r="W520" s="198"/>
      <c r="X520" s="198"/>
      <c r="Y520" s="198"/>
      <c r="Z520" s="198"/>
      <c r="AA520" s="198"/>
      <c r="AB520" s="198"/>
      <c r="AC520" s="198"/>
      <c r="AD520" s="198"/>
      <c r="AE520" s="198"/>
      <c r="AF520" s="198"/>
      <c r="AG520" s="198"/>
    </row>
    <row r="521" spans="1:34" ht="16" customHeight="1">
      <c r="A521" s="7"/>
      <c r="B521" s="10"/>
      <c r="C521" s="12"/>
      <c r="D521" s="197"/>
      <c r="E521" s="197"/>
      <c r="F521" s="196"/>
      <c r="G521" s="197"/>
      <c r="H521" s="196"/>
      <c r="I521" s="196"/>
      <c r="J521" s="197"/>
      <c r="K521" s="197"/>
      <c r="L521" s="287" t="s">
        <v>1429</v>
      </c>
      <c r="M521" s="196"/>
      <c r="N521" s="39" t="str">
        <f t="shared" si="50"/>
        <v>FY2010-11</v>
      </c>
      <c r="O521" s="39" t="s">
        <v>1354</v>
      </c>
      <c r="P521" s="39" t="s">
        <v>1347</v>
      </c>
      <c r="Q521" s="39" t="s">
        <v>1380</v>
      </c>
      <c r="R521" s="197"/>
      <c r="S521" s="197"/>
      <c r="T521" s="197"/>
      <c r="U521" s="197"/>
      <c r="V521" s="198"/>
      <c r="W521" s="198"/>
      <c r="X521" s="198"/>
      <c r="Y521" s="198"/>
      <c r="Z521" s="198"/>
      <c r="AA521" s="198"/>
      <c r="AB521" s="198"/>
      <c r="AC521" s="198"/>
      <c r="AD521" s="198"/>
      <c r="AE521" s="198"/>
      <c r="AF521" s="198"/>
      <c r="AG521" s="198"/>
    </row>
    <row r="522" spans="1:34" ht="16" customHeight="1">
      <c r="A522" s="21"/>
      <c r="B522" s="22"/>
      <c r="C522" s="22"/>
      <c r="D522" s="23"/>
      <c r="E522" s="23"/>
      <c r="F522" s="24"/>
      <c r="G522" s="23"/>
      <c r="H522" s="24"/>
      <c r="I522" s="24"/>
      <c r="J522" s="23"/>
      <c r="K522" s="23"/>
      <c r="L522" s="286"/>
      <c r="M522" s="24"/>
      <c r="N522" s="24"/>
      <c r="O522" s="23"/>
      <c r="P522" s="24"/>
      <c r="Q522" s="24"/>
      <c r="R522" s="23"/>
      <c r="S522" s="23"/>
      <c r="T522" s="23"/>
      <c r="U522" s="23"/>
      <c r="V522" s="21"/>
      <c r="W522" s="21"/>
      <c r="X522" s="21"/>
      <c r="Y522" s="21"/>
      <c r="Z522" s="21"/>
      <c r="AA522" s="21"/>
      <c r="AB522" s="21"/>
      <c r="AC522" s="21"/>
      <c r="AD522" s="21"/>
      <c r="AE522" s="21"/>
      <c r="AF522" s="21"/>
      <c r="AG522" s="21"/>
    </row>
    <row r="523" spans="1:34" ht="16" customHeight="1" thickBot="1">
      <c r="A523" s="7"/>
      <c r="B523" s="19" t="str">
        <f>"FA3 = "&amp;'FIG3'!$W$54&amp;" "&amp;'FIG3'!$X$54</f>
        <v>FA3 = FA3L1 FA3L2</v>
      </c>
      <c r="C523" s="7"/>
      <c r="D523" s="8"/>
      <c r="E523" s="8"/>
      <c r="F523" s="9"/>
      <c r="G523" s="8"/>
      <c r="H523" s="9"/>
      <c r="I523" s="9"/>
      <c r="J523" s="8"/>
      <c r="K523" s="8"/>
      <c r="L523" s="280"/>
      <c r="M523" s="9"/>
      <c r="N523" s="9"/>
      <c r="O523" s="8"/>
      <c r="P523" s="9"/>
      <c r="Q523" s="9"/>
      <c r="R523" s="8"/>
      <c r="S523" s="882"/>
      <c r="T523" s="883" t="str">
        <f>'$REV-DB'!$T$34</f>
        <v>Federal Revenues</v>
      </c>
      <c r="U523" s="883" t="str">
        <f>'$REV-DB'!$U$34</f>
        <v>local Revenues</v>
      </c>
      <c r="V523" s="883" t="str">
        <f>'$REV-DB'!$V$34</f>
        <v>Other Revenues</v>
      </c>
      <c r="W523" s="883" t="str">
        <f>'$REV-DB'!$W$34</f>
        <v>State revenues</v>
      </c>
      <c r="X523" s="883" t="str">
        <f>'$REV-DB'!$X$34</f>
        <v>UD5</v>
      </c>
      <c r="Y523" s="883" t="str">
        <f>'$REV-DB'!$Y$34</f>
        <v>UD6</v>
      </c>
      <c r="Z523" s="883" t="str">
        <f>'$REV-DB'!$Z$34</f>
        <v>UD7</v>
      </c>
      <c r="AA523" s="883" t="str">
        <f>'$REV-DB'!$AA$34</f>
        <v>UD8</v>
      </c>
      <c r="AB523" s="883" t="str">
        <f>'$REV-DB'!$AB$34</f>
        <v>UD9</v>
      </c>
      <c r="AC523" s="883" t="str">
        <f>'$REV-DB'!$AC$34</f>
        <v>UD10</v>
      </c>
      <c r="AD523" s="883" t="str">
        <f>'$REV-DB'!$AD$34</f>
        <v>UD11</v>
      </c>
      <c r="AE523" s="883" t="str">
        <f>'$REV-DB'!$AE$34</f>
        <v>UD12</v>
      </c>
      <c r="AF523" s="883" t="str">
        <f>'$REV-DB'!$AF$34</f>
        <v>UD13</v>
      </c>
      <c r="AG523" s="883" t="str">
        <f>'$REV-DB'!$AG$34</f>
        <v>UD14</v>
      </c>
    </row>
    <row r="524" spans="1:34" ht="16" customHeight="1" thickTop="1" thickBot="1">
      <c r="A524" s="7"/>
      <c r="B524" s="20" t="s">
        <v>1375</v>
      </c>
      <c r="C524" s="15"/>
      <c r="D524" s="105" t="s">
        <v>1386</v>
      </c>
      <c r="E524" s="105" t="s">
        <v>1387</v>
      </c>
      <c r="F524" s="105" t="s">
        <v>1388</v>
      </c>
      <c r="G524" s="105" t="s">
        <v>1389</v>
      </c>
      <c r="H524" s="301" t="s">
        <v>1406</v>
      </c>
      <c r="I524" s="301" t="s">
        <v>1390</v>
      </c>
      <c r="J524" s="301" t="s">
        <v>1391</v>
      </c>
      <c r="K524" s="301" t="s">
        <v>1392</v>
      </c>
      <c r="L524" s="301" t="s">
        <v>1188</v>
      </c>
      <c r="M524" s="301" t="s">
        <v>1437</v>
      </c>
      <c r="N524" s="105" t="s">
        <v>1348</v>
      </c>
      <c r="O524" s="105" t="s">
        <v>1393</v>
      </c>
      <c r="P524" s="105" t="s">
        <v>1342</v>
      </c>
      <c r="Q524" s="105" t="s">
        <v>1394</v>
      </c>
      <c r="R524" s="112" t="s">
        <v>1341</v>
      </c>
      <c r="S524" s="112" t="s">
        <v>846</v>
      </c>
      <c r="T524" s="873" t="s">
        <v>935</v>
      </c>
      <c r="U524" s="873" t="s">
        <v>936</v>
      </c>
      <c r="V524" s="873" t="s">
        <v>937</v>
      </c>
      <c r="W524" s="873" t="s">
        <v>938</v>
      </c>
      <c r="X524" s="873" t="s">
        <v>939</v>
      </c>
      <c r="Y524" s="873" t="s">
        <v>940</v>
      </c>
      <c r="Z524" s="873" t="s">
        <v>941</v>
      </c>
      <c r="AA524" s="873" t="s">
        <v>942</v>
      </c>
      <c r="AB524" s="873" t="s">
        <v>943</v>
      </c>
      <c r="AC524" s="873" t="s">
        <v>944</v>
      </c>
      <c r="AD524" s="873" t="s">
        <v>945</v>
      </c>
      <c r="AE524" s="873" t="s">
        <v>946</v>
      </c>
      <c r="AF524" s="873" t="s">
        <v>947</v>
      </c>
      <c r="AG524" s="873" t="s">
        <v>948</v>
      </c>
      <c r="AH524" s="6"/>
    </row>
    <row r="525" spans="1:34" ht="16" customHeight="1" thickTop="1">
      <c r="A525" s="7"/>
      <c r="B525" s="19" t="s">
        <v>1344</v>
      </c>
      <c r="C525" s="12"/>
      <c r="D525" s="197"/>
      <c r="E525" s="197"/>
      <c r="F525" s="196"/>
      <c r="G525" s="197"/>
      <c r="H525" s="196"/>
      <c r="I525" s="196"/>
      <c r="J525" s="197"/>
      <c r="K525" s="197"/>
      <c r="L525" s="287" t="s">
        <v>1429</v>
      </c>
      <c r="M525" s="196"/>
      <c r="N525" s="39" t="str">
        <f>J$6</f>
        <v>FY2010-11</v>
      </c>
      <c r="O525" s="39" t="s">
        <v>1354</v>
      </c>
      <c r="P525" s="39" t="s">
        <v>1347</v>
      </c>
      <c r="Q525" s="39" t="s">
        <v>1339</v>
      </c>
      <c r="R525" s="197"/>
      <c r="S525" s="197"/>
      <c r="T525" s="197"/>
      <c r="U525" s="197"/>
      <c r="V525" s="198"/>
      <c r="W525" s="198"/>
      <c r="X525" s="198"/>
      <c r="Y525" s="198"/>
      <c r="Z525" s="198"/>
      <c r="AA525" s="198"/>
      <c r="AB525" s="198"/>
      <c r="AC525" s="198"/>
      <c r="AD525" s="198"/>
      <c r="AE525" s="198"/>
      <c r="AF525" s="198"/>
      <c r="AG525" s="198"/>
      <c r="AH525" s="6"/>
    </row>
    <row r="526" spans="1:34" ht="16" customHeight="1">
      <c r="A526" s="7"/>
      <c r="B526" s="16">
        <f>DSUM('$REV-DB'!D35:AG374,"AMOUNT",'$REV-DSUM'!D524:AG531)</f>
        <v>0</v>
      </c>
      <c r="C526" s="12"/>
      <c r="D526" s="197"/>
      <c r="E526" s="197"/>
      <c r="F526" s="196"/>
      <c r="G526" s="197"/>
      <c r="H526" s="196"/>
      <c r="I526" s="196"/>
      <c r="J526" s="197"/>
      <c r="K526" s="197"/>
      <c r="L526" s="287" t="s">
        <v>1429</v>
      </c>
      <c r="M526" s="196"/>
      <c r="N526" s="39" t="str">
        <f t="shared" ref="N526:N531" si="51">J$6</f>
        <v>FY2010-11</v>
      </c>
      <c r="O526" s="39" t="s">
        <v>1354</v>
      </c>
      <c r="P526" s="39" t="s">
        <v>1347</v>
      </c>
      <c r="Q526" s="39" t="s">
        <v>1339</v>
      </c>
      <c r="R526" s="197"/>
      <c r="S526" s="197"/>
      <c r="T526" s="197"/>
      <c r="U526" s="197"/>
      <c r="V526" s="198"/>
      <c r="W526" s="198"/>
      <c r="X526" s="198"/>
      <c r="Y526" s="198"/>
      <c r="Z526" s="198"/>
      <c r="AA526" s="198"/>
      <c r="AB526" s="198"/>
      <c r="AC526" s="198"/>
      <c r="AD526" s="198"/>
      <c r="AE526" s="198"/>
      <c r="AF526" s="198"/>
      <c r="AG526" s="198"/>
      <c r="AH526" s="6"/>
    </row>
    <row r="527" spans="1:34" ht="16" customHeight="1">
      <c r="A527" s="7"/>
      <c r="B527" s="10"/>
      <c r="C527" s="12"/>
      <c r="D527" s="197"/>
      <c r="E527" s="197"/>
      <c r="F527" s="196"/>
      <c r="G527" s="197"/>
      <c r="H527" s="196"/>
      <c r="I527" s="196"/>
      <c r="J527" s="197"/>
      <c r="K527" s="197"/>
      <c r="L527" s="287" t="s">
        <v>1429</v>
      </c>
      <c r="M527" s="196"/>
      <c r="N527" s="39" t="str">
        <f t="shared" si="51"/>
        <v>FY2010-11</v>
      </c>
      <c r="O527" s="39" t="s">
        <v>1354</v>
      </c>
      <c r="P527" s="39" t="s">
        <v>1347</v>
      </c>
      <c r="Q527" s="39" t="s">
        <v>1339</v>
      </c>
      <c r="R527" s="197"/>
      <c r="S527" s="197"/>
      <c r="T527" s="197"/>
      <c r="U527" s="197"/>
      <c r="V527" s="198"/>
      <c r="W527" s="198"/>
      <c r="X527" s="198"/>
      <c r="Y527" s="198"/>
      <c r="Z527" s="198"/>
      <c r="AA527" s="198"/>
      <c r="AB527" s="198"/>
      <c r="AC527" s="198"/>
      <c r="AD527" s="198"/>
      <c r="AE527" s="198"/>
      <c r="AF527" s="198"/>
      <c r="AG527" s="198"/>
    </row>
    <row r="528" spans="1:34" ht="16" customHeight="1">
      <c r="A528" s="7"/>
      <c r="B528" s="10"/>
      <c r="C528" s="12"/>
      <c r="D528" s="197"/>
      <c r="E528" s="197"/>
      <c r="F528" s="196"/>
      <c r="G528" s="197"/>
      <c r="H528" s="196"/>
      <c r="I528" s="196"/>
      <c r="J528" s="197"/>
      <c r="K528" s="197"/>
      <c r="L528" s="287" t="s">
        <v>1429</v>
      </c>
      <c r="M528" s="196"/>
      <c r="N528" s="39" t="str">
        <f t="shared" si="51"/>
        <v>FY2010-11</v>
      </c>
      <c r="O528" s="39" t="s">
        <v>1354</v>
      </c>
      <c r="P528" s="39" t="s">
        <v>1347</v>
      </c>
      <c r="Q528" s="39" t="s">
        <v>1339</v>
      </c>
      <c r="R528" s="197"/>
      <c r="S528" s="197"/>
      <c r="T528" s="197"/>
      <c r="U528" s="197"/>
      <c r="V528" s="198"/>
      <c r="W528" s="198"/>
      <c r="X528" s="198"/>
      <c r="Y528" s="198"/>
      <c r="Z528" s="198"/>
      <c r="AA528" s="198"/>
      <c r="AB528" s="198"/>
      <c r="AC528" s="198"/>
      <c r="AD528" s="198"/>
      <c r="AE528" s="198"/>
      <c r="AF528" s="198"/>
      <c r="AG528" s="198"/>
    </row>
    <row r="529" spans="1:34" ht="16" customHeight="1">
      <c r="A529" s="7"/>
      <c r="B529" s="10"/>
      <c r="C529" s="12"/>
      <c r="D529" s="197"/>
      <c r="E529" s="197"/>
      <c r="F529" s="196"/>
      <c r="G529" s="197"/>
      <c r="H529" s="196"/>
      <c r="I529" s="196"/>
      <c r="J529" s="197"/>
      <c r="K529" s="197"/>
      <c r="L529" s="287" t="s">
        <v>1429</v>
      </c>
      <c r="M529" s="196"/>
      <c r="N529" s="39" t="str">
        <f t="shared" si="51"/>
        <v>FY2010-11</v>
      </c>
      <c r="O529" s="39" t="s">
        <v>1354</v>
      </c>
      <c r="P529" s="39" t="s">
        <v>1347</v>
      </c>
      <c r="Q529" s="39" t="s">
        <v>1339</v>
      </c>
      <c r="R529" s="197"/>
      <c r="S529" s="197"/>
      <c r="T529" s="197"/>
      <c r="U529" s="197"/>
      <c r="V529" s="198"/>
      <c r="W529" s="198"/>
      <c r="X529" s="198"/>
      <c r="Y529" s="198"/>
      <c r="Z529" s="198"/>
      <c r="AA529" s="198"/>
      <c r="AB529" s="198"/>
      <c r="AC529" s="198"/>
      <c r="AD529" s="198"/>
      <c r="AE529" s="198"/>
      <c r="AF529" s="198"/>
      <c r="AG529" s="198"/>
    </row>
    <row r="530" spans="1:34" ht="16" customHeight="1">
      <c r="A530" s="7"/>
      <c r="B530" s="10"/>
      <c r="C530" s="12"/>
      <c r="D530" s="197"/>
      <c r="E530" s="197"/>
      <c r="F530" s="196"/>
      <c r="G530" s="197"/>
      <c r="H530" s="196"/>
      <c r="I530" s="196"/>
      <c r="J530" s="197"/>
      <c r="K530" s="197"/>
      <c r="L530" s="287" t="s">
        <v>1429</v>
      </c>
      <c r="M530" s="196"/>
      <c r="N530" s="39" t="str">
        <f t="shared" si="51"/>
        <v>FY2010-11</v>
      </c>
      <c r="O530" s="39" t="s">
        <v>1354</v>
      </c>
      <c r="P530" s="39" t="s">
        <v>1347</v>
      </c>
      <c r="Q530" s="39" t="s">
        <v>1339</v>
      </c>
      <c r="R530" s="197"/>
      <c r="S530" s="197"/>
      <c r="T530" s="197"/>
      <c r="U530" s="197"/>
      <c r="V530" s="198"/>
      <c r="W530" s="198"/>
      <c r="X530" s="198"/>
      <c r="Y530" s="198"/>
      <c r="Z530" s="198"/>
      <c r="AA530" s="198"/>
      <c r="AB530" s="198"/>
      <c r="AC530" s="198"/>
      <c r="AD530" s="198"/>
      <c r="AE530" s="198"/>
      <c r="AF530" s="198"/>
      <c r="AG530" s="198"/>
    </row>
    <row r="531" spans="1:34" ht="16" customHeight="1">
      <c r="A531" s="7"/>
      <c r="B531" s="10"/>
      <c r="C531" s="12"/>
      <c r="D531" s="197"/>
      <c r="E531" s="197"/>
      <c r="F531" s="196"/>
      <c r="G531" s="197"/>
      <c r="H531" s="196"/>
      <c r="I531" s="196"/>
      <c r="J531" s="197"/>
      <c r="K531" s="197"/>
      <c r="L531" s="287" t="s">
        <v>1429</v>
      </c>
      <c r="M531" s="196"/>
      <c r="N531" s="39" t="str">
        <f t="shared" si="51"/>
        <v>FY2010-11</v>
      </c>
      <c r="O531" s="39" t="s">
        <v>1354</v>
      </c>
      <c r="P531" s="39" t="s">
        <v>1347</v>
      </c>
      <c r="Q531" s="39" t="s">
        <v>1339</v>
      </c>
      <c r="R531" s="197"/>
      <c r="S531" s="197"/>
      <c r="T531" s="197"/>
      <c r="U531" s="197"/>
      <c r="V531" s="198"/>
      <c r="W531" s="198"/>
      <c r="X531" s="198"/>
      <c r="Y531" s="198"/>
      <c r="Z531" s="198"/>
      <c r="AA531" s="198"/>
      <c r="AB531" s="198"/>
      <c r="AC531" s="198"/>
      <c r="AD531" s="198"/>
      <c r="AE531" s="198"/>
      <c r="AF531" s="198"/>
      <c r="AG531" s="198"/>
    </row>
    <row r="532" spans="1:34" ht="16" customHeight="1">
      <c r="A532" s="21"/>
      <c r="B532" s="22"/>
      <c r="C532" s="22"/>
      <c r="D532" s="23"/>
      <c r="E532" s="23"/>
      <c r="F532" s="24"/>
      <c r="G532" s="23"/>
      <c r="H532" s="24"/>
      <c r="I532" s="24"/>
      <c r="J532" s="23"/>
      <c r="K532" s="23"/>
      <c r="L532" s="286"/>
      <c r="M532" s="24"/>
      <c r="N532" s="24"/>
      <c r="O532" s="23"/>
      <c r="P532" s="24"/>
      <c r="Q532" s="24"/>
      <c r="R532" s="23"/>
      <c r="S532" s="23"/>
      <c r="T532" s="23"/>
      <c r="U532" s="23"/>
      <c r="V532" s="21"/>
      <c r="W532" s="21"/>
      <c r="X532" s="21"/>
      <c r="Y532" s="21"/>
      <c r="Z532" s="21"/>
      <c r="AA532" s="21"/>
      <c r="AB532" s="21"/>
      <c r="AC532" s="21"/>
      <c r="AD532" s="21"/>
      <c r="AE532" s="21"/>
      <c r="AF532" s="21"/>
      <c r="AG532" s="21"/>
    </row>
    <row r="533" spans="1:34" ht="16" customHeight="1" thickBot="1">
      <c r="A533" s="7"/>
      <c r="B533" s="19" t="str">
        <f>"FA3 = "&amp;'FIG3'!$W$54&amp;" "&amp;'FIG3'!$X$54</f>
        <v>FA3 = FA3L1 FA3L2</v>
      </c>
      <c r="C533" s="7"/>
      <c r="D533" s="8"/>
      <c r="E533" s="8"/>
      <c r="F533" s="9"/>
      <c r="G533" s="8"/>
      <c r="H533" s="9"/>
      <c r="I533" s="9"/>
      <c r="J533" s="8"/>
      <c r="K533" s="8"/>
      <c r="L533" s="280"/>
      <c r="M533" s="9"/>
      <c r="N533" s="9"/>
      <c r="O533" s="8"/>
      <c r="P533" s="9"/>
      <c r="Q533" s="9"/>
      <c r="R533" s="8"/>
      <c r="S533" s="882"/>
      <c r="T533" s="883" t="str">
        <f>'$REV-DB'!$T$34</f>
        <v>Federal Revenues</v>
      </c>
      <c r="U533" s="883" t="str">
        <f>'$REV-DB'!$U$34</f>
        <v>local Revenues</v>
      </c>
      <c r="V533" s="883" t="str">
        <f>'$REV-DB'!$V$34</f>
        <v>Other Revenues</v>
      </c>
      <c r="W533" s="883" t="str">
        <f>'$REV-DB'!$W$34</f>
        <v>State revenues</v>
      </c>
      <c r="X533" s="883" t="str">
        <f>'$REV-DB'!$X$34</f>
        <v>UD5</v>
      </c>
      <c r="Y533" s="883" t="str">
        <f>'$REV-DB'!$Y$34</f>
        <v>UD6</v>
      </c>
      <c r="Z533" s="883" t="str">
        <f>'$REV-DB'!$Z$34</f>
        <v>UD7</v>
      </c>
      <c r="AA533" s="883" t="str">
        <f>'$REV-DB'!$AA$34</f>
        <v>UD8</v>
      </c>
      <c r="AB533" s="883" t="str">
        <f>'$REV-DB'!$AB$34</f>
        <v>UD9</v>
      </c>
      <c r="AC533" s="883" t="str">
        <f>'$REV-DB'!$AC$34</f>
        <v>UD10</v>
      </c>
      <c r="AD533" s="883" t="str">
        <f>'$REV-DB'!$AD$34</f>
        <v>UD11</v>
      </c>
      <c r="AE533" s="883" t="str">
        <f>'$REV-DB'!$AE$34</f>
        <v>UD12</v>
      </c>
      <c r="AF533" s="883" t="str">
        <f>'$REV-DB'!$AF$34</f>
        <v>UD13</v>
      </c>
      <c r="AG533" s="883" t="str">
        <f>'$REV-DB'!$AG$34</f>
        <v>UD14</v>
      </c>
    </row>
    <row r="534" spans="1:34" ht="16" customHeight="1" thickTop="1" thickBot="1">
      <c r="A534" s="7"/>
      <c r="B534" s="20" t="s">
        <v>1375</v>
      </c>
      <c r="C534" s="15"/>
      <c r="D534" s="105" t="s">
        <v>1386</v>
      </c>
      <c r="E534" s="105" t="s">
        <v>1387</v>
      </c>
      <c r="F534" s="105" t="s">
        <v>1388</v>
      </c>
      <c r="G534" s="105" t="s">
        <v>1389</v>
      </c>
      <c r="H534" s="301" t="s">
        <v>1406</v>
      </c>
      <c r="I534" s="301" t="s">
        <v>1390</v>
      </c>
      <c r="J534" s="301" t="s">
        <v>1391</v>
      </c>
      <c r="K534" s="301" t="s">
        <v>1392</v>
      </c>
      <c r="L534" s="301" t="s">
        <v>1188</v>
      </c>
      <c r="M534" s="301" t="s">
        <v>1437</v>
      </c>
      <c r="N534" s="105" t="s">
        <v>1348</v>
      </c>
      <c r="O534" s="105" t="s">
        <v>1393</v>
      </c>
      <c r="P534" s="105" t="s">
        <v>1342</v>
      </c>
      <c r="Q534" s="105" t="s">
        <v>1394</v>
      </c>
      <c r="R534" s="112" t="s">
        <v>1341</v>
      </c>
      <c r="S534" s="112" t="s">
        <v>846</v>
      </c>
      <c r="T534" s="873" t="s">
        <v>935</v>
      </c>
      <c r="U534" s="873" t="s">
        <v>936</v>
      </c>
      <c r="V534" s="873" t="s">
        <v>937</v>
      </c>
      <c r="W534" s="873" t="s">
        <v>938</v>
      </c>
      <c r="X534" s="873" t="s">
        <v>939</v>
      </c>
      <c r="Y534" s="873" t="s">
        <v>940</v>
      </c>
      <c r="Z534" s="873" t="s">
        <v>941</v>
      </c>
      <c r="AA534" s="873" t="s">
        <v>942</v>
      </c>
      <c r="AB534" s="873" t="s">
        <v>943</v>
      </c>
      <c r="AC534" s="873" t="s">
        <v>944</v>
      </c>
      <c r="AD534" s="873" t="s">
        <v>945</v>
      </c>
      <c r="AE534" s="873" t="s">
        <v>946</v>
      </c>
      <c r="AF534" s="873" t="s">
        <v>947</v>
      </c>
      <c r="AG534" s="873" t="s">
        <v>948</v>
      </c>
      <c r="AH534" s="6"/>
    </row>
    <row r="535" spans="1:34" ht="16" customHeight="1" thickTop="1">
      <c r="A535" s="7"/>
      <c r="B535" s="19" t="s">
        <v>1343</v>
      </c>
      <c r="C535" s="12"/>
      <c r="D535" s="197"/>
      <c r="E535" s="197"/>
      <c r="F535" s="196"/>
      <c r="G535" s="197"/>
      <c r="H535" s="196"/>
      <c r="I535" s="196"/>
      <c r="J535" s="197"/>
      <c r="K535" s="197"/>
      <c r="L535" s="287" t="s">
        <v>1429</v>
      </c>
      <c r="M535" s="196"/>
      <c r="N535" s="39" t="str">
        <f>J$6</f>
        <v>FY2010-11</v>
      </c>
      <c r="O535" s="39" t="s">
        <v>1354</v>
      </c>
      <c r="P535" s="39" t="s">
        <v>1347</v>
      </c>
      <c r="Q535" s="39" t="s">
        <v>1379</v>
      </c>
      <c r="R535" s="197"/>
      <c r="S535" s="197"/>
      <c r="T535" s="197"/>
      <c r="U535" s="197"/>
      <c r="V535" s="198"/>
      <c r="W535" s="198"/>
      <c r="X535" s="198"/>
      <c r="Y535" s="198"/>
      <c r="Z535" s="198"/>
      <c r="AA535" s="198"/>
      <c r="AB535" s="198"/>
      <c r="AC535" s="198"/>
      <c r="AD535" s="198"/>
      <c r="AE535" s="198"/>
      <c r="AF535" s="198"/>
      <c r="AG535" s="198"/>
      <c r="AH535" s="6"/>
    </row>
    <row r="536" spans="1:34" ht="16" customHeight="1">
      <c r="A536" s="7"/>
      <c r="B536" s="16">
        <f>DSUM('$REV-DB'!D35:AG374,"AMOUNT",'$REV-DSUM'!D534:AG541)</f>
        <v>0</v>
      </c>
      <c r="C536" s="12"/>
      <c r="D536" s="197"/>
      <c r="E536" s="197"/>
      <c r="F536" s="196"/>
      <c r="G536" s="197"/>
      <c r="H536" s="196"/>
      <c r="I536" s="196"/>
      <c r="J536" s="197"/>
      <c r="K536" s="197"/>
      <c r="L536" s="287" t="s">
        <v>1429</v>
      </c>
      <c r="M536" s="196"/>
      <c r="N536" s="39" t="str">
        <f t="shared" ref="N536:N541" si="52">J$6</f>
        <v>FY2010-11</v>
      </c>
      <c r="O536" s="39" t="s">
        <v>1354</v>
      </c>
      <c r="P536" s="39" t="s">
        <v>1347</v>
      </c>
      <c r="Q536" s="39" t="s">
        <v>1379</v>
      </c>
      <c r="R536" s="197"/>
      <c r="S536" s="197"/>
      <c r="T536" s="197"/>
      <c r="U536" s="197"/>
      <c r="V536" s="198"/>
      <c r="W536" s="198"/>
      <c r="X536" s="198"/>
      <c r="Y536" s="198"/>
      <c r="Z536" s="198"/>
      <c r="AA536" s="198"/>
      <c r="AB536" s="198"/>
      <c r="AC536" s="198"/>
      <c r="AD536" s="198"/>
      <c r="AE536" s="198"/>
      <c r="AF536" s="198"/>
      <c r="AG536" s="198"/>
      <c r="AH536" s="6"/>
    </row>
    <row r="537" spans="1:34" ht="16" customHeight="1">
      <c r="A537" s="7"/>
      <c r="B537" s="10"/>
      <c r="C537" s="12"/>
      <c r="D537" s="197"/>
      <c r="E537" s="197"/>
      <c r="F537" s="196"/>
      <c r="G537" s="197"/>
      <c r="H537" s="196"/>
      <c r="I537" s="196"/>
      <c r="J537" s="197"/>
      <c r="K537" s="197"/>
      <c r="L537" s="287" t="s">
        <v>1429</v>
      </c>
      <c r="M537" s="196"/>
      <c r="N537" s="39" t="str">
        <f t="shared" si="52"/>
        <v>FY2010-11</v>
      </c>
      <c r="O537" s="39" t="s">
        <v>1354</v>
      </c>
      <c r="P537" s="39" t="s">
        <v>1347</v>
      </c>
      <c r="Q537" s="39" t="s">
        <v>1379</v>
      </c>
      <c r="R537" s="197"/>
      <c r="S537" s="197"/>
      <c r="T537" s="197"/>
      <c r="U537" s="197"/>
      <c r="V537" s="198"/>
      <c r="W537" s="198"/>
      <c r="X537" s="198"/>
      <c r="Y537" s="198"/>
      <c r="Z537" s="198"/>
      <c r="AA537" s="198"/>
      <c r="AB537" s="198"/>
      <c r="AC537" s="198"/>
      <c r="AD537" s="198"/>
      <c r="AE537" s="198"/>
      <c r="AF537" s="198"/>
      <c r="AG537" s="198"/>
    </row>
    <row r="538" spans="1:34" ht="16" customHeight="1">
      <c r="A538" s="7"/>
      <c r="B538" s="10"/>
      <c r="C538" s="12"/>
      <c r="D538" s="197"/>
      <c r="E538" s="197"/>
      <c r="F538" s="196"/>
      <c r="G538" s="197"/>
      <c r="H538" s="196"/>
      <c r="I538" s="196"/>
      <c r="J538" s="197"/>
      <c r="K538" s="197"/>
      <c r="L538" s="287" t="s">
        <v>1429</v>
      </c>
      <c r="M538" s="196"/>
      <c r="N538" s="39" t="str">
        <f t="shared" si="52"/>
        <v>FY2010-11</v>
      </c>
      <c r="O538" s="39" t="s">
        <v>1354</v>
      </c>
      <c r="P538" s="39" t="s">
        <v>1347</v>
      </c>
      <c r="Q538" s="39" t="s">
        <v>1379</v>
      </c>
      <c r="R538" s="197"/>
      <c r="S538" s="197"/>
      <c r="T538" s="197"/>
      <c r="U538" s="197"/>
      <c r="V538" s="198"/>
      <c r="W538" s="198"/>
      <c r="X538" s="198"/>
      <c r="Y538" s="198"/>
      <c r="Z538" s="198"/>
      <c r="AA538" s="198"/>
      <c r="AB538" s="198"/>
      <c r="AC538" s="198"/>
      <c r="AD538" s="198"/>
      <c r="AE538" s="198"/>
      <c r="AF538" s="198"/>
      <c r="AG538" s="198"/>
    </row>
    <row r="539" spans="1:34" ht="16" customHeight="1">
      <c r="A539" s="7"/>
      <c r="B539" s="10"/>
      <c r="C539" s="12"/>
      <c r="D539" s="197"/>
      <c r="E539" s="197"/>
      <c r="F539" s="196"/>
      <c r="G539" s="197"/>
      <c r="H539" s="196"/>
      <c r="I539" s="196"/>
      <c r="J539" s="197"/>
      <c r="K539" s="197"/>
      <c r="L539" s="287" t="s">
        <v>1429</v>
      </c>
      <c r="M539" s="196"/>
      <c r="N539" s="39" t="str">
        <f t="shared" si="52"/>
        <v>FY2010-11</v>
      </c>
      <c r="O539" s="39" t="s">
        <v>1354</v>
      </c>
      <c r="P539" s="39" t="s">
        <v>1347</v>
      </c>
      <c r="Q539" s="39" t="s">
        <v>1379</v>
      </c>
      <c r="R539" s="197"/>
      <c r="S539" s="197"/>
      <c r="T539" s="197"/>
      <c r="U539" s="197"/>
      <c r="V539" s="198"/>
      <c r="W539" s="198"/>
      <c r="X539" s="198"/>
      <c r="Y539" s="198"/>
      <c r="Z539" s="198"/>
      <c r="AA539" s="198"/>
      <c r="AB539" s="198"/>
      <c r="AC539" s="198"/>
      <c r="AD539" s="198"/>
      <c r="AE539" s="198"/>
      <c r="AF539" s="198"/>
      <c r="AG539" s="198"/>
    </row>
    <row r="540" spans="1:34" ht="16" customHeight="1">
      <c r="A540" s="7"/>
      <c r="B540" s="10"/>
      <c r="C540" s="12"/>
      <c r="D540" s="197"/>
      <c r="E540" s="197"/>
      <c r="F540" s="196"/>
      <c r="G540" s="197"/>
      <c r="H540" s="196"/>
      <c r="I540" s="196"/>
      <c r="J540" s="197"/>
      <c r="K540" s="197"/>
      <c r="L540" s="287" t="s">
        <v>1429</v>
      </c>
      <c r="M540" s="196"/>
      <c r="N540" s="39" t="str">
        <f t="shared" si="52"/>
        <v>FY2010-11</v>
      </c>
      <c r="O540" s="39" t="s">
        <v>1354</v>
      </c>
      <c r="P540" s="39" t="s">
        <v>1347</v>
      </c>
      <c r="Q540" s="39" t="s">
        <v>1379</v>
      </c>
      <c r="R540" s="197"/>
      <c r="S540" s="197"/>
      <c r="T540" s="197"/>
      <c r="U540" s="197"/>
      <c r="V540" s="198"/>
      <c r="W540" s="198"/>
      <c r="X540" s="198"/>
      <c r="Y540" s="198"/>
      <c r="Z540" s="198"/>
      <c r="AA540" s="198"/>
      <c r="AB540" s="198"/>
      <c r="AC540" s="198"/>
      <c r="AD540" s="198"/>
      <c r="AE540" s="198"/>
      <c r="AF540" s="198"/>
      <c r="AG540" s="198"/>
    </row>
    <row r="541" spans="1:34" ht="16" customHeight="1">
      <c r="A541" s="7"/>
      <c r="B541" s="10"/>
      <c r="C541" s="12"/>
      <c r="D541" s="197"/>
      <c r="E541" s="197"/>
      <c r="F541" s="196"/>
      <c r="G541" s="197"/>
      <c r="H541" s="196"/>
      <c r="I541" s="196"/>
      <c r="J541" s="197"/>
      <c r="K541" s="197"/>
      <c r="L541" s="287" t="s">
        <v>1429</v>
      </c>
      <c r="M541" s="196"/>
      <c r="N541" s="39" t="str">
        <f t="shared" si="52"/>
        <v>FY2010-11</v>
      </c>
      <c r="O541" s="39" t="s">
        <v>1354</v>
      </c>
      <c r="P541" s="39" t="s">
        <v>1347</v>
      </c>
      <c r="Q541" s="39" t="s">
        <v>1379</v>
      </c>
      <c r="R541" s="197"/>
      <c r="S541" s="197"/>
      <c r="T541" s="197"/>
      <c r="U541" s="197"/>
      <c r="V541" s="198"/>
      <c r="W541" s="198"/>
      <c r="X541" s="198"/>
      <c r="Y541" s="198"/>
      <c r="Z541" s="198"/>
      <c r="AA541" s="198"/>
      <c r="AB541" s="198"/>
      <c r="AC541" s="198"/>
      <c r="AD541" s="198"/>
      <c r="AE541" s="198"/>
      <c r="AF541" s="198"/>
      <c r="AG541" s="198"/>
    </row>
    <row r="542" spans="1:34" ht="16" customHeight="1">
      <c r="A542" s="21"/>
      <c r="B542" s="22"/>
      <c r="C542" s="22"/>
      <c r="D542" s="23"/>
      <c r="E542" s="23"/>
      <c r="F542" s="24"/>
      <c r="G542" s="23"/>
      <c r="H542" s="24"/>
      <c r="I542" s="24"/>
      <c r="J542" s="23"/>
      <c r="K542" s="23"/>
      <c r="L542" s="286"/>
      <c r="M542" s="24"/>
      <c r="N542" s="24"/>
      <c r="O542" s="23"/>
      <c r="P542" s="24"/>
      <c r="Q542" s="24"/>
      <c r="R542" s="23"/>
      <c r="S542" s="23"/>
      <c r="T542" s="23"/>
      <c r="U542" s="23"/>
      <c r="V542" s="21"/>
      <c r="W542" s="21"/>
      <c r="X542" s="21"/>
      <c r="Y542" s="21"/>
      <c r="Z542" s="21"/>
      <c r="AA542" s="21"/>
      <c r="AB542" s="21"/>
      <c r="AC542" s="21"/>
      <c r="AD542" s="21"/>
      <c r="AE542" s="21"/>
      <c r="AF542" s="21"/>
      <c r="AG542" s="21"/>
    </row>
    <row r="543" spans="1:34" ht="16" customHeight="1" thickBot="1">
      <c r="A543" s="7"/>
      <c r="B543" s="19" t="str">
        <f>"FA3 = "&amp;'FIG3'!$W$54&amp;" "&amp;'FIG3'!$X$54</f>
        <v>FA3 = FA3L1 FA3L2</v>
      </c>
      <c r="C543" s="7"/>
      <c r="D543" s="8"/>
      <c r="E543" s="8"/>
      <c r="F543" s="9"/>
      <c r="G543" s="8"/>
      <c r="H543" s="9"/>
      <c r="I543" s="9"/>
      <c r="J543" s="8"/>
      <c r="K543" s="8"/>
      <c r="L543" s="280"/>
      <c r="M543" s="9"/>
      <c r="N543" s="9"/>
      <c r="O543" s="8"/>
      <c r="P543" s="9"/>
      <c r="Q543" s="9"/>
      <c r="R543" s="8"/>
      <c r="S543" s="882"/>
      <c r="T543" s="883" t="str">
        <f>'$REV-DB'!$T$34</f>
        <v>Federal Revenues</v>
      </c>
      <c r="U543" s="883" t="str">
        <f>'$REV-DB'!$U$34</f>
        <v>local Revenues</v>
      </c>
      <c r="V543" s="883" t="str">
        <f>'$REV-DB'!$V$34</f>
        <v>Other Revenues</v>
      </c>
      <c r="W543" s="883" t="str">
        <f>'$REV-DB'!$W$34</f>
        <v>State revenues</v>
      </c>
      <c r="X543" s="883" t="str">
        <f>'$REV-DB'!$X$34</f>
        <v>UD5</v>
      </c>
      <c r="Y543" s="883" t="str">
        <f>'$REV-DB'!$Y$34</f>
        <v>UD6</v>
      </c>
      <c r="Z543" s="883" t="str">
        <f>'$REV-DB'!$Z$34</f>
        <v>UD7</v>
      </c>
      <c r="AA543" s="883" t="str">
        <f>'$REV-DB'!$AA$34</f>
        <v>UD8</v>
      </c>
      <c r="AB543" s="883" t="str">
        <f>'$REV-DB'!$AB$34</f>
        <v>UD9</v>
      </c>
      <c r="AC543" s="883" t="str">
        <f>'$REV-DB'!$AC$34</f>
        <v>UD10</v>
      </c>
      <c r="AD543" s="883" t="str">
        <f>'$REV-DB'!$AD$34</f>
        <v>UD11</v>
      </c>
      <c r="AE543" s="883" t="str">
        <f>'$REV-DB'!$AE$34</f>
        <v>UD12</v>
      </c>
      <c r="AF543" s="883" t="str">
        <f>'$REV-DB'!$AF$34</f>
        <v>UD13</v>
      </c>
      <c r="AG543" s="883" t="str">
        <f>'$REV-DB'!$AG$34</f>
        <v>UD14</v>
      </c>
    </row>
    <row r="544" spans="1:34" ht="16" customHeight="1" thickTop="1" thickBot="1">
      <c r="A544" s="7"/>
      <c r="B544" s="20" t="s">
        <v>1375</v>
      </c>
      <c r="C544" s="15"/>
      <c r="D544" s="105" t="s">
        <v>1386</v>
      </c>
      <c r="E544" s="105" t="s">
        <v>1387</v>
      </c>
      <c r="F544" s="105" t="s">
        <v>1388</v>
      </c>
      <c r="G544" s="105" t="s">
        <v>1389</v>
      </c>
      <c r="H544" s="301" t="s">
        <v>1406</v>
      </c>
      <c r="I544" s="301" t="s">
        <v>1390</v>
      </c>
      <c r="J544" s="301" t="s">
        <v>1391</v>
      </c>
      <c r="K544" s="301" t="s">
        <v>1392</v>
      </c>
      <c r="L544" s="301" t="s">
        <v>1188</v>
      </c>
      <c r="M544" s="301" t="s">
        <v>1437</v>
      </c>
      <c r="N544" s="105" t="s">
        <v>1348</v>
      </c>
      <c r="O544" s="105" t="s">
        <v>1393</v>
      </c>
      <c r="P544" s="105" t="s">
        <v>1342</v>
      </c>
      <c r="Q544" s="105" t="s">
        <v>1394</v>
      </c>
      <c r="R544" s="112" t="s">
        <v>1341</v>
      </c>
      <c r="S544" s="112" t="s">
        <v>846</v>
      </c>
      <c r="T544" s="873" t="s">
        <v>935</v>
      </c>
      <c r="U544" s="873" t="s">
        <v>936</v>
      </c>
      <c r="V544" s="873" t="s">
        <v>937</v>
      </c>
      <c r="W544" s="873" t="s">
        <v>938</v>
      </c>
      <c r="X544" s="873" t="s">
        <v>939</v>
      </c>
      <c r="Y544" s="873" t="s">
        <v>940</v>
      </c>
      <c r="Z544" s="873" t="s">
        <v>941</v>
      </c>
      <c r="AA544" s="873" t="s">
        <v>942</v>
      </c>
      <c r="AB544" s="873" t="s">
        <v>943</v>
      </c>
      <c r="AC544" s="873" t="s">
        <v>944</v>
      </c>
      <c r="AD544" s="873" t="s">
        <v>945</v>
      </c>
      <c r="AE544" s="873" t="s">
        <v>946</v>
      </c>
      <c r="AF544" s="873" t="s">
        <v>947</v>
      </c>
      <c r="AG544" s="873" t="s">
        <v>948</v>
      </c>
      <c r="AH544" s="6"/>
    </row>
    <row r="545" spans="1:34" ht="16" customHeight="1" thickTop="1">
      <c r="A545" s="7"/>
      <c r="B545" s="19" t="s">
        <v>1349</v>
      </c>
      <c r="C545" s="12"/>
      <c r="D545" s="197"/>
      <c r="E545" s="197"/>
      <c r="F545" s="196"/>
      <c r="G545" s="197"/>
      <c r="H545" s="196"/>
      <c r="I545" s="196"/>
      <c r="J545" s="197"/>
      <c r="K545" s="197"/>
      <c r="L545" s="287" t="s">
        <v>1429</v>
      </c>
      <c r="M545" s="196"/>
      <c r="N545" s="39" t="str">
        <f>J$6</f>
        <v>FY2010-11</v>
      </c>
      <c r="O545" s="39" t="s">
        <v>1354</v>
      </c>
      <c r="P545" s="39" t="s">
        <v>1347</v>
      </c>
      <c r="Q545" s="39" t="s">
        <v>1397</v>
      </c>
      <c r="R545" s="197"/>
      <c r="S545" s="197"/>
      <c r="T545" s="197"/>
      <c r="U545" s="197"/>
      <c r="V545" s="198"/>
      <c r="W545" s="198"/>
      <c r="X545" s="198"/>
      <c r="Y545" s="198"/>
      <c r="Z545" s="198"/>
      <c r="AA545" s="198"/>
      <c r="AB545" s="198"/>
      <c r="AC545" s="198"/>
      <c r="AD545" s="198"/>
      <c r="AE545" s="198"/>
      <c r="AF545" s="198"/>
      <c r="AG545" s="198"/>
      <c r="AH545" s="6"/>
    </row>
    <row r="546" spans="1:34" ht="16" customHeight="1">
      <c r="A546" s="7"/>
      <c r="B546" s="16">
        <f>DSUM('$REV-DB'!D35:AG374,"AMOUNT",'$REV-DSUM'!D544:AG551)</f>
        <v>0</v>
      </c>
      <c r="C546" s="12"/>
      <c r="D546" s="197"/>
      <c r="E546" s="197"/>
      <c r="F546" s="196"/>
      <c r="G546" s="197"/>
      <c r="H546" s="196"/>
      <c r="I546" s="196"/>
      <c r="J546" s="197"/>
      <c r="K546" s="197"/>
      <c r="L546" s="287" t="s">
        <v>1429</v>
      </c>
      <c r="M546" s="196"/>
      <c r="N546" s="39" t="str">
        <f t="shared" ref="N546:N551" si="53">J$6</f>
        <v>FY2010-11</v>
      </c>
      <c r="O546" s="39" t="s">
        <v>1354</v>
      </c>
      <c r="P546" s="39" t="s">
        <v>1347</v>
      </c>
      <c r="Q546" s="39" t="s">
        <v>1397</v>
      </c>
      <c r="R546" s="197"/>
      <c r="S546" s="197"/>
      <c r="T546" s="197"/>
      <c r="U546" s="197"/>
      <c r="V546" s="198"/>
      <c r="W546" s="198"/>
      <c r="X546" s="198"/>
      <c r="Y546" s="198"/>
      <c r="Z546" s="198"/>
      <c r="AA546" s="198"/>
      <c r="AB546" s="198"/>
      <c r="AC546" s="198"/>
      <c r="AD546" s="198"/>
      <c r="AE546" s="198"/>
      <c r="AF546" s="198"/>
      <c r="AG546" s="198"/>
      <c r="AH546" s="6"/>
    </row>
    <row r="547" spans="1:34" ht="16" customHeight="1">
      <c r="A547" s="7"/>
      <c r="B547" s="10"/>
      <c r="C547" s="12"/>
      <c r="D547" s="197"/>
      <c r="E547" s="197"/>
      <c r="F547" s="196"/>
      <c r="G547" s="197"/>
      <c r="H547" s="196"/>
      <c r="I547" s="196"/>
      <c r="J547" s="197"/>
      <c r="K547" s="197"/>
      <c r="L547" s="287" t="s">
        <v>1429</v>
      </c>
      <c r="M547" s="196"/>
      <c r="N547" s="39" t="str">
        <f t="shared" si="53"/>
        <v>FY2010-11</v>
      </c>
      <c r="O547" s="39" t="s">
        <v>1354</v>
      </c>
      <c r="P547" s="39" t="s">
        <v>1347</v>
      </c>
      <c r="Q547" s="39" t="s">
        <v>1397</v>
      </c>
      <c r="R547" s="197"/>
      <c r="S547" s="197"/>
      <c r="T547" s="197"/>
      <c r="U547" s="197"/>
      <c r="V547" s="198"/>
      <c r="W547" s="198"/>
      <c r="X547" s="198"/>
      <c r="Y547" s="198"/>
      <c r="Z547" s="198"/>
      <c r="AA547" s="198"/>
      <c r="AB547" s="198"/>
      <c r="AC547" s="198"/>
      <c r="AD547" s="198"/>
      <c r="AE547" s="198"/>
      <c r="AF547" s="198"/>
      <c r="AG547" s="198"/>
    </row>
    <row r="548" spans="1:34" ht="16" customHeight="1">
      <c r="A548" s="7"/>
      <c r="B548" s="10"/>
      <c r="C548" s="12"/>
      <c r="D548" s="197"/>
      <c r="E548" s="197"/>
      <c r="F548" s="196"/>
      <c r="G548" s="197"/>
      <c r="H548" s="196"/>
      <c r="I548" s="196"/>
      <c r="J548" s="197"/>
      <c r="K548" s="197"/>
      <c r="L548" s="287" t="s">
        <v>1429</v>
      </c>
      <c r="M548" s="196"/>
      <c r="N548" s="39" t="str">
        <f t="shared" si="53"/>
        <v>FY2010-11</v>
      </c>
      <c r="O548" s="39" t="s">
        <v>1354</v>
      </c>
      <c r="P548" s="39" t="s">
        <v>1347</v>
      </c>
      <c r="Q548" s="39" t="s">
        <v>1397</v>
      </c>
      <c r="R548" s="197"/>
      <c r="S548" s="197"/>
      <c r="T548" s="197"/>
      <c r="U548" s="197"/>
      <c r="V548" s="198"/>
      <c r="W548" s="198"/>
      <c r="X548" s="198"/>
      <c r="Y548" s="198"/>
      <c r="Z548" s="198"/>
      <c r="AA548" s="198"/>
      <c r="AB548" s="198"/>
      <c r="AC548" s="198"/>
      <c r="AD548" s="198"/>
      <c r="AE548" s="198"/>
      <c r="AF548" s="198"/>
      <c r="AG548" s="198"/>
    </row>
    <row r="549" spans="1:34" ht="16" customHeight="1">
      <c r="A549" s="7"/>
      <c r="B549" s="10"/>
      <c r="C549" s="12"/>
      <c r="D549" s="197"/>
      <c r="E549" s="197"/>
      <c r="F549" s="196"/>
      <c r="G549" s="197"/>
      <c r="H549" s="196"/>
      <c r="I549" s="196"/>
      <c r="J549" s="197"/>
      <c r="K549" s="197"/>
      <c r="L549" s="287" t="s">
        <v>1429</v>
      </c>
      <c r="M549" s="196"/>
      <c r="N549" s="39" t="str">
        <f t="shared" si="53"/>
        <v>FY2010-11</v>
      </c>
      <c r="O549" s="39" t="s">
        <v>1354</v>
      </c>
      <c r="P549" s="39" t="s">
        <v>1347</v>
      </c>
      <c r="Q549" s="39" t="s">
        <v>1397</v>
      </c>
      <c r="R549" s="197"/>
      <c r="S549" s="197"/>
      <c r="T549" s="197"/>
      <c r="U549" s="197"/>
      <c r="V549" s="198"/>
      <c r="W549" s="198"/>
      <c r="X549" s="198"/>
      <c r="Y549" s="198"/>
      <c r="Z549" s="198"/>
      <c r="AA549" s="198"/>
      <c r="AB549" s="198"/>
      <c r="AC549" s="198"/>
      <c r="AD549" s="198"/>
      <c r="AE549" s="198"/>
      <c r="AF549" s="198"/>
      <c r="AG549" s="198"/>
    </row>
    <row r="550" spans="1:34" ht="16" customHeight="1">
      <c r="A550" s="7"/>
      <c r="B550" s="10"/>
      <c r="C550" s="12"/>
      <c r="D550" s="197"/>
      <c r="E550" s="197"/>
      <c r="F550" s="196"/>
      <c r="G550" s="197"/>
      <c r="H550" s="196"/>
      <c r="I550" s="196"/>
      <c r="J550" s="197"/>
      <c r="K550" s="197"/>
      <c r="L550" s="287" t="s">
        <v>1429</v>
      </c>
      <c r="M550" s="196"/>
      <c r="N550" s="39" t="str">
        <f t="shared" si="53"/>
        <v>FY2010-11</v>
      </c>
      <c r="O550" s="39" t="s">
        <v>1354</v>
      </c>
      <c r="P550" s="39" t="s">
        <v>1347</v>
      </c>
      <c r="Q550" s="39" t="s">
        <v>1397</v>
      </c>
      <c r="R550" s="197"/>
      <c r="S550" s="197"/>
      <c r="T550" s="197"/>
      <c r="U550" s="197"/>
      <c r="V550" s="198"/>
      <c r="W550" s="198"/>
      <c r="X550" s="198"/>
      <c r="Y550" s="198"/>
      <c r="Z550" s="198"/>
      <c r="AA550" s="198"/>
      <c r="AB550" s="198"/>
      <c r="AC550" s="198"/>
      <c r="AD550" s="198"/>
      <c r="AE550" s="198"/>
      <c r="AF550" s="198"/>
      <c r="AG550" s="198"/>
    </row>
    <row r="551" spans="1:34" ht="16" customHeight="1">
      <c r="A551" s="7"/>
      <c r="B551" s="10"/>
      <c r="C551" s="12"/>
      <c r="D551" s="197"/>
      <c r="E551" s="197"/>
      <c r="F551" s="196"/>
      <c r="G551" s="197"/>
      <c r="H551" s="196"/>
      <c r="I551" s="196"/>
      <c r="J551" s="197"/>
      <c r="K551" s="197"/>
      <c r="L551" s="287" t="s">
        <v>1429</v>
      </c>
      <c r="M551" s="196"/>
      <c r="N551" s="39" t="str">
        <f t="shared" si="53"/>
        <v>FY2010-11</v>
      </c>
      <c r="O551" s="39" t="s">
        <v>1354</v>
      </c>
      <c r="P551" s="39" t="s">
        <v>1347</v>
      </c>
      <c r="Q551" s="39" t="s">
        <v>1397</v>
      </c>
      <c r="R551" s="197"/>
      <c r="S551" s="197"/>
      <c r="T551" s="197"/>
      <c r="U551" s="197"/>
      <c r="V551" s="198"/>
      <c r="W551" s="198"/>
      <c r="X551" s="198"/>
      <c r="Y551" s="198"/>
      <c r="Z551" s="198"/>
      <c r="AA551" s="198"/>
      <c r="AB551" s="198"/>
      <c r="AC551" s="198"/>
      <c r="AD551" s="198"/>
      <c r="AE551" s="198"/>
      <c r="AF551" s="198"/>
      <c r="AG551" s="198"/>
    </row>
    <row r="552" spans="1:34" ht="16" customHeight="1">
      <c r="A552" s="21"/>
      <c r="B552" s="22"/>
      <c r="C552" s="22"/>
      <c r="D552" s="23"/>
      <c r="E552" s="23"/>
      <c r="F552" s="24"/>
      <c r="G552" s="23"/>
      <c r="H552" s="24"/>
      <c r="I552" s="24"/>
      <c r="J552" s="23"/>
      <c r="K552" s="23"/>
      <c r="L552" s="286"/>
      <c r="M552" s="24"/>
      <c r="N552" s="24"/>
      <c r="O552" s="23"/>
      <c r="P552" s="24"/>
      <c r="Q552" s="24"/>
      <c r="R552" s="23"/>
      <c r="S552" s="23"/>
      <c r="T552" s="23"/>
      <c r="U552" s="23"/>
      <c r="V552" s="21"/>
      <c r="W552" s="21"/>
      <c r="X552" s="21"/>
      <c r="Y552" s="21"/>
      <c r="Z552" s="21"/>
      <c r="AA552" s="21"/>
      <c r="AB552" s="21"/>
      <c r="AC552" s="21"/>
      <c r="AD552" s="21"/>
      <c r="AE552" s="21"/>
      <c r="AF552" s="21"/>
      <c r="AG552" s="21"/>
    </row>
    <row r="553" spans="1:34" ht="16" customHeight="1" thickBot="1">
      <c r="A553" s="7"/>
      <c r="B553" s="19" t="str">
        <f>"FA3 = "&amp;'FIG3'!$W$54&amp;" "&amp;'FIG3'!$X$54</f>
        <v>FA3 = FA3L1 FA3L2</v>
      </c>
      <c r="C553" s="7"/>
      <c r="D553" s="8"/>
      <c r="E553" s="8"/>
      <c r="F553" s="9"/>
      <c r="G553" s="8"/>
      <c r="H553" s="9"/>
      <c r="I553" s="9"/>
      <c r="J553" s="8"/>
      <c r="K553" s="8"/>
      <c r="L553" s="280"/>
      <c r="M553" s="9"/>
      <c r="N553" s="9"/>
      <c r="O553" s="8"/>
      <c r="P553" s="9"/>
      <c r="Q553" s="9"/>
      <c r="R553" s="8"/>
      <c r="S553" s="882"/>
      <c r="T553" s="883" t="str">
        <f>'$REV-DB'!$T$34</f>
        <v>Federal Revenues</v>
      </c>
      <c r="U553" s="883" t="str">
        <f>'$REV-DB'!$U$34</f>
        <v>local Revenues</v>
      </c>
      <c r="V553" s="883" t="str">
        <f>'$REV-DB'!$V$34</f>
        <v>Other Revenues</v>
      </c>
      <c r="W553" s="883" t="str">
        <f>'$REV-DB'!$W$34</f>
        <v>State revenues</v>
      </c>
      <c r="X553" s="883" t="str">
        <f>'$REV-DB'!$X$34</f>
        <v>UD5</v>
      </c>
      <c r="Y553" s="883" t="str">
        <f>'$REV-DB'!$Y$34</f>
        <v>UD6</v>
      </c>
      <c r="Z553" s="883" t="str">
        <f>'$REV-DB'!$Z$34</f>
        <v>UD7</v>
      </c>
      <c r="AA553" s="883" t="str">
        <f>'$REV-DB'!$AA$34</f>
        <v>UD8</v>
      </c>
      <c r="AB553" s="883" t="str">
        <f>'$REV-DB'!$AB$34</f>
        <v>UD9</v>
      </c>
      <c r="AC553" s="883" t="str">
        <f>'$REV-DB'!$AC$34</f>
        <v>UD10</v>
      </c>
      <c r="AD553" s="883" t="str">
        <f>'$REV-DB'!$AD$34</f>
        <v>UD11</v>
      </c>
      <c r="AE553" s="883" t="str">
        <f>'$REV-DB'!$AE$34</f>
        <v>UD12</v>
      </c>
      <c r="AF553" s="883" t="str">
        <f>'$REV-DB'!$AF$34</f>
        <v>UD13</v>
      </c>
      <c r="AG553" s="883" t="str">
        <f>'$REV-DB'!$AG$34</f>
        <v>UD14</v>
      </c>
    </row>
    <row r="554" spans="1:34" ht="16" customHeight="1" thickTop="1" thickBot="1">
      <c r="A554" s="7"/>
      <c r="B554" s="20" t="s">
        <v>1375</v>
      </c>
      <c r="C554" s="15"/>
      <c r="D554" s="276" t="s">
        <v>1386</v>
      </c>
      <c r="E554" s="276" t="s">
        <v>1387</v>
      </c>
      <c r="F554" s="276" t="s">
        <v>1388</v>
      </c>
      <c r="G554" s="276" t="s">
        <v>1389</v>
      </c>
      <c r="H554" s="301" t="s">
        <v>1406</v>
      </c>
      <c r="I554" s="301" t="s">
        <v>1390</v>
      </c>
      <c r="J554" s="301" t="s">
        <v>1391</v>
      </c>
      <c r="K554" s="301" t="s">
        <v>1392</v>
      </c>
      <c r="L554" s="301" t="s">
        <v>1188</v>
      </c>
      <c r="M554" s="301" t="s">
        <v>1437</v>
      </c>
      <c r="N554" s="276" t="s">
        <v>1348</v>
      </c>
      <c r="O554" s="276" t="s">
        <v>1393</v>
      </c>
      <c r="P554" s="276" t="s">
        <v>1342</v>
      </c>
      <c r="Q554" s="276" t="s">
        <v>1394</v>
      </c>
      <c r="R554" s="112" t="s">
        <v>1341</v>
      </c>
      <c r="S554" s="112" t="s">
        <v>846</v>
      </c>
      <c r="T554" s="873" t="s">
        <v>935</v>
      </c>
      <c r="U554" s="873" t="s">
        <v>936</v>
      </c>
      <c r="V554" s="873" t="s">
        <v>937</v>
      </c>
      <c r="W554" s="873" t="s">
        <v>938</v>
      </c>
      <c r="X554" s="873" t="s">
        <v>939</v>
      </c>
      <c r="Y554" s="873" t="s">
        <v>940</v>
      </c>
      <c r="Z554" s="873" t="s">
        <v>941</v>
      </c>
      <c r="AA554" s="873" t="s">
        <v>942</v>
      </c>
      <c r="AB554" s="873" t="s">
        <v>943</v>
      </c>
      <c r="AC554" s="873" t="s">
        <v>944</v>
      </c>
      <c r="AD554" s="873" t="s">
        <v>945</v>
      </c>
      <c r="AE554" s="873" t="s">
        <v>946</v>
      </c>
      <c r="AF554" s="873" t="s">
        <v>947</v>
      </c>
      <c r="AG554" s="873" t="s">
        <v>948</v>
      </c>
      <c r="AH554" s="6"/>
    </row>
    <row r="555" spans="1:34" ht="16" customHeight="1" thickTop="1">
      <c r="A555" s="7"/>
      <c r="B555" s="19" t="s">
        <v>1178</v>
      </c>
      <c r="C555" s="12"/>
      <c r="D555" s="197"/>
      <c r="E555" s="197"/>
      <c r="F555" s="196"/>
      <c r="G555" s="197"/>
      <c r="H555" s="196"/>
      <c r="I555" s="196"/>
      <c r="J555" s="197"/>
      <c r="K555" s="197"/>
      <c r="L555" s="287" t="s">
        <v>1429</v>
      </c>
      <c r="M555" s="196"/>
      <c r="N555" s="39" t="str">
        <f>J$6</f>
        <v>FY2010-11</v>
      </c>
      <c r="O555" s="39" t="s">
        <v>1354</v>
      </c>
      <c r="P555" s="39" t="s">
        <v>1347</v>
      </c>
      <c r="Q555" s="39" t="s">
        <v>1465</v>
      </c>
      <c r="R555" s="197"/>
      <c r="S555" s="197"/>
      <c r="T555" s="197"/>
      <c r="U555" s="197"/>
      <c r="V555" s="198"/>
      <c r="W555" s="198"/>
      <c r="X555" s="198"/>
      <c r="Y555" s="198"/>
      <c r="Z555" s="198"/>
      <c r="AA555" s="198"/>
      <c r="AB555" s="198"/>
      <c r="AC555" s="198"/>
      <c r="AD555" s="198"/>
      <c r="AE555" s="198"/>
      <c r="AF555" s="198"/>
      <c r="AG555" s="198"/>
      <c r="AH555" s="6"/>
    </row>
    <row r="556" spans="1:34" ht="16" customHeight="1">
      <c r="A556" s="7"/>
      <c r="B556" s="16">
        <f>DSUM('$REV-DB'!D35:AG374,"AMOUNT",'$REV-DSUM'!D554:AG561)</f>
        <v>0</v>
      </c>
      <c r="C556" s="12"/>
      <c r="D556" s="197"/>
      <c r="E556" s="197"/>
      <c r="F556" s="196"/>
      <c r="G556" s="197"/>
      <c r="H556" s="196"/>
      <c r="I556" s="196"/>
      <c r="J556" s="197"/>
      <c r="K556" s="197"/>
      <c r="L556" s="287" t="s">
        <v>1429</v>
      </c>
      <c r="M556" s="196"/>
      <c r="N556" s="39" t="str">
        <f t="shared" ref="N556:N561" si="54">J$6</f>
        <v>FY2010-11</v>
      </c>
      <c r="O556" s="39" t="s">
        <v>1354</v>
      </c>
      <c r="P556" s="39" t="s">
        <v>1347</v>
      </c>
      <c r="Q556" s="39" t="s">
        <v>1465</v>
      </c>
      <c r="R556" s="197"/>
      <c r="S556" s="197"/>
      <c r="T556" s="197"/>
      <c r="U556" s="197"/>
      <c r="V556" s="198"/>
      <c r="W556" s="198"/>
      <c r="X556" s="198"/>
      <c r="Y556" s="198"/>
      <c r="Z556" s="198"/>
      <c r="AA556" s="198"/>
      <c r="AB556" s="198"/>
      <c r="AC556" s="198"/>
      <c r="AD556" s="198"/>
      <c r="AE556" s="198"/>
      <c r="AF556" s="198"/>
      <c r="AG556" s="198"/>
      <c r="AH556" s="6"/>
    </row>
    <row r="557" spans="1:34" ht="16" customHeight="1">
      <c r="A557" s="7"/>
      <c r="B557" s="10"/>
      <c r="C557" s="12"/>
      <c r="D557" s="197"/>
      <c r="E557" s="197"/>
      <c r="F557" s="196"/>
      <c r="G557" s="197"/>
      <c r="H557" s="196"/>
      <c r="I557" s="196"/>
      <c r="J557" s="197"/>
      <c r="K557" s="197"/>
      <c r="L557" s="287" t="s">
        <v>1429</v>
      </c>
      <c r="M557" s="196"/>
      <c r="N557" s="39" t="str">
        <f t="shared" si="54"/>
        <v>FY2010-11</v>
      </c>
      <c r="O557" s="39" t="s">
        <v>1354</v>
      </c>
      <c r="P557" s="39" t="s">
        <v>1347</v>
      </c>
      <c r="Q557" s="39" t="s">
        <v>1465</v>
      </c>
      <c r="R557" s="197"/>
      <c r="S557" s="197"/>
      <c r="T557" s="197"/>
      <c r="U557" s="197"/>
      <c r="V557" s="198"/>
      <c r="W557" s="198"/>
      <c r="X557" s="198"/>
      <c r="Y557" s="198"/>
      <c r="Z557" s="198"/>
      <c r="AA557" s="198"/>
      <c r="AB557" s="198"/>
      <c r="AC557" s="198"/>
      <c r="AD557" s="198"/>
      <c r="AE557" s="198"/>
      <c r="AF557" s="198"/>
      <c r="AG557" s="198"/>
    </row>
    <row r="558" spans="1:34" ht="16" customHeight="1">
      <c r="A558" s="7"/>
      <c r="B558" s="10"/>
      <c r="C558" s="12"/>
      <c r="D558" s="197"/>
      <c r="E558" s="197"/>
      <c r="F558" s="196"/>
      <c r="G558" s="197"/>
      <c r="H558" s="196"/>
      <c r="I558" s="196"/>
      <c r="J558" s="197"/>
      <c r="K558" s="197"/>
      <c r="L558" s="287" t="s">
        <v>1429</v>
      </c>
      <c r="M558" s="196"/>
      <c r="N558" s="39" t="str">
        <f t="shared" si="54"/>
        <v>FY2010-11</v>
      </c>
      <c r="O558" s="39" t="s">
        <v>1354</v>
      </c>
      <c r="P558" s="39" t="s">
        <v>1347</v>
      </c>
      <c r="Q558" s="39" t="s">
        <v>1465</v>
      </c>
      <c r="R558" s="197"/>
      <c r="S558" s="197"/>
      <c r="T558" s="197"/>
      <c r="U558" s="197"/>
      <c r="V558" s="198"/>
      <c r="W558" s="198"/>
      <c r="X558" s="198"/>
      <c r="Y558" s="198"/>
      <c r="Z558" s="198"/>
      <c r="AA558" s="198"/>
      <c r="AB558" s="198"/>
      <c r="AC558" s="198"/>
      <c r="AD558" s="198"/>
      <c r="AE558" s="198"/>
      <c r="AF558" s="198"/>
      <c r="AG558" s="198"/>
    </row>
    <row r="559" spans="1:34" ht="16" customHeight="1">
      <c r="A559" s="7"/>
      <c r="B559" s="10"/>
      <c r="C559" s="12"/>
      <c r="D559" s="197"/>
      <c r="E559" s="197"/>
      <c r="F559" s="196"/>
      <c r="G559" s="197"/>
      <c r="H559" s="196"/>
      <c r="I559" s="196"/>
      <c r="J559" s="197"/>
      <c r="K559" s="197"/>
      <c r="L559" s="287" t="s">
        <v>1429</v>
      </c>
      <c r="M559" s="196"/>
      <c r="N559" s="39" t="str">
        <f t="shared" si="54"/>
        <v>FY2010-11</v>
      </c>
      <c r="O559" s="39" t="s">
        <v>1354</v>
      </c>
      <c r="P559" s="39" t="s">
        <v>1347</v>
      </c>
      <c r="Q559" s="39" t="s">
        <v>1465</v>
      </c>
      <c r="R559" s="197"/>
      <c r="S559" s="197"/>
      <c r="T559" s="197"/>
      <c r="U559" s="197"/>
      <c r="V559" s="198"/>
      <c r="W559" s="198"/>
      <c r="X559" s="198"/>
      <c r="Y559" s="198"/>
      <c r="Z559" s="198"/>
      <c r="AA559" s="198"/>
      <c r="AB559" s="198"/>
      <c r="AC559" s="198"/>
      <c r="AD559" s="198"/>
      <c r="AE559" s="198"/>
      <c r="AF559" s="198"/>
      <c r="AG559" s="198"/>
    </row>
    <row r="560" spans="1:34" ht="16" customHeight="1">
      <c r="A560" s="7"/>
      <c r="B560" s="10"/>
      <c r="C560" s="12"/>
      <c r="D560" s="197"/>
      <c r="E560" s="197"/>
      <c r="F560" s="196"/>
      <c r="G560" s="197"/>
      <c r="H560" s="196"/>
      <c r="I560" s="196"/>
      <c r="J560" s="197"/>
      <c r="K560" s="197"/>
      <c r="L560" s="287" t="s">
        <v>1429</v>
      </c>
      <c r="M560" s="196"/>
      <c r="N560" s="39" t="str">
        <f t="shared" si="54"/>
        <v>FY2010-11</v>
      </c>
      <c r="O560" s="39" t="s">
        <v>1354</v>
      </c>
      <c r="P560" s="39" t="s">
        <v>1347</v>
      </c>
      <c r="Q560" s="39" t="s">
        <v>1465</v>
      </c>
      <c r="R560" s="197"/>
      <c r="S560" s="197"/>
      <c r="T560" s="197"/>
      <c r="U560" s="197"/>
      <c r="V560" s="198"/>
      <c r="W560" s="198"/>
      <c r="X560" s="198"/>
      <c r="Y560" s="198"/>
      <c r="Z560" s="198"/>
      <c r="AA560" s="198"/>
      <c r="AB560" s="198"/>
      <c r="AC560" s="198"/>
      <c r="AD560" s="198"/>
      <c r="AE560" s="198"/>
      <c r="AF560" s="198"/>
      <c r="AG560" s="198"/>
    </row>
    <row r="561" spans="1:34" ht="16" customHeight="1">
      <c r="A561" s="7"/>
      <c r="B561" s="10"/>
      <c r="C561" s="12"/>
      <c r="D561" s="197"/>
      <c r="E561" s="197"/>
      <c r="F561" s="196"/>
      <c r="G561" s="197"/>
      <c r="H561" s="196"/>
      <c r="I561" s="196"/>
      <c r="J561" s="197"/>
      <c r="K561" s="197"/>
      <c r="L561" s="287" t="s">
        <v>1429</v>
      </c>
      <c r="M561" s="196"/>
      <c r="N561" s="39" t="str">
        <f t="shared" si="54"/>
        <v>FY2010-11</v>
      </c>
      <c r="O561" s="39" t="s">
        <v>1354</v>
      </c>
      <c r="P561" s="39" t="s">
        <v>1347</v>
      </c>
      <c r="Q561" s="39" t="s">
        <v>1465</v>
      </c>
      <c r="R561" s="197"/>
      <c r="S561" s="197"/>
      <c r="T561" s="197"/>
      <c r="U561" s="197"/>
      <c r="V561" s="198"/>
      <c r="W561" s="198"/>
      <c r="X561" s="198"/>
      <c r="Y561" s="198"/>
      <c r="Z561" s="198"/>
      <c r="AA561" s="198"/>
      <c r="AB561" s="198"/>
      <c r="AC561" s="198"/>
      <c r="AD561" s="198"/>
      <c r="AE561" s="198"/>
      <c r="AF561" s="198"/>
      <c r="AG561" s="198"/>
    </row>
    <row r="562" spans="1:34" ht="16" customHeight="1">
      <c r="A562" s="21"/>
      <c r="B562" s="22"/>
      <c r="C562" s="22"/>
      <c r="D562" s="23"/>
      <c r="E562" s="23"/>
      <c r="F562" s="24"/>
      <c r="G562" s="23"/>
      <c r="H562" s="24"/>
      <c r="I562" s="24"/>
      <c r="J562" s="23"/>
      <c r="K562" s="23"/>
      <c r="L562" s="286"/>
      <c r="M562" s="24"/>
      <c r="N562" s="24"/>
      <c r="O562" s="23"/>
      <c r="P562" s="24"/>
      <c r="Q562" s="24"/>
      <c r="R562" s="23"/>
      <c r="S562" s="23"/>
      <c r="T562" s="23"/>
      <c r="U562" s="23"/>
      <c r="V562" s="21"/>
      <c r="W562" s="21"/>
      <c r="X562" s="21"/>
      <c r="Y562" s="21"/>
      <c r="Z562" s="21"/>
      <c r="AA562" s="21"/>
      <c r="AB562" s="21"/>
      <c r="AC562" s="21"/>
      <c r="AD562" s="21"/>
      <c r="AE562" s="21"/>
      <c r="AF562" s="21"/>
      <c r="AG562" s="21"/>
    </row>
    <row r="563" spans="1:34" ht="16" customHeight="1" thickBot="1">
      <c r="A563" s="7"/>
      <c r="B563" s="19" t="str">
        <f>"FA3 = "&amp;'FIG3'!$W$54&amp;" "&amp;'FIG3'!$X$54</f>
        <v>FA3 = FA3L1 FA3L2</v>
      </c>
      <c r="C563" s="7"/>
      <c r="D563" s="8"/>
      <c r="E563" s="8"/>
      <c r="F563" s="9"/>
      <c r="G563" s="8"/>
      <c r="H563" s="9"/>
      <c r="I563" s="9"/>
      <c r="J563" s="8"/>
      <c r="K563" s="8"/>
      <c r="L563" s="280"/>
      <c r="M563" s="9"/>
      <c r="N563" s="9"/>
      <c r="O563" s="8"/>
      <c r="P563" s="9"/>
      <c r="Q563" s="9"/>
      <c r="R563" s="8"/>
      <c r="S563" s="882"/>
      <c r="T563" s="883" t="str">
        <f>'$REV-DB'!$T$34</f>
        <v>Federal Revenues</v>
      </c>
      <c r="U563" s="883" t="str">
        <f>'$REV-DB'!$U$34</f>
        <v>local Revenues</v>
      </c>
      <c r="V563" s="883" t="str">
        <f>'$REV-DB'!$V$34</f>
        <v>Other Revenues</v>
      </c>
      <c r="W563" s="883" t="str">
        <f>'$REV-DB'!$W$34</f>
        <v>State revenues</v>
      </c>
      <c r="X563" s="883" t="str">
        <f>'$REV-DB'!$X$34</f>
        <v>UD5</v>
      </c>
      <c r="Y563" s="883" t="str">
        <f>'$REV-DB'!$Y$34</f>
        <v>UD6</v>
      </c>
      <c r="Z563" s="883" t="str">
        <f>'$REV-DB'!$Z$34</f>
        <v>UD7</v>
      </c>
      <c r="AA563" s="883" t="str">
        <f>'$REV-DB'!$AA$34</f>
        <v>UD8</v>
      </c>
      <c r="AB563" s="883" t="str">
        <f>'$REV-DB'!$AB$34</f>
        <v>UD9</v>
      </c>
      <c r="AC563" s="883" t="str">
        <f>'$REV-DB'!$AC$34</f>
        <v>UD10</v>
      </c>
      <c r="AD563" s="883" t="str">
        <f>'$REV-DB'!$AD$34</f>
        <v>UD11</v>
      </c>
      <c r="AE563" s="883" t="str">
        <f>'$REV-DB'!$AE$34</f>
        <v>UD12</v>
      </c>
      <c r="AF563" s="883" t="str">
        <f>'$REV-DB'!$AF$34</f>
        <v>UD13</v>
      </c>
      <c r="AG563" s="883" t="str">
        <f>'$REV-DB'!$AG$34</f>
        <v>UD14</v>
      </c>
    </row>
    <row r="564" spans="1:34" ht="16" customHeight="1" thickTop="1" thickBot="1">
      <c r="A564" s="7"/>
      <c r="B564" s="20" t="s">
        <v>1375</v>
      </c>
      <c r="C564" s="15"/>
      <c r="D564" s="105" t="s">
        <v>1386</v>
      </c>
      <c r="E564" s="105" t="s">
        <v>1387</v>
      </c>
      <c r="F564" s="105" t="s">
        <v>1388</v>
      </c>
      <c r="G564" s="105" t="s">
        <v>1389</v>
      </c>
      <c r="H564" s="301" t="s">
        <v>1406</v>
      </c>
      <c r="I564" s="301" t="s">
        <v>1390</v>
      </c>
      <c r="J564" s="301" t="s">
        <v>1391</v>
      </c>
      <c r="K564" s="301" t="s">
        <v>1392</v>
      </c>
      <c r="L564" s="301" t="s">
        <v>1188</v>
      </c>
      <c r="M564" s="301" t="s">
        <v>1437</v>
      </c>
      <c r="N564" s="105" t="s">
        <v>1348</v>
      </c>
      <c r="O564" s="105" t="s">
        <v>1393</v>
      </c>
      <c r="P564" s="105" t="s">
        <v>1342</v>
      </c>
      <c r="Q564" s="105" t="s">
        <v>1394</v>
      </c>
      <c r="R564" s="112" t="s">
        <v>1341</v>
      </c>
      <c r="S564" s="112" t="s">
        <v>846</v>
      </c>
      <c r="T564" s="873" t="s">
        <v>935</v>
      </c>
      <c r="U564" s="873" t="s">
        <v>936</v>
      </c>
      <c r="V564" s="873" t="s">
        <v>937</v>
      </c>
      <c r="W564" s="873" t="s">
        <v>938</v>
      </c>
      <c r="X564" s="873" t="s">
        <v>939</v>
      </c>
      <c r="Y564" s="873" t="s">
        <v>940</v>
      </c>
      <c r="Z564" s="873" t="s">
        <v>941</v>
      </c>
      <c r="AA564" s="873" t="s">
        <v>942</v>
      </c>
      <c r="AB564" s="873" t="s">
        <v>943</v>
      </c>
      <c r="AC564" s="873" t="s">
        <v>944</v>
      </c>
      <c r="AD564" s="873" t="s">
        <v>945</v>
      </c>
      <c r="AE564" s="873" t="s">
        <v>946</v>
      </c>
      <c r="AF564" s="873" t="s">
        <v>947</v>
      </c>
      <c r="AG564" s="873" t="s">
        <v>948</v>
      </c>
      <c r="AH564" s="6"/>
    </row>
    <row r="565" spans="1:34" ht="16" customHeight="1" thickTop="1">
      <c r="A565" s="7"/>
      <c r="B565" s="19" t="s">
        <v>1350</v>
      </c>
      <c r="C565" s="12"/>
      <c r="D565" s="197"/>
      <c r="E565" s="197"/>
      <c r="F565" s="196"/>
      <c r="G565" s="197"/>
      <c r="H565" s="196"/>
      <c r="I565" s="196"/>
      <c r="J565" s="197"/>
      <c r="K565" s="197"/>
      <c r="L565" s="287" t="s">
        <v>1429</v>
      </c>
      <c r="M565" s="196"/>
      <c r="N565" s="39" t="str">
        <f>J$6</f>
        <v>FY2010-11</v>
      </c>
      <c r="O565" s="39" t="s">
        <v>1354</v>
      </c>
      <c r="P565" s="39" t="s">
        <v>1347</v>
      </c>
      <c r="Q565" s="39" t="s">
        <v>1340</v>
      </c>
      <c r="R565" s="197"/>
      <c r="S565" s="197"/>
      <c r="T565" s="197"/>
      <c r="U565" s="197"/>
      <c r="V565" s="198"/>
      <c r="W565" s="198"/>
      <c r="X565" s="198"/>
      <c r="Y565" s="198"/>
      <c r="Z565" s="198"/>
      <c r="AA565" s="198"/>
      <c r="AB565" s="198"/>
      <c r="AC565" s="198"/>
      <c r="AD565" s="198"/>
      <c r="AE565" s="198"/>
      <c r="AF565" s="198"/>
      <c r="AG565" s="198"/>
      <c r="AH565" s="6"/>
    </row>
    <row r="566" spans="1:34" ht="16" customHeight="1">
      <c r="A566" s="7"/>
      <c r="B566" s="16">
        <f>DSUM('$REV-DB'!D35:AG374,"AMOUNT",'$REV-DSUM'!D564:AG571)</f>
        <v>0</v>
      </c>
      <c r="C566" s="12"/>
      <c r="D566" s="197"/>
      <c r="E566" s="197"/>
      <c r="F566" s="196"/>
      <c r="G566" s="197"/>
      <c r="H566" s="196"/>
      <c r="I566" s="196"/>
      <c r="J566" s="197"/>
      <c r="K566" s="197"/>
      <c r="L566" s="287" t="s">
        <v>1429</v>
      </c>
      <c r="M566" s="196"/>
      <c r="N566" s="39" t="str">
        <f t="shared" ref="N566:N571" si="55">J$6</f>
        <v>FY2010-11</v>
      </c>
      <c r="O566" s="39" t="s">
        <v>1354</v>
      </c>
      <c r="P566" s="39" t="s">
        <v>1347</v>
      </c>
      <c r="Q566" s="39" t="s">
        <v>1340</v>
      </c>
      <c r="R566" s="197"/>
      <c r="S566" s="197"/>
      <c r="T566" s="197"/>
      <c r="U566" s="197"/>
      <c r="V566" s="198"/>
      <c r="W566" s="198"/>
      <c r="X566" s="198"/>
      <c r="Y566" s="198"/>
      <c r="Z566" s="198"/>
      <c r="AA566" s="198"/>
      <c r="AB566" s="198"/>
      <c r="AC566" s="198"/>
      <c r="AD566" s="198"/>
      <c r="AE566" s="198"/>
      <c r="AF566" s="198"/>
      <c r="AG566" s="198"/>
      <c r="AH566" s="6"/>
    </row>
    <row r="567" spans="1:34" ht="16" customHeight="1">
      <c r="A567" s="7"/>
      <c r="B567" s="10"/>
      <c r="C567" s="12"/>
      <c r="D567" s="197"/>
      <c r="E567" s="197"/>
      <c r="F567" s="196"/>
      <c r="G567" s="197"/>
      <c r="H567" s="196"/>
      <c r="I567" s="196"/>
      <c r="J567" s="197"/>
      <c r="K567" s="197"/>
      <c r="L567" s="287" t="s">
        <v>1429</v>
      </c>
      <c r="M567" s="196"/>
      <c r="N567" s="39" t="str">
        <f t="shared" si="55"/>
        <v>FY2010-11</v>
      </c>
      <c r="O567" s="39" t="s">
        <v>1354</v>
      </c>
      <c r="P567" s="39" t="s">
        <v>1347</v>
      </c>
      <c r="Q567" s="39" t="s">
        <v>1340</v>
      </c>
      <c r="R567" s="197"/>
      <c r="S567" s="197"/>
      <c r="T567" s="197"/>
      <c r="U567" s="197"/>
      <c r="V567" s="198"/>
      <c r="W567" s="198"/>
      <c r="X567" s="198"/>
      <c r="Y567" s="198"/>
      <c r="Z567" s="198"/>
      <c r="AA567" s="198"/>
      <c r="AB567" s="198"/>
      <c r="AC567" s="198"/>
      <c r="AD567" s="198"/>
      <c r="AE567" s="198"/>
      <c r="AF567" s="198"/>
      <c r="AG567" s="198"/>
    </row>
    <row r="568" spans="1:34" ht="16" customHeight="1">
      <c r="A568" s="7"/>
      <c r="B568" s="10"/>
      <c r="C568" s="12"/>
      <c r="D568" s="197"/>
      <c r="E568" s="197"/>
      <c r="F568" s="196"/>
      <c r="G568" s="197"/>
      <c r="H568" s="196"/>
      <c r="I568" s="196"/>
      <c r="J568" s="197"/>
      <c r="K568" s="197"/>
      <c r="L568" s="287" t="s">
        <v>1429</v>
      </c>
      <c r="M568" s="196"/>
      <c r="N568" s="39" t="str">
        <f t="shared" si="55"/>
        <v>FY2010-11</v>
      </c>
      <c r="O568" s="39" t="s">
        <v>1354</v>
      </c>
      <c r="P568" s="39" t="s">
        <v>1347</v>
      </c>
      <c r="Q568" s="39" t="s">
        <v>1340</v>
      </c>
      <c r="R568" s="197"/>
      <c r="S568" s="197"/>
      <c r="T568" s="197"/>
      <c r="U568" s="197"/>
      <c r="V568" s="198"/>
      <c r="W568" s="198"/>
      <c r="X568" s="198"/>
      <c r="Y568" s="198"/>
      <c r="Z568" s="198"/>
      <c r="AA568" s="198"/>
      <c r="AB568" s="198"/>
      <c r="AC568" s="198"/>
      <c r="AD568" s="198"/>
      <c r="AE568" s="198"/>
      <c r="AF568" s="198"/>
      <c r="AG568" s="198"/>
    </row>
    <row r="569" spans="1:34" ht="16" customHeight="1">
      <c r="A569" s="7"/>
      <c r="B569" s="10"/>
      <c r="C569" s="12"/>
      <c r="D569" s="197"/>
      <c r="E569" s="197"/>
      <c r="F569" s="196"/>
      <c r="G569" s="197"/>
      <c r="H569" s="196"/>
      <c r="I569" s="196"/>
      <c r="J569" s="197"/>
      <c r="K569" s="197"/>
      <c r="L569" s="287" t="s">
        <v>1429</v>
      </c>
      <c r="M569" s="196"/>
      <c r="N569" s="39" t="str">
        <f t="shared" si="55"/>
        <v>FY2010-11</v>
      </c>
      <c r="O569" s="39" t="s">
        <v>1354</v>
      </c>
      <c r="P569" s="39" t="s">
        <v>1347</v>
      </c>
      <c r="Q569" s="39" t="s">
        <v>1340</v>
      </c>
      <c r="R569" s="197"/>
      <c r="S569" s="197"/>
      <c r="T569" s="197"/>
      <c r="U569" s="197"/>
      <c r="V569" s="198"/>
      <c r="W569" s="198"/>
      <c r="X569" s="198"/>
      <c r="Y569" s="198"/>
      <c r="Z569" s="198"/>
      <c r="AA569" s="198"/>
      <c r="AB569" s="198"/>
      <c r="AC569" s="198"/>
      <c r="AD569" s="198"/>
      <c r="AE569" s="198"/>
      <c r="AF569" s="198"/>
      <c r="AG569" s="198"/>
    </row>
    <row r="570" spans="1:34" ht="16" customHeight="1">
      <c r="A570" s="7"/>
      <c r="B570" s="10"/>
      <c r="C570" s="12"/>
      <c r="D570" s="197"/>
      <c r="E570" s="197"/>
      <c r="F570" s="196"/>
      <c r="G570" s="197"/>
      <c r="H570" s="196"/>
      <c r="I570" s="196"/>
      <c r="J570" s="197"/>
      <c r="K570" s="197"/>
      <c r="L570" s="287" t="s">
        <v>1429</v>
      </c>
      <c r="M570" s="196"/>
      <c r="N570" s="39" t="str">
        <f t="shared" si="55"/>
        <v>FY2010-11</v>
      </c>
      <c r="O570" s="39" t="s">
        <v>1354</v>
      </c>
      <c r="P570" s="39" t="s">
        <v>1347</v>
      </c>
      <c r="Q570" s="39" t="s">
        <v>1340</v>
      </c>
      <c r="R570" s="197"/>
      <c r="S570" s="197"/>
      <c r="T570" s="197"/>
      <c r="U570" s="197"/>
      <c r="V570" s="198"/>
      <c r="W570" s="198"/>
      <c r="X570" s="198"/>
      <c r="Y570" s="198"/>
      <c r="Z570" s="198"/>
      <c r="AA570" s="198"/>
      <c r="AB570" s="198"/>
      <c r="AC570" s="198"/>
      <c r="AD570" s="198"/>
      <c r="AE570" s="198"/>
      <c r="AF570" s="198"/>
      <c r="AG570" s="198"/>
    </row>
    <row r="571" spans="1:34" ht="16" customHeight="1">
      <c r="A571" s="7"/>
      <c r="B571" s="10"/>
      <c r="C571" s="12"/>
      <c r="D571" s="197"/>
      <c r="E571" s="197"/>
      <c r="F571" s="196"/>
      <c r="G571" s="197"/>
      <c r="H571" s="196"/>
      <c r="I571" s="196"/>
      <c r="J571" s="197"/>
      <c r="K571" s="197"/>
      <c r="L571" s="287" t="s">
        <v>1429</v>
      </c>
      <c r="M571" s="196"/>
      <c r="N571" s="39" t="str">
        <f t="shared" si="55"/>
        <v>FY2010-11</v>
      </c>
      <c r="O571" s="39" t="s">
        <v>1354</v>
      </c>
      <c r="P571" s="39" t="s">
        <v>1347</v>
      </c>
      <c r="Q571" s="39" t="s">
        <v>1340</v>
      </c>
      <c r="R571" s="197"/>
      <c r="S571" s="197"/>
      <c r="T571" s="197"/>
      <c r="U571" s="197"/>
      <c r="V571" s="198"/>
      <c r="W571" s="198"/>
      <c r="X571" s="198"/>
      <c r="Y571" s="198"/>
      <c r="Z571" s="198"/>
      <c r="AA571" s="198"/>
      <c r="AB571" s="198"/>
      <c r="AC571" s="198"/>
      <c r="AD571" s="198"/>
      <c r="AE571" s="198"/>
      <c r="AF571" s="198"/>
      <c r="AG571" s="198"/>
    </row>
    <row r="572" spans="1:34" ht="16" customHeight="1">
      <c r="A572" s="36"/>
      <c r="B572" s="33"/>
      <c r="C572" s="33"/>
      <c r="D572" s="34"/>
      <c r="E572" s="34"/>
      <c r="F572" s="35"/>
      <c r="G572" s="34"/>
      <c r="H572" s="35"/>
      <c r="I572" s="35"/>
      <c r="J572" s="34"/>
      <c r="K572" s="34"/>
      <c r="L572" s="288"/>
      <c r="M572" s="35"/>
      <c r="N572" s="35"/>
      <c r="O572" s="34"/>
      <c r="P572" s="35"/>
      <c r="Q572" s="35"/>
      <c r="R572" s="34"/>
      <c r="S572" s="34"/>
      <c r="T572" s="34"/>
      <c r="U572" s="34"/>
      <c r="V572" s="36"/>
      <c r="W572" s="36"/>
      <c r="X572" s="36"/>
      <c r="Y572" s="36"/>
      <c r="Z572" s="36"/>
      <c r="AA572" s="36"/>
      <c r="AB572" s="36"/>
      <c r="AC572" s="36"/>
      <c r="AD572" s="36"/>
      <c r="AE572" s="36"/>
      <c r="AF572" s="36"/>
      <c r="AG572" s="36"/>
    </row>
    <row r="573" spans="1:34" ht="16" customHeight="1" thickBot="1">
      <c r="A573" s="7"/>
      <c r="B573" s="19" t="str">
        <f>"FA4 = "&amp;'FIG3'!$W$55&amp;" "&amp;'FIG3'!$X$55</f>
        <v>FA4 = FA4L1 FA4L2</v>
      </c>
      <c r="C573" s="7"/>
      <c r="D573" s="17"/>
      <c r="E573" s="17"/>
      <c r="F573" s="18"/>
      <c r="G573" s="17"/>
      <c r="H573" s="18"/>
      <c r="I573" s="18"/>
      <c r="J573" s="17"/>
      <c r="K573" s="17"/>
      <c r="L573" s="281"/>
      <c r="M573" s="18"/>
      <c r="N573" s="9"/>
      <c r="O573" s="17"/>
      <c r="P573" s="18"/>
      <c r="Q573" s="18"/>
      <c r="R573" s="17"/>
      <c r="S573" s="882"/>
      <c r="T573" s="883" t="str">
        <f>'$REV-DB'!$T$34</f>
        <v>Federal Revenues</v>
      </c>
      <c r="U573" s="883" t="str">
        <f>'$REV-DB'!$U$34</f>
        <v>local Revenues</v>
      </c>
      <c r="V573" s="883" t="str">
        <f>'$REV-DB'!$V$34</f>
        <v>Other Revenues</v>
      </c>
      <c r="W573" s="883" t="str">
        <f>'$REV-DB'!$W$34</f>
        <v>State revenues</v>
      </c>
      <c r="X573" s="883" t="str">
        <f>'$REV-DB'!$X$34</f>
        <v>UD5</v>
      </c>
      <c r="Y573" s="883" t="str">
        <f>'$REV-DB'!$Y$34</f>
        <v>UD6</v>
      </c>
      <c r="Z573" s="883" t="str">
        <f>'$REV-DB'!$Z$34</f>
        <v>UD7</v>
      </c>
      <c r="AA573" s="883" t="str">
        <f>'$REV-DB'!$AA$34</f>
        <v>UD8</v>
      </c>
      <c r="AB573" s="883" t="str">
        <f>'$REV-DB'!$AB$34</f>
        <v>UD9</v>
      </c>
      <c r="AC573" s="883" t="str">
        <f>'$REV-DB'!$AC$34</f>
        <v>UD10</v>
      </c>
      <c r="AD573" s="883" t="str">
        <f>'$REV-DB'!$AD$34</f>
        <v>UD11</v>
      </c>
      <c r="AE573" s="883" t="str">
        <f>'$REV-DB'!$AE$34</f>
        <v>UD12</v>
      </c>
      <c r="AF573" s="883" t="str">
        <f>'$REV-DB'!$AF$34</f>
        <v>UD13</v>
      </c>
      <c r="AG573" s="883" t="str">
        <f>'$REV-DB'!$AG$34</f>
        <v>UD14</v>
      </c>
    </row>
    <row r="574" spans="1:34" ht="16" customHeight="1" thickTop="1" thickBot="1">
      <c r="A574" s="7"/>
      <c r="B574" s="20" t="s">
        <v>1399</v>
      </c>
      <c r="C574" s="15"/>
      <c r="D574" s="105" t="s">
        <v>1386</v>
      </c>
      <c r="E574" s="105" t="s">
        <v>1387</v>
      </c>
      <c r="F574" s="105" t="s">
        <v>1388</v>
      </c>
      <c r="G574" s="105" t="s">
        <v>1389</v>
      </c>
      <c r="H574" s="301" t="s">
        <v>1406</v>
      </c>
      <c r="I574" s="301" t="s">
        <v>1390</v>
      </c>
      <c r="J574" s="301" t="s">
        <v>1391</v>
      </c>
      <c r="K574" s="301" t="s">
        <v>1392</v>
      </c>
      <c r="L574" s="301" t="s">
        <v>1188</v>
      </c>
      <c r="M574" s="301" t="s">
        <v>1437</v>
      </c>
      <c r="N574" s="105" t="s">
        <v>1348</v>
      </c>
      <c r="O574" s="105" t="s">
        <v>1393</v>
      </c>
      <c r="P574" s="105" t="s">
        <v>1342</v>
      </c>
      <c r="Q574" s="105" t="s">
        <v>1394</v>
      </c>
      <c r="R574" s="112" t="s">
        <v>1341</v>
      </c>
      <c r="S574" s="112" t="s">
        <v>846</v>
      </c>
      <c r="T574" s="873" t="s">
        <v>935</v>
      </c>
      <c r="U574" s="873" t="s">
        <v>936</v>
      </c>
      <c r="V574" s="873" t="s">
        <v>937</v>
      </c>
      <c r="W574" s="873" t="s">
        <v>938</v>
      </c>
      <c r="X574" s="873" t="s">
        <v>939</v>
      </c>
      <c r="Y574" s="873" t="s">
        <v>940</v>
      </c>
      <c r="Z574" s="873" t="s">
        <v>941</v>
      </c>
      <c r="AA574" s="873" t="s">
        <v>942</v>
      </c>
      <c r="AB574" s="873" t="s">
        <v>943</v>
      </c>
      <c r="AC574" s="873" t="s">
        <v>944</v>
      </c>
      <c r="AD574" s="873" t="s">
        <v>945</v>
      </c>
      <c r="AE574" s="873" t="s">
        <v>946</v>
      </c>
      <c r="AF574" s="873" t="s">
        <v>947</v>
      </c>
      <c r="AG574" s="873" t="s">
        <v>948</v>
      </c>
      <c r="AH574" s="6"/>
    </row>
    <row r="575" spans="1:34" ht="16" customHeight="1" thickTop="1">
      <c r="A575" s="7"/>
      <c r="B575" s="19" t="s">
        <v>1346</v>
      </c>
      <c r="C575" s="12"/>
      <c r="D575" s="199"/>
      <c r="E575" s="199"/>
      <c r="F575" s="199"/>
      <c r="G575" s="199"/>
      <c r="H575" s="199"/>
      <c r="I575" s="199"/>
      <c r="J575" s="199"/>
      <c r="K575" s="199"/>
      <c r="L575" s="289" t="s">
        <v>1429</v>
      </c>
      <c r="M575" s="199"/>
      <c r="N575" s="40" t="str">
        <f>J$6</f>
        <v>FY2010-11</v>
      </c>
      <c r="O575" s="40" t="s">
        <v>1355</v>
      </c>
      <c r="P575" s="40" t="s">
        <v>1338</v>
      </c>
      <c r="Q575" s="199"/>
      <c r="R575" s="199"/>
      <c r="S575" s="200"/>
      <c r="T575" s="200"/>
      <c r="U575" s="200"/>
      <c r="V575" s="201"/>
      <c r="W575" s="201"/>
      <c r="X575" s="201"/>
      <c r="Y575" s="201"/>
      <c r="Z575" s="201"/>
      <c r="AA575" s="201"/>
      <c r="AB575" s="201"/>
      <c r="AC575" s="201"/>
      <c r="AD575" s="201"/>
      <c r="AE575" s="201"/>
      <c r="AF575" s="201"/>
      <c r="AG575" s="201"/>
      <c r="AH575" s="6"/>
    </row>
    <row r="576" spans="1:34" ht="16" customHeight="1">
      <c r="A576" s="7"/>
      <c r="B576" s="16">
        <f>DSUM('$REV-DB'!D35:AG374,"AMOUNT",'$REV-DSUM'!D574:AG581)</f>
        <v>0</v>
      </c>
      <c r="C576" s="12"/>
      <c r="D576" s="199"/>
      <c r="E576" s="199"/>
      <c r="F576" s="199"/>
      <c r="G576" s="199"/>
      <c r="H576" s="199"/>
      <c r="I576" s="199"/>
      <c r="J576" s="199"/>
      <c r="K576" s="199"/>
      <c r="L576" s="289" t="s">
        <v>1429</v>
      </c>
      <c r="M576" s="199"/>
      <c r="N576" s="40" t="str">
        <f t="shared" ref="N576:N581" si="56">J$6</f>
        <v>FY2010-11</v>
      </c>
      <c r="O576" s="40" t="s">
        <v>1355</v>
      </c>
      <c r="P576" s="40" t="s">
        <v>1338</v>
      </c>
      <c r="Q576" s="199"/>
      <c r="R576" s="199"/>
      <c r="S576" s="200"/>
      <c r="T576" s="200"/>
      <c r="U576" s="200"/>
      <c r="V576" s="201"/>
      <c r="W576" s="201"/>
      <c r="X576" s="201"/>
      <c r="Y576" s="201"/>
      <c r="Z576" s="201"/>
      <c r="AA576" s="201"/>
      <c r="AB576" s="201"/>
      <c r="AC576" s="201"/>
      <c r="AD576" s="201"/>
      <c r="AE576" s="201"/>
      <c r="AF576" s="201"/>
      <c r="AG576" s="201"/>
      <c r="AH576" s="6"/>
    </row>
    <row r="577" spans="1:34" ht="16" customHeight="1">
      <c r="A577" s="7"/>
      <c r="B577" s="10"/>
      <c r="C577" s="12"/>
      <c r="D577" s="199"/>
      <c r="E577" s="199"/>
      <c r="F577" s="199"/>
      <c r="G577" s="199"/>
      <c r="H577" s="199"/>
      <c r="I577" s="199"/>
      <c r="J577" s="199"/>
      <c r="K577" s="199"/>
      <c r="L577" s="289" t="s">
        <v>1429</v>
      </c>
      <c r="M577" s="199"/>
      <c r="N577" s="40" t="str">
        <f t="shared" si="56"/>
        <v>FY2010-11</v>
      </c>
      <c r="O577" s="40" t="s">
        <v>1355</v>
      </c>
      <c r="P577" s="40" t="s">
        <v>1338</v>
      </c>
      <c r="Q577" s="199"/>
      <c r="R577" s="199"/>
      <c r="S577" s="200"/>
      <c r="T577" s="200"/>
      <c r="U577" s="200"/>
      <c r="V577" s="201"/>
      <c r="W577" s="201"/>
      <c r="X577" s="201"/>
      <c r="Y577" s="201"/>
      <c r="Z577" s="201"/>
      <c r="AA577" s="201"/>
      <c r="AB577" s="201"/>
      <c r="AC577" s="201"/>
      <c r="AD577" s="201"/>
      <c r="AE577" s="201"/>
      <c r="AF577" s="201"/>
      <c r="AG577" s="201"/>
    </row>
    <row r="578" spans="1:34" ht="16" customHeight="1">
      <c r="A578" s="7"/>
      <c r="B578" s="10"/>
      <c r="C578" s="12"/>
      <c r="D578" s="199"/>
      <c r="E578" s="199"/>
      <c r="F578" s="199"/>
      <c r="G578" s="199"/>
      <c r="H578" s="199"/>
      <c r="I578" s="199"/>
      <c r="J578" s="199"/>
      <c r="K578" s="199"/>
      <c r="L578" s="289" t="s">
        <v>1429</v>
      </c>
      <c r="M578" s="199"/>
      <c r="N578" s="40" t="str">
        <f t="shared" si="56"/>
        <v>FY2010-11</v>
      </c>
      <c r="O578" s="40" t="s">
        <v>1355</v>
      </c>
      <c r="P578" s="40" t="s">
        <v>1338</v>
      </c>
      <c r="Q578" s="199"/>
      <c r="R578" s="199"/>
      <c r="S578" s="200"/>
      <c r="T578" s="200"/>
      <c r="U578" s="200"/>
      <c r="V578" s="201"/>
      <c r="W578" s="201"/>
      <c r="X578" s="201"/>
      <c r="Y578" s="201"/>
      <c r="Z578" s="201"/>
      <c r="AA578" s="201"/>
      <c r="AB578" s="201"/>
      <c r="AC578" s="201"/>
      <c r="AD578" s="201"/>
      <c r="AE578" s="201"/>
      <c r="AF578" s="201"/>
      <c r="AG578" s="201"/>
    </row>
    <row r="579" spans="1:34" ht="16" customHeight="1">
      <c r="A579" s="7"/>
      <c r="B579" s="10"/>
      <c r="C579" s="12"/>
      <c r="D579" s="199"/>
      <c r="E579" s="199"/>
      <c r="F579" s="199"/>
      <c r="G579" s="199"/>
      <c r="H579" s="199"/>
      <c r="I579" s="199"/>
      <c r="J579" s="199"/>
      <c r="K579" s="199"/>
      <c r="L579" s="289" t="s">
        <v>1429</v>
      </c>
      <c r="M579" s="199"/>
      <c r="N579" s="40" t="str">
        <f t="shared" si="56"/>
        <v>FY2010-11</v>
      </c>
      <c r="O579" s="40" t="s">
        <v>1355</v>
      </c>
      <c r="P579" s="40" t="s">
        <v>1338</v>
      </c>
      <c r="Q579" s="199"/>
      <c r="R579" s="199"/>
      <c r="S579" s="200"/>
      <c r="T579" s="200"/>
      <c r="U579" s="200"/>
      <c r="V579" s="201"/>
      <c r="W579" s="201"/>
      <c r="X579" s="201"/>
      <c r="Y579" s="201"/>
      <c r="Z579" s="201"/>
      <c r="AA579" s="201"/>
      <c r="AB579" s="201"/>
      <c r="AC579" s="201"/>
      <c r="AD579" s="201"/>
      <c r="AE579" s="201"/>
      <c r="AF579" s="201"/>
      <c r="AG579" s="201"/>
    </row>
    <row r="580" spans="1:34" ht="16" customHeight="1">
      <c r="A580" s="7"/>
      <c r="B580" s="10"/>
      <c r="C580" s="12"/>
      <c r="D580" s="199"/>
      <c r="E580" s="199"/>
      <c r="F580" s="199"/>
      <c r="G580" s="199"/>
      <c r="H580" s="199"/>
      <c r="I580" s="199"/>
      <c r="J580" s="199"/>
      <c r="K580" s="199"/>
      <c r="L580" s="289" t="s">
        <v>1429</v>
      </c>
      <c r="M580" s="199"/>
      <c r="N580" s="40" t="str">
        <f t="shared" si="56"/>
        <v>FY2010-11</v>
      </c>
      <c r="O580" s="40" t="s">
        <v>1355</v>
      </c>
      <c r="P580" s="40" t="s">
        <v>1338</v>
      </c>
      <c r="Q580" s="199"/>
      <c r="R580" s="199"/>
      <c r="S580" s="200"/>
      <c r="T580" s="200"/>
      <c r="U580" s="200"/>
      <c r="V580" s="201"/>
      <c r="W580" s="201"/>
      <c r="X580" s="201"/>
      <c r="Y580" s="201"/>
      <c r="Z580" s="201"/>
      <c r="AA580" s="201"/>
      <c r="AB580" s="201"/>
      <c r="AC580" s="201"/>
      <c r="AD580" s="201"/>
      <c r="AE580" s="201"/>
      <c r="AF580" s="201"/>
      <c r="AG580" s="201"/>
    </row>
    <row r="581" spans="1:34" ht="16" customHeight="1">
      <c r="A581" s="7"/>
      <c r="B581" s="10"/>
      <c r="C581" s="12"/>
      <c r="D581" s="199"/>
      <c r="E581" s="199"/>
      <c r="F581" s="199"/>
      <c r="G581" s="199"/>
      <c r="H581" s="199"/>
      <c r="I581" s="199"/>
      <c r="J581" s="199"/>
      <c r="K581" s="199"/>
      <c r="L581" s="289" t="s">
        <v>1429</v>
      </c>
      <c r="M581" s="199"/>
      <c r="N581" s="40" t="str">
        <f t="shared" si="56"/>
        <v>FY2010-11</v>
      </c>
      <c r="O581" s="40" t="s">
        <v>1355</v>
      </c>
      <c r="P581" s="40" t="s">
        <v>1338</v>
      </c>
      <c r="Q581" s="199"/>
      <c r="R581" s="199"/>
      <c r="S581" s="200"/>
      <c r="T581" s="200"/>
      <c r="U581" s="200"/>
      <c r="V581" s="201"/>
      <c r="W581" s="201"/>
      <c r="X581" s="201"/>
      <c r="Y581" s="201"/>
      <c r="Z581" s="201"/>
      <c r="AA581" s="201"/>
      <c r="AB581" s="201"/>
      <c r="AC581" s="201"/>
      <c r="AD581" s="201"/>
      <c r="AE581" s="201"/>
      <c r="AF581" s="201"/>
      <c r="AG581" s="201"/>
    </row>
    <row r="582" spans="1:34" ht="16" customHeight="1">
      <c r="A582" s="36"/>
      <c r="B582" s="33"/>
      <c r="C582" s="33"/>
      <c r="D582" s="34"/>
      <c r="E582" s="34"/>
      <c r="F582" s="35"/>
      <c r="G582" s="34"/>
      <c r="H582" s="35"/>
      <c r="I582" s="35"/>
      <c r="J582" s="34"/>
      <c r="K582" s="34"/>
      <c r="L582" s="288"/>
      <c r="M582" s="35"/>
      <c r="N582" s="35"/>
      <c r="O582" s="34"/>
      <c r="P582" s="35"/>
      <c r="Q582" s="35"/>
      <c r="R582" s="34"/>
      <c r="S582" s="34"/>
      <c r="T582" s="34"/>
      <c r="U582" s="34"/>
      <c r="V582" s="36"/>
      <c r="W582" s="36"/>
      <c r="X582" s="36"/>
      <c r="Y582" s="36"/>
      <c r="Z582" s="36"/>
      <c r="AA582" s="36"/>
      <c r="AB582" s="36"/>
      <c r="AC582" s="36"/>
      <c r="AD582" s="36"/>
      <c r="AE582" s="36"/>
      <c r="AF582" s="36"/>
      <c r="AG582" s="36"/>
    </row>
    <row r="583" spans="1:34" ht="16" customHeight="1" thickBot="1">
      <c r="A583" s="7"/>
      <c r="B583" s="19" t="str">
        <f>"FA4 = "&amp;'FIG3'!$W$55&amp;" "&amp;'FIG3'!$X$55</f>
        <v>FA4 = FA4L1 FA4L2</v>
      </c>
      <c r="C583" s="7"/>
      <c r="D583" s="8"/>
      <c r="E583" s="8"/>
      <c r="F583" s="9"/>
      <c r="G583" s="8"/>
      <c r="H583" s="9"/>
      <c r="I583" s="9"/>
      <c r="J583" s="8"/>
      <c r="K583" s="8"/>
      <c r="L583" s="280"/>
      <c r="M583" s="9"/>
      <c r="N583" s="9"/>
      <c r="O583" s="8"/>
      <c r="P583" s="9"/>
      <c r="Q583" s="9"/>
      <c r="R583" s="8"/>
      <c r="S583" s="882"/>
      <c r="T583" s="883" t="str">
        <f>'$REV-DB'!$T$34</f>
        <v>Federal Revenues</v>
      </c>
      <c r="U583" s="883" t="str">
        <f>'$REV-DB'!$U$34</f>
        <v>local Revenues</v>
      </c>
      <c r="V583" s="883" t="str">
        <f>'$REV-DB'!$V$34</f>
        <v>Other Revenues</v>
      </c>
      <c r="W583" s="883" t="str">
        <f>'$REV-DB'!$W$34</f>
        <v>State revenues</v>
      </c>
      <c r="X583" s="883" t="str">
        <f>'$REV-DB'!$X$34</f>
        <v>UD5</v>
      </c>
      <c r="Y583" s="883" t="str">
        <f>'$REV-DB'!$Y$34</f>
        <v>UD6</v>
      </c>
      <c r="Z583" s="883" t="str">
        <f>'$REV-DB'!$Z$34</f>
        <v>UD7</v>
      </c>
      <c r="AA583" s="883" t="str">
        <f>'$REV-DB'!$AA$34</f>
        <v>UD8</v>
      </c>
      <c r="AB583" s="883" t="str">
        <f>'$REV-DB'!$AB$34</f>
        <v>UD9</v>
      </c>
      <c r="AC583" s="883" t="str">
        <f>'$REV-DB'!$AC$34</f>
        <v>UD10</v>
      </c>
      <c r="AD583" s="883" t="str">
        <f>'$REV-DB'!$AD$34</f>
        <v>UD11</v>
      </c>
      <c r="AE583" s="883" t="str">
        <f>'$REV-DB'!$AE$34</f>
        <v>UD12</v>
      </c>
      <c r="AF583" s="883" t="str">
        <f>'$REV-DB'!$AF$34</f>
        <v>UD13</v>
      </c>
      <c r="AG583" s="883" t="str">
        <f>'$REV-DB'!$AG$34</f>
        <v>UD14</v>
      </c>
    </row>
    <row r="584" spans="1:34" ht="16" customHeight="1" thickTop="1" thickBot="1">
      <c r="A584" s="7"/>
      <c r="B584" s="20" t="s">
        <v>1399</v>
      </c>
      <c r="C584" s="15"/>
      <c r="D584" s="105" t="s">
        <v>1386</v>
      </c>
      <c r="E584" s="105" t="s">
        <v>1387</v>
      </c>
      <c r="F584" s="105" t="s">
        <v>1388</v>
      </c>
      <c r="G584" s="105" t="s">
        <v>1389</v>
      </c>
      <c r="H584" s="301" t="s">
        <v>1406</v>
      </c>
      <c r="I584" s="301" t="s">
        <v>1390</v>
      </c>
      <c r="J584" s="301" t="s">
        <v>1391</v>
      </c>
      <c r="K584" s="301" t="s">
        <v>1392</v>
      </c>
      <c r="L584" s="301" t="s">
        <v>1188</v>
      </c>
      <c r="M584" s="301" t="s">
        <v>1437</v>
      </c>
      <c r="N584" s="105" t="s">
        <v>1348</v>
      </c>
      <c r="O584" s="105" t="s">
        <v>1393</v>
      </c>
      <c r="P584" s="105" t="s">
        <v>1342</v>
      </c>
      <c r="Q584" s="105" t="s">
        <v>1394</v>
      </c>
      <c r="R584" s="112" t="s">
        <v>1341</v>
      </c>
      <c r="S584" s="112" t="s">
        <v>846</v>
      </c>
      <c r="T584" s="873" t="s">
        <v>935</v>
      </c>
      <c r="U584" s="873" t="s">
        <v>936</v>
      </c>
      <c r="V584" s="873" t="s">
        <v>937</v>
      </c>
      <c r="W584" s="873" t="s">
        <v>938</v>
      </c>
      <c r="X584" s="873" t="s">
        <v>939</v>
      </c>
      <c r="Y584" s="873" t="s">
        <v>940</v>
      </c>
      <c r="Z584" s="873" t="s">
        <v>941</v>
      </c>
      <c r="AA584" s="873" t="s">
        <v>942</v>
      </c>
      <c r="AB584" s="873" t="s">
        <v>943</v>
      </c>
      <c r="AC584" s="873" t="s">
        <v>944</v>
      </c>
      <c r="AD584" s="873" t="s">
        <v>945</v>
      </c>
      <c r="AE584" s="873" t="s">
        <v>946</v>
      </c>
      <c r="AF584" s="873" t="s">
        <v>947</v>
      </c>
      <c r="AG584" s="873" t="s">
        <v>948</v>
      </c>
      <c r="AH584" s="6"/>
    </row>
    <row r="585" spans="1:34" ht="16" customHeight="1" thickTop="1">
      <c r="A585" s="7"/>
      <c r="B585" s="19" t="s">
        <v>1345</v>
      </c>
      <c r="C585" s="12"/>
      <c r="D585" s="200"/>
      <c r="E585" s="200"/>
      <c r="F585" s="199"/>
      <c r="G585" s="200"/>
      <c r="H585" s="199"/>
      <c r="I585" s="199"/>
      <c r="J585" s="200"/>
      <c r="K585" s="200"/>
      <c r="L585" s="289" t="s">
        <v>1429</v>
      </c>
      <c r="M585" s="199"/>
      <c r="N585" s="40" t="str">
        <f>J$6</f>
        <v>FY2010-11</v>
      </c>
      <c r="O585" s="40" t="s">
        <v>1355</v>
      </c>
      <c r="P585" s="40" t="s">
        <v>1338</v>
      </c>
      <c r="Q585" s="40" t="s">
        <v>1380</v>
      </c>
      <c r="R585" s="200"/>
      <c r="S585" s="200"/>
      <c r="T585" s="200"/>
      <c r="U585" s="200"/>
      <c r="V585" s="201"/>
      <c r="W585" s="201"/>
      <c r="X585" s="201"/>
      <c r="Y585" s="201"/>
      <c r="Z585" s="201"/>
      <c r="AA585" s="201"/>
      <c r="AB585" s="201"/>
      <c r="AC585" s="201"/>
      <c r="AD585" s="201"/>
      <c r="AE585" s="201"/>
      <c r="AF585" s="201"/>
      <c r="AG585" s="201"/>
      <c r="AH585" s="6"/>
    </row>
    <row r="586" spans="1:34" ht="16" customHeight="1">
      <c r="A586" s="7"/>
      <c r="B586" s="16">
        <f>DSUM('$REV-DB'!D35:AG374,"AMOUNT",'$REV-DSUM'!D584:AG591)</f>
        <v>0</v>
      </c>
      <c r="C586" s="12"/>
      <c r="D586" s="200"/>
      <c r="E586" s="200"/>
      <c r="F586" s="199"/>
      <c r="G586" s="200"/>
      <c r="H586" s="199"/>
      <c r="I586" s="199"/>
      <c r="J586" s="200"/>
      <c r="K586" s="200"/>
      <c r="L586" s="289" t="s">
        <v>1429</v>
      </c>
      <c r="M586" s="199"/>
      <c r="N586" s="40" t="str">
        <f t="shared" ref="N586:N591" si="57">J$6</f>
        <v>FY2010-11</v>
      </c>
      <c r="O586" s="40" t="s">
        <v>1355</v>
      </c>
      <c r="P586" s="40" t="s">
        <v>1338</v>
      </c>
      <c r="Q586" s="40" t="s">
        <v>1380</v>
      </c>
      <c r="R586" s="200"/>
      <c r="S586" s="200"/>
      <c r="T586" s="200"/>
      <c r="U586" s="200"/>
      <c r="V586" s="201"/>
      <c r="W586" s="201"/>
      <c r="X586" s="201"/>
      <c r="Y586" s="201"/>
      <c r="Z586" s="201"/>
      <c r="AA586" s="201"/>
      <c r="AB586" s="201"/>
      <c r="AC586" s="201"/>
      <c r="AD586" s="201"/>
      <c r="AE586" s="201"/>
      <c r="AF586" s="201"/>
      <c r="AG586" s="201"/>
      <c r="AH586" s="6"/>
    </row>
    <row r="587" spans="1:34" ht="16" customHeight="1">
      <c r="A587" s="7"/>
      <c r="B587" s="10"/>
      <c r="C587" s="12"/>
      <c r="D587" s="200"/>
      <c r="E587" s="200"/>
      <c r="F587" s="199"/>
      <c r="G587" s="200"/>
      <c r="H587" s="199"/>
      <c r="I587" s="199"/>
      <c r="J587" s="200"/>
      <c r="K587" s="200"/>
      <c r="L587" s="289" t="s">
        <v>1429</v>
      </c>
      <c r="M587" s="199"/>
      <c r="N587" s="40" t="str">
        <f t="shared" si="57"/>
        <v>FY2010-11</v>
      </c>
      <c r="O587" s="40" t="s">
        <v>1355</v>
      </c>
      <c r="P587" s="40" t="s">
        <v>1338</v>
      </c>
      <c r="Q587" s="40" t="s">
        <v>1380</v>
      </c>
      <c r="R587" s="200"/>
      <c r="S587" s="200"/>
      <c r="T587" s="200"/>
      <c r="U587" s="200"/>
      <c r="V587" s="201"/>
      <c r="W587" s="201"/>
      <c r="X587" s="201"/>
      <c r="Y587" s="201"/>
      <c r="Z587" s="201"/>
      <c r="AA587" s="201"/>
      <c r="AB587" s="201"/>
      <c r="AC587" s="201"/>
      <c r="AD587" s="201"/>
      <c r="AE587" s="201"/>
      <c r="AF587" s="201"/>
      <c r="AG587" s="201"/>
    </row>
    <row r="588" spans="1:34" ht="16" customHeight="1">
      <c r="A588" s="7"/>
      <c r="B588" s="10"/>
      <c r="C588" s="12"/>
      <c r="D588" s="200"/>
      <c r="E588" s="200"/>
      <c r="F588" s="199"/>
      <c r="G588" s="200"/>
      <c r="H588" s="199"/>
      <c r="I588" s="199"/>
      <c r="J588" s="200"/>
      <c r="K588" s="200"/>
      <c r="L588" s="289" t="s">
        <v>1429</v>
      </c>
      <c r="M588" s="199"/>
      <c r="N588" s="40" t="str">
        <f t="shared" si="57"/>
        <v>FY2010-11</v>
      </c>
      <c r="O588" s="40" t="s">
        <v>1355</v>
      </c>
      <c r="P588" s="40" t="s">
        <v>1338</v>
      </c>
      <c r="Q588" s="40" t="s">
        <v>1380</v>
      </c>
      <c r="R588" s="200"/>
      <c r="S588" s="200"/>
      <c r="T588" s="200"/>
      <c r="U588" s="200"/>
      <c r="V588" s="201"/>
      <c r="W588" s="201"/>
      <c r="X588" s="201"/>
      <c r="Y588" s="201"/>
      <c r="Z588" s="201"/>
      <c r="AA588" s="201"/>
      <c r="AB588" s="201"/>
      <c r="AC588" s="201"/>
      <c r="AD588" s="201"/>
      <c r="AE588" s="201"/>
      <c r="AF588" s="201"/>
      <c r="AG588" s="201"/>
    </row>
    <row r="589" spans="1:34" ht="16" customHeight="1">
      <c r="A589" s="7"/>
      <c r="B589" s="10"/>
      <c r="C589" s="12"/>
      <c r="D589" s="200"/>
      <c r="E589" s="200"/>
      <c r="F589" s="199"/>
      <c r="G589" s="200"/>
      <c r="H589" s="199"/>
      <c r="I589" s="199"/>
      <c r="J589" s="200"/>
      <c r="K589" s="200"/>
      <c r="L589" s="289" t="s">
        <v>1429</v>
      </c>
      <c r="M589" s="199"/>
      <c r="N589" s="40" t="str">
        <f t="shared" si="57"/>
        <v>FY2010-11</v>
      </c>
      <c r="O589" s="40" t="s">
        <v>1355</v>
      </c>
      <c r="P589" s="40" t="s">
        <v>1338</v>
      </c>
      <c r="Q589" s="40" t="s">
        <v>1380</v>
      </c>
      <c r="R589" s="200"/>
      <c r="S589" s="200"/>
      <c r="T589" s="200"/>
      <c r="U589" s="200"/>
      <c r="V589" s="201"/>
      <c r="W589" s="201"/>
      <c r="X589" s="201"/>
      <c r="Y589" s="201"/>
      <c r="Z589" s="201"/>
      <c r="AA589" s="201"/>
      <c r="AB589" s="201"/>
      <c r="AC589" s="201"/>
      <c r="AD589" s="201"/>
      <c r="AE589" s="201"/>
      <c r="AF589" s="201"/>
      <c r="AG589" s="201"/>
    </row>
    <row r="590" spans="1:34" ht="16" customHeight="1">
      <c r="A590" s="7"/>
      <c r="B590" s="10"/>
      <c r="C590" s="12"/>
      <c r="D590" s="200"/>
      <c r="E590" s="200"/>
      <c r="F590" s="199"/>
      <c r="G590" s="200"/>
      <c r="H590" s="199"/>
      <c r="I590" s="199"/>
      <c r="J590" s="200"/>
      <c r="K590" s="200"/>
      <c r="L590" s="289" t="s">
        <v>1429</v>
      </c>
      <c r="M590" s="199"/>
      <c r="N590" s="40" t="str">
        <f t="shared" si="57"/>
        <v>FY2010-11</v>
      </c>
      <c r="O590" s="40" t="s">
        <v>1355</v>
      </c>
      <c r="P590" s="40" t="s">
        <v>1338</v>
      </c>
      <c r="Q590" s="40" t="s">
        <v>1380</v>
      </c>
      <c r="R590" s="200"/>
      <c r="S590" s="200"/>
      <c r="T590" s="200"/>
      <c r="U590" s="200"/>
      <c r="V590" s="201"/>
      <c r="W590" s="201"/>
      <c r="X590" s="201"/>
      <c r="Y590" s="201"/>
      <c r="Z590" s="201"/>
      <c r="AA590" s="201"/>
      <c r="AB590" s="201"/>
      <c r="AC590" s="201"/>
      <c r="AD590" s="201"/>
      <c r="AE590" s="201"/>
      <c r="AF590" s="201"/>
      <c r="AG590" s="201"/>
    </row>
    <row r="591" spans="1:34" ht="16" customHeight="1">
      <c r="A591" s="7"/>
      <c r="B591" s="10"/>
      <c r="C591" s="12"/>
      <c r="D591" s="200"/>
      <c r="E591" s="200"/>
      <c r="F591" s="199"/>
      <c r="G591" s="200"/>
      <c r="H591" s="199"/>
      <c r="I591" s="199"/>
      <c r="J591" s="200"/>
      <c r="K591" s="200"/>
      <c r="L591" s="289" t="s">
        <v>1429</v>
      </c>
      <c r="M591" s="199"/>
      <c r="N591" s="40" t="str">
        <f t="shared" si="57"/>
        <v>FY2010-11</v>
      </c>
      <c r="O591" s="40" t="s">
        <v>1355</v>
      </c>
      <c r="P591" s="40" t="s">
        <v>1338</v>
      </c>
      <c r="Q591" s="40" t="s">
        <v>1380</v>
      </c>
      <c r="R591" s="200"/>
      <c r="S591" s="200"/>
      <c r="T591" s="200"/>
      <c r="U591" s="200"/>
      <c r="V591" s="201"/>
      <c r="W591" s="201"/>
      <c r="X591" s="201"/>
      <c r="Y591" s="201"/>
      <c r="Z591" s="201"/>
      <c r="AA591" s="201"/>
      <c r="AB591" s="201"/>
      <c r="AC591" s="201"/>
      <c r="AD591" s="201"/>
      <c r="AE591" s="201"/>
      <c r="AF591" s="201"/>
      <c r="AG591" s="201"/>
    </row>
    <row r="592" spans="1:34" ht="16" customHeight="1">
      <c r="A592" s="36"/>
      <c r="B592" s="33"/>
      <c r="C592" s="33"/>
      <c r="D592" s="34"/>
      <c r="E592" s="34"/>
      <c r="F592" s="35"/>
      <c r="G592" s="34"/>
      <c r="H592" s="35"/>
      <c r="I592" s="35"/>
      <c r="J592" s="34"/>
      <c r="K592" s="34"/>
      <c r="L592" s="288"/>
      <c r="M592" s="35"/>
      <c r="N592" s="35"/>
      <c r="O592" s="34"/>
      <c r="P592" s="35"/>
      <c r="Q592" s="35"/>
      <c r="R592" s="34"/>
      <c r="S592" s="34"/>
      <c r="T592" s="34"/>
      <c r="U592" s="34"/>
      <c r="V592" s="36"/>
      <c r="W592" s="36"/>
      <c r="X592" s="36"/>
      <c r="Y592" s="36"/>
      <c r="Z592" s="36"/>
      <c r="AA592" s="36"/>
      <c r="AB592" s="36"/>
      <c r="AC592" s="36"/>
      <c r="AD592" s="36"/>
      <c r="AE592" s="36"/>
      <c r="AF592" s="36"/>
      <c r="AG592" s="36"/>
    </row>
    <row r="593" spans="1:34" ht="16" customHeight="1" thickBot="1">
      <c r="A593" s="7"/>
      <c r="B593" s="19" t="str">
        <f>"FA4 = "&amp;'FIG3'!$W$55&amp;" "&amp;'FIG3'!$X$55</f>
        <v>FA4 = FA4L1 FA4L2</v>
      </c>
      <c r="C593" s="7"/>
      <c r="D593" s="8"/>
      <c r="E593" s="8"/>
      <c r="F593" s="9"/>
      <c r="G593" s="8"/>
      <c r="H593" s="9"/>
      <c r="I593" s="9"/>
      <c r="J593" s="8"/>
      <c r="K593" s="8"/>
      <c r="L593" s="280"/>
      <c r="M593" s="9"/>
      <c r="N593" s="9"/>
      <c r="O593" s="8"/>
      <c r="P593" s="9"/>
      <c r="Q593" s="9"/>
      <c r="R593" s="8"/>
      <c r="S593" s="882"/>
      <c r="T593" s="883" t="str">
        <f>'$REV-DB'!$T$34</f>
        <v>Federal Revenues</v>
      </c>
      <c r="U593" s="883" t="str">
        <f>'$REV-DB'!$U$34</f>
        <v>local Revenues</v>
      </c>
      <c r="V593" s="883" t="str">
        <f>'$REV-DB'!$V$34</f>
        <v>Other Revenues</v>
      </c>
      <c r="W593" s="883" t="str">
        <f>'$REV-DB'!$W$34</f>
        <v>State revenues</v>
      </c>
      <c r="X593" s="883" t="str">
        <f>'$REV-DB'!$X$34</f>
        <v>UD5</v>
      </c>
      <c r="Y593" s="883" t="str">
        <f>'$REV-DB'!$Y$34</f>
        <v>UD6</v>
      </c>
      <c r="Z593" s="883" t="str">
        <f>'$REV-DB'!$Z$34</f>
        <v>UD7</v>
      </c>
      <c r="AA593" s="883" t="str">
        <f>'$REV-DB'!$AA$34</f>
        <v>UD8</v>
      </c>
      <c r="AB593" s="883" t="str">
        <f>'$REV-DB'!$AB$34</f>
        <v>UD9</v>
      </c>
      <c r="AC593" s="883" t="str">
        <f>'$REV-DB'!$AC$34</f>
        <v>UD10</v>
      </c>
      <c r="AD593" s="883" t="str">
        <f>'$REV-DB'!$AD$34</f>
        <v>UD11</v>
      </c>
      <c r="AE593" s="883" t="str">
        <f>'$REV-DB'!$AE$34</f>
        <v>UD12</v>
      </c>
      <c r="AF593" s="883" t="str">
        <f>'$REV-DB'!$AF$34</f>
        <v>UD13</v>
      </c>
      <c r="AG593" s="883" t="str">
        <f>'$REV-DB'!$AG$34</f>
        <v>UD14</v>
      </c>
    </row>
    <row r="594" spans="1:34" ht="16" customHeight="1" thickTop="1" thickBot="1">
      <c r="A594" s="7"/>
      <c r="B594" s="20" t="s">
        <v>1399</v>
      </c>
      <c r="C594" s="15"/>
      <c r="D594" s="105" t="s">
        <v>1386</v>
      </c>
      <c r="E594" s="105" t="s">
        <v>1387</v>
      </c>
      <c r="F594" s="105" t="s">
        <v>1388</v>
      </c>
      <c r="G594" s="105" t="s">
        <v>1389</v>
      </c>
      <c r="H594" s="301" t="s">
        <v>1406</v>
      </c>
      <c r="I594" s="301" t="s">
        <v>1390</v>
      </c>
      <c r="J594" s="301" t="s">
        <v>1391</v>
      </c>
      <c r="K594" s="301" t="s">
        <v>1392</v>
      </c>
      <c r="L594" s="301" t="s">
        <v>1188</v>
      </c>
      <c r="M594" s="301" t="s">
        <v>1437</v>
      </c>
      <c r="N594" s="105" t="s">
        <v>1348</v>
      </c>
      <c r="O594" s="105" t="s">
        <v>1393</v>
      </c>
      <c r="P594" s="105" t="s">
        <v>1342</v>
      </c>
      <c r="Q594" s="105" t="s">
        <v>1394</v>
      </c>
      <c r="R594" s="112" t="s">
        <v>1341</v>
      </c>
      <c r="S594" s="112" t="s">
        <v>846</v>
      </c>
      <c r="T594" s="873" t="s">
        <v>935</v>
      </c>
      <c r="U594" s="873" t="s">
        <v>936</v>
      </c>
      <c r="V594" s="873" t="s">
        <v>937</v>
      </c>
      <c r="W594" s="873" t="s">
        <v>938</v>
      </c>
      <c r="X594" s="873" t="s">
        <v>939</v>
      </c>
      <c r="Y594" s="873" t="s">
        <v>940</v>
      </c>
      <c r="Z594" s="873" t="s">
        <v>941</v>
      </c>
      <c r="AA594" s="873" t="s">
        <v>942</v>
      </c>
      <c r="AB594" s="873" t="s">
        <v>943</v>
      </c>
      <c r="AC594" s="873" t="s">
        <v>944</v>
      </c>
      <c r="AD594" s="873" t="s">
        <v>945</v>
      </c>
      <c r="AE594" s="873" t="s">
        <v>946</v>
      </c>
      <c r="AF594" s="873" t="s">
        <v>947</v>
      </c>
      <c r="AG594" s="873" t="s">
        <v>948</v>
      </c>
      <c r="AH594" s="6"/>
    </row>
    <row r="595" spans="1:34" ht="16" customHeight="1" thickTop="1">
      <c r="A595" s="7"/>
      <c r="B595" s="19" t="s">
        <v>1344</v>
      </c>
      <c r="C595" s="12"/>
      <c r="D595" s="200"/>
      <c r="E595" s="200"/>
      <c r="F595" s="199"/>
      <c r="G595" s="200"/>
      <c r="H595" s="199"/>
      <c r="I595" s="199"/>
      <c r="J595" s="200"/>
      <c r="K595" s="200"/>
      <c r="L595" s="289" t="s">
        <v>1429</v>
      </c>
      <c r="M595" s="199"/>
      <c r="N595" s="40" t="str">
        <f>J$6</f>
        <v>FY2010-11</v>
      </c>
      <c r="O595" s="40" t="s">
        <v>1355</v>
      </c>
      <c r="P595" s="40" t="s">
        <v>1338</v>
      </c>
      <c r="Q595" s="40" t="s">
        <v>1339</v>
      </c>
      <c r="R595" s="200"/>
      <c r="S595" s="200"/>
      <c r="T595" s="200"/>
      <c r="U595" s="200"/>
      <c r="V595" s="201"/>
      <c r="W595" s="201"/>
      <c r="X595" s="201"/>
      <c r="Y595" s="201"/>
      <c r="Z595" s="201"/>
      <c r="AA595" s="201"/>
      <c r="AB595" s="201"/>
      <c r="AC595" s="201"/>
      <c r="AD595" s="201"/>
      <c r="AE595" s="201"/>
      <c r="AF595" s="201"/>
      <c r="AG595" s="201"/>
      <c r="AH595" s="6"/>
    </row>
    <row r="596" spans="1:34" ht="16" customHeight="1">
      <c r="A596" s="7"/>
      <c r="B596" s="16">
        <f>DSUM('$REV-DB'!D35:AG374,"AMOUNT",'$REV-DSUM'!D594:AG601)</f>
        <v>0</v>
      </c>
      <c r="C596" s="12"/>
      <c r="D596" s="200"/>
      <c r="E596" s="200"/>
      <c r="F596" s="199"/>
      <c r="G596" s="200"/>
      <c r="H596" s="199"/>
      <c r="I596" s="199"/>
      <c r="J596" s="200"/>
      <c r="K596" s="200"/>
      <c r="L596" s="289" t="s">
        <v>1429</v>
      </c>
      <c r="M596" s="199"/>
      <c r="N596" s="40" t="str">
        <f t="shared" ref="N596:N601" si="58">J$6</f>
        <v>FY2010-11</v>
      </c>
      <c r="O596" s="40" t="s">
        <v>1355</v>
      </c>
      <c r="P596" s="40" t="s">
        <v>1338</v>
      </c>
      <c r="Q596" s="40" t="s">
        <v>1339</v>
      </c>
      <c r="R596" s="200"/>
      <c r="S596" s="200"/>
      <c r="T596" s="200"/>
      <c r="U596" s="200"/>
      <c r="V596" s="201"/>
      <c r="W596" s="201"/>
      <c r="X596" s="201"/>
      <c r="Y596" s="201"/>
      <c r="Z596" s="201"/>
      <c r="AA596" s="201"/>
      <c r="AB596" s="201"/>
      <c r="AC596" s="201"/>
      <c r="AD596" s="201"/>
      <c r="AE596" s="201"/>
      <c r="AF596" s="201"/>
      <c r="AG596" s="201"/>
      <c r="AH596" s="6"/>
    </row>
    <row r="597" spans="1:34" ht="16" customHeight="1">
      <c r="A597" s="7"/>
      <c r="B597" s="10"/>
      <c r="C597" s="12"/>
      <c r="D597" s="200"/>
      <c r="E597" s="200"/>
      <c r="F597" s="199"/>
      <c r="G597" s="200"/>
      <c r="H597" s="199"/>
      <c r="I597" s="199"/>
      <c r="J597" s="200"/>
      <c r="K597" s="200"/>
      <c r="L597" s="289" t="s">
        <v>1429</v>
      </c>
      <c r="M597" s="199"/>
      <c r="N597" s="40" t="str">
        <f t="shared" si="58"/>
        <v>FY2010-11</v>
      </c>
      <c r="O597" s="40" t="s">
        <v>1355</v>
      </c>
      <c r="P597" s="40" t="s">
        <v>1338</v>
      </c>
      <c r="Q597" s="40" t="s">
        <v>1339</v>
      </c>
      <c r="R597" s="200"/>
      <c r="S597" s="200"/>
      <c r="T597" s="200"/>
      <c r="U597" s="200"/>
      <c r="V597" s="201"/>
      <c r="W597" s="201"/>
      <c r="X597" s="201"/>
      <c r="Y597" s="201"/>
      <c r="Z597" s="201"/>
      <c r="AA597" s="201"/>
      <c r="AB597" s="201"/>
      <c r="AC597" s="201"/>
      <c r="AD597" s="201"/>
      <c r="AE597" s="201"/>
      <c r="AF597" s="201"/>
      <c r="AG597" s="201"/>
    </row>
    <row r="598" spans="1:34" ht="16" customHeight="1">
      <c r="A598" s="7"/>
      <c r="B598" s="10"/>
      <c r="C598" s="12"/>
      <c r="D598" s="200"/>
      <c r="E598" s="200"/>
      <c r="F598" s="199"/>
      <c r="G598" s="200"/>
      <c r="H598" s="199"/>
      <c r="I598" s="199"/>
      <c r="J598" s="200"/>
      <c r="K598" s="200"/>
      <c r="L598" s="289" t="s">
        <v>1429</v>
      </c>
      <c r="M598" s="199"/>
      <c r="N598" s="40" t="str">
        <f t="shared" si="58"/>
        <v>FY2010-11</v>
      </c>
      <c r="O598" s="40" t="s">
        <v>1355</v>
      </c>
      <c r="P598" s="40" t="s">
        <v>1338</v>
      </c>
      <c r="Q598" s="40" t="s">
        <v>1339</v>
      </c>
      <c r="R598" s="200"/>
      <c r="S598" s="200"/>
      <c r="T598" s="200"/>
      <c r="U598" s="200"/>
      <c r="V598" s="201"/>
      <c r="W598" s="201"/>
      <c r="X598" s="201"/>
      <c r="Y598" s="201"/>
      <c r="Z598" s="201"/>
      <c r="AA598" s="201"/>
      <c r="AB598" s="201"/>
      <c r="AC598" s="201"/>
      <c r="AD598" s="201"/>
      <c r="AE598" s="201"/>
      <c r="AF598" s="201"/>
      <c r="AG598" s="201"/>
    </row>
    <row r="599" spans="1:34" ht="16" customHeight="1">
      <c r="A599" s="7"/>
      <c r="B599" s="10"/>
      <c r="C599" s="12"/>
      <c r="D599" s="200"/>
      <c r="E599" s="200"/>
      <c r="F599" s="199"/>
      <c r="G599" s="200"/>
      <c r="H599" s="199"/>
      <c r="I599" s="199"/>
      <c r="J599" s="200"/>
      <c r="K599" s="200"/>
      <c r="L599" s="289" t="s">
        <v>1429</v>
      </c>
      <c r="M599" s="199"/>
      <c r="N599" s="40" t="str">
        <f t="shared" si="58"/>
        <v>FY2010-11</v>
      </c>
      <c r="O599" s="40" t="s">
        <v>1355</v>
      </c>
      <c r="P599" s="40" t="s">
        <v>1338</v>
      </c>
      <c r="Q599" s="40" t="s">
        <v>1339</v>
      </c>
      <c r="R599" s="200"/>
      <c r="S599" s="200"/>
      <c r="T599" s="200"/>
      <c r="U599" s="200"/>
      <c r="V599" s="201"/>
      <c r="W599" s="201"/>
      <c r="X599" s="201"/>
      <c r="Y599" s="201"/>
      <c r="Z599" s="201"/>
      <c r="AA599" s="201"/>
      <c r="AB599" s="201"/>
      <c r="AC599" s="201"/>
      <c r="AD599" s="201"/>
      <c r="AE599" s="201"/>
      <c r="AF599" s="201"/>
      <c r="AG599" s="201"/>
    </row>
    <row r="600" spans="1:34" ht="16" customHeight="1">
      <c r="A600" s="7"/>
      <c r="B600" s="10"/>
      <c r="C600" s="12"/>
      <c r="D600" s="200"/>
      <c r="E600" s="200"/>
      <c r="F600" s="199"/>
      <c r="G600" s="200"/>
      <c r="H600" s="199"/>
      <c r="I600" s="199"/>
      <c r="J600" s="200"/>
      <c r="K600" s="200"/>
      <c r="L600" s="289" t="s">
        <v>1429</v>
      </c>
      <c r="M600" s="199"/>
      <c r="N600" s="40" t="str">
        <f t="shared" si="58"/>
        <v>FY2010-11</v>
      </c>
      <c r="O600" s="40" t="s">
        <v>1355</v>
      </c>
      <c r="P600" s="40" t="s">
        <v>1338</v>
      </c>
      <c r="Q600" s="40" t="s">
        <v>1339</v>
      </c>
      <c r="R600" s="200"/>
      <c r="S600" s="200"/>
      <c r="T600" s="200"/>
      <c r="U600" s="200"/>
      <c r="V600" s="201"/>
      <c r="W600" s="201"/>
      <c r="X600" s="201"/>
      <c r="Y600" s="201"/>
      <c r="Z600" s="201"/>
      <c r="AA600" s="201"/>
      <c r="AB600" s="201"/>
      <c r="AC600" s="201"/>
      <c r="AD600" s="201"/>
      <c r="AE600" s="201"/>
      <c r="AF600" s="201"/>
      <c r="AG600" s="201"/>
    </row>
    <row r="601" spans="1:34" ht="16" customHeight="1">
      <c r="A601" s="7"/>
      <c r="B601" s="10"/>
      <c r="C601" s="12"/>
      <c r="D601" s="200"/>
      <c r="E601" s="200"/>
      <c r="F601" s="199"/>
      <c r="G601" s="200"/>
      <c r="H601" s="199"/>
      <c r="I601" s="199"/>
      <c r="J601" s="200"/>
      <c r="K601" s="200"/>
      <c r="L601" s="289" t="s">
        <v>1429</v>
      </c>
      <c r="M601" s="199"/>
      <c r="N601" s="40" t="str">
        <f t="shared" si="58"/>
        <v>FY2010-11</v>
      </c>
      <c r="O601" s="40" t="s">
        <v>1355</v>
      </c>
      <c r="P601" s="40" t="s">
        <v>1338</v>
      </c>
      <c r="Q601" s="40" t="s">
        <v>1339</v>
      </c>
      <c r="R601" s="200"/>
      <c r="S601" s="200"/>
      <c r="T601" s="200"/>
      <c r="U601" s="200"/>
      <c r="V601" s="201"/>
      <c r="W601" s="201"/>
      <c r="X601" s="201"/>
      <c r="Y601" s="201"/>
      <c r="Z601" s="201"/>
      <c r="AA601" s="201"/>
      <c r="AB601" s="201"/>
      <c r="AC601" s="201"/>
      <c r="AD601" s="201"/>
      <c r="AE601" s="201"/>
      <c r="AF601" s="201"/>
      <c r="AG601" s="201"/>
    </row>
    <row r="602" spans="1:34" ht="16" customHeight="1">
      <c r="A602" s="36"/>
      <c r="B602" s="33"/>
      <c r="C602" s="33"/>
      <c r="D602" s="34"/>
      <c r="E602" s="34"/>
      <c r="F602" s="35"/>
      <c r="G602" s="34"/>
      <c r="H602" s="35"/>
      <c r="I602" s="35"/>
      <c r="J602" s="34"/>
      <c r="K602" s="34"/>
      <c r="L602" s="288"/>
      <c r="M602" s="35"/>
      <c r="N602" s="35"/>
      <c r="O602" s="34"/>
      <c r="P602" s="35"/>
      <c r="Q602" s="35"/>
      <c r="R602" s="34"/>
      <c r="S602" s="34"/>
      <c r="T602" s="34"/>
      <c r="U602" s="34"/>
      <c r="V602" s="36"/>
      <c r="W602" s="36"/>
      <c r="X602" s="36"/>
      <c r="Y602" s="36"/>
      <c r="Z602" s="36"/>
      <c r="AA602" s="36"/>
      <c r="AB602" s="36"/>
      <c r="AC602" s="36"/>
      <c r="AD602" s="36"/>
      <c r="AE602" s="36"/>
      <c r="AF602" s="36"/>
      <c r="AG602" s="36"/>
    </row>
    <row r="603" spans="1:34" ht="16" customHeight="1" thickBot="1">
      <c r="A603" s="7"/>
      <c r="B603" s="19" t="str">
        <f>"FA4 = "&amp;'FIG3'!$W$55&amp;" "&amp;'FIG3'!$X$55</f>
        <v>FA4 = FA4L1 FA4L2</v>
      </c>
      <c r="C603" s="7"/>
      <c r="D603" s="8"/>
      <c r="E603" s="8"/>
      <c r="F603" s="9"/>
      <c r="G603" s="8"/>
      <c r="H603" s="9"/>
      <c r="I603" s="9"/>
      <c r="J603" s="8"/>
      <c r="K603" s="8"/>
      <c r="L603" s="280"/>
      <c r="M603" s="9"/>
      <c r="N603" s="9"/>
      <c r="O603" s="8"/>
      <c r="P603" s="9"/>
      <c r="Q603" s="9"/>
      <c r="R603" s="8"/>
      <c r="S603" s="882"/>
      <c r="T603" s="883" t="str">
        <f>'$REV-DB'!$T$34</f>
        <v>Federal Revenues</v>
      </c>
      <c r="U603" s="883" t="str">
        <f>'$REV-DB'!$U$34</f>
        <v>local Revenues</v>
      </c>
      <c r="V603" s="883" t="str">
        <f>'$REV-DB'!$V$34</f>
        <v>Other Revenues</v>
      </c>
      <c r="W603" s="883" t="str">
        <f>'$REV-DB'!$W$34</f>
        <v>State revenues</v>
      </c>
      <c r="X603" s="883" t="str">
        <f>'$REV-DB'!$X$34</f>
        <v>UD5</v>
      </c>
      <c r="Y603" s="883" t="str">
        <f>'$REV-DB'!$Y$34</f>
        <v>UD6</v>
      </c>
      <c r="Z603" s="883" t="str">
        <f>'$REV-DB'!$Z$34</f>
        <v>UD7</v>
      </c>
      <c r="AA603" s="883" t="str">
        <f>'$REV-DB'!$AA$34</f>
        <v>UD8</v>
      </c>
      <c r="AB603" s="883" t="str">
        <f>'$REV-DB'!$AB$34</f>
        <v>UD9</v>
      </c>
      <c r="AC603" s="883" t="str">
        <f>'$REV-DB'!$AC$34</f>
        <v>UD10</v>
      </c>
      <c r="AD603" s="883" t="str">
        <f>'$REV-DB'!$AD$34</f>
        <v>UD11</v>
      </c>
      <c r="AE603" s="883" t="str">
        <f>'$REV-DB'!$AE$34</f>
        <v>UD12</v>
      </c>
      <c r="AF603" s="883" t="str">
        <f>'$REV-DB'!$AF$34</f>
        <v>UD13</v>
      </c>
      <c r="AG603" s="883" t="str">
        <f>'$REV-DB'!$AG$34</f>
        <v>UD14</v>
      </c>
    </row>
    <row r="604" spans="1:34" ht="16" customHeight="1" thickTop="1" thickBot="1">
      <c r="A604" s="7"/>
      <c r="B604" s="20" t="s">
        <v>1399</v>
      </c>
      <c r="C604" s="15"/>
      <c r="D604" s="105" t="s">
        <v>1386</v>
      </c>
      <c r="E604" s="105" t="s">
        <v>1387</v>
      </c>
      <c r="F604" s="105" t="s">
        <v>1388</v>
      </c>
      <c r="G604" s="105" t="s">
        <v>1389</v>
      </c>
      <c r="H604" s="301" t="s">
        <v>1406</v>
      </c>
      <c r="I604" s="301" t="s">
        <v>1390</v>
      </c>
      <c r="J604" s="301" t="s">
        <v>1391</v>
      </c>
      <c r="K604" s="301" t="s">
        <v>1392</v>
      </c>
      <c r="L604" s="301" t="s">
        <v>1188</v>
      </c>
      <c r="M604" s="301" t="s">
        <v>1437</v>
      </c>
      <c r="N604" s="105" t="s">
        <v>1348</v>
      </c>
      <c r="O604" s="105" t="s">
        <v>1393</v>
      </c>
      <c r="P604" s="105" t="s">
        <v>1342</v>
      </c>
      <c r="Q604" s="105" t="s">
        <v>1394</v>
      </c>
      <c r="R604" s="112" t="s">
        <v>1341</v>
      </c>
      <c r="S604" s="112" t="s">
        <v>846</v>
      </c>
      <c r="T604" s="873" t="s">
        <v>935</v>
      </c>
      <c r="U604" s="873" t="s">
        <v>936</v>
      </c>
      <c r="V604" s="873" t="s">
        <v>937</v>
      </c>
      <c r="W604" s="873" t="s">
        <v>938</v>
      </c>
      <c r="X604" s="873" t="s">
        <v>939</v>
      </c>
      <c r="Y604" s="873" t="s">
        <v>940</v>
      </c>
      <c r="Z604" s="873" t="s">
        <v>941</v>
      </c>
      <c r="AA604" s="873" t="s">
        <v>942</v>
      </c>
      <c r="AB604" s="873" t="s">
        <v>943</v>
      </c>
      <c r="AC604" s="873" t="s">
        <v>944</v>
      </c>
      <c r="AD604" s="873" t="s">
        <v>945</v>
      </c>
      <c r="AE604" s="873" t="s">
        <v>946</v>
      </c>
      <c r="AF604" s="873" t="s">
        <v>947</v>
      </c>
      <c r="AG604" s="873" t="s">
        <v>948</v>
      </c>
      <c r="AH604" s="6"/>
    </row>
    <row r="605" spans="1:34" ht="16" customHeight="1" thickTop="1">
      <c r="A605" s="7"/>
      <c r="B605" s="19" t="s">
        <v>1343</v>
      </c>
      <c r="C605" s="12"/>
      <c r="D605" s="200"/>
      <c r="E605" s="200"/>
      <c r="F605" s="199"/>
      <c r="G605" s="200"/>
      <c r="H605" s="199"/>
      <c r="I605" s="199"/>
      <c r="J605" s="200"/>
      <c r="K605" s="200"/>
      <c r="L605" s="289" t="s">
        <v>1429</v>
      </c>
      <c r="M605" s="199"/>
      <c r="N605" s="40" t="str">
        <f>J$6</f>
        <v>FY2010-11</v>
      </c>
      <c r="O605" s="40" t="s">
        <v>1355</v>
      </c>
      <c r="P605" s="40" t="s">
        <v>1338</v>
      </c>
      <c r="Q605" s="40" t="s">
        <v>1379</v>
      </c>
      <c r="R605" s="200"/>
      <c r="S605" s="200"/>
      <c r="T605" s="200"/>
      <c r="U605" s="200"/>
      <c r="V605" s="201"/>
      <c r="W605" s="201"/>
      <c r="X605" s="201"/>
      <c r="Y605" s="201"/>
      <c r="Z605" s="201"/>
      <c r="AA605" s="201"/>
      <c r="AB605" s="201"/>
      <c r="AC605" s="201"/>
      <c r="AD605" s="201"/>
      <c r="AE605" s="201"/>
      <c r="AF605" s="201"/>
      <c r="AG605" s="201"/>
      <c r="AH605" s="6"/>
    </row>
    <row r="606" spans="1:34" ht="16" customHeight="1">
      <c r="A606" s="7"/>
      <c r="B606" s="16">
        <f>DSUM('$REV-DB'!D35:AG374,"AMOUNT",'$REV-DSUM'!D604:AG611)</f>
        <v>0</v>
      </c>
      <c r="C606" s="12"/>
      <c r="D606" s="200"/>
      <c r="E606" s="200"/>
      <c r="F606" s="199"/>
      <c r="G606" s="200"/>
      <c r="H606" s="199"/>
      <c r="I606" s="199"/>
      <c r="J606" s="200"/>
      <c r="K606" s="200"/>
      <c r="L606" s="289" t="s">
        <v>1429</v>
      </c>
      <c r="M606" s="199"/>
      <c r="N606" s="40" t="str">
        <f t="shared" ref="N606:N611" si="59">J$6</f>
        <v>FY2010-11</v>
      </c>
      <c r="O606" s="40" t="s">
        <v>1355</v>
      </c>
      <c r="P606" s="40" t="s">
        <v>1338</v>
      </c>
      <c r="Q606" s="40" t="s">
        <v>1379</v>
      </c>
      <c r="R606" s="200"/>
      <c r="S606" s="200"/>
      <c r="T606" s="200"/>
      <c r="U606" s="200"/>
      <c r="V606" s="201"/>
      <c r="W606" s="201"/>
      <c r="X606" s="201"/>
      <c r="Y606" s="201"/>
      <c r="Z606" s="201"/>
      <c r="AA606" s="201"/>
      <c r="AB606" s="201"/>
      <c r="AC606" s="201"/>
      <c r="AD606" s="201"/>
      <c r="AE606" s="201"/>
      <c r="AF606" s="201"/>
      <c r="AG606" s="201"/>
      <c r="AH606" s="6"/>
    </row>
    <row r="607" spans="1:34" ht="16" customHeight="1">
      <c r="A607" s="7"/>
      <c r="B607" s="10"/>
      <c r="C607" s="12"/>
      <c r="D607" s="200"/>
      <c r="E607" s="200"/>
      <c r="F607" s="199"/>
      <c r="G607" s="200"/>
      <c r="H607" s="199"/>
      <c r="I607" s="199"/>
      <c r="J607" s="200"/>
      <c r="K607" s="200"/>
      <c r="L607" s="289" t="s">
        <v>1429</v>
      </c>
      <c r="M607" s="199"/>
      <c r="N607" s="40" t="str">
        <f t="shared" si="59"/>
        <v>FY2010-11</v>
      </c>
      <c r="O607" s="40" t="s">
        <v>1355</v>
      </c>
      <c r="P607" s="40" t="s">
        <v>1338</v>
      </c>
      <c r="Q607" s="40" t="s">
        <v>1379</v>
      </c>
      <c r="R607" s="200"/>
      <c r="S607" s="200"/>
      <c r="T607" s="200"/>
      <c r="U607" s="200"/>
      <c r="V607" s="201"/>
      <c r="W607" s="201"/>
      <c r="X607" s="201"/>
      <c r="Y607" s="201"/>
      <c r="Z607" s="201"/>
      <c r="AA607" s="201"/>
      <c r="AB607" s="201"/>
      <c r="AC607" s="201"/>
      <c r="AD607" s="201"/>
      <c r="AE607" s="201"/>
      <c r="AF607" s="201"/>
      <c r="AG607" s="201"/>
    </row>
    <row r="608" spans="1:34" ht="16" customHeight="1">
      <c r="A608" s="7"/>
      <c r="B608" s="10"/>
      <c r="C608" s="12"/>
      <c r="D608" s="200"/>
      <c r="E608" s="200"/>
      <c r="F608" s="199"/>
      <c r="G608" s="200"/>
      <c r="H608" s="199"/>
      <c r="I608" s="199"/>
      <c r="J608" s="200"/>
      <c r="K608" s="200"/>
      <c r="L608" s="289" t="s">
        <v>1429</v>
      </c>
      <c r="M608" s="199"/>
      <c r="N608" s="40" t="str">
        <f t="shared" si="59"/>
        <v>FY2010-11</v>
      </c>
      <c r="O608" s="40" t="s">
        <v>1355</v>
      </c>
      <c r="P608" s="40" t="s">
        <v>1338</v>
      </c>
      <c r="Q608" s="40" t="s">
        <v>1379</v>
      </c>
      <c r="R608" s="200"/>
      <c r="S608" s="200"/>
      <c r="T608" s="200"/>
      <c r="U608" s="200"/>
      <c r="V608" s="201"/>
      <c r="W608" s="201"/>
      <c r="X608" s="201"/>
      <c r="Y608" s="201"/>
      <c r="Z608" s="201"/>
      <c r="AA608" s="201"/>
      <c r="AB608" s="201"/>
      <c r="AC608" s="201"/>
      <c r="AD608" s="201"/>
      <c r="AE608" s="201"/>
      <c r="AF608" s="201"/>
      <c r="AG608" s="201"/>
    </row>
    <row r="609" spans="1:34" ht="16" customHeight="1">
      <c r="A609" s="7"/>
      <c r="B609" s="10"/>
      <c r="C609" s="12"/>
      <c r="D609" s="200"/>
      <c r="E609" s="200"/>
      <c r="F609" s="199"/>
      <c r="G609" s="200"/>
      <c r="H609" s="199"/>
      <c r="I609" s="199"/>
      <c r="J609" s="200"/>
      <c r="K609" s="200"/>
      <c r="L609" s="289" t="s">
        <v>1429</v>
      </c>
      <c r="M609" s="199"/>
      <c r="N609" s="40" t="str">
        <f t="shared" si="59"/>
        <v>FY2010-11</v>
      </c>
      <c r="O609" s="40" t="s">
        <v>1355</v>
      </c>
      <c r="P609" s="40" t="s">
        <v>1338</v>
      </c>
      <c r="Q609" s="40" t="s">
        <v>1379</v>
      </c>
      <c r="R609" s="200"/>
      <c r="S609" s="200"/>
      <c r="T609" s="200"/>
      <c r="U609" s="200"/>
      <c r="V609" s="201"/>
      <c r="W609" s="201"/>
      <c r="X609" s="201"/>
      <c r="Y609" s="201"/>
      <c r="Z609" s="201"/>
      <c r="AA609" s="201"/>
      <c r="AB609" s="201"/>
      <c r="AC609" s="201"/>
      <c r="AD609" s="201"/>
      <c r="AE609" s="201"/>
      <c r="AF609" s="201"/>
      <c r="AG609" s="201"/>
    </row>
    <row r="610" spans="1:34" ht="16" customHeight="1">
      <c r="A610" s="7"/>
      <c r="B610" s="10"/>
      <c r="C610" s="12"/>
      <c r="D610" s="200"/>
      <c r="E610" s="200"/>
      <c r="F610" s="199"/>
      <c r="G610" s="200"/>
      <c r="H610" s="199"/>
      <c r="I610" s="199"/>
      <c r="J610" s="200"/>
      <c r="K610" s="200"/>
      <c r="L610" s="289" t="s">
        <v>1429</v>
      </c>
      <c r="M610" s="199"/>
      <c r="N610" s="40" t="str">
        <f t="shared" si="59"/>
        <v>FY2010-11</v>
      </c>
      <c r="O610" s="40" t="s">
        <v>1355</v>
      </c>
      <c r="P610" s="40" t="s">
        <v>1338</v>
      </c>
      <c r="Q610" s="40" t="s">
        <v>1379</v>
      </c>
      <c r="R610" s="200"/>
      <c r="S610" s="200"/>
      <c r="T610" s="200"/>
      <c r="U610" s="200"/>
      <c r="V610" s="201"/>
      <c r="W610" s="201"/>
      <c r="X610" s="201"/>
      <c r="Y610" s="201"/>
      <c r="Z610" s="201"/>
      <c r="AA610" s="201"/>
      <c r="AB610" s="201"/>
      <c r="AC610" s="201"/>
      <c r="AD610" s="201"/>
      <c r="AE610" s="201"/>
      <c r="AF610" s="201"/>
      <c r="AG610" s="201"/>
    </row>
    <row r="611" spans="1:34" ht="16" customHeight="1">
      <c r="A611" s="7"/>
      <c r="B611" s="10"/>
      <c r="C611" s="12"/>
      <c r="D611" s="200"/>
      <c r="E611" s="200"/>
      <c r="F611" s="199"/>
      <c r="G611" s="200"/>
      <c r="H611" s="199"/>
      <c r="I611" s="199"/>
      <c r="J611" s="200"/>
      <c r="K611" s="200"/>
      <c r="L611" s="289" t="s">
        <v>1429</v>
      </c>
      <c r="M611" s="199"/>
      <c r="N611" s="40" t="str">
        <f t="shared" si="59"/>
        <v>FY2010-11</v>
      </c>
      <c r="O611" s="40" t="s">
        <v>1355</v>
      </c>
      <c r="P611" s="40" t="s">
        <v>1338</v>
      </c>
      <c r="Q611" s="40" t="s">
        <v>1379</v>
      </c>
      <c r="R611" s="200"/>
      <c r="S611" s="200"/>
      <c r="T611" s="200"/>
      <c r="U611" s="200"/>
      <c r="V611" s="201"/>
      <c r="W611" s="201"/>
      <c r="X611" s="201"/>
      <c r="Y611" s="201"/>
      <c r="Z611" s="201"/>
      <c r="AA611" s="201"/>
      <c r="AB611" s="201"/>
      <c r="AC611" s="201"/>
      <c r="AD611" s="201"/>
      <c r="AE611" s="201"/>
      <c r="AF611" s="201"/>
      <c r="AG611" s="201"/>
    </row>
    <row r="612" spans="1:34" ht="16" customHeight="1">
      <c r="A612" s="36"/>
      <c r="B612" s="33"/>
      <c r="C612" s="33"/>
      <c r="D612" s="34"/>
      <c r="E612" s="34"/>
      <c r="F612" s="35"/>
      <c r="G612" s="34"/>
      <c r="H612" s="35"/>
      <c r="I612" s="35"/>
      <c r="J612" s="34"/>
      <c r="K612" s="34"/>
      <c r="L612" s="288"/>
      <c r="M612" s="35"/>
      <c r="N612" s="35"/>
      <c r="O612" s="34"/>
      <c r="P612" s="35"/>
      <c r="Q612" s="35"/>
      <c r="R612" s="34"/>
      <c r="S612" s="34"/>
      <c r="T612" s="34"/>
      <c r="U612" s="34"/>
      <c r="V612" s="36"/>
      <c r="W612" s="36"/>
      <c r="X612" s="36"/>
      <c r="Y612" s="36"/>
      <c r="Z612" s="36"/>
      <c r="AA612" s="36"/>
      <c r="AB612" s="36"/>
      <c r="AC612" s="36"/>
      <c r="AD612" s="36"/>
      <c r="AE612" s="36"/>
      <c r="AF612" s="36"/>
      <c r="AG612" s="36"/>
    </row>
    <row r="613" spans="1:34" ht="16" customHeight="1" thickBot="1">
      <c r="A613" s="7"/>
      <c r="B613" s="19" t="str">
        <f>"FA4 = "&amp;'FIG3'!$W$55&amp;" "&amp;'FIG3'!$X$55</f>
        <v>FA4 = FA4L1 FA4L2</v>
      </c>
      <c r="C613" s="7"/>
      <c r="D613" s="8"/>
      <c r="E613" s="8"/>
      <c r="F613" s="9"/>
      <c r="G613" s="8"/>
      <c r="H613" s="9"/>
      <c r="I613" s="9"/>
      <c r="J613" s="8"/>
      <c r="K613" s="8"/>
      <c r="L613" s="280"/>
      <c r="M613" s="9"/>
      <c r="N613" s="9"/>
      <c r="O613" s="8"/>
      <c r="P613" s="9"/>
      <c r="Q613" s="9"/>
      <c r="R613" s="8"/>
      <c r="S613" s="882"/>
      <c r="T613" s="883" t="str">
        <f>'$REV-DB'!$T$34</f>
        <v>Federal Revenues</v>
      </c>
      <c r="U613" s="883" t="str">
        <f>'$REV-DB'!$U$34</f>
        <v>local Revenues</v>
      </c>
      <c r="V613" s="883" t="str">
        <f>'$REV-DB'!$V$34</f>
        <v>Other Revenues</v>
      </c>
      <c r="W613" s="883" t="str">
        <f>'$REV-DB'!$W$34</f>
        <v>State revenues</v>
      </c>
      <c r="X613" s="883" t="str">
        <f>'$REV-DB'!$X$34</f>
        <v>UD5</v>
      </c>
      <c r="Y613" s="883" t="str">
        <f>'$REV-DB'!$Y$34</f>
        <v>UD6</v>
      </c>
      <c r="Z613" s="883" t="str">
        <f>'$REV-DB'!$Z$34</f>
        <v>UD7</v>
      </c>
      <c r="AA613" s="883" t="str">
        <f>'$REV-DB'!$AA$34</f>
        <v>UD8</v>
      </c>
      <c r="AB613" s="883" t="str">
        <f>'$REV-DB'!$AB$34</f>
        <v>UD9</v>
      </c>
      <c r="AC613" s="883" t="str">
        <f>'$REV-DB'!$AC$34</f>
        <v>UD10</v>
      </c>
      <c r="AD613" s="883" t="str">
        <f>'$REV-DB'!$AD$34</f>
        <v>UD11</v>
      </c>
      <c r="AE613" s="883" t="str">
        <f>'$REV-DB'!$AE$34</f>
        <v>UD12</v>
      </c>
      <c r="AF613" s="883" t="str">
        <f>'$REV-DB'!$AF$34</f>
        <v>UD13</v>
      </c>
      <c r="AG613" s="883" t="str">
        <f>'$REV-DB'!$AG$34</f>
        <v>UD14</v>
      </c>
    </row>
    <row r="614" spans="1:34" ht="16" customHeight="1" thickTop="1" thickBot="1">
      <c r="A614" s="7"/>
      <c r="B614" s="20" t="s">
        <v>1399</v>
      </c>
      <c r="C614" s="15"/>
      <c r="D614" s="105" t="s">
        <v>1386</v>
      </c>
      <c r="E614" s="105" t="s">
        <v>1387</v>
      </c>
      <c r="F614" s="105" t="s">
        <v>1388</v>
      </c>
      <c r="G614" s="105" t="s">
        <v>1389</v>
      </c>
      <c r="H614" s="301" t="s">
        <v>1406</v>
      </c>
      <c r="I614" s="301" t="s">
        <v>1390</v>
      </c>
      <c r="J614" s="301" t="s">
        <v>1391</v>
      </c>
      <c r="K614" s="301" t="s">
        <v>1392</v>
      </c>
      <c r="L614" s="301" t="s">
        <v>1188</v>
      </c>
      <c r="M614" s="301" t="s">
        <v>1437</v>
      </c>
      <c r="N614" s="105" t="s">
        <v>1348</v>
      </c>
      <c r="O614" s="105" t="s">
        <v>1393</v>
      </c>
      <c r="P614" s="105" t="s">
        <v>1342</v>
      </c>
      <c r="Q614" s="105" t="s">
        <v>1394</v>
      </c>
      <c r="R614" s="112" t="s">
        <v>1341</v>
      </c>
      <c r="S614" s="112" t="s">
        <v>846</v>
      </c>
      <c r="T614" s="873" t="s">
        <v>935</v>
      </c>
      <c r="U614" s="873" t="s">
        <v>936</v>
      </c>
      <c r="V614" s="873" t="s">
        <v>937</v>
      </c>
      <c r="W614" s="873" t="s">
        <v>938</v>
      </c>
      <c r="X614" s="873" t="s">
        <v>939</v>
      </c>
      <c r="Y614" s="873" t="s">
        <v>940</v>
      </c>
      <c r="Z614" s="873" t="s">
        <v>941</v>
      </c>
      <c r="AA614" s="873" t="s">
        <v>942</v>
      </c>
      <c r="AB614" s="873" t="s">
        <v>943</v>
      </c>
      <c r="AC614" s="873" t="s">
        <v>944</v>
      </c>
      <c r="AD614" s="873" t="s">
        <v>945</v>
      </c>
      <c r="AE614" s="873" t="s">
        <v>946</v>
      </c>
      <c r="AF614" s="873" t="s">
        <v>947</v>
      </c>
      <c r="AG614" s="873" t="s">
        <v>948</v>
      </c>
      <c r="AH614" s="6"/>
    </row>
    <row r="615" spans="1:34" ht="16" customHeight="1" thickTop="1">
      <c r="A615" s="7"/>
      <c r="B615" s="19" t="s">
        <v>1349</v>
      </c>
      <c r="C615" s="12"/>
      <c r="D615" s="200"/>
      <c r="E615" s="200"/>
      <c r="F615" s="199"/>
      <c r="G615" s="200"/>
      <c r="H615" s="199"/>
      <c r="I615" s="199"/>
      <c r="J615" s="200"/>
      <c r="K615" s="200"/>
      <c r="L615" s="289" t="s">
        <v>1429</v>
      </c>
      <c r="M615" s="199"/>
      <c r="N615" s="40" t="str">
        <f>J$6</f>
        <v>FY2010-11</v>
      </c>
      <c r="O615" s="40" t="s">
        <v>1355</v>
      </c>
      <c r="P615" s="40" t="s">
        <v>1338</v>
      </c>
      <c r="Q615" s="40" t="s">
        <v>1397</v>
      </c>
      <c r="R615" s="200"/>
      <c r="S615" s="200"/>
      <c r="T615" s="200"/>
      <c r="U615" s="200"/>
      <c r="V615" s="201"/>
      <c r="W615" s="201"/>
      <c r="X615" s="201"/>
      <c r="Y615" s="201"/>
      <c r="Z615" s="201"/>
      <c r="AA615" s="201"/>
      <c r="AB615" s="201"/>
      <c r="AC615" s="201"/>
      <c r="AD615" s="201"/>
      <c r="AE615" s="201"/>
      <c r="AF615" s="201"/>
      <c r="AG615" s="201"/>
      <c r="AH615" s="6"/>
    </row>
    <row r="616" spans="1:34" ht="16" customHeight="1">
      <c r="A616" s="7"/>
      <c r="B616" s="16">
        <f>DSUM('$REV-DB'!D35:AG374,"AMOUNT",'$REV-DSUM'!D614:AG621)</f>
        <v>0</v>
      </c>
      <c r="C616" s="12"/>
      <c r="D616" s="200"/>
      <c r="E616" s="200"/>
      <c r="F616" s="199"/>
      <c r="G616" s="200"/>
      <c r="H616" s="199"/>
      <c r="I616" s="199"/>
      <c r="J616" s="200"/>
      <c r="K616" s="200"/>
      <c r="L616" s="289" t="s">
        <v>1429</v>
      </c>
      <c r="M616" s="199"/>
      <c r="N616" s="40" t="str">
        <f t="shared" ref="N616:N621" si="60">J$6</f>
        <v>FY2010-11</v>
      </c>
      <c r="O616" s="40" t="s">
        <v>1355</v>
      </c>
      <c r="P616" s="40" t="s">
        <v>1338</v>
      </c>
      <c r="Q616" s="40" t="s">
        <v>1397</v>
      </c>
      <c r="R616" s="200"/>
      <c r="S616" s="200"/>
      <c r="T616" s="200"/>
      <c r="U616" s="200"/>
      <c r="V616" s="201"/>
      <c r="W616" s="201"/>
      <c r="X616" s="201"/>
      <c r="Y616" s="201"/>
      <c r="Z616" s="201"/>
      <c r="AA616" s="201"/>
      <c r="AB616" s="201"/>
      <c r="AC616" s="201"/>
      <c r="AD616" s="201"/>
      <c r="AE616" s="201"/>
      <c r="AF616" s="201"/>
      <c r="AG616" s="201"/>
      <c r="AH616" s="6"/>
    </row>
    <row r="617" spans="1:34" ht="16" customHeight="1">
      <c r="A617" s="7"/>
      <c r="B617" s="10"/>
      <c r="C617" s="12"/>
      <c r="D617" s="200"/>
      <c r="E617" s="200"/>
      <c r="F617" s="199"/>
      <c r="G617" s="200"/>
      <c r="H617" s="199"/>
      <c r="I617" s="199"/>
      <c r="J617" s="200"/>
      <c r="K617" s="200"/>
      <c r="L617" s="289" t="s">
        <v>1429</v>
      </c>
      <c r="M617" s="199"/>
      <c r="N617" s="40" t="str">
        <f t="shared" si="60"/>
        <v>FY2010-11</v>
      </c>
      <c r="O617" s="40" t="s">
        <v>1355</v>
      </c>
      <c r="P617" s="40" t="s">
        <v>1338</v>
      </c>
      <c r="Q617" s="40" t="s">
        <v>1397</v>
      </c>
      <c r="R617" s="200"/>
      <c r="S617" s="200"/>
      <c r="T617" s="200"/>
      <c r="U617" s="200"/>
      <c r="V617" s="201"/>
      <c r="W617" s="201"/>
      <c r="X617" s="201"/>
      <c r="Y617" s="201"/>
      <c r="Z617" s="201"/>
      <c r="AA617" s="201"/>
      <c r="AB617" s="201"/>
      <c r="AC617" s="201"/>
      <c r="AD617" s="201"/>
      <c r="AE617" s="201"/>
      <c r="AF617" s="201"/>
      <c r="AG617" s="201"/>
    </row>
    <row r="618" spans="1:34" ht="16" customHeight="1">
      <c r="A618" s="7"/>
      <c r="B618" s="10"/>
      <c r="C618" s="12"/>
      <c r="D618" s="200"/>
      <c r="E618" s="200"/>
      <c r="F618" s="199"/>
      <c r="G618" s="200"/>
      <c r="H618" s="199"/>
      <c r="I618" s="199"/>
      <c r="J618" s="200"/>
      <c r="K618" s="200"/>
      <c r="L618" s="289" t="s">
        <v>1429</v>
      </c>
      <c r="M618" s="199"/>
      <c r="N618" s="40" t="str">
        <f t="shared" si="60"/>
        <v>FY2010-11</v>
      </c>
      <c r="O618" s="40" t="s">
        <v>1355</v>
      </c>
      <c r="P618" s="40" t="s">
        <v>1338</v>
      </c>
      <c r="Q618" s="40" t="s">
        <v>1397</v>
      </c>
      <c r="R618" s="200"/>
      <c r="S618" s="200"/>
      <c r="T618" s="200"/>
      <c r="U618" s="200"/>
      <c r="V618" s="201"/>
      <c r="W618" s="201"/>
      <c r="X618" s="201"/>
      <c r="Y618" s="201"/>
      <c r="Z618" s="201"/>
      <c r="AA618" s="201"/>
      <c r="AB618" s="201"/>
      <c r="AC618" s="201"/>
      <c r="AD618" s="201"/>
      <c r="AE618" s="201"/>
      <c r="AF618" s="201"/>
      <c r="AG618" s="201"/>
    </row>
    <row r="619" spans="1:34" ht="16" customHeight="1">
      <c r="A619" s="7"/>
      <c r="B619" s="10"/>
      <c r="C619" s="12"/>
      <c r="D619" s="200"/>
      <c r="E619" s="200"/>
      <c r="F619" s="199"/>
      <c r="G619" s="200"/>
      <c r="H619" s="199"/>
      <c r="I619" s="199"/>
      <c r="J619" s="200"/>
      <c r="K619" s="200"/>
      <c r="L619" s="289" t="s">
        <v>1429</v>
      </c>
      <c r="M619" s="199"/>
      <c r="N619" s="40" t="str">
        <f t="shared" si="60"/>
        <v>FY2010-11</v>
      </c>
      <c r="O619" s="40" t="s">
        <v>1355</v>
      </c>
      <c r="P619" s="40" t="s">
        <v>1338</v>
      </c>
      <c r="Q619" s="40" t="s">
        <v>1397</v>
      </c>
      <c r="R619" s="200"/>
      <c r="S619" s="200"/>
      <c r="T619" s="200"/>
      <c r="U619" s="200"/>
      <c r="V619" s="201"/>
      <c r="W619" s="201"/>
      <c r="X619" s="201"/>
      <c r="Y619" s="201"/>
      <c r="Z619" s="201"/>
      <c r="AA619" s="201"/>
      <c r="AB619" s="201"/>
      <c r="AC619" s="201"/>
      <c r="AD619" s="201"/>
      <c r="AE619" s="201"/>
      <c r="AF619" s="201"/>
      <c r="AG619" s="201"/>
    </row>
    <row r="620" spans="1:34" ht="16" customHeight="1">
      <c r="A620" s="7"/>
      <c r="B620" s="10"/>
      <c r="C620" s="12"/>
      <c r="D620" s="200"/>
      <c r="E620" s="200"/>
      <c r="F620" s="199"/>
      <c r="G620" s="200"/>
      <c r="H620" s="199"/>
      <c r="I620" s="199"/>
      <c r="J620" s="200"/>
      <c r="K620" s="200"/>
      <c r="L620" s="289" t="s">
        <v>1429</v>
      </c>
      <c r="M620" s="199"/>
      <c r="N620" s="40" t="str">
        <f t="shared" si="60"/>
        <v>FY2010-11</v>
      </c>
      <c r="O620" s="40" t="s">
        <v>1355</v>
      </c>
      <c r="P620" s="40" t="s">
        <v>1338</v>
      </c>
      <c r="Q620" s="40" t="s">
        <v>1397</v>
      </c>
      <c r="R620" s="200"/>
      <c r="S620" s="200"/>
      <c r="T620" s="200"/>
      <c r="U620" s="200"/>
      <c r="V620" s="201"/>
      <c r="W620" s="201"/>
      <c r="X620" s="201"/>
      <c r="Y620" s="201"/>
      <c r="Z620" s="201"/>
      <c r="AA620" s="201"/>
      <c r="AB620" s="201"/>
      <c r="AC620" s="201"/>
      <c r="AD620" s="201"/>
      <c r="AE620" s="201"/>
      <c r="AF620" s="201"/>
      <c r="AG620" s="201"/>
    </row>
    <row r="621" spans="1:34" ht="16" customHeight="1">
      <c r="A621" s="7"/>
      <c r="B621" s="10"/>
      <c r="C621" s="12"/>
      <c r="D621" s="200"/>
      <c r="E621" s="200"/>
      <c r="F621" s="199"/>
      <c r="G621" s="200"/>
      <c r="H621" s="199"/>
      <c r="I621" s="199"/>
      <c r="J621" s="200"/>
      <c r="K621" s="200"/>
      <c r="L621" s="289" t="s">
        <v>1429</v>
      </c>
      <c r="M621" s="199"/>
      <c r="N621" s="40" t="str">
        <f t="shared" si="60"/>
        <v>FY2010-11</v>
      </c>
      <c r="O621" s="40" t="s">
        <v>1355</v>
      </c>
      <c r="P621" s="40" t="s">
        <v>1338</v>
      </c>
      <c r="Q621" s="40" t="s">
        <v>1397</v>
      </c>
      <c r="R621" s="200"/>
      <c r="S621" s="200"/>
      <c r="T621" s="200"/>
      <c r="U621" s="200"/>
      <c r="V621" s="201"/>
      <c r="W621" s="201"/>
      <c r="X621" s="201"/>
      <c r="Y621" s="201"/>
      <c r="Z621" s="201"/>
      <c r="AA621" s="201"/>
      <c r="AB621" s="201"/>
      <c r="AC621" s="201"/>
      <c r="AD621" s="201"/>
      <c r="AE621" s="201"/>
      <c r="AF621" s="201"/>
      <c r="AG621" s="201"/>
    </row>
    <row r="622" spans="1:34" ht="16" customHeight="1">
      <c r="A622" s="36"/>
      <c r="B622" s="33"/>
      <c r="C622" s="33"/>
      <c r="D622" s="34"/>
      <c r="E622" s="34"/>
      <c r="F622" s="35"/>
      <c r="G622" s="34"/>
      <c r="H622" s="35"/>
      <c r="I622" s="35"/>
      <c r="J622" s="34"/>
      <c r="K622" s="34"/>
      <c r="L622" s="288"/>
      <c r="M622" s="35"/>
      <c r="N622" s="35"/>
      <c r="O622" s="34"/>
      <c r="P622" s="35"/>
      <c r="Q622" s="35"/>
      <c r="R622" s="34"/>
      <c r="S622" s="34"/>
      <c r="T622" s="34"/>
      <c r="U622" s="34"/>
      <c r="V622" s="36"/>
      <c r="W622" s="36"/>
      <c r="X622" s="36"/>
      <c r="Y622" s="36"/>
      <c r="Z622" s="36"/>
      <c r="AA622" s="36"/>
      <c r="AB622" s="36"/>
      <c r="AC622" s="36"/>
      <c r="AD622" s="36"/>
      <c r="AE622" s="36"/>
      <c r="AF622" s="36"/>
      <c r="AG622" s="36"/>
    </row>
    <row r="623" spans="1:34" ht="16" customHeight="1" thickBot="1">
      <c r="A623" s="7"/>
      <c r="B623" s="19" t="str">
        <f>"FA4 = "&amp;'FIG3'!$W$55&amp;" "&amp;'FIG3'!$X$55</f>
        <v>FA4 = FA4L1 FA4L2</v>
      </c>
      <c r="C623" s="7"/>
      <c r="D623" s="8"/>
      <c r="E623" s="8"/>
      <c r="F623" s="9"/>
      <c r="G623" s="8"/>
      <c r="H623" s="9"/>
      <c r="I623" s="9"/>
      <c r="J623" s="8"/>
      <c r="K623" s="8"/>
      <c r="L623" s="280"/>
      <c r="M623" s="9"/>
      <c r="N623" s="9"/>
      <c r="O623" s="8"/>
      <c r="P623" s="9"/>
      <c r="Q623" s="9"/>
      <c r="R623" s="8"/>
      <c r="S623" s="882"/>
      <c r="T623" s="883" t="str">
        <f>'$REV-DB'!$T$34</f>
        <v>Federal Revenues</v>
      </c>
      <c r="U623" s="883" t="str">
        <f>'$REV-DB'!$U$34</f>
        <v>local Revenues</v>
      </c>
      <c r="V623" s="883" t="str">
        <f>'$REV-DB'!$V$34</f>
        <v>Other Revenues</v>
      </c>
      <c r="W623" s="883" t="str">
        <f>'$REV-DB'!$W$34</f>
        <v>State revenues</v>
      </c>
      <c r="X623" s="883" t="str">
        <f>'$REV-DB'!$X$34</f>
        <v>UD5</v>
      </c>
      <c r="Y623" s="883" t="str">
        <f>'$REV-DB'!$Y$34</f>
        <v>UD6</v>
      </c>
      <c r="Z623" s="883" t="str">
        <f>'$REV-DB'!$Z$34</f>
        <v>UD7</v>
      </c>
      <c r="AA623" s="883" t="str">
        <f>'$REV-DB'!$AA$34</f>
        <v>UD8</v>
      </c>
      <c r="AB623" s="883" t="str">
        <f>'$REV-DB'!$AB$34</f>
        <v>UD9</v>
      </c>
      <c r="AC623" s="883" t="str">
        <f>'$REV-DB'!$AC$34</f>
        <v>UD10</v>
      </c>
      <c r="AD623" s="883" t="str">
        <f>'$REV-DB'!$AD$34</f>
        <v>UD11</v>
      </c>
      <c r="AE623" s="883" t="str">
        <f>'$REV-DB'!$AE$34</f>
        <v>UD12</v>
      </c>
      <c r="AF623" s="883" t="str">
        <f>'$REV-DB'!$AF$34</f>
        <v>UD13</v>
      </c>
      <c r="AG623" s="883" t="str">
        <f>'$REV-DB'!$AG$34</f>
        <v>UD14</v>
      </c>
    </row>
    <row r="624" spans="1:34" ht="16" customHeight="1" thickTop="1" thickBot="1">
      <c r="A624" s="7"/>
      <c r="B624" s="20" t="s">
        <v>1399</v>
      </c>
      <c r="C624" s="15"/>
      <c r="D624" s="276" t="s">
        <v>1386</v>
      </c>
      <c r="E624" s="276" t="s">
        <v>1387</v>
      </c>
      <c r="F624" s="276" t="s">
        <v>1388</v>
      </c>
      <c r="G624" s="276" t="s">
        <v>1389</v>
      </c>
      <c r="H624" s="301" t="s">
        <v>1406</v>
      </c>
      <c r="I624" s="301" t="s">
        <v>1390</v>
      </c>
      <c r="J624" s="301" t="s">
        <v>1391</v>
      </c>
      <c r="K624" s="301" t="s">
        <v>1392</v>
      </c>
      <c r="L624" s="301" t="s">
        <v>1188</v>
      </c>
      <c r="M624" s="301" t="s">
        <v>1437</v>
      </c>
      <c r="N624" s="276" t="s">
        <v>1348</v>
      </c>
      <c r="O624" s="276" t="s">
        <v>1393</v>
      </c>
      <c r="P624" s="276" t="s">
        <v>1342</v>
      </c>
      <c r="Q624" s="276" t="s">
        <v>1394</v>
      </c>
      <c r="R624" s="112" t="s">
        <v>1341</v>
      </c>
      <c r="S624" s="112" t="s">
        <v>846</v>
      </c>
      <c r="T624" s="873" t="s">
        <v>935</v>
      </c>
      <c r="U624" s="873" t="s">
        <v>936</v>
      </c>
      <c r="V624" s="873" t="s">
        <v>937</v>
      </c>
      <c r="W624" s="873" t="s">
        <v>938</v>
      </c>
      <c r="X624" s="873" t="s">
        <v>939</v>
      </c>
      <c r="Y624" s="873" t="s">
        <v>940</v>
      </c>
      <c r="Z624" s="873" t="s">
        <v>941</v>
      </c>
      <c r="AA624" s="873" t="s">
        <v>942</v>
      </c>
      <c r="AB624" s="873" t="s">
        <v>943</v>
      </c>
      <c r="AC624" s="873" t="s">
        <v>944</v>
      </c>
      <c r="AD624" s="873" t="s">
        <v>945</v>
      </c>
      <c r="AE624" s="873" t="s">
        <v>946</v>
      </c>
      <c r="AF624" s="873" t="s">
        <v>947</v>
      </c>
      <c r="AG624" s="873" t="s">
        <v>948</v>
      </c>
      <c r="AH624" s="6"/>
    </row>
    <row r="625" spans="1:34" ht="16" customHeight="1" thickTop="1">
      <c r="A625" s="7"/>
      <c r="B625" s="19" t="s">
        <v>1178</v>
      </c>
      <c r="C625" s="12"/>
      <c r="D625" s="200"/>
      <c r="E625" s="200"/>
      <c r="F625" s="199"/>
      <c r="G625" s="200"/>
      <c r="H625" s="199"/>
      <c r="I625" s="199"/>
      <c r="J625" s="200"/>
      <c r="K625" s="200"/>
      <c r="L625" s="289" t="s">
        <v>1429</v>
      </c>
      <c r="M625" s="199"/>
      <c r="N625" s="40" t="str">
        <f>J$6</f>
        <v>FY2010-11</v>
      </c>
      <c r="O625" s="40" t="s">
        <v>1355</v>
      </c>
      <c r="P625" s="40" t="s">
        <v>1338</v>
      </c>
      <c r="Q625" s="40" t="s">
        <v>1465</v>
      </c>
      <c r="R625" s="200"/>
      <c r="S625" s="200"/>
      <c r="T625" s="200"/>
      <c r="U625" s="200"/>
      <c r="V625" s="201"/>
      <c r="W625" s="201"/>
      <c r="X625" s="201"/>
      <c r="Y625" s="201"/>
      <c r="Z625" s="201"/>
      <c r="AA625" s="201"/>
      <c r="AB625" s="201"/>
      <c r="AC625" s="201"/>
      <c r="AD625" s="201"/>
      <c r="AE625" s="201"/>
      <c r="AF625" s="201"/>
      <c r="AG625" s="201"/>
      <c r="AH625" s="6"/>
    </row>
    <row r="626" spans="1:34" ht="16" customHeight="1">
      <c r="A626" s="7"/>
      <c r="B626" s="16">
        <f>DSUM('$REV-DB'!D35:AG374,"AMOUNT",'$REV-DSUM'!D624:AG631)</f>
        <v>0</v>
      </c>
      <c r="C626" s="12"/>
      <c r="D626" s="200"/>
      <c r="E626" s="200"/>
      <c r="F626" s="199"/>
      <c r="G626" s="200"/>
      <c r="H626" s="199"/>
      <c r="I626" s="199"/>
      <c r="J626" s="200"/>
      <c r="K626" s="200"/>
      <c r="L626" s="289" t="s">
        <v>1429</v>
      </c>
      <c r="M626" s="199"/>
      <c r="N626" s="40" t="str">
        <f t="shared" ref="N626:N631" si="61">J$6</f>
        <v>FY2010-11</v>
      </c>
      <c r="O626" s="40" t="s">
        <v>1355</v>
      </c>
      <c r="P626" s="40" t="s">
        <v>1338</v>
      </c>
      <c r="Q626" s="40" t="s">
        <v>1465</v>
      </c>
      <c r="R626" s="200"/>
      <c r="S626" s="200"/>
      <c r="T626" s="200"/>
      <c r="U626" s="200"/>
      <c r="V626" s="201"/>
      <c r="W626" s="201"/>
      <c r="X626" s="201"/>
      <c r="Y626" s="201"/>
      <c r="Z626" s="201"/>
      <c r="AA626" s="201"/>
      <c r="AB626" s="201"/>
      <c r="AC626" s="201"/>
      <c r="AD626" s="201"/>
      <c r="AE626" s="201"/>
      <c r="AF626" s="201"/>
      <c r="AG626" s="201"/>
      <c r="AH626" s="6"/>
    </row>
    <row r="627" spans="1:34" ht="16" customHeight="1">
      <c r="A627" s="7"/>
      <c r="B627" s="10"/>
      <c r="C627" s="12"/>
      <c r="D627" s="200"/>
      <c r="E627" s="200"/>
      <c r="F627" s="199"/>
      <c r="G627" s="200"/>
      <c r="H627" s="199"/>
      <c r="I627" s="199"/>
      <c r="J627" s="200"/>
      <c r="K627" s="200"/>
      <c r="L627" s="289" t="s">
        <v>1429</v>
      </c>
      <c r="M627" s="199"/>
      <c r="N627" s="40" t="str">
        <f t="shared" si="61"/>
        <v>FY2010-11</v>
      </c>
      <c r="O627" s="40" t="s">
        <v>1355</v>
      </c>
      <c r="P627" s="40" t="s">
        <v>1338</v>
      </c>
      <c r="Q627" s="40" t="s">
        <v>1465</v>
      </c>
      <c r="R627" s="200"/>
      <c r="S627" s="200"/>
      <c r="T627" s="200"/>
      <c r="U627" s="200"/>
      <c r="V627" s="201"/>
      <c r="W627" s="201"/>
      <c r="X627" s="201"/>
      <c r="Y627" s="201"/>
      <c r="Z627" s="201"/>
      <c r="AA627" s="201"/>
      <c r="AB627" s="201"/>
      <c r="AC627" s="201"/>
      <c r="AD627" s="201"/>
      <c r="AE627" s="201"/>
      <c r="AF627" s="201"/>
      <c r="AG627" s="201"/>
    </row>
    <row r="628" spans="1:34" ht="16" customHeight="1">
      <c r="A628" s="7"/>
      <c r="B628" s="10"/>
      <c r="C628" s="12"/>
      <c r="D628" s="200"/>
      <c r="E628" s="200"/>
      <c r="F628" s="199"/>
      <c r="G628" s="200"/>
      <c r="H628" s="199"/>
      <c r="I628" s="199"/>
      <c r="J628" s="200"/>
      <c r="K628" s="200"/>
      <c r="L628" s="289" t="s">
        <v>1429</v>
      </c>
      <c r="M628" s="199"/>
      <c r="N628" s="40" t="str">
        <f t="shared" si="61"/>
        <v>FY2010-11</v>
      </c>
      <c r="O628" s="40" t="s">
        <v>1355</v>
      </c>
      <c r="P628" s="40" t="s">
        <v>1338</v>
      </c>
      <c r="Q628" s="40" t="s">
        <v>1465</v>
      </c>
      <c r="R628" s="200"/>
      <c r="S628" s="200"/>
      <c r="T628" s="200"/>
      <c r="U628" s="200"/>
      <c r="V628" s="201"/>
      <c r="W628" s="201"/>
      <c r="X628" s="201"/>
      <c r="Y628" s="201"/>
      <c r="Z628" s="201"/>
      <c r="AA628" s="201"/>
      <c r="AB628" s="201"/>
      <c r="AC628" s="201"/>
      <c r="AD628" s="201"/>
      <c r="AE628" s="201"/>
      <c r="AF628" s="201"/>
      <c r="AG628" s="201"/>
    </row>
    <row r="629" spans="1:34" ht="16" customHeight="1">
      <c r="A629" s="7"/>
      <c r="B629" s="10"/>
      <c r="C629" s="12"/>
      <c r="D629" s="200"/>
      <c r="E629" s="200"/>
      <c r="F629" s="199"/>
      <c r="G629" s="200"/>
      <c r="H629" s="199"/>
      <c r="I629" s="199"/>
      <c r="J629" s="200"/>
      <c r="K629" s="200"/>
      <c r="L629" s="289" t="s">
        <v>1429</v>
      </c>
      <c r="M629" s="199"/>
      <c r="N629" s="40" t="str">
        <f t="shared" si="61"/>
        <v>FY2010-11</v>
      </c>
      <c r="O629" s="40" t="s">
        <v>1355</v>
      </c>
      <c r="P629" s="40" t="s">
        <v>1338</v>
      </c>
      <c r="Q629" s="40" t="s">
        <v>1465</v>
      </c>
      <c r="R629" s="200"/>
      <c r="S629" s="200"/>
      <c r="T629" s="200"/>
      <c r="U629" s="200"/>
      <c r="V629" s="201"/>
      <c r="W629" s="201"/>
      <c r="X629" s="201"/>
      <c r="Y629" s="201"/>
      <c r="Z629" s="201"/>
      <c r="AA629" s="201"/>
      <c r="AB629" s="201"/>
      <c r="AC629" s="201"/>
      <c r="AD629" s="201"/>
      <c r="AE629" s="201"/>
      <c r="AF629" s="201"/>
      <c r="AG629" s="201"/>
    </row>
    <row r="630" spans="1:34" ht="16" customHeight="1">
      <c r="A630" s="7"/>
      <c r="B630" s="10"/>
      <c r="C630" s="12"/>
      <c r="D630" s="200"/>
      <c r="E630" s="200"/>
      <c r="F630" s="199"/>
      <c r="G630" s="200"/>
      <c r="H630" s="199"/>
      <c r="I630" s="199"/>
      <c r="J630" s="200"/>
      <c r="K630" s="200"/>
      <c r="L630" s="289" t="s">
        <v>1429</v>
      </c>
      <c r="M630" s="199"/>
      <c r="N630" s="40" t="str">
        <f t="shared" si="61"/>
        <v>FY2010-11</v>
      </c>
      <c r="O630" s="40" t="s">
        <v>1355</v>
      </c>
      <c r="P630" s="40" t="s">
        <v>1338</v>
      </c>
      <c r="Q630" s="40" t="s">
        <v>1465</v>
      </c>
      <c r="R630" s="200"/>
      <c r="S630" s="200"/>
      <c r="T630" s="200"/>
      <c r="U630" s="200"/>
      <c r="V630" s="201"/>
      <c r="W630" s="201"/>
      <c r="X630" s="201"/>
      <c r="Y630" s="201"/>
      <c r="Z630" s="201"/>
      <c r="AA630" s="201"/>
      <c r="AB630" s="201"/>
      <c r="AC630" s="201"/>
      <c r="AD630" s="201"/>
      <c r="AE630" s="201"/>
      <c r="AF630" s="201"/>
      <c r="AG630" s="201"/>
    </row>
    <row r="631" spans="1:34" ht="16" customHeight="1">
      <c r="A631" s="7"/>
      <c r="B631" s="10"/>
      <c r="C631" s="12"/>
      <c r="D631" s="200"/>
      <c r="E631" s="200"/>
      <c r="F631" s="199"/>
      <c r="G631" s="200"/>
      <c r="H631" s="199"/>
      <c r="I631" s="199"/>
      <c r="J631" s="200"/>
      <c r="K631" s="200"/>
      <c r="L631" s="289" t="s">
        <v>1429</v>
      </c>
      <c r="M631" s="199"/>
      <c r="N631" s="40" t="str">
        <f t="shared" si="61"/>
        <v>FY2010-11</v>
      </c>
      <c r="O631" s="40" t="s">
        <v>1355</v>
      </c>
      <c r="P631" s="40" t="s">
        <v>1338</v>
      </c>
      <c r="Q631" s="40" t="s">
        <v>1465</v>
      </c>
      <c r="R631" s="200"/>
      <c r="S631" s="200"/>
      <c r="T631" s="200"/>
      <c r="U631" s="200"/>
      <c r="V631" s="201"/>
      <c r="W631" s="201"/>
      <c r="X631" s="201"/>
      <c r="Y631" s="201"/>
      <c r="Z631" s="201"/>
      <c r="AA631" s="201"/>
      <c r="AB631" s="201"/>
      <c r="AC631" s="201"/>
      <c r="AD631" s="201"/>
      <c r="AE631" s="201"/>
      <c r="AF631" s="201"/>
      <c r="AG631" s="201"/>
    </row>
    <row r="632" spans="1:34" ht="16" customHeight="1">
      <c r="A632" s="36"/>
      <c r="B632" s="33"/>
      <c r="C632" s="33"/>
      <c r="D632" s="34"/>
      <c r="E632" s="34"/>
      <c r="F632" s="35"/>
      <c r="G632" s="34"/>
      <c r="H632" s="35"/>
      <c r="I632" s="35"/>
      <c r="J632" s="34"/>
      <c r="K632" s="34"/>
      <c r="L632" s="288"/>
      <c r="M632" s="35"/>
      <c r="N632" s="35"/>
      <c r="O632" s="34"/>
      <c r="P632" s="35"/>
      <c r="Q632" s="35"/>
      <c r="R632" s="34"/>
      <c r="S632" s="34"/>
      <c r="T632" s="34"/>
      <c r="U632" s="34"/>
      <c r="V632" s="36"/>
      <c r="W632" s="36"/>
      <c r="X632" s="36"/>
      <c r="Y632" s="36"/>
      <c r="Z632" s="36"/>
      <c r="AA632" s="36"/>
      <c r="AB632" s="36"/>
      <c r="AC632" s="36"/>
      <c r="AD632" s="36"/>
      <c r="AE632" s="36"/>
      <c r="AF632" s="36"/>
      <c r="AG632" s="36"/>
    </row>
    <row r="633" spans="1:34" ht="16" customHeight="1" thickBot="1">
      <c r="A633" s="7"/>
      <c r="B633" s="19" t="str">
        <f>"FA4 = "&amp;'FIG3'!$W$55&amp;" "&amp;'FIG3'!$X$55</f>
        <v>FA4 = FA4L1 FA4L2</v>
      </c>
      <c r="C633" s="7"/>
      <c r="D633" s="8"/>
      <c r="E633" s="8"/>
      <c r="F633" s="9"/>
      <c r="G633" s="8"/>
      <c r="H633" s="9"/>
      <c r="I633" s="9"/>
      <c r="J633" s="8"/>
      <c r="K633" s="8"/>
      <c r="L633" s="280"/>
      <c r="M633" s="9"/>
      <c r="N633" s="9"/>
      <c r="O633" s="8"/>
      <c r="P633" s="9"/>
      <c r="Q633" s="9"/>
      <c r="R633" s="8"/>
      <c r="S633" s="882"/>
      <c r="T633" s="883" t="str">
        <f>'$REV-DB'!$T$34</f>
        <v>Federal Revenues</v>
      </c>
      <c r="U633" s="883" t="str">
        <f>'$REV-DB'!$U$34</f>
        <v>local Revenues</v>
      </c>
      <c r="V633" s="883" t="str">
        <f>'$REV-DB'!$V$34</f>
        <v>Other Revenues</v>
      </c>
      <c r="W633" s="883" t="str">
        <f>'$REV-DB'!$W$34</f>
        <v>State revenues</v>
      </c>
      <c r="X633" s="883" t="str">
        <f>'$REV-DB'!$X$34</f>
        <v>UD5</v>
      </c>
      <c r="Y633" s="883" t="str">
        <f>'$REV-DB'!$Y$34</f>
        <v>UD6</v>
      </c>
      <c r="Z633" s="883" t="str">
        <f>'$REV-DB'!$Z$34</f>
        <v>UD7</v>
      </c>
      <c r="AA633" s="883" t="str">
        <f>'$REV-DB'!$AA$34</f>
        <v>UD8</v>
      </c>
      <c r="AB633" s="883" t="str">
        <f>'$REV-DB'!$AB$34</f>
        <v>UD9</v>
      </c>
      <c r="AC633" s="883" t="str">
        <f>'$REV-DB'!$AC$34</f>
        <v>UD10</v>
      </c>
      <c r="AD633" s="883" t="str">
        <f>'$REV-DB'!$AD$34</f>
        <v>UD11</v>
      </c>
      <c r="AE633" s="883" t="str">
        <f>'$REV-DB'!$AE$34</f>
        <v>UD12</v>
      </c>
      <c r="AF633" s="883" t="str">
        <f>'$REV-DB'!$AF$34</f>
        <v>UD13</v>
      </c>
      <c r="AG633" s="883" t="str">
        <f>'$REV-DB'!$AG$34</f>
        <v>UD14</v>
      </c>
    </row>
    <row r="634" spans="1:34" ht="16" customHeight="1" thickTop="1" thickBot="1">
      <c r="A634" s="7"/>
      <c r="B634" s="20" t="s">
        <v>1399</v>
      </c>
      <c r="C634" s="15"/>
      <c r="D634" s="105" t="s">
        <v>1386</v>
      </c>
      <c r="E634" s="105" t="s">
        <v>1387</v>
      </c>
      <c r="F634" s="105" t="s">
        <v>1388</v>
      </c>
      <c r="G634" s="105" t="s">
        <v>1389</v>
      </c>
      <c r="H634" s="301" t="s">
        <v>1406</v>
      </c>
      <c r="I634" s="301" t="s">
        <v>1390</v>
      </c>
      <c r="J634" s="301" t="s">
        <v>1391</v>
      </c>
      <c r="K634" s="301" t="s">
        <v>1392</v>
      </c>
      <c r="L634" s="301" t="s">
        <v>1188</v>
      </c>
      <c r="M634" s="301" t="s">
        <v>1437</v>
      </c>
      <c r="N634" s="105" t="s">
        <v>1348</v>
      </c>
      <c r="O634" s="105" t="s">
        <v>1393</v>
      </c>
      <c r="P634" s="105" t="s">
        <v>1342</v>
      </c>
      <c r="Q634" s="105" t="s">
        <v>1394</v>
      </c>
      <c r="R634" s="112" t="s">
        <v>1341</v>
      </c>
      <c r="S634" s="112" t="s">
        <v>934</v>
      </c>
      <c r="T634" s="873" t="s">
        <v>935</v>
      </c>
      <c r="U634" s="873" t="s">
        <v>936</v>
      </c>
      <c r="V634" s="873" t="s">
        <v>937</v>
      </c>
      <c r="W634" s="873" t="s">
        <v>938</v>
      </c>
      <c r="X634" s="873" t="s">
        <v>939</v>
      </c>
      <c r="Y634" s="873" t="s">
        <v>940</v>
      </c>
      <c r="Z634" s="873" t="s">
        <v>941</v>
      </c>
      <c r="AA634" s="873" t="s">
        <v>942</v>
      </c>
      <c r="AB634" s="873" t="s">
        <v>943</v>
      </c>
      <c r="AC634" s="873" t="s">
        <v>944</v>
      </c>
      <c r="AD634" s="873" t="s">
        <v>945</v>
      </c>
      <c r="AE634" s="873" t="s">
        <v>946</v>
      </c>
      <c r="AF634" s="873" t="s">
        <v>947</v>
      </c>
      <c r="AG634" s="873" t="s">
        <v>948</v>
      </c>
      <c r="AH634" s="6"/>
    </row>
    <row r="635" spans="1:34" ht="16" customHeight="1" thickTop="1">
      <c r="A635" s="7"/>
      <c r="B635" s="19" t="s">
        <v>1350</v>
      </c>
      <c r="C635" s="12"/>
      <c r="D635" s="200"/>
      <c r="E635" s="200"/>
      <c r="F635" s="199"/>
      <c r="G635" s="200"/>
      <c r="H635" s="199"/>
      <c r="I635" s="199"/>
      <c r="J635" s="200"/>
      <c r="K635" s="200"/>
      <c r="L635" s="289" t="s">
        <v>1429</v>
      </c>
      <c r="M635" s="199"/>
      <c r="N635" s="40" t="str">
        <f>J$6</f>
        <v>FY2010-11</v>
      </c>
      <c r="O635" s="40" t="s">
        <v>1355</v>
      </c>
      <c r="P635" s="40" t="s">
        <v>1338</v>
      </c>
      <c r="Q635" s="40" t="s">
        <v>1340</v>
      </c>
      <c r="R635" s="200"/>
      <c r="S635" s="200"/>
      <c r="T635" s="200"/>
      <c r="U635" s="200"/>
      <c r="V635" s="201"/>
      <c r="W635" s="201"/>
      <c r="X635" s="201"/>
      <c r="Y635" s="201"/>
      <c r="Z635" s="201"/>
      <c r="AA635" s="201"/>
      <c r="AB635" s="201"/>
      <c r="AC635" s="201"/>
      <c r="AD635" s="201"/>
      <c r="AE635" s="201"/>
      <c r="AF635" s="201"/>
      <c r="AG635" s="201"/>
      <c r="AH635" s="6"/>
    </row>
    <row r="636" spans="1:34" ht="16" customHeight="1">
      <c r="A636" s="7"/>
      <c r="B636" s="16">
        <f>DSUM('$REV-DB'!D35:AG374,"AMOUNT",'$REV-DSUM'!D634:AG641)</f>
        <v>0</v>
      </c>
      <c r="C636" s="12"/>
      <c r="D636" s="200"/>
      <c r="E636" s="200"/>
      <c r="F636" s="199"/>
      <c r="G636" s="200"/>
      <c r="H636" s="199"/>
      <c r="I636" s="199"/>
      <c r="J636" s="200"/>
      <c r="K636" s="200"/>
      <c r="L636" s="289" t="s">
        <v>1429</v>
      </c>
      <c r="M636" s="199"/>
      <c r="N636" s="40" t="str">
        <f t="shared" ref="N636:N641" si="62">J$6</f>
        <v>FY2010-11</v>
      </c>
      <c r="O636" s="40" t="s">
        <v>1355</v>
      </c>
      <c r="P636" s="40" t="s">
        <v>1338</v>
      </c>
      <c r="Q636" s="40" t="s">
        <v>1340</v>
      </c>
      <c r="R636" s="200"/>
      <c r="S636" s="200"/>
      <c r="T636" s="200"/>
      <c r="U636" s="200"/>
      <c r="V636" s="201"/>
      <c r="W636" s="201"/>
      <c r="X636" s="201"/>
      <c r="Y636" s="201"/>
      <c r="Z636" s="201"/>
      <c r="AA636" s="201"/>
      <c r="AB636" s="201"/>
      <c r="AC636" s="201"/>
      <c r="AD636" s="201"/>
      <c r="AE636" s="201"/>
      <c r="AF636" s="201"/>
      <c r="AG636" s="201"/>
      <c r="AH636" s="6"/>
    </row>
    <row r="637" spans="1:34" ht="16" customHeight="1">
      <c r="A637" s="7"/>
      <c r="B637" s="10"/>
      <c r="C637" s="12"/>
      <c r="D637" s="200"/>
      <c r="E637" s="200"/>
      <c r="F637" s="199"/>
      <c r="G637" s="200"/>
      <c r="H637" s="199"/>
      <c r="I637" s="199"/>
      <c r="J637" s="200"/>
      <c r="K637" s="200"/>
      <c r="L637" s="289" t="s">
        <v>1429</v>
      </c>
      <c r="M637" s="199"/>
      <c r="N637" s="40" t="str">
        <f t="shared" si="62"/>
        <v>FY2010-11</v>
      </c>
      <c r="O637" s="40" t="s">
        <v>1355</v>
      </c>
      <c r="P637" s="40" t="s">
        <v>1338</v>
      </c>
      <c r="Q637" s="40" t="s">
        <v>1340</v>
      </c>
      <c r="R637" s="200"/>
      <c r="S637" s="200"/>
      <c r="T637" s="200"/>
      <c r="U637" s="200"/>
      <c r="V637" s="201"/>
      <c r="W637" s="201"/>
      <c r="X637" s="201"/>
      <c r="Y637" s="201"/>
      <c r="Z637" s="201"/>
      <c r="AA637" s="201"/>
      <c r="AB637" s="201"/>
      <c r="AC637" s="201"/>
      <c r="AD637" s="201"/>
      <c r="AE637" s="201"/>
      <c r="AF637" s="201"/>
      <c r="AG637" s="201"/>
    </row>
    <row r="638" spans="1:34" ht="16" customHeight="1">
      <c r="A638" s="7"/>
      <c r="B638" s="10"/>
      <c r="C638" s="12"/>
      <c r="D638" s="200"/>
      <c r="E638" s="200"/>
      <c r="F638" s="199"/>
      <c r="G638" s="200"/>
      <c r="H638" s="199"/>
      <c r="I638" s="199"/>
      <c r="J638" s="200"/>
      <c r="K638" s="200"/>
      <c r="L638" s="289" t="s">
        <v>1429</v>
      </c>
      <c r="M638" s="199"/>
      <c r="N638" s="40" t="str">
        <f t="shared" si="62"/>
        <v>FY2010-11</v>
      </c>
      <c r="O638" s="40" t="s">
        <v>1355</v>
      </c>
      <c r="P638" s="40" t="s">
        <v>1338</v>
      </c>
      <c r="Q638" s="40" t="s">
        <v>1340</v>
      </c>
      <c r="R638" s="200"/>
      <c r="S638" s="200"/>
      <c r="T638" s="200"/>
      <c r="U638" s="200"/>
      <c r="V638" s="201"/>
      <c r="W638" s="201"/>
      <c r="X638" s="201"/>
      <c r="Y638" s="201"/>
      <c r="Z638" s="201"/>
      <c r="AA638" s="201"/>
      <c r="AB638" s="201"/>
      <c r="AC638" s="201"/>
      <c r="AD638" s="201"/>
      <c r="AE638" s="201"/>
      <c r="AF638" s="201"/>
      <c r="AG638" s="201"/>
    </row>
    <row r="639" spans="1:34" ht="16" customHeight="1">
      <c r="A639" s="7"/>
      <c r="B639" s="10"/>
      <c r="C639" s="12"/>
      <c r="D639" s="200"/>
      <c r="E639" s="200"/>
      <c r="F639" s="199"/>
      <c r="G639" s="200"/>
      <c r="H639" s="199"/>
      <c r="I639" s="199"/>
      <c r="J639" s="200"/>
      <c r="K639" s="200"/>
      <c r="L639" s="289" t="s">
        <v>1429</v>
      </c>
      <c r="M639" s="199"/>
      <c r="N639" s="40" t="str">
        <f t="shared" si="62"/>
        <v>FY2010-11</v>
      </c>
      <c r="O639" s="40" t="s">
        <v>1355</v>
      </c>
      <c r="P639" s="40" t="s">
        <v>1338</v>
      </c>
      <c r="Q639" s="40" t="s">
        <v>1340</v>
      </c>
      <c r="R639" s="200"/>
      <c r="S639" s="200"/>
      <c r="T639" s="200"/>
      <c r="U639" s="200"/>
      <c r="V639" s="201"/>
      <c r="W639" s="201"/>
      <c r="X639" s="201"/>
      <c r="Y639" s="201"/>
      <c r="Z639" s="201"/>
      <c r="AA639" s="201"/>
      <c r="AB639" s="201"/>
      <c r="AC639" s="201"/>
      <c r="AD639" s="201"/>
      <c r="AE639" s="201"/>
      <c r="AF639" s="201"/>
      <c r="AG639" s="201"/>
    </row>
    <row r="640" spans="1:34" ht="16" customHeight="1">
      <c r="A640" s="7"/>
      <c r="B640" s="10"/>
      <c r="C640" s="12"/>
      <c r="D640" s="200"/>
      <c r="E640" s="200"/>
      <c r="F640" s="199"/>
      <c r="G640" s="200"/>
      <c r="H640" s="199"/>
      <c r="I640" s="199"/>
      <c r="J640" s="200"/>
      <c r="K640" s="200"/>
      <c r="L640" s="289" t="s">
        <v>1429</v>
      </c>
      <c r="M640" s="199"/>
      <c r="N640" s="40" t="str">
        <f t="shared" si="62"/>
        <v>FY2010-11</v>
      </c>
      <c r="O640" s="40" t="s">
        <v>1355</v>
      </c>
      <c r="P640" s="40" t="s">
        <v>1338</v>
      </c>
      <c r="Q640" s="40" t="s">
        <v>1340</v>
      </c>
      <c r="R640" s="200"/>
      <c r="S640" s="200"/>
      <c r="T640" s="200"/>
      <c r="U640" s="200"/>
      <c r="V640" s="201"/>
      <c r="W640" s="201"/>
      <c r="X640" s="201"/>
      <c r="Y640" s="201"/>
      <c r="Z640" s="201"/>
      <c r="AA640" s="201"/>
      <c r="AB640" s="201"/>
      <c r="AC640" s="201"/>
      <c r="AD640" s="201"/>
      <c r="AE640" s="201"/>
      <c r="AF640" s="201"/>
      <c r="AG640" s="201"/>
    </row>
    <row r="641" spans="1:34" ht="16" customHeight="1">
      <c r="A641" s="7"/>
      <c r="B641" s="10"/>
      <c r="C641" s="12"/>
      <c r="D641" s="200"/>
      <c r="E641" s="200"/>
      <c r="F641" s="199"/>
      <c r="G641" s="200"/>
      <c r="H641" s="199"/>
      <c r="I641" s="199"/>
      <c r="J641" s="200"/>
      <c r="K641" s="200"/>
      <c r="L641" s="289" t="s">
        <v>1429</v>
      </c>
      <c r="M641" s="199"/>
      <c r="N641" s="40" t="str">
        <f t="shared" si="62"/>
        <v>FY2010-11</v>
      </c>
      <c r="O641" s="40" t="s">
        <v>1355</v>
      </c>
      <c r="P641" s="40" t="s">
        <v>1338</v>
      </c>
      <c r="Q641" s="40" t="s">
        <v>1340</v>
      </c>
      <c r="R641" s="200"/>
      <c r="S641" s="200"/>
      <c r="T641" s="200"/>
      <c r="U641" s="200"/>
      <c r="V641" s="201"/>
      <c r="W641" s="201"/>
      <c r="X641" s="201"/>
      <c r="Y641" s="201"/>
      <c r="Z641" s="201"/>
      <c r="AA641" s="201"/>
      <c r="AB641" s="201"/>
      <c r="AC641" s="201"/>
      <c r="AD641" s="201"/>
      <c r="AE641" s="201"/>
      <c r="AF641" s="201"/>
      <c r="AG641" s="201"/>
    </row>
    <row r="642" spans="1:34" ht="16" customHeight="1">
      <c r="A642" s="36"/>
      <c r="B642" s="33"/>
      <c r="C642" s="33"/>
      <c r="D642" s="34"/>
      <c r="E642" s="34"/>
      <c r="F642" s="35"/>
      <c r="G642" s="34"/>
      <c r="H642" s="35"/>
      <c r="I642" s="35"/>
      <c r="J642" s="34"/>
      <c r="K642" s="34"/>
      <c r="L642" s="288"/>
      <c r="M642" s="35"/>
      <c r="N642" s="35"/>
      <c r="O642" s="34"/>
      <c r="P642" s="35"/>
      <c r="Q642" s="35"/>
      <c r="R642" s="34"/>
      <c r="S642" s="34"/>
      <c r="T642" s="34"/>
      <c r="U642" s="34"/>
      <c r="V642" s="36"/>
      <c r="W642" s="36"/>
      <c r="X642" s="36"/>
      <c r="Y642" s="36"/>
      <c r="Z642" s="36"/>
      <c r="AA642" s="36"/>
      <c r="AB642" s="36"/>
      <c r="AC642" s="36"/>
      <c r="AD642" s="36"/>
      <c r="AE642" s="36"/>
      <c r="AF642" s="36"/>
      <c r="AG642" s="36"/>
    </row>
    <row r="643" spans="1:34" ht="16" customHeight="1" thickBot="1">
      <c r="A643" s="7"/>
      <c r="B643" s="19" t="str">
        <f>"FA4 = "&amp;'FIG3'!$W$55&amp;" "&amp;'FIG3'!$X$55</f>
        <v>FA4 = FA4L1 FA4L2</v>
      </c>
      <c r="C643" s="7"/>
      <c r="D643" s="17"/>
      <c r="E643" s="17"/>
      <c r="F643" s="18"/>
      <c r="G643" s="17"/>
      <c r="H643" s="18"/>
      <c r="I643" s="18"/>
      <c r="J643" s="17"/>
      <c r="K643" s="17"/>
      <c r="L643" s="281"/>
      <c r="M643" s="18"/>
      <c r="N643" s="9"/>
      <c r="O643" s="17"/>
      <c r="P643" s="18"/>
      <c r="Q643" s="18"/>
      <c r="R643" s="17"/>
      <c r="S643" s="882"/>
      <c r="T643" s="883" t="str">
        <f>'$REV-DB'!$T$34</f>
        <v>Federal Revenues</v>
      </c>
      <c r="U643" s="883" t="str">
        <f>'$REV-DB'!$U$34</f>
        <v>local Revenues</v>
      </c>
      <c r="V643" s="883" t="str">
        <f>'$REV-DB'!$V$34</f>
        <v>Other Revenues</v>
      </c>
      <c r="W643" s="883" t="str">
        <f>'$REV-DB'!$W$34</f>
        <v>State revenues</v>
      </c>
      <c r="X643" s="883" t="str">
        <f>'$REV-DB'!$X$34</f>
        <v>UD5</v>
      </c>
      <c r="Y643" s="883" t="str">
        <f>'$REV-DB'!$Y$34</f>
        <v>UD6</v>
      </c>
      <c r="Z643" s="883" t="str">
        <f>'$REV-DB'!$Z$34</f>
        <v>UD7</v>
      </c>
      <c r="AA643" s="883" t="str">
        <f>'$REV-DB'!$AA$34</f>
        <v>UD8</v>
      </c>
      <c r="AB643" s="883" t="str">
        <f>'$REV-DB'!$AB$34</f>
        <v>UD9</v>
      </c>
      <c r="AC643" s="883" t="str">
        <f>'$REV-DB'!$AC$34</f>
        <v>UD10</v>
      </c>
      <c r="AD643" s="883" t="str">
        <f>'$REV-DB'!$AD$34</f>
        <v>UD11</v>
      </c>
      <c r="AE643" s="883" t="str">
        <f>'$REV-DB'!$AE$34</f>
        <v>UD12</v>
      </c>
      <c r="AF643" s="883" t="str">
        <f>'$REV-DB'!$AF$34</f>
        <v>UD13</v>
      </c>
      <c r="AG643" s="883" t="str">
        <f>'$REV-DB'!$AG$34</f>
        <v>UD14</v>
      </c>
    </row>
    <row r="644" spans="1:34" ht="16" customHeight="1" thickTop="1" thickBot="1">
      <c r="A644" s="7"/>
      <c r="B644" s="20" t="s">
        <v>1375</v>
      </c>
      <c r="C644" s="15"/>
      <c r="D644" s="105" t="s">
        <v>1386</v>
      </c>
      <c r="E644" s="105" t="s">
        <v>1387</v>
      </c>
      <c r="F644" s="105" t="s">
        <v>1388</v>
      </c>
      <c r="G644" s="105" t="s">
        <v>1389</v>
      </c>
      <c r="H644" s="301" t="s">
        <v>1406</v>
      </c>
      <c r="I644" s="301" t="s">
        <v>1390</v>
      </c>
      <c r="J644" s="301" t="s">
        <v>1391</v>
      </c>
      <c r="K644" s="301" t="s">
        <v>1392</v>
      </c>
      <c r="L644" s="301" t="s">
        <v>1188</v>
      </c>
      <c r="M644" s="301" t="s">
        <v>1437</v>
      </c>
      <c r="N644" s="105" t="s">
        <v>1348</v>
      </c>
      <c r="O644" s="105" t="s">
        <v>1393</v>
      </c>
      <c r="P644" s="105" t="s">
        <v>1342</v>
      </c>
      <c r="Q644" s="105" t="s">
        <v>1394</v>
      </c>
      <c r="R644" s="112" t="s">
        <v>1341</v>
      </c>
      <c r="S644" s="112" t="s">
        <v>846</v>
      </c>
      <c r="T644" s="873" t="s">
        <v>935</v>
      </c>
      <c r="U644" s="873" t="s">
        <v>936</v>
      </c>
      <c r="V644" s="873" t="s">
        <v>937</v>
      </c>
      <c r="W644" s="873" t="s">
        <v>938</v>
      </c>
      <c r="X644" s="873" t="s">
        <v>939</v>
      </c>
      <c r="Y644" s="873" t="s">
        <v>940</v>
      </c>
      <c r="Z644" s="873" t="s">
        <v>941</v>
      </c>
      <c r="AA644" s="873" t="s">
        <v>942</v>
      </c>
      <c r="AB644" s="873" t="s">
        <v>943</v>
      </c>
      <c r="AC644" s="873" t="s">
        <v>944</v>
      </c>
      <c r="AD644" s="873" t="s">
        <v>945</v>
      </c>
      <c r="AE644" s="873" t="s">
        <v>946</v>
      </c>
      <c r="AF644" s="873" t="s">
        <v>947</v>
      </c>
      <c r="AG644" s="873" t="s">
        <v>948</v>
      </c>
      <c r="AH644" s="6"/>
    </row>
    <row r="645" spans="1:34" ht="16" customHeight="1" thickTop="1">
      <c r="A645" s="7"/>
      <c r="B645" s="19" t="s">
        <v>1346</v>
      </c>
      <c r="C645" s="12"/>
      <c r="D645" s="200"/>
      <c r="E645" s="200"/>
      <c r="F645" s="199"/>
      <c r="G645" s="200"/>
      <c r="H645" s="199"/>
      <c r="I645" s="199"/>
      <c r="J645" s="200"/>
      <c r="K645" s="200"/>
      <c r="L645" s="289" t="s">
        <v>1429</v>
      </c>
      <c r="M645" s="199"/>
      <c r="N645" s="40" t="str">
        <f>J$6</f>
        <v>FY2010-11</v>
      </c>
      <c r="O645" s="40" t="s">
        <v>1355</v>
      </c>
      <c r="P645" s="40" t="s">
        <v>1347</v>
      </c>
      <c r="Q645" s="40"/>
      <c r="R645" s="200"/>
      <c r="S645" s="200"/>
      <c r="T645" s="200"/>
      <c r="U645" s="200"/>
      <c r="V645" s="201"/>
      <c r="W645" s="201"/>
      <c r="X645" s="201"/>
      <c r="Y645" s="201"/>
      <c r="Z645" s="201"/>
      <c r="AA645" s="201"/>
      <c r="AB645" s="201"/>
      <c r="AC645" s="201"/>
      <c r="AD645" s="201"/>
      <c r="AE645" s="201"/>
      <c r="AF645" s="201"/>
      <c r="AG645" s="201"/>
      <c r="AH645" s="6"/>
    </row>
    <row r="646" spans="1:34" ht="16" customHeight="1">
      <c r="A646" s="7"/>
      <c r="B646" s="16">
        <f>DSUM('$REV-DB'!D35:AG374,"AMOUNT",'$REV-DSUM'!D644:AG651)</f>
        <v>0</v>
      </c>
      <c r="C646" s="12"/>
      <c r="D646" s="200"/>
      <c r="E646" s="200"/>
      <c r="F646" s="199"/>
      <c r="G646" s="200"/>
      <c r="H646" s="199"/>
      <c r="I646" s="199"/>
      <c r="J646" s="200"/>
      <c r="K646" s="200"/>
      <c r="L646" s="289" t="s">
        <v>1429</v>
      </c>
      <c r="M646" s="199"/>
      <c r="N646" s="40" t="str">
        <f t="shared" ref="N646:N651" si="63">J$6</f>
        <v>FY2010-11</v>
      </c>
      <c r="O646" s="40" t="s">
        <v>1355</v>
      </c>
      <c r="P646" s="40" t="s">
        <v>1347</v>
      </c>
      <c r="Q646" s="40"/>
      <c r="R646" s="200"/>
      <c r="S646" s="200"/>
      <c r="T646" s="200"/>
      <c r="U646" s="200"/>
      <c r="V646" s="201"/>
      <c r="W646" s="201"/>
      <c r="X646" s="201"/>
      <c r="Y646" s="201"/>
      <c r="Z646" s="201"/>
      <c r="AA646" s="201"/>
      <c r="AB646" s="201"/>
      <c r="AC646" s="201"/>
      <c r="AD646" s="201"/>
      <c r="AE646" s="201"/>
      <c r="AF646" s="201"/>
      <c r="AG646" s="201"/>
      <c r="AH646" s="6"/>
    </row>
    <row r="647" spans="1:34" ht="16" customHeight="1">
      <c r="A647" s="7"/>
      <c r="B647" s="10"/>
      <c r="C647" s="12"/>
      <c r="D647" s="200"/>
      <c r="E647" s="200"/>
      <c r="F647" s="199"/>
      <c r="G647" s="200"/>
      <c r="H647" s="199"/>
      <c r="I647" s="199"/>
      <c r="J647" s="200"/>
      <c r="K647" s="200"/>
      <c r="L647" s="289" t="s">
        <v>1429</v>
      </c>
      <c r="M647" s="199"/>
      <c r="N647" s="40" t="str">
        <f t="shared" si="63"/>
        <v>FY2010-11</v>
      </c>
      <c r="O647" s="40" t="s">
        <v>1355</v>
      </c>
      <c r="P647" s="40" t="s">
        <v>1347</v>
      </c>
      <c r="Q647" s="40"/>
      <c r="R647" s="200"/>
      <c r="S647" s="200"/>
      <c r="T647" s="200"/>
      <c r="U647" s="200"/>
      <c r="V647" s="201"/>
      <c r="W647" s="201"/>
      <c r="X647" s="201"/>
      <c r="Y647" s="201"/>
      <c r="Z647" s="201"/>
      <c r="AA647" s="201"/>
      <c r="AB647" s="201"/>
      <c r="AC647" s="201"/>
      <c r="AD647" s="201"/>
      <c r="AE647" s="201"/>
      <c r="AF647" s="201"/>
      <c r="AG647" s="201"/>
    </row>
    <row r="648" spans="1:34" ht="16" customHeight="1">
      <c r="A648" s="7"/>
      <c r="B648" s="10"/>
      <c r="C648" s="12"/>
      <c r="D648" s="200"/>
      <c r="E648" s="200"/>
      <c r="F648" s="199"/>
      <c r="G648" s="200"/>
      <c r="H648" s="199"/>
      <c r="I648" s="199"/>
      <c r="J648" s="200"/>
      <c r="K648" s="200"/>
      <c r="L648" s="289" t="s">
        <v>1429</v>
      </c>
      <c r="M648" s="199"/>
      <c r="N648" s="40" t="str">
        <f t="shared" si="63"/>
        <v>FY2010-11</v>
      </c>
      <c r="O648" s="40" t="s">
        <v>1355</v>
      </c>
      <c r="P648" s="40" t="s">
        <v>1347</v>
      </c>
      <c r="Q648" s="40"/>
      <c r="R648" s="200"/>
      <c r="S648" s="200"/>
      <c r="T648" s="200"/>
      <c r="U648" s="200"/>
      <c r="V648" s="201"/>
      <c r="W648" s="201"/>
      <c r="X648" s="201"/>
      <c r="Y648" s="201"/>
      <c r="Z648" s="201"/>
      <c r="AA648" s="201"/>
      <c r="AB648" s="201"/>
      <c r="AC648" s="201"/>
      <c r="AD648" s="201"/>
      <c r="AE648" s="201"/>
      <c r="AF648" s="201"/>
      <c r="AG648" s="201"/>
    </row>
    <row r="649" spans="1:34" ht="16" customHeight="1">
      <c r="A649" s="7"/>
      <c r="B649" s="10"/>
      <c r="C649" s="12"/>
      <c r="D649" s="200"/>
      <c r="E649" s="200"/>
      <c r="F649" s="199"/>
      <c r="G649" s="200"/>
      <c r="H649" s="199"/>
      <c r="I649" s="199"/>
      <c r="J649" s="200"/>
      <c r="K649" s="200"/>
      <c r="L649" s="289" t="s">
        <v>1429</v>
      </c>
      <c r="M649" s="199"/>
      <c r="N649" s="40" t="str">
        <f t="shared" si="63"/>
        <v>FY2010-11</v>
      </c>
      <c r="O649" s="40" t="s">
        <v>1355</v>
      </c>
      <c r="P649" s="40" t="s">
        <v>1347</v>
      </c>
      <c r="Q649" s="40"/>
      <c r="R649" s="200"/>
      <c r="S649" s="200"/>
      <c r="T649" s="200"/>
      <c r="U649" s="200"/>
      <c r="V649" s="201"/>
      <c r="W649" s="201"/>
      <c r="X649" s="201"/>
      <c r="Y649" s="201"/>
      <c r="Z649" s="201"/>
      <c r="AA649" s="201"/>
      <c r="AB649" s="201"/>
      <c r="AC649" s="201"/>
      <c r="AD649" s="201"/>
      <c r="AE649" s="201"/>
      <c r="AF649" s="201"/>
      <c r="AG649" s="201"/>
    </row>
    <row r="650" spans="1:34" ht="16" customHeight="1">
      <c r="A650" s="7"/>
      <c r="B650" s="10"/>
      <c r="C650" s="12"/>
      <c r="D650" s="200"/>
      <c r="E650" s="200"/>
      <c r="F650" s="199"/>
      <c r="G650" s="200"/>
      <c r="H650" s="199"/>
      <c r="I650" s="199"/>
      <c r="J650" s="200"/>
      <c r="K650" s="200"/>
      <c r="L650" s="289" t="s">
        <v>1429</v>
      </c>
      <c r="M650" s="199"/>
      <c r="N650" s="40" t="str">
        <f t="shared" si="63"/>
        <v>FY2010-11</v>
      </c>
      <c r="O650" s="40" t="s">
        <v>1355</v>
      </c>
      <c r="P650" s="40" t="s">
        <v>1347</v>
      </c>
      <c r="Q650" s="40"/>
      <c r="R650" s="200"/>
      <c r="S650" s="200"/>
      <c r="T650" s="200"/>
      <c r="U650" s="200"/>
      <c r="V650" s="201"/>
      <c r="W650" s="201"/>
      <c r="X650" s="201"/>
      <c r="Y650" s="201"/>
      <c r="Z650" s="201"/>
      <c r="AA650" s="201"/>
      <c r="AB650" s="201"/>
      <c r="AC650" s="201"/>
      <c r="AD650" s="201"/>
      <c r="AE650" s="201"/>
      <c r="AF650" s="201"/>
      <c r="AG650" s="201"/>
    </row>
    <row r="651" spans="1:34" ht="16" customHeight="1">
      <c r="A651" s="7"/>
      <c r="B651" s="10"/>
      <c r="C651" s="12"/>
      <c r="D651" s="200"/>
      <c r="E651" s="200"/>
      <c r="F651" s="199"/>
      <c r="G651" s="200"/>
      <c r="H651" s="199"/>
      <c r="I651" s="199"/>
      <c r="J651" s="200"/>
      <c r="K651" s="200"/>
      <c r="L651" s="289" t="s">
        <v>1429</v>
      </c>
      <c r="M651" s="199"/>
      <c r="N651" s="40" t="str">
        <f t="shared" si="63"/>
        <v>FY2010-11</v>
      </c>
      <c r="O651" s="40" t="s">
        <v>1355</v>
      </c>
      <c r="P651" s="40" t="s">
        <v>1347</v>
      </c>
      <c r="Q651" s="40"/>
      <c r="R651" s="200"/>
      <c r="S651" s="200"/>
      <c r="T651" s="200"/>
      <c r="U651" s="200"/>
      <c r="V651" s="201"/>
      <c r="W651" s="201"/>
      <c r="X651" s="201"/>
      <c r="Y651" s="201"/>
      <c r="Z651" s="201"/>
      <c r="AA651" s="201"/>
      <c r="AB651" s="201"/>
      <c r="AC651" s="201"/>
      <c r="AD651" s="201"/>
      <c r="AE651" s="201"/>
      <c r="AF651" s="201"/>
      <c r="AG651" s="201"/>
    </row>
    <row r="652" spans="1:34" ht="16" customHeight="1">
      <c r="A652" s="36"/>
      <c r="B652" s="33"/>
      <c r="C652" s="33"/>
      <c r="D652" s="34"/>
      <c r="E652" s="34"/>
      <c r="F652" s="35"/>
      <c r="G652" s="34"/>
      <c r="H652" s="35"/>
      <c r="I652" s="35"/>
      <c r="J652" s="34"/>
      <c r="K652" s="34"/>
      <c r="L652" s="288"/>
      <c r="M652" s="35"/>
      <c r="N652" s="35"/>
      <c r="O652" s="34"/>
      <c r="P652" s="35"/>
      <c r="Q652" s="35"/>
      <c r="R652" s="34"/>
      <c r="S652" s="34"/>
      <c r="T652" s="34"/>
      <c r="U652" s="34"/>
      <c r="V652" s="36"/>
      <c r="W652" s="36"/>
      <c r="X652" s="36"/>
      <c r="Y652" s="36"/>
      <c r="Z652" s="36"/>
      <c r="AA652" s="36"/>
      <c r="AB652" s="36"/>
      <c r="AC652" s="36"/>
      <c r="AD652" s="36"/>
      <c r="AE652" s="36"/>
      <c r="AF652" s="36"/>
      <c r="AG652" s="36"/>
    </row>
    <row r="653" spans="1:34" ht="16" customHeight="1" thickBot="1">
      <c r="A653" s="7"/>
      <c r="B653" s="19" t="str">
        <f>"FA4 = "&amp;'FIG3'!$W$55&amp;" "&amp;'FIG3'!$X$55</f>
        <v>FA4 = FA4L1 FA4L2</v>
      </c>
      <c r="C653" s="7"/>
      <c r="D653" s="8"/>
      <c r="E653" s="8"/>
      <c r="F653" s="9"/>
      <c r="G653" s="8"/>
      <c r="H653" s="9"/>
      <c r="I653" s="9"/>
      <c r="J653" s="8"/>
      <c r="K653" s="8"/>
      <c r="L653" s="280"/>
      <c r="M653" s="9"/>
      <c r="N653" s="9"/>
      <c r="O653" s="8"/>
      <c r="P653" s="9"/>
      <c r="Q653" s="9"/>
      <c r="R653" s="8"/>
      <c r="S653" s="882"/>
      <c r="T653" s="883" t="str">
        <f>'$REV-DB'!$T$34</f>
        <v>Federal Revenues</v>
      </c>
      <c r="U653" s="883" t="str">
        <f>'$REV-DB'!$U$34</f>
        <v>local Revenues</v>
      </c>
      <c r="V653" s="883" t="str">
        <f>'$REV-DB'!$V$34</f>
        <v>Other Revenues</v>
      </c>
      <c r="W653" s="883" t="str">
        <f>'$REV-DB'!$W$34</f>
        <v>State revenues</v>
      </c>
      <c r="X653" s="883" t="str">
        <f>'$REV-DB'!$X$34</f>
        <v>UD5</v>
      </c>
      <c r="Y653" s="883" t="str">
        <f>'$REV-DB'!$Y$34</f>
        <v>UD6</v>
      </c>
      <c r="Z653" s="883" t="str">
        <f>'$REV-DB'!$Z$34</f>
        <v>UD7</v>
      </c>
      <c r="AA653" s="883" t="str">
        <f>'$REV-DB'!$AA$34</f>
        <v>UD8</v>
      </c>
      <c r="AB653" s="883" t="str">
        <f>'$REV-DB'!$AB$34</f>
        <v>UD9</v>
      </c>
      <c r="AC653" s="883" t="str">
        <f>'$REV-DB'!$AC$34</f>
        <v>UD10</v>
      </c>
      <c r="AD653" s="883" t="str">
        <f>'$REV-DB'!$AD$34</f>
        <v>UD11</v>
      </c>
      <c r="AE653" s="883" t="str">
        <f>'$REV-DB'!$AE$34</f>
        <v>UD12</v>
      </c>
      <c r="AF653" s="883" t="str">
        <f>'$REV-DB'!$AF$34</f>
        <v>UD13</v>
      </c>
      <c r="AG653" s="883" t="str">
        <f>'$REV-DB'!$AG$34</f>
        <v>UD14</v>
      </c>
    </row>
    <row r="654" spans="1:34" ht="16" customHeight="1" thickTop="1" thickBot="1">
      <c r="A654" s="7"/>
      <c r="B654" s="20" t="s">
        <v>1375</v>
      </c>
      <c r="C654" s="15"/>
      <c r="D654" s="105" t="s">
        <v>1386</v>
      </c>
      <c r="E654" s="105" t="s">
        <v>1387</v>
      </c>
      <c r="F654" s="105" t="s">
        <v>1388</v>
      </c>
      <c r="G654" s="105" t="s">
        <v>1389</v>
      </c>
      <c r="H654" s="301" t="s">
        <v>1406</v>
      </c>
      <c r="I654" s="301" t="s">
        <v>1390</v>
      </c>
      <c r="J654" s="301" t="s">
        <v>1391</v>
      </c>
      <c r="K654" s="301" t="s">
        <v>1392</v>
      </c>
      <c r="L654" s="301" t="s">
        <v>1188</v>
      </c>
      <c r="M654" s="301" t="s">
        <v>1437</v>
      </c>
      <c r="N654" s="105" t="s">
        <v>1348</v>
      </c>
      <c r="O654" s="105" t="s">
        <v>1393</v>
      </c>
      <c r="P654" s="105" t="s">
        <v>1342</v>
      </c>
      <c r="Q654" s="105" t="s">
        <v>1394</v>
      </c>
      <c r="R654" s="112" t="s">
        <v>1341</v>
      </c>
      <c r="S654" s="112" t="s">
        <v>846</v>
      </c>
      <c r="T654" s="873" t="s">
        <v>935</v>
      </c>
      <c r="U654" s="873" t="s">
        <v>936</v>
      </c>
      <c r="V654" s="873" t="s">
        <v>937</v>
      </c>
      <c r="W654" s="873" t="s">
        <v>938</v>
      </c>
      <c r="X654" s="873" t="s">
        <v>939</v>
      </c>
      <c r="Y654" s="873" t="s">
        <v>940</v>
      </c>
      <c r="Z654" s="873" t="s">
        <v>941</v>
      </c>
      <c r="AA654" s="873" t="s">
        <v>942</v>
      </c>
      <c r="AB654" s="873" t="s">
        <v>943</v>
      </c>
      <c r="AC654" s="873" t="s">
        <v>944</v>
      </c>
      <c r="AD654" s="873" t="s">
        <v>945</v>
      </c>
      <c r="AE654" s="873" t="s">
        <v>946</v>
      </c>
      <c r="AF654" s="873" t="s">
        <v>947</v>
      </c>
      <c r="AG654" s="873" t="s">
        <v>948</v>
      </c>
      <c r="AH654" s="6"/>
    </row>
    <row r="655" spans="1:34" ht="16" customHeight="1" thickTop="1">
      <c r="A655" s="7"/>
      <c r="B655" s="19" t="s">
        <v>1345</v>
      </c>
      <c r="C655" s="12"/>
      <c r="D655" s="200"/>
      <c r="E655" s="200"/>
      <c r="F655" s="199"/>
      <c r="G655" s="200"/>
      <c r="H655" s="199"/>
      <c r="I655" s="199"/>
      <c r="J655" s="200"/>
      <c r="K655" s="200"/>
      <c r="L655" s="289" t="s">
        <v>1429</v>
      </c>
      <c r="M655" s="199"/>
      <c r="N655" s="40" t="str">
        <f>J$6</f>
        <v>FY2010-11</v>
      </c>
      <c r="O655" s="40" t="s">
        <v>1355</v>
      </c>
      <c r="P655" s="40" t="s">
        <v>1347</v>
      </c>
      <c r="Q655" s="40" t="s">
        <v>1380</v>
      </c>
      <c r="R655" s="200"/>
      <c r="S655" s="200"/>
      <c r="T655" s="200"/>
      <c r="U655" s="200"/>
      <c r="V655" s="201"/>
      <c r="W655" s="201"/>
      <c r="X655" s="201"/>
      <c r="Y655" s="201"/>
      <c r="Z655" s="201"/>
      <c r="AA655" s="201"/>
      <c r="AB655" s="201"/>
      <c r="AC655" s="201"/>
      <c r="AD655" s="201"/>
      <c r="AE655" s="201"/>
      <c r="AF655" s="201"/>
      <c r="AG655" s="201"/>
      <c r="AH655" s="6"/>
    </row>
    <row r="656" spans="1:34" ht="16" customHeight="1">
      <c r="A656" s="7"/>
      <c r="B656" s="16">
        <f>DSUM('$REV-DB'!D35:AG374,"AMOUNT",'$REV-DSUM'!D654:AG661)</f>
        <v>0</v>
      </c>
      <c r="C656" s="12"/>
      <c r="D656" s="200"/>
      <c r="E656" s="200"/>
      <c r="F656" s="199"/>
      <c r="G656" s="200"/>
      <c r="H656" s="199"/>
      <c r="I656" s="199"/>
      <c r="J656" s="200"/>
      <c r="K656" s="200"/>
      <c r="L656" s="289" t="s">
        <v>1429</v>
      </c>
      <c r="M656" s="199"/>
      <c r="N656" s="40" t="str">
        <f t="shared" ref="N656:N661" si="64">J$6</f>
        <v>FY2010-11</v>
      </c>
      <c r="O656" s="40" t="s">
        <v>1355</v>
      </c>
      <c r="P656" s="40" t="s">
        <v>1347</v>
      </c>
      <c r="Q656" s="40" t="s">
        <v>1380</v>
      </c>
      <c r="R656" s="200"/>
      <c r="S656" s="200"/>
      <c r="T656" s="200"/>
      <c r="U656" s="200"/>
      <c r="V656" s="201"/>
      <c r="W656" s="201"/>
      <c r="X656" s="201"/>
      <c r="Y656" s="201"/>
      <c r="Z656" s="201"/>
      <c r="AA656" s="201"/>
      <c r="AB656" s="201"/>
      <c r="AC656" s="201"/>
      <c r="AD656" s="201"/>
      <c r="AE656" s="201"/>
      <c r="AF656" s="201"/>
      <c r="AG656" s="201"/>
      <c r="AH656" s="6"/>
    </row>
    <row r="657" spans="1:34" ht="16" customHeight="1">
      <c r="A657" s="7"/>
      <c r="B657" s="10"/>
      <c r="C657" s="12"/>
      <c r="D657" s="200"/>
      <c r="E657" s="200"/>
      <c r="F657" s="199"/>
      <c r="G657" s="200"/>
      <c r="H657" s="199"/>
      <c r="I657" s="199"/>
      <c r="J657" s="200"/>
      <c r="K657" s="200"/>
      <c r="L657" s="289" t="s">
        <v>1429</v>
      </c>
      <c r="M657" s="199"/>
      <c r="N657" s="40" t="str">
        <f t="shared" si="64"/>
        <v>FY2010-11</v>
      </c>
      <c r="O657" s="40" t="s">
        <v>1355</v>
      </c>
      <c r="P657" s="40" t="s">
        <v>1347</v>
      </c>
      <c r="Q657" s="40" t="s">
        <v>1380</v>
      </c>
      <c r="R657" s="200"/>
      <c r="S657" s="200"/>
      <c r="T657" s="200"/>
      <c r="U657" s="200"/>
      <c r="V657" s="201"/>
      <c r="W657" s="201"/>
      <c r="X657" s="201"/>
      <c r="Y657" s="201"/>
      <c r="Z657" s="201"/>
      <c r="AA657" s="201"/>
      <c r="AB657" s="201"/>
      <c r="AC657" s="201"/>
      <c r="AD657" s="201"/>
      <c r="AE657" s="201"/>
      <c r="AF657" s="201"/>
      <c r="AG657" s="201"/>
    </row>
    <row r="658" spans="1:34" ht="16" customHeight="1">
      <c r="A658" s="7"/>
      <c r="B658" s="10"/>
      <c r="C658" s="12"/>
      <c r="D658" s="200"/>
      <c r="E658" s="200"/>
      <c r="F658" s="199"/>
      <c r="G658" s="200"/>
      <c r="H658" s="199"/>
      <c r="I658" s="199"/>
      <c r="J658" s="200"/>
      <c r="K658" s="200"/>
      <c r="L658" s="289" t="s">
        <v>1429</v>
      </c>
      <c r="M658" s="199"/>
      <c r="N658" s="40" t="str">
        <f t="shared" si="64"/>
        <v>FY2010-11</v>
      </c>
      <c r="O658" s="40" t="s">
        <v>1355</v>
      </c>
      <c r="P658" s="40" t="s">
        <v>1347</v>
      </c>
      <c r="Q658" s="40" t="s">
        <v>1380</v>
      </c>
      <c r="R658" s="200"/>
      <c r="S658" s="200"/>
      <c r="T658" s="200"/>
      <c r="U658" s="200"/>
      <c r="V658" s="201"/>
      <c r="W658" s="201"/>
      <c r="X658" s="201"/>
      <c r="Y658" s="201"/>
      <c r="Z658" s="201"/>
      <c r="AA658" s="201"/>
      <c r="AB658" s="201"/>
      <c r="AC658" s="201"/>
      <c r="AD658" s="201"/>
      <c r="AE658" s="201"/>
      <c r="AF658" s="201"/>
      <c r="AG658" s="201"/>
    </row>
    <row r="659" spans="1:34" ht="16" customHeight="1">
      <c r="A659" s="7"/>
      <c r="B659" s="10"/>
      <c r="C659" s="12"/>
      <c r="D659" s="200"/>
      <c r="E659" s="200"/>
      <c r="F659" s="199"/>
      <c r="G659" s="200"/>
      <c r="H659" s="199"/>
      <c r="I659" s="199"/>
      <c r="J659" s="200"/>
      <c r="K659" s="200"/>
      <c r="L659" s="289" t="s">
        <v>1429</v>
      </c>
      <c r="M659" s="199"/>
      <c r="N659" s="40" t="str">
        <f t="shared" si="64"/>
        <v>FY2010-11</v>
      </c>
      <c r="O659" s="40" t="s">
        <v>1355</v>
      </c>
      <c r="P659" s="40" t="s">
        <v>1347</v>
      </c>
      <c r="Q659" s="40" t="s">
        <v>1380</v>
      </c>
      <c r="R659" s="200"/>
      <c r="S659" s="200"/>
      <c r="T659" s="200"/>
      <c r="U659" s="200"/>
      <c r="V659" s="201"/>
      <c r="W659" s="201"/>
      <c r="X659" s="201"/>
      <c r="Y659" s="201"/>
      <c r="Z659" s="201"/>
      <c r="AA659" s="201"/>
      <c r="AB659" s="201"/>
      <c r="AC659" s="201"/>
      <c r="AD659" s="201"/>
      <c r="AE659" s="201"/>
      <c r="AF659" s="201"/>
      <c r="AG659" s="201"/>
    </row>
    <row r="660" spans="1:34" ht="16" customHeight="1">
      <c r="A660" s="7"/>
      <c r="B660" s="10"/>
      <c r="C660" s="12"/>
      <c r="D660" s="200"/>
      <c r="E660" s="200"/>
      <c r="F660" s="199"/>
      <c r="G660" s="200"/>
      <c r="H660" s="199"/>
      <c r="I660" s="199"/>
      <c r="J660" s="200"/>
      <c r="K660" s="200"/>
      <c r="L660" s="289" t="s">
        <v>1429</v>
      </c>
      <c r="M660" s="199"/>
      <c r="N660" s="40" t="str">
        <f t="shared" si="64"/>
        <v>FY2010-11</v>
      </c>
      <c r="O660" s="40" t="s">
        <v>1355</v>
      </c>
      <c r="P660" s="40" t="s">
        <v>1347</v>
      </c>
      <c r="Q660" s="40" t="s">
        <v>1380</v>
      </c>
      <c r="R660" s="200"/>
      <c r="S660" s="200"/>
      <c r="T660" s="200"/>
      <c r="U660" s="200"/>
      <c r="V660" s="201"/>
      <c r="W660" s="201"/>
      <c r="X660" s="201"/>
      <c r="Y660" s="201"/>
      <c r="Z660" s="201"/>
      <c r="AA660" s="201"/>
      <c r="AB660" s="201"/>
      <c r="AC660" s="201"/>
      <c r="AD660" s="201"/>
      <c r="AE660" s="201"/>
      <c r="AF660" s="201"/>
      <c r="AG660" s="201"/>
    </row>
    <row r="661" spans="1:34" ht="16" customHeight="1">
      <c r="A661" s="7"/>
      <c r="B661" s="10"/>
      <c r="C661" s="12"/>
      <c r="D661" s="200"/>
      <c r="E661" s="200"/>
      <c r="F661" s="199"/>
      <c r="G661" s="200"/>
      <c r="H661" s="199"/>
      <c r="I661" s="199"/>
      <c r="J661" s="200"/>
      <c r="K661" s="200"/>
      <c r="L661" s="289" t="s">
        <v>1429</v>
      </c>
      <c r="M661" s="199"/>
      <c r="N661" s="40" t="str">
        <f t="shared" si="64"/>
        <v>FY2010-11</v>
      </c>
      <c r="O661" s="40" t="s">
        <v>1355</v>
      </c>
      <c r="P661" s="40" t="s">
        <v>1347</v>
      </c>
      <c r="Q661" s="40" t="s">
        <v>1380</v>
      </c>
      <c r="R661" s="200"/>
      <c r="S661" s="200"/>
      <c r="T661" s="200"/>
      <c r="U661" s="200"/>
      <c r="V661" s="201"/>
      <c r="W661" s="201"/>
      <c r="X661" s="201"/>
      <c r="Y661" s="201"/>
      <c r="Z661" s="201"/>
      <c r="AA661" s="201"/>
      <c r="AB661" s="201"/>
      <c r="AC661" s="201"/>
      <c r="AD661" s="201"/>
      <c r="AE661" s="201"/>
      <c r="AF661" s="201"/>
      <c r="AG661" s="201"/>
    </row>
    <row r="662" spans="1:34" ht="16" customHeight="1">
      <c r="A662" s="36"/>
      <c r="B662" s="33"/>
      <c r="C662" s="33"/>
      <c r="D662" s="34"/>
      <c r="E662" s="34"/>
      <c r="F662" s="35"/>
      <c r="G662" s="34"/>
      <c r="H662" s="35"/>
      <c r="I662" s="35"/>
      <c r="J662" s="34"/>
      <c r="K662" s="34"/>
      <c r="L662" s="288"/>
      <c r="M662" s="35"/>
      <c r="N662" s="35"/>
      <c r="O662" s="34"/>
      <c r="P662" s="35"/>
      <c r="Q662" s="35"/>
      <c r="R662" s="34"/>
      <c r="S662" s="34"/>
      <c r="T662" s="34"/>
      <c r="U662" s="34"/>
      <c r="V662" s="36"/>
      <c r="W662" s="36"/>
      <c r="X662" s="36"/>
      <c r="Y662" s="36"/>
      <c r="Z662" s="36"/>
      <c r="AA662" s="36"/>
      <c r="AB662" s="36"/>
      <c r="AC662" s="36"/>
      <c r="AD662" s="36"/>
      <c r="AE662" s="36"/>
      <c r="AF662" s="36"/>
      <c r="AG662" s="36"/>
    </row>
    <row r="663" spans="1:34" ht="16" customHeight="1" thickBot="1">
      <c r="A663" s="7"/>
      <c r="B663" s="19" t="str">
        <f>"FA4 = "&amp;'FIG3'!$W$55&amp;" "&amp;'FIG3'!$X$55</f>
        <v>FA4 = FA4L1 FA4L2</v>
      </c>
      <c r="C663" s="7"/>
      <c r="D663" s="8"/>
      <c r="E663" s="8"/>
      <c r="F663" s="9"/>
      <c r="G663" s="8"/>
      <c r="H663" s="9"/>
      <c r="I663" s="9"/>
      <c r="J663" s="8"/>
      <c r="K663" s="8"/>
      <c r="L663" s="280"/>
      <c r="M663" s="9"/>
      <c r="N663" s="9"/>
      <c r="O663" s="8"/>
      <c r="P663" s="9"/>
      <c r="Q663" s="9"/>
      <c r="R663" s="8"/>
      <c r="S663" s="882"/>
      <c r="T663" s="883" t="str">
        <f>'$REV-DB'!$T$34</f>
        <v>Federal Revenues</v>
      </c>
      <c r="U663" s="883" t="str">
        <f>'$REV-DB'!$U$34</f>
        <v>local Revenues</v>
      </c>
      <c r="V663" s="883" t="str">
        <f>'$REV-DB'!$V$34</f>
        <v>Other Revenues</v>
      </c>
      <c r="W663" s="883" t="str">
        <f>'$REV-DB'!$W$34</f>
        <v>State revenues</v>
      </c>
      <c r="X663" s="883" t="str">
        <f>'$REV-DB'!$X$34</f>
        <v>UD5</v>
      </c>
      <c r="Y663" s="883" t="str">
        <f>'$REV-DB'!$Y$34</f>
        <v>UD6</v>
      </c>
      <c r="Z663" s="883" t="str">
        <f>'$REV-DB'!$Z$34</f>
        <v>UD7</v>
      </c>
      <c r="AA663" s="883" t="str">
        <f>'$REV-DB'!$AA$34</f>
        <v>UD8</v>
      </c>
      <c r="AB663" s="883" t="str">
        <f>'$REV-DB'!$AB$34</f>
        <v>UD9</v>
      </c>
      <c r="AC663" s="883" t="str">
        <f>'$REV-DB'!$AC$34</f>
        <v>UD10</v>
      </c>
      <c r="AD663" s="883" t="str">
        <f>'$REV-DB'!$AD$34</f>
        <v>UD11</v>
      </c>
      <c r="AE663" s="883" t="str">
        <f>'$REV-DB'!$AE$34</f>
        <v>UD12</v>
      </c>
      <c r="AF663" s="883" t="str">
        <f>'$REV-DB'!$AF$34</f>
        <v>UD13</v>
      </c>
      <c r="AG663" s="883" t="str">
        <f>'$REV-DB'!$AG$34</f>
        <v>UD14</v>
      </c>
    </row>
    <row r="664" spans="1:34" ht="16" customHeight="1" thickTop="1" thickBot="1">
      <c r="A664" s="7"/>
      <c r="B664" s="20" t="s">
        <v>1375</v>
      </c>
      <c r="C664" s="15"/>
      <c r="D664" s="105" t="s">
        <v>1386</v>
      </c>
      <c r="E664" s="105" t="s">
        <v>1387</v>
      </c>
      <c r="F664" s="105" t="s">
        <v>1388</v>
      </c>
      <c r="G664" s="105" t="s">
        <v>1389</v>
      </c>
      <c r="H664" s="301" t="s">
        <v>1406</v>
      </c>
      <c r="I664" s="301" t="s">
        <v>1390</v>
      </c>
      <c r="J664" s="301" t="s">
        <v>1391</v>
      </c>
      <c r="K664" s="301" t="s">
        <v>1392</v>
      </c>
      <c r="L664" s="301" t="s">
        <v>1188</v>
      </c>
      <c r="M664" s="301" t="s">
        <v>1437</v>
      </c>
      <c r="N664" s="105" t="s">
        <v>1348</v>
      </c>
      <c r="O664" s="105" t="s">
        <v>1393</v>
      </c>
      <c r="P664" s="105" t="s">
        <v>1342</v>
      </c>
      <c r="Q664" s="105" t="s">
        <v>1394</v>
      </c>
      <c r="R664" s="112" t="s">
        <v>1341</v>
      </c>
      <c r="S664" s="112" t="s">
        <v>846</v>
      </c>
      <c r="T664" s="873" t="s">
        <v>935</v>
      </c>
      <c r="U664" s="873" t="s">
        <v>936</v>
      </c>
      <c r="V664" s="873" t="s">
        <v>937</v>
      </c>
      <c r="W664" s="873" t="s">
        <v>938</v>
      </c>
      <c r="X664" s="873" t="s">
        <v>939</v>
      </c>
      <c r="Y664" s="873" t="s">
        <v>940</v>
      </c>
      <c r="Z664" s="873" t="s">
        <v>941</v>
      </c>
      <c r="AA664" s="873" t="s">
        <v>942</v>
      </c>
      <c r="AB664" s="873" t="s">
        <v>943</v>
      </c>
      <c r="AC664" s="873" t="s">
        <v>944</v>
      </c>
      <c r="AD664" s="873" t="s">
        <v>945</v>
      </c>
      <c r="AE664" s="873" t="s">
        <v>946</v>
      </c>
      <c r="AF664" s="873" t="s">
        <v>947</v>
      </c>
      <c r="AG664" s="873" t="s">
        <v>948</v>
      </c>
      <c r="AH664" s="6"/>
    </row>
    <row r="665" spans="1:34" ht="16" customHeight="1" thickTop="1">
      <c r="A665" s="7"/>
      <c r="B665" s="19" t="s">
        <v>1344</v>
      </c>
      <c r="C665" s="12"/>
      <c r="D665" s="200"/>
      <c r="E665" s="200"/>
      <c r="F665" s="199"/>
      <c r="G665" s="200"/>
      <c r="H665" s="199"/>
      <c r="I665" s="199"/>
      <c r="J665" s="200"/>
      <c r="K665" s="200"/>
      <c r="L665" s="289" t="s">
        <v>1429</v>
      </c>
      <c r="M665" s="199"/>
      <c r="N665" s="40" t="str">
        <f>J$6</f>
        <v>FY2010-11</v>
      </c>
      <c r="O665" s="40" t="s">
        <v>1355</v>
      </c>
      <c r="P665" s="40" t="s">
        <v>1347</v>
      </c>
      <c r="Q665" s="40" t="s">
        <v>1339</v>
      </c>
      <c r="R665" s="200"/>
      <c r="S665" s="200"/>
      <c r="T665" s="200"/>
      <c r="U665" s="200"/>
      <c r="V665" s="201"/>
      <c r="W665" s="201"/>
      <c r="X665" s="201"/>
      <c r="Y665" s="201"/>
      <c r="Z665" s="201"/>
      <c r="AA665" s="201"/>
      <c r="AB665" s="201"/>
      <c r="AC665" s="201"/>
      <c r="AD665" s="201"/>
      <c r="AE665" s="201"/>
      <c r="AF665" s="201"/>
      <c r="AG665" s="201"/>
      <c r="AH665" s="6"/>
    </row>
    <row r="666" spans="1:34" ht="16" customHeight="1">
      <c r="A666" s="7"/>
      <c r="B666" s="16">
        <f>DSUM('$REV-DB'!D35:AG374,"AMOUNT",'$REV-DSUM'!D664:AG671)</f>
        <v>0</v>
      </c>
      <c r="C666" s="12"/>
      <c r="D666" s="200"/>
      <c r="E666" s="200"/>
      <c r="F666" s="199"/>
      <c r="G666" s="200"/>
      <c r="H666" s="199"/>
      <c r="I666" s="199"/>
      <c r="J666" s="200"/>
      <c r="K666" s="200"/>
      <c r="L666" s="289" t="s">
        <v>1429</v>
      </c>
      <c r="M666" s="199"/>
      <c r="N666" s="40" t="str">
        <f t="shared" ref="N666:N671" si="65">J$6</f>
        <v>FY2010-11</v>
      </c>
      <c r="O666" s="40" t="s">
        <v>1355</v>
      </c>
      <c r="P666" s="40" t="s">
        <v>1347</v>
      </c>
      <c r="Q666" s="40" t="s">
        <v>1339</v>
      </c>
      <c r="R666" s="200"/>
      <c r="S666" s="200"/>
      <c r="T666" s="200"/>
      <c r="U666" s="200"/>
      <c r="V666" s="201"/>
      <c r="W666" s="201"/>
      <c r="X666" s="201"/>
      <c r="Y666" s="201"/>
      <c r="Z666" s="201"/>
      <c r="AA666" s="201"/>
      <c r="AB666" s="201"/>
      <c r="AC666" s="201"/>
      <c r="AD666" s="201"/>
      <c r="AE666" s="201"/>
      <c r="AF666" s="201"/>
      <c r="AG666" s="201"/>
      <c r="AH666" s="6"/>
    </row>
    <row r="667" spans="1:34" ht="16" customHeight="1">
      <c r="A667" s="7"/>
      <c r="B667" s="10"/>
      <c r="C667" s="12"/>
      <c r="D667" s="200"/>
      <c r="E667" s="200"/>
      <c r="F667" s="199"/>
      <c r="G667" s="200"/>
      <c r="H667" s="199"/>
      <c r="I667" s="199"/>
      <c r="J667" s="200"/>
      <c r="K667" s="200"/>
      <c r="L667" s="289" t="s">
        <v>1429</v>
      </c>
      <c r="M667" s="199"/>
      <c r="N667" s="40" t="str">
        <f t="shared" si="65"/>
        <v>FY2010-11</v>
      </c>
      <c r="O667" s="40" t="s">
        <v>1355</v>
      </c>
      <c r="P667" s="40" t="s">
        <v>1347</v>
      </c>
      <c r="Q667" s="40" t="s">
        <v>1339</v>
      </c>
      <c r="R667" s="200"/>
      <c r="S667" s="200"/>
      <c r="T667" s="200"/>
      <c r="U667" s="200"/>
      <c r="V667" s="201"/>
      <c r="W667" s="201"/>
      <c r="X667" s="201"/>
      <c r="Y667" s="201"/>
      <c r="Z667" s="201"/>
      <c r="AA667" s="201"/>
      <c r="AB667" s="201"/>
      <c r="AC667" s="201"/>
      <c r="AD667" s="201"/>
      <c r="AE667" s="201"/>
      <c r="AF667" s="201"/>
      <c r="AG667" s="201"/>
    </row>
    <row r="668" spans="1:34" ht="16" customHeight="1">
      <c r="A668" s="7"/>
      <c r="B668" s="10"/>
      <c r="C668" s="12"/>
      <c r="D668" s="200"/>
      <c r="E668" s="200"/>
      <c r="F668" s="199"/>
      <c r="G668" s="200"/>
      <c r="H668" s="199"/>
      <c r="I668" s="199"/>
      <c r="J668" s="200"/>
      <c r="K668" s="200"/>
      <c r="L668" s="289" t="s">
        <v>1429</v>
      </c>
      <c r="M668" s="199"/>
      <c r="N668" s="40" t="str">
        <f t="shared" si="65"/>
        <v>FY2010-11</v>
      </c>
      <c r="O668" s="40" t="s">
        <v>1355</v>
      </c>
      <c r="P668" s="40" t="s">
        <v>1347</v>
      </c>
      <c r="Q668" s="40" t="s">
        <v>1339</v>
      </c>
      <c r="R668" s="200"/>
      <c r="S668" s="200"/>
      <c r="T668" s="200"/>
      <c r="U668" s="200"/>
      <c r="V668" s="201"/>
      <c r="W668" s="201"/>
      <c r="X668" s="201"/>
      <c r="Y668" s="201"/>
      <c r="Z668" s="201"/>
      <c r="AA668" s="201"/>
      <c r="AB668" s="201"/>
      <c r="AC668" s="201"/>
      <c r="AD668" s="201"/>
      <c r="AE668" s="201"/>
      <c r="AF668" s="201"/>
      <c r="AG668" s="201"/>
    </row>
    <row r="669" spans="1:34" ht="16" customHeight="1">
      <c r="A669" s="7"/>
      <c r="B669" s="10"/>
      <c r="C669" s="12"/>
      <c r="D669" s="200"/>
      <c r="E669" s="200"/>
      <c r="F669" s="199"/>
      <c r="G669" s="200"/>
      <c r="H669" s="199"/>
      <c r="I669" s="199"/>
      <c r="J669" s="200"/>
      <c r="K669" s="200"/>
      <c r="L669" s="289" t="s">
        <v>1429</v>
      </c>
      <c r="M669" s="199"/>
      <c r="N669" s="40" t="str">
        <f t="shared" si="65"/>
        <v>FY2010-11</v>
      </c>
      <c r="O669" s="40" t="s">
        <v>1355</v>
      </c>
      <c r="P669" s="40" t="s">
        <v>1347</v>
      </c>
      <c r="Q669" s="40" t="s">
        <v>1339</v>
      </c>
      <c r="R669" s="200"/>
      <c r="S669" s="200"/>
      <c r="T669" s="200"/>
      <c r="U669" s="200"/>
      <c r="V669" s="201"/>
      <c r="W669" s="201"/>
      <c r="X669" s="201"/>
      <c r="Y669" s="201"/>
      <c r="Z669" s="201"/>
      <c r="AA669" s="201"/>
      <c r="AB669" s="201"/>
      <c r="AC669" s="201"/>
      <c r="AD669" s="201"/>
      <c r="AE669" s="201"/>
      <c r="AF669" s="201"/>
      <c r="AG669" s="201"/>
    </row>
    <row r="670" spans="1:34" ht="16" customHeight="1">
      <c r="A670" s="7"/>
      <c r="B670" s="10"/>
      <c r="C670" s="12"/>
      <c r="D670" s="200"/>
      <c r="E670" s="200"/>
      <c r="F670" s="199"/>
      <c r="G670" s="200"/>
      <c r="H670" s="199"/>
      <c r="I670" s="199"/>
      <c r="J670" s="200"/>
      <c r="K670" s="200"/>
      <c r="L670" s="289" t="s">
        <v>1429</v>
      </c>
      <c r="M670" s="199"/>
      <c r="N670" s="40" t="str">
        <f t="shared" si="65"/>
        <v>FY2010-11</v>
      </c>
      <c r="O670" s="40" t="s">
        <v>1355</v>
      </c>
      <c r="P670" s="40" t="s">
        <v>1347</v>
      </c>
      <c r="Q670" s="40" t="s">
        <v>1339</v>
      </c>
      <c r="R670" s="200"/>
      <c r="S670" s="200"/>
      <c r="T670" s="200"/>
      <c r="U670" s="200"/>
      <c r="V670" s="201"/>
      <c r="W670" s="201"/>
      <c r="X670" s="201"/>
      <c r="Y670" s="201"/>
      <c r="Z670" s="201"/>
      <c r="AA670" s="201"/>
      <c r="AB670" s="201"/>
      <c r="AC670" s="201"/>
      <c r="AD670" s="201"/>
      <c r="AE670" s="201"/>
      <c r="AF670" s="201"/>
      <c r="AG670" s="201"/>
    </row>
    <row r="671" spans="1:34" ht="16" customHeight="1">
      <c r="A671" s="7"/>
      <c r="B671" s="10"/>
      <c r="C671" s="12"/>
      <c r="D671" s="200"/>
      <c r="E671" s="200"/>
      <c r="F671" s="199"/>
      <c r="G671" s="200"/>
      <c r="H671" s="199"/>
      <c r="I671" s="199"/>
      <c r="J671" s="200"/>
      <c r="K671" s="200"/>
      <c r="L671" s="289" t="s">
        <v>1429</v>
      </c>
      <c r="M671" s="199"/>
      <c r="N671" s="40" t="str">
        <f t="shared" si="65"/>
        <v>FY2010-11</v>
      </c>
      <c r="O671" s="40" t="s">
        <v>1355</v>
      </c>
      <c r="P671" s="40" t="s">
        <v>1347</v>
      </c>
      <c r="Q671" s="40" t="s">
        <v>1339</v>
      </c>
      <c r="R671" s="200"/>
      <c r="S671" s="200"/>
      <c r="T671" s="200"/>
      <c r="U671" s="200"/>
      <c r="V671" s="201"/>
      <c r="W671" s="201"/>
      <c r="X671" s="201"/>
      <c r="Y671" s="201"/>
      <c r="Z671" s="201"/>
      <c r="AA671" s="201"/>
      <c r="AB671" s="201"/>
      <c r="AC671" s="201"/>
      <c r="AD671" s="201"/>
      <c r="AE671" s="201"/>
      <c r="AF671" s="201"/>
      <c r="AG671" s="201"/>
    </row>
    <row r="672" spans="1:34" ht="16" customHeight="1">
      <c r="A672" s="36"/>
      <c r="B672" s="33"/>
      <c r="C672" s="33"/>
      <c r="D672" s="34"/>
      <c r="E672" s="34"/>
      <c r="F672" s="35"/>
      <c r="G672" s="34"/>
      <c r="H672" s="35"/>
      <c r="I672" s="35"/>
      <c r="J672" s="34"/>
      <c r="K672" s="34"/>
      <c r="L672" s="288"/>
      <c r="M672" s="35"/>
      <c r="N672" s="35"/>
      <c r="O672" s="34"/>
      <c r="P672" s="35"/>
      <c r="Q672" s="35"/>
      <c r="R672" s="34"/>
      <c r="S672" s="34"/>
      <c r="T672" s="34"/>
      <c r="U672" s="34"/>
      <c r="V672" s="36"/>
      <c r="W672" s="36"/>
      <c r="X672" s="36"/>
      <c r="Y672" s="36"/>
      <c r="Z672" s="36"/>
      <c r="AA672" s="36"/>
      <c r="AB672" s="36"/>
      <c r="AC672" s="36"/>
      <c r="AD672" s="36"/>
      <c r="AE672" s="36"/>
      <c r="AF672" s="36"/>
      <c r="AG672" s="36"/>
    </row>
    <row r="673" spans="1:34" ht="16" customHeight="1" thickBot="1">
      <c r="A673" s="7"/>
      <c r="B673" s="19" t="str">
        <f>"FA4 = "&amp;'FIG3'!$W$55&amp;" "&amp;'FIG3'!$X$55</f>
        <v>FA4 = FA4L1 FA4L2</v>
      </c>
      <c r="C673" s="7"/>
      <c r="D673" s="8"/>
      <c r="E673" s="8"/>
      <c r="F673" s="9"/>
      <c r="G673" s="8"/>
      <c r="H673" s="9"/>
      <c r="I673" s="9"/>
      <c r="J673" s="8"/>
      <c r="K673" s="8"/>
      <c r="L673" s="280"/>
      <c r="M673" s="9"/>
      <c r="N673" s="9"/>
      <c r="O673" s="8"/>
      <c r="P673" s="9"/>
      <c r="Q673" s="9"/>
      <c r="R673" s="8"/>
      <c r="S673" s="882"/>
      <c r="T673" s="883" t="str">
        <f>'$REV-DB'!$T$34</f>
        <v>Federal Revenues</v>
      </c>
      <c r="U673" s="883" t="str">
        <f>'$REV-DB'!$U$34</f>
        <v>local Revenues</v>
      </c>
      <c r="V673" s="883" t="str">
        <f>'$REV-DB'!$V$34</f>
        <v>Other Revenues</v>
      </c>
      <c r="W673" s="883" t="str">
        <f>'$REV-DB'!$W$34</f>
        <v>State revenues</v>
      </c>
      <c r="X673" s="883" t="str">
        <f>'$REV-DB'!$X$34</f>
        <v>UD5</v>
      </c>
      <c r="Y673" s="883" t="str">
        <f>'$REV-DB'!$Y$34</f>
        <v>UD6</v>
      </c>
      <c r="Z673" s="883" t="str">
        <f>'$REV-DB'!$Z$34</f>
        <v>UD7</v>
      </c>
      <c r="AA673" s="883" t="str">
        <f>'$REV-DB'!$AA$34</f>
        <v>UD8</v>
      </c>
      <c r="AB673" s="883" t="str">
        <f>'$REV-DB'!$AB$34</f>
        <v>UD9</v>
      </c>
      <c r="AC673" s="883" t="str">
        <f>'$REV-DB'!$AC$34</f>
        <v>UD10</v>
      </c>
      <c r="AD673" s="883" t="str">
        <f>'$REV-DB'!$AD$34</f>
        <v>UD11</v>
      </c>
      <c r="AE673" s="883" t="str">
        <f>'$REV-DB'!$AE$34</f>
        <v>UD12</v>
      </c>
      <c r="AF673" s="883" t="str">
        <f>'$REV-DB'!$AF$34</f>
        <v>UD13</v>
      </c>
      <c r="AG673" s="883" t="str">
        <f>'$REV-DB'!$AG$34</f>
        <v>UD14</v>
      </c>
    </row>
    <row r="674" spans="1:34" ht="16" customHeight="1" thickTop="1" thickBot="1">
      <c r="A674" s="7"/>
      <c r="B674" s="20" t="s">
        <v>1375</v>
      </c>
      <c r="C674" s="15"/>
      <c r="D674" s="105" t="s">
        <v>1386</v>
      </c>
      <c r="E674" s="105" t="s">
        <v>1387</v>
      </c>
      <c r="F674" s="105" t="s">
        <v>1388</v>
      </c>
      <c r="G674" s="105" t="s">
        <v>1389</v>
      </c>
      <c r="H674" s="301" t="s">
        <v>1406</v>
      </c>
      <c r="I674" s="301" t="s">
        <v>1390</v>
      </c>
      <c r="J674" s="301" t="s">
        <v>1391</v>
      </c>
      <c r="K674" s="301" t="s">
        <v>1392</v>
      </c>
      <c r="L674" s="301" t="s">
        <v>1188</v>
      </c>
      <c r="M674" s="301" t="s">
        <v>1437</v>
      </c>
      <c r="N674" s="105" t="s">
        <v>1348</v>
      </c>
      <c r="O674" s="105" t="s">
        <v>1393</v>
      </c>
      <c r="P674" s="105" t="s">
        <v>1342</v>
      </c>
      <c r="Q674" s="105" t="s">
        <v>1394</v>
      </c>
      <c r="R674" s="112" t="s">
        <v>1341</v>
      </c>
      <c r="S674" s="112" t="s">
        <v>846</v>
      </c>
      <c r="T674" s="873" t="s">
        <v>935</v>
      </c>
      <c r="U674" s="873" t="s">
        <v>936</v>
      </c>
      <c r="V674" s="873" t="s">
        <v>937</v>
      </c>
      <c r="W674" s="873" t="s">
        <v>938</v>
      </c>
      <c r="X674" s="873" t="s">
        <v>939</v>
      </c>
      <c r="Y674" s="873" t="s">
        <v>940</v>
      </c>
      <c r="Z674" s="873" t="s">
        <v>941</v>
      </c>
      <c r="AA674" s="873" t="s">
        <v>942</v>
      </c>
      <c r="AB674" s="873" t="s">
        <v>943</v>
      </c>
      <c r="AC674" s="873" t="s">
        <v>944</v>
      </c>
      <c r="AD674" s="873" t="s">
        <v>945</v>
      </c>
      <c r="AE674" s="873" t="s">
        <v>946</v>
      </c>
      <c r="AF674" s="873" t="s">
        <v>947</v>
      </c>
      <c r="AG674" s="873" t="s">
        <v>948</v>
      </c>
      <c r="AH674" s="6"/>
    </row>
    <row r="675" spans="1:34" ht="16" customHeight="1" thickTop="1">
      <c r="A675" s="7"/>
      <c r="B675" s="19" t="s">
        <v>1343</v>
      </c>
      <c r="C675" s="12"/>
      <c r="D675" s="200"/>
      <c r="E675" s="200"/>
      <c r="F675" s="199"/>
      <c r="G675" s="200"/>
      <c r="H675" s="199"/>
      <c r="I675" s="199"/>
      <c r="J675" s="200"/>
      <c r="K675" s="200"/>
      <c r="L675" s="289" t="s">
        <v>1429</v>
      </c>
      <c r="M675" s="199"/>
      <c r="N675" s="40" t="str">
        <f>J$6</f>
        <v>FY2010-11</v>
      </c>
      <c r="O675" s="40" t="s">
        <v>1355</v>
      </c>
      <c r="P675" s="40" t="s">
        <v>1347</v>
      </c>
      <c r="Q675" s="40" t="s">
        <v>1379</v>
      </c>
      <c r="R675" s="200"/>
      <c r="S675" s="200"/>
      <c r="T675" s="200"/>
      <c r="U675" s="200"/>
      <c r="V675" s="201"/>
      <c r="W675" s="201"/>
      <c r="X675" s="201"/>
      <c r="Y675" s="201"/>
      <c r="Z675" s="201"/>
      <c r="AA675" s="201"/>
      <c r="AB675" s="201"/>
      <c r="AC675" s="201"/>
      <c r="AD675" s="201"/>
      <c r="AE675" s="201"/>
      <c r="AF675" s="201"/>
      <c r="AG675" s="201"/>
      <c r="AH675" s="6"/>
    </row>
    <row r="676" spans="1:34" ht="16" customHeight="1">
      <c r="A676" s="7"/>
      <c r="B676" s="16">
        <f>DSUM('$REV-DB'!D35:AG374,"AMOUNT",'$REV-DSUM'!D674:AG681)</f>
        <v>0</v>
      </c>
      <c r="C676" s="12"/>
      <c r="D676" s="200"/>
      <c r="E676" s="200"/>
      <c r="F676" s="199"/>
      <c r="G676" s="200"/>
      <c r="H676" s="199"/>
      <c r="I676" s="199"/>
      <c r="J676" s="200"/>
      <c r="K676" s="200"/>
      <c r="L676" s="289" t="s">
        <v>1429</v>
      </c>
      <c r="M676" s="199"/>
      <c r="N676" s="40" t="str">
        <f t="shared" ref="N676:N681" si="66">J$6</f>
        <v>FY2010-11</v>
      </c>
      <c r="O676" s="40" t="s">
        <v>1355</v>
      </c>
      <c r="P676" s="40" t="s">
        <v>1347</v>
      </c>
      <c r="Q676" s="40" t="s">
        <v>1379</v>
      </c>
      <c r="R676" s="200"/>
      <c r="S676" s="200"/>
      <c r="T676" s="200"/>
      <c r="U676" s="200"/>
      <c r="V676" s="201"/>
      <c r="W676" s="201"/>
      <c r="X676" s="201"/>
      <c r="Y676" s="201"/>
      <c r="Z676" s="201"/>
      <c r="AA676" s="201"/>
      <c r="AB676" s="201"/>
      <c r="AC676" s="201"/>
      <c r="AD676" s="201"/>
      <c r="AE676" s="201"/>
      <c r="AF676" s="201"/>
      <c r="AG676" s="201"/>
      <c r="AH676" s="6"/>
    </row>
    <row r="677" spans="1:34" ht="16" customHeight="1">
      <c r="A677" s="7"/>
      <c r="B677" s="10"/>
      <c r="C677" s="12"/>
      <c r="D677" s="200"/>
      <c r="E677" s="200"/>
      <c r="F677" s="199"/>
      <c r="G677" s="200"/>
      <c r="H677" s="199"/>
      <c r="I677" s="199"/>
      <c r="J677" s="200"/>
      <c r="K677" s="200"/>
      <c r="L677" s="289" t="s">
        <v>1429</v>
      </c>
      <c r="M677" s="199"/>
      <c r="N677" s="40" t="str">
        <f t="shared" si="66"/>
        <v>FY2010-11</v>
      </c>
      <c r="O677" s="40" t="s">
        <v>1355</v>
      </c>
      <c r="P677" s="40" t="s">
        <v>1347</v>
      </c>
      <c r="Q677" s="40" t="s">
        <v>1379</v>
      </c>
      <c r="R677" s="200"/>
      <c r="S677" s="200"/>
      <c r="T677" s="200"/>
      <c r="U677" s="200"/>
      <c r="V677" s="201"/>
      <c r="W677" s="201"/>
      <c r="X677" s="201"/>
      <c r="Y677" s="201"/>
      <c r="Z677" s="201"/>
      <c r="AA677" s="201"/>
      <c r="AB677" s="201"/>
      <c r="AC677" s="201"/>
      <c r="AD677" s="201"/>
      <c r="AE677" s="201"/>
      <c r="AF677" s="201"/>
      <c r="AG677" s="201"/>
    </row>
    <row r="678" spans="1:34" ht="16" customHeight="1">
      <c r="A678" s="7"/>
      <c r="B678" s="10"/>
      <c r="C678" s="12"/>
      <c r="D678" s="200"/>
      <c r="E678" s="200"/>
      <c r="F678" s="199"/>
      <c r="G678" s="200"/>
      <c r="H678" s="199"/>
      <c r="I678" s="199"/>
      <c r="J678" s="200"/>
      <c r="K678" s="200"/>
      <c r="L678" s="289" t="s">
        <v>1429</v>
      </c>
      <c r="M678" s="199"/>
      <c r="N678" s="40" t="str">
        <f t="shared" si="66"/>
        <v>FY2010-11</v>
      </c>
      <c r="O678" s="40" t="s">
        <v>1355</v>
      </c>
      <c r="P678" s="40" t="s">
        <v>1347</v>
      </c>
      <c r="Q678" s="40" t="s">
        <v>1379</v>
      </c>
      <c r="R678" s="200"/>
      <c r="S678" s="200"/>
      <c r="T678" s="200"/>
      <c r="U678" s="200"/>
      <c r="V678" s="201"/>
      <c r="W678" s="201"/>
      <c r="X678" s="201"/>
      <c r="Y678" s="201"/>
      <c r="Z678" s="201"/>
      <c r="AA678" s="201"/>
      <c r="AB678" s="201"/>
      <c r="AC678" s="201"/>
      <c r="AD678" s="201"/>
      <c r="AE678" s="201"/>
      <c r="AF678" s="201"/>
      <c r="AG678" s="201"/>
    </row>
    <row r="679" spans="1:34" ht="16" customHeight="1">
      <c r="A679" s="7"/>
      <c r="B679" s="10"/>
      <c r="C679" s="12"/>
      <c r="D679" s="200"/>
      <c r="E679" s="200"/>
      <c r="F679" s="199"/>
      <c r="G679" s="200"/>
      <c r="H679" s="199"/>
      <c r="I679" s="199"/>
      <c r="J679" s="200"/>
      <c r="K679" s="200"/>
      <c r="L679" s="289" t="s">
        <v>1429</v>
      </c>
      <c r="M679" s="199"/>
      <c r="N679" s="40" t="str">
        <f t="shared" si="66"/>
        <v>FY2010-11</v>
      </c>
      <c r="O679" s="40" t="s">
        <v>1355</v>
      </c>
      <c r="P679" s="40" t="s">
        <v>1347</v>
      </c>
      <c r="Q679" s="40" t="s">
        <v>1379</v>
      </c>
      <c r="R679" s="200"/>
      <c r="S679" s="200"/>
      <c r="T679" s="200"/>
      <c r="U679" s="200"/>
      <c r="V679" s="201"/>
      <c r="W679" s="201"/>
      <c r="X679" s="201"/>
      <c r="Y679" s="201"/>
      <c r="Z679" s="201"/>
      <c r="AA679" s="201"/>
      <c r="AB679" s="201"/>
      <c r="AC679" s="201"/>
      <c r="AD679" s="201"/>
      <c r="AE679" s="201"/>
      <c r="AF679" s="201"/>
      <c r="AG679" s="201"/>
    </row>
    <row r="680" spans="1:34" ht="16" customHeight="1">
      <c r="A680" s="7"/>
      <c r="B680" s="10"/>
      <c r="C680" s="12"/>
      <c r="D680" s="200"/>
      <c r="E680" s="200"/>
      <c r="F680" s="199"/>
      <c r="G680" s="200"/>
      <c r="H680" s="199"/>
      <c r="I680" s="199"/>
      <c r="J680" s="200"/>
      <c r="K680" s="200"/>
      <c r="L680" s="289" t="s">
        <v>1429</v>
      </c>
      <c r="M680" s="199"/>
      <c r="N680" s="40" t="str">
        <f t="shared" si="66"/>
        <v>FY2010-11</v>
      </c>
      <c r="O680" s="40" t="s">
        <v>1355</v>
      </c>
      <c r="P680" s="40" t="s">
        <v>1347</v>
      </c>
      <c r="Q680" s="40" t="s">
        <v>1379</v>
      </c>
      <c r="R680" s="200"/>
      <c r="S680" s="200"/>
      <c r="T680" s="200"/>
      <c r="U680" s="200"/>
      <c r="V680" s="201"/>
      <c r="W680" s="201"/>
      <c r="X680" s="201"/>
      <c r="Y680" s="201"/>
      <c r="Z680" s="201"/>
      <c r="AA680" s="201"/>
      <c r="AB680" s="201"/>
      <c r="AC680" s="201"/>
      <c r="AD680" s="201"/>
      <c r="AE680" s="201"/>
      <c r="AF680" s="201"/>
      <c r="AG680" s="201"/>
    </row>
    <row r="681" spans="1:34" ht="16" customHeight="1">
      <c r="A681" s="7"/>
      <c r="B681" s="10"/>
      <c r="C681" s="12"/>
      <c r="D681" s="200"/>
      <c r="E681" s="200"/>
      <c r="F681" s="199"/>
      <c r="G681" s="200"/>
      <c r="H681" s="199"/>
      <c r="I681" s="199"/>
      <c r="J681" s="200"/>
      <c r="K681" s="200"/>
      <c r="L681" s="289" t="s">
        <v>1429</v>
      </c>
      <c r="M681" s="199"/>
      <c r="N681" s="40" t="str">
        <f t="shared" si="66"/>
        <v>FY2010-11</v>
      </c>
      <c r="O681" s="40" t="s">
        <v>1355</v>
      </c>
      <c r="P681" s="40" t="s">
        <v>1347</v>
      </c>
      <c r="Q681" s="40" t="s">
        <v>1379</v>
      </c>
      <c r="R681" s="200"/>
      <c r="S681" s="200"/>
      <c r="T681" s="200"/>
      <c r="U681" s="200"/>
      <c r="V681" s="201"/>
      <c r="W681" s="201"/>
      <c r="X681" s="201"/>
      <c r="Y681" s="201"/>
      <c r="Z681" s="201"/>
      <c r="AA681" s="201"/>
      <c r="AB681" s="201"/>
      <c r="AC681" s="201"/>
      <c r="AD681" s="201"/>
      <c r="AE681" s="201"/>
      <c r="AF681" s="201"/>
      <c r="AG681" s="201"/>
    </row>
    <row r="682" spans="1:34" ht="16" customHeight="1">
      <c r="A682" s="36"/>
      <c r="B682" s="33"/>
      <c r="C682" s="33"/>
      <c r="D682" s="34"/>
      <c r="E682" s="34"/>
      <c r="F682" s="35"/>
      <c r="G682" s="34"/>
      <c r="H682" s="35"/>
      <c r="I682" s="35"/>
      <c r="J682" s="34"/>
      <c r="K682" s="34"/>
      <c r="L682" s="288"/>
      <c r="M682" s="35"/>
      <c r="N682" s="35"/>
      <c r="O682" s="34"/>
      <c r="P682" s="35"/>
      <c r="Q682" s="35"/>
      <c r="R682" s="34"/>
      <c r="S682" s="34"/>
      <c r="T682" s="34"/>
      <c r="U682" s="34"/>
      <c r="V682" s="36"/>
      <c r="W682" s="36"/>
      <c r="X682" s="36"/>
      <c r="Y682" s="36"/>
      <c r="Z682" s="36"/>
      <c r="AA682" s="36"/>
      <c r="AB682" s="36"/>
      <c r="AC682" s="36"/>
      <c r="AD682" s="36"/>
      <c r="AE682" s="36"/>
      <c r="AF682" s="36"/>
      <c r="AG682" s="36"/>
    </row>
    <row r="683" spans="1:34" ht="16" customHeight="1" thickBot="1">
      <c r="A683" s="7"/>
      <c r="B683" s="19" t="str">
        <f>"FA4 = "&amp;'FIG3'!$W$55&amp;" "&amp;'FIG3'!$X$55</f>
        <v>FA4 = FA4L1 FA4L2</v>
      </c>
      <c r="C683" s="7"/>
      <c r="D683" s="8"/>
      <c r="E683" s="8"/>
      <c r="F683" s="9"/>
      <c r="G683" s="8"/>
      <c r="H683" s="9"/>
      <c r="I683" s="9"/>
      <c r="J683" s="8"/>
      <c r="K683" s="8"/>
      <c r="L683" s="280"/>
      <c r="M683" s="9"/>
      <c r="N683" s="9"/>
      <c r="O683" s="8"/>
      <c r="P683" s="9"/>
      <c r="Q683" s="9"/>
      <c r="R683" s="8"/>
      <c r="S683" s="882"/>
      <c r="T683" s="883" t="str">
        <f>'$REV-DB'!$T$34</f>
        <v>Federal Revenues</v>
      </c>
      <c r="U683" s="883" t="str">
        <f>'$REV-DB'!$U$34</f>
        <v>local Revenues</v>
      </c>
      <c r="V683" s="883" t="str">
        <f>'$REV-DB'!$V$34</f>
        <v>Other Revenues</v>
      </c>
      <c r="W683" s="883" t="str">
        <f>'$REV-DB'!$W$34</f>
        <v>State revenues</v>
      </c>
      <c r="X683" s="883" t="str">
        <f>'$REV-DB'!$X$34</f>
        <v>UD5</v>
      </c>
      <c r="Y683" s="883" t="str">
        <f>'$REV-DB'!$Y$34</f>
        <v>UD6</v>
      </c>
      <c r="Z683" s="883" t="str">
        <f>'$REV-DB'!$Z$34</f>
        <v>UD7</v>
      </c>
      <c r="AA683" s="883" t="str">
        <f>'$REV-DB'!$AA$34</f>
        <v>UD8</v>
      </c>
      <c r="AB683" s="883" t="str">
        <f>'$REV-DB'!$AB$34</f>
        <v>UD9</v>
      </c>
      <c r="AC683" s="883" t="str">
        <f>'$REV-DB'!$AC$34</f>
        <v>UD10</v>
      </c>
      <c r="AD683" s="883" t="str">
        <f>'$REV-DB'!$AD$34</f>
        <v>UD11</v>
      </c>
      <c r="AE683" s="883" t="str">
        <f>'$REV-DB'!$AE$34</f>
        <v>UD12</v>
      </c>
      <c r="AF683" s="883" t="str">
        <f>'$REV-DB'!$AF$34</f>
        <v>UD13</v>
      </c>
      <c r="AG683" s="883" t="str">
        <f>'$REV-DB'!$AG$34</f>
        <v>UD14</v>
      </c>
    </row>
    <row r="684" spans="1:34" ht="16" customHeight="1" thickTop="1" thickBot="1">
      <c r="A684" s="7"/>
      <c r="B684" s="20" t="s">
        <v>1375</v>
      </c>
      <c r="C684" s="15"/>
      <c r="D684" s="105" t="s">
        <v>1386</v>
      </c>
      <c r="E684" s="105" t="s">
        <v>1387</v>
      </c>
      <c r="F684" s="105" t="s">
        <v>1388</v>
      </c>
      <c r="G684" s="105" t="s">
        <v>1389</v>
      </c>
      <c r="H684" s="301" t="s">
        <v>1406</v>
      </c>
      <c r="I684" s="301" t="s">
        <v>1390</v>
      </c>
      <c r="J684" s="301" t="s">
        <v>1391</v>
      </c>
      <c r="K684" s="301" t="s">
        <v>1392</v>
      </c>
      <c r="L684" s="301" t="s">
        <v>1188</v>
      </c>
      <c r="M684" s="301" t="s">
        <v>1437</v>
      </c>
      <c r="N684" s="105" t="s">
        <v>1348</v>
      </c>
      <c r="O684" s="105" t="s">
        <v>1393</v>
      </c>
      <c r="P684" s="105" t="s">
        <v>1342</v>
      </c>
      <c r="Q684" s="105" t="s">
        <v>1394</v>
      </c>
      <c r="R684" s="112" t="s">
        <v>1341</v>
      </c>
      <c r="S684" s="112" t="s">
        <v>846</v>
      </c>
      <c r="T684" s="873" t="s">
        <v>935</v>
      </c>
      <c r="U684" s="873" t="s">
        <v>936</v>
      </c>
      <c r="V684" s="873" t="s">
        <v>937</v>
      </c>
      <c r="W684" s="873" t="s">
        <v>938</v>
      </c>
      <c r="X684" s="873" t="s">
        <v>939</v>
      </c>
      <c r="Y684" s="873" t="s">
        <v>940</v>
      </c>
      <c r="Z684" s="873" t="s">
        <v>941</v>
      </c>
      <c r="AA684" s="873" t="s">
        <v>942</v>
      </c>
      <c r="AB684" s="873" t="s">
        <v>943</v>
      </c>
      <c r="AC684" s="873" t="s">
        <v>944</v>
      </c>
      <c r="AD684" s="873" t="s">
        <v>945</v>
      </c>
      <c r="AE684" s="873" t="s">
        <v>946</v>
      </c>
      <c r="AF684" s="873" t="s">
        <v>947</v>
      </c>
      <c r="AG684" s="873" t="s">
        <v>948</v>
      </c>
      <c r="AH684" s="6"/>
    </row>
    <row r="685" spans="1:34" ht="16" customHeight="1" thickTop="1">
      <c r="A685" s="7"/>
      <c r="B685" s="19" t="s">
        <v>1349</v>
      </c>
      <c r="C685" s="12"/>
      <c r="D685" s="200"/>
      <c r="E685" s="200"/>
      <c r="F685" s="199"/>
      <c r="G685" s="200"/>
      <c r="H685" s="199"/>
      <c r="I685" s="199"/>
      <c r="J685" s="200"/>
      <c r="K685" s="200"/>
      <c r="L685" s="289" t="s">
        <v>1429</v>
      </c>
      <c r="M685" s="199"/>
      <c r="N685" s="40" t="str">
        <f>J$6</f>
        <v>FY2010-11</v>
      </c>
      <c r="O685" s="40" t="s">
        <v>1355</v>
      </c>
      <c r="P685" s="40" t="s">
        <v>1347</v>
      </c>
      <c r="Q685" s="40" t="s">
        <v>1397</v>
      </c>
      <c r="R685" s="200"/>
      <c r="S685" s="200"/>
      <c r="T685" s="200"/>
      <c r="U685" s="200"/>
      <c r="V685" s="201"/>
      <c r="W685" s="201"/>
      <c r="X685" s="201"/>
      <c r="Y685" s="201"/>
      <c r="Z685" s="201"/>
      <c r="AA685" s="201"/>
      <c r="AB685" s="201"/>
      <c r="AC685" s="201"/>
      <c r="AD685" s="201"/>
      <c r="AE685" s="201"/>
      <c r="AF685" s="201"/>
      <c r="AG685" s="201"/>
      <c r="AH685" s="6"/>
    </row>
    <row r="686" spans="1:34" ht="16" customHeight="1">
      <c r="A686" s="7"/>
      <c r="B686" s="16">
        <f>DSUM('$REV-DB'!D35:AG374,"AMOUNT",'$REV-DSUM'!D684:AG691)</f>
        <v>0</v>
      </c>
      <c r="C686" s="12"/>
      <c r="D686" s="200"/>
      <c r="E686" s="200"/>
      <c r="F686" s="199"/>
      <c r="G686" s="200"/>
      <c r="H686" s="199"/>
      <c r="I686" s="199"/>
      <c r="J686" s="200"/>
      <c r="K686" s="200"/>
      <c r="L686" s="289" t="s">
        <v>1429</v>
      </c>
      <c r="M686" s="199"/>
      <c r="N686" s="40" t="str">
        <f t="shared" ref="N686:N691" si="67">J$6</f>
        <v>FY2010-11</v>
      </c>
      <c r="O686" s="40" t="s">
        <v>1355</v>
      </c>
      <c r="P686" s="40" t="s">
        <v>1347</v>
      </c>
      <c r="Q686" s="40" t="s">
        <v>1397</v>
      </c>
      <c r="R686" s="200"/>
      <c r="S686" s="200"/>
      <c r="T686" s="200"/>
      <c r="U686" s="200"/>
      <c r="V686" s="201"/>
      <c r="W686" s="201"/>
      <c r="X686" s="201"/>
      <c r="Y686" s="201"/>
      <c r="Z686" s="201"/>
      <c r="AA686" s="201"/>
      <c r="AB686" s="201"/>
      <c r="AC686" s="201"/>
      <c r="AD686" s="201"/>
      <c r="AE686" s="201"/>
      <c r="AF686" s="201"/>
      <c r="AG686" s="201"/>
      <c r="AH686" s="6"/>
    </row>
    <row r="687" spans="1:34" ht="16" customHeight="1">
      <c r="A687" s="7"/>
      <c r="B687" s="10"/>
      <c r="C687" s="12"/>
      <c r="D687" s="200"/>
      <c r="E687" s="200"/>
      <c r="F687" s="199"/>
      <c r="G687" s="200"/>
      <c r="H687" s="199"/>
      <c r="I687" s="199"/>
      <c r="J687" s="200"/>
      <c r="K687" s="200"/>
      <c r="L687" s="289" t="s">
        <v>1429</v>
      </c>
      <c r="M687" s="199"/>
      <c r="N687" s="40" t="str">
        <f t="shared" si="67"/>
        <v>FY2010-11</v>
      </c>
      <c r="O687" s="40" t="s">
        <v>1355</v>
      </c>
      <c r="P687" s="40" t="s">
        <v>1347</v>
      </c>
      <c r="Q687" s="40" t="s">
        <v>1397</v>
      </c>
      <c r="R687" s="200"/>
      <c r="S687" s="200"/>
      <c r="T687" s="200"/>
      <c r="U687" s="200"/>
      <c r="V687" s="201"/>
      <c r="W687" s="201"/>
      <c r="X687" s="201"/>
      <c r="Y687" s="201"/>
      <c r="Z687" s="201"/>
      <c r="AA687" s="201"/>
      <c r="AB687" s="201"/>
      <c r="AC687" s="201"/>
      <c r="AD687" s="201"/>
      <c r="AE687" s="201"/>
      <c r="AF687" s="201"/>
      <c r="AG687" s="201"/>
    </row>
    <row r="688" spans="1:34" ht="16" customHeight="1">
      <c r="A688" s="7"/>
      <c r="B688" s="10"/>
      <c r="C688" s="12"/>
      <c r="D688" s="200"/>
      <c r="E688" s="200"/>
      <c r="F688" s="199"/>
      <c r="G688" s="200"/>
      <c r="H688" s="199"/>
      <c r="I688" s="199"/>
      <c r="J688" s="200"/>
      <c r="K688" s="200"/>
      <c r="L688" s="289" t="s">
        <v>1429</v>
      </c>
      <c r="M688" s="199"/>
      <c r="N688" s="40" t="str">
        <f t="shared" si="67"/>
        <v>FY2010-11</v>
      </c>
      <c r="O688" s="40" t="s">
        <v>1355</v>
      </c>
      <c r="P688" s="40" t="s">
        <v>1347</v>
      </c>
      <c r="Q688" s="40" t="s">
        <v>1397</v>
      </c>
      <c r="R688" s="200"/>
      <c r="S688" s="200"/>
      <c r="T688" s="200"/>
      <c r="U688" s="200"/>
      <c r="V688" s="201"/>
      <c r="W688" s="201"/>
      <c r="X688" s="201"/>
      <c r="Y688" s="201"/>
      <c r="Z688" s="201"/>
      <c r="AA688" s="201"/>
      <c r="AB688" s="201"/>
      <c r="AC688" s="201"/>
      <c r="AD688" s="201"/>
      <c r="AE688" s="201"/>
      <c r="AF688" s="201"/>
      <c r="AG688" s="201"/>
    </row>
    <row r="689" spans="1:34" ht="16" customHeight="1">
      <c r="A689" s="7"/>
      <c r="B689" s="10"/>
      <c r="C689" s="12"/>
      <c r="D689" s="200"/>
      <c r="E689" s="200"/>
      <c r="F689" s="199"/>
      <c r="G689" s="200"/>
      <c r="H689" s="199"/>
      <c r="I689" s="199"/>
      <c r="J689" s="200"/>
      <c r="K689" s="200"/>
      <c r="L689" s="289" t="s">
        <v>1429</v>
      </c>
      <c r="M689" s="199"/>
      <c r="N689" s="40" t="str">
        <f t="shared" si="67"/>
        <v>FY2010-11</v>
      </c>
      <c r="O689" s="40" t="s">
        <v>1355</v>
      </c>
      <c r="P689" s="40" t="s">
        <v>1347</v>
      </c>
      <c r="Q689" s="40" t="s">
        <v>1397</v>
      </c>
      <c r="R689" s="200"/>
      <c r="S689" s="200"/>
      <c r="T689" s="200"/>
      <c r="U689" s="200"/>
      <c r="V689" s="201"/>
      <c r="W689" s="201"/>
      <c r="X689" s="201"/>
      <c r="Y689" s="201"/>
      <c r="Z689" s="201"/>
      <c r="AA689" s="201"/>
      <c r="AB689" s="201"/>
      <c r="AC689" s="201"/>
      <c r="AD689" s="201"/>
      <c r="AE689" s="201"/>
      <c r="AF689" s="201"/>
      <c r="AG689" s="201"/>
    </row>
    <row r="690" spans="1:34" ht="16" customHeight="1">
      <c r="A690" s="7"/>
      <c r="B690" s="10"/>
      <c r="C690" s="12"/>
      <c r="D690" s="200"/>
      <c r="E690" s="200"/>
      <c r="F690" s="199"/>
      <c r="G690" s="200"/>
      <c r="H690" s="199"/>
      <c r="I690" s="199"/>
      <c r="J690" s="200"/>
      <c r="K690" s="200"/>
      <c r="L690" s="289" t="s">
        <v>1429</v>
      </c>
      <c r="M690" s="199"/>
      <c r="N690" s="40" t="str">
        <f t="shared" si="67"/>
        <v>FY2010-11</v>
      </c>
      <c r="O690" s="40" t="s">
        <v>1355</v>
      </c>
      <c r="P690" s="40" t="s">
        <v>1347</v>
      </c>
      <c r="Q690" s="40" t="s">
        <v>1397</v>
      </c>
      <c r="R690" s="200"/>
      <c r="S690" s="200"/>
      <c r="T690" s="200"/>
      <c r="U690" s="200"/>
      <c r="V690" s="201"/>
      <c r="W690" s="201"/>
      <c r="X690" s="201"/>
      <c r="Y690" s="201"/>
      <c r="Z690" s="201"/>
      <c r="AA690" s="201"/>
      <c r="AB690" s="201"/>
      <c r="AC690" s="201"/>
      <c r="AD690" s="201"/>
      <c r="AE690" s="201"/>
      <c r="AF690" s="201"/>
      <c r="AG690" s="201"/>
    </row>
    <row r="691" spans="1:34" ht="16" customHeight="1">
      <c r="A691" s="7"/>
      <c r="B691" s="10"/>
      <c r="C691" s="12"/>
      <c r="D691" s="200"/>
      <c r="E691" s="200"/>
      <c r="F691" s="199"/>
      <c r="G691" s="200"/>
      <c r="H691" s="199"/>
      <c r="I691" s="199"/>
      <c r="J691" s="200"/>
      <c r="K691" s="200"/>
      <c r="L691" s="289" t="s">
        <v>1429</v>
      </c>
      <c r="M691" s="199"/>
      <c r="N691" s="40" t="str">
        <f t="shared" si="67"/>
        <v>FY2010-11</v>
      </c>
      <c r="O691" s="40" t="s">
        <v>1355</v>
      </c>
      <c r="P691" s="40" t="s">
        <v>1347</v>
      </c>
      <c r="Q691" s="40" t="s">
        <v>1397</v>
      </c>
      <c r="R691" s="200"/>
      <c r="S691" s="200"/>
      <c r="T691" s="200"/>
      <c r="U691" s="200"/>
      <c r="V691" s="201"/>
      <c r="W691" s="201"/>
      <c r="X691" s="201"/>
      <c r="Y691" s="201"/>
      <c r="Z691" s="201"/>
      <c r="AA691" s="201"/>
      <c r="AB691" s="201"/>
      <c r="AC691" s="201"/>
      <c r="AD691" s="201"/>
      <c r="AE691" s="201"/>
      <c r="AF691" s="201"/>
      <c r="AG691" s="201"/>
    </row>
    <row r="692" spans="1:34" ht="16" customHeight="1">
      <c r="A692" s="46"/>
      <c r="B692" s="33"/>
      <c r="C692" s="33"/>
      <c r="D692" s="34"/>
      <c r="E692" s="34"/>
      <c r="F692" s="35"/>
      <c r="G692" s="34"/>
      <c r="H692" s="35"/>
      <c r="I692" s="35"/>
      <c r="J692" s="34"/>
      <c r="K692" s="34"/>
      <c r="L692" s="288"/>
      <c r="M692" s="35"/>
      <c r="N692" s="35"/>
      <c r="O692" s="34"/>
      <c r="P692" s="35"/>
      <c r="Q692" s="35"/>
      <c r="R692" s="34"/>
      <c r="S692" s="34"/>
      <c r="T692" s="34"/>
      <c r="U692" s="34"/>
      <c r="V692" s="36"/>
      <c r="W692" s="36"/>
      <c r="X692" s="36"/>
      <c r="Y692" s="36"/>
      <c r="Z692" s="36"/>
      <c r="AA692" s="36"/>
      <c r="AB692" s="36"/>
      <c r="AC692" s="36"/>
      <c r="AD692" s="36"/>
      <c r="AE692" s="36"/>
      <c r="AF692" s="36"/>
      <c r="AG692" s="36"/>
    </row>
    <row r="693" spans="1:34" ht="16" customHeight="1" thickBot="1">
      <c r="A693" s="7"/>
      <c r="B693" s="19" t="str">
        <f>"FA4 = "&amp;'FIG3'!$W$55&amp;" "&amp;'FIG3'!$X$55</f>
        <v>FA4 = FA4L1 FA4L2</v>
      </c>
      <c r="C693" s="7"/>
      <c r="D693" s="8"/>
      <c r="E693" s="8"/>
      <c r="F693" s="9"/>
      <c r="G693" s="8"/>
      <c r="H693" s="9"/>
      <c r="I693" s="9"/>
      <c r="J693" s="8"/>
      <c r="K693" s="8"/>
      <c r="L693" s="280"/>
      <c r="M693" s="9"/>
      <c r="N693" s="9"/>
      <c r="O693" s="8"/>
      <c r="P693" s="9"/>
      <c r="Q693" s="9"/>
      <c r="R693" s="8"/>
      <c r="S693" s="882"/>
      <c r="T693" s="883" t="str">
        <f>'$REV-DB'!$T$34</f>
        <v>Federal Revenues</v>
      </c>
      <c r="U693" s="883" t="str">
        <f>'$REV-DB'!$U$34</f>
        <v>local Revenues</v>
      </c>
      <c r="V693" s="883" t="str">
        <f>'$REV-DB'!$V$34</f>
        <v>Other Revenues</v>
      </c>
      <c r="W693" s="883" t="str">
        <f>'$REV-DB'!$W$34</f>
        <v>State revenues</v>
      </c>
      <c r="X693" s="883" t="str">
        <f>'$REV-DB'!$X$34</f>
        <v>UD5</v>
      </c>
      <c r="Y693" s="883" t="str">
        <f>'$REV-DB'!$Y$34</f>
        <v>UD6</v>
      </c>
      <c r="Z693" s="883" t="str">
        <f>'$REV-DB'!$Z$34</f>
        <v>UD7</v>
      </c>
      <c r="AA693" s="883" t="str">
        <f>'$REV-DB'!$AA$34</f>
        <v>UD8</v>
      </c>
      <c r="AB693" s="883" t="str">
        <f>'$REV-DB'!$AB$34</f>
        <v>UD9</v>
      </c>
      <c r="AC693" s="883" t="str">
        <f>'$REV-DB'!$AC$34</f>
        <v>UD10</v>
      </c>
      <c r="AD693" s="883" t="str">
        <f>'$REV-DB'!$AD$34</f>
        <v>UD11</v>
      </c>
      <c r="AE693" s="883" t="str">
        <f>'$REV-DB'!$AE$34</f>
        <v>UD12</v>
      </c>
      <c r="AF693" s="883" t="str">
        <f>'$REV-DB'!$AF$34</f>
        <v>UD13</v>
      </c>
      <c r="AG693" s="883" t="str">
        <f>'$REV-DB'!$AG$34</f>
        <v>UD14</v>
      </c>
    </row>
    <row r="694" spans="1:34" ht="16" customHeight="1" thickTop="1" thickBot="1">
      <c r="A694" s="7"/>
      <c r="B694" s="20" t="s">
        <v>1375</v>
      </c>
      <c r="C694" s="15"/>
      <c r="D694" s="276" t="s">
        <v>1386</v>
      </c>
      <c r="E694" s="276" t="s">
        <v>1387</v>
      </c>
      <c r="F694" s="276" t="s">
        <v>1388</v>
      </c>
      <c r="G694" s="276" t="s">
        <v>1389</v>
      </c>
      <c r="H694" s="301" t="s">
        <v>1406</v>
      </c>
      <c r="I694" s="301" t="s">
        <v>1390</v>
      </c>
      <c r="J694" s="301" t="s">
        <v>1391</v>
      </c>
      <c r="K694" s="301" t="s">
        <v>1392</v>
      </c>
      <c r="L694" s="301" t="s">
        <v>1188</v>
      </c>
      <c r="M694" s="301" t="s">
        <v>1437</v>
      </c>
      <c r="N694" s="276" t="s">
        <v>1348</v>
      </c>
      <c r="O694" s="276" t="s">
        <v>1393</v>
      </c>
      <c r="P694" s="276" t="s">
        <v>1342</v>
      </c>
      <c r="Q694" s="276" t="s">
        <v>1394</v>
      </c>
      <c r="R694" s="112" t="s">
        <v>1341</v>
      </c>
      <c r="S694" s="112" t="s">
        <v>846</v>
      </c>
      <c r="T694" s="873" t="s">
        <v>935</v>
      </c>
      <c r="U694" s="873" t="s">
        <v>936</v>
      </c>
      <c r="V694" s="873" t="s">
        <v>937</v>
      </c>
      <c r="W694" s="873" t="s">
        <v>938</v>
      </c>
      <c r="X694" s="873" t="s">
        <v>939</v>
      </c>
      <c r="Y694" s="873" t="s">
        <v>940</v>
      </c>
      <c r="Z694" s="873" t="s">
        <v>941</v>
      </c>
      <c r="AA694" s="873" t="s">
        <v>942</v>
      </c>
      <c r="AB694" s="873" t="s">
        <v>943</v>
      </c>
      <c r="AC694" s="873" t="s">
        <v>944</v>
      </c>
      <c r="AD694" s="873" t="s">
        <v>945</v>
      </c>
      <c r="AE694" s="873" t="s">
        <v>946</v>
      </c>
      <c r="AF694" s="873" t="s">
        <v>947</v>
      </c>
      <c r="AG694" s="873" t="s">
        <v>948</v>
      </c>
      <c r="AH694" s="6"/>
    </row>
    <row r="695" spans="1:34" ht="16" customHeight="1" thickTop="1">
      <c r="A695" s="7"/>
      <c r="B695" s="19" t="s">
        <v>1178</v>
      </c>
      <c r="C695" s="12"/>
      <c r="D695" s="200"/>
      <c r="E695" s="200"/>
      <c r="F695" s="199"/>
      <c r="G695" s="200"/>
      <c r="H695" s="199"/>
      <c r="I695" s="199"/>
      <c r="J695" s="200"/>
      <c r="K695" s="200"/>
      <c r="L695" s="289" t="s">
        <v>1429</v>
      </c>
      <c r="M695" s="199"/>
      <c r="N695" s="40" t="str">
        <f>J$6</f>
        <v>FY2010-11</v>
      </c>
      <c r="O695" s="40" t="s">
        <v>1355</v>
      </c>
      <c r="P695" s="40" t="s">
        <v>1347</v>
      </c>
      <c r="Q695" s="40" t="s">
        <v>1465</v>
      </c>
      <c r="R695" s="200"/>
      <c r="S695" s="200"/>
      <c r="T695" s="200"/>
      <c r="U695" s="200"/>
      <c r="V695" s="201"/>
      <c r="W695" s="201"/>
      <c r="X695" s="201"/>
      <c r="Y695" s="201"/>
      <c r="Z695" s="201"/>
      <c r="AA695" s="201"/>
      <c r="AB695" s="201"/>
      <c r="AC695" s="201"/>
      <c r="AD695" s="201"/>
      <c r="AE695" s="201"/>
      <c r="AF695" s="201"/>
      <c r="AG695" s="201"/>
      <c r="AH695" s="6"/>
    </row>
    <row r="696" spans="1:34" ht="16" customHeight="1">
      <c r="A696" s="7"/>
      <c r="B696" s="16">
        <f>DSUM('$REV-DB'!D35:AG374,"AMOUNT",'$REV-DSUM'!D694:AG701)</f>
        <v>0</v>
      </c>
      <c r="C696" s="12"/>
      <c r="D696" s="200"/>
      <c r="E696" s="200"/>
      <c r="F696" s="199"/>
      <c r="G696" s="200"/>
      <c r="H696" s="199"/>
      <c r="I696" s="199"/>
      <c r="J696" s="200"/>
      <c r="K696" s="200"/>
      <c r="L696" s="289" t="s">
        <v>1429</v>
      </c>
      <c r="M696" s="199"/>
      <c r="N696" s="40" t="str">
        <f t="shared" ref="N696:N701" si="68">J$6</f>
        <v>FY2010-11</v>
      </c>
      <c r="O696" s="40" t="s">
        <v>1355</v>
      </c>
      <c r="P696" s="40" t="s">
        <v>1347</v>
      </c>
      <c r="Q696" s="40" t="s">
        <v>1465</v>
      </c>
      <c r="R696" s="200"/>
      <c r="S696" s="200"/>
      <c r="T696" s="200"/>
      <c r="U696" s="200"/>
      <c r="V696" s="201"/>
      <c r="W696" s="201"/>
      <c r="X696" s="201"/>
      <c r="Y696" s="201"/>
      <c r="Z696" s="201"/>
      <c r="AA696" s="201"/>
      <c r="AB696" s="201"/>
      <c r="AC696" s="201"/>
      <c r="AD696" s="201"/>
      <c r="AE696" s="201"/>
      <c r="AF696" s="201"/>
      <c r="AG696" s="201"/>
      <c r="AH696" s="6"/>
    </row>
    <row r="697" spans="1:34" ht="16" customHeight="1">
      <c r="A697" s="7"/>
      <c r="B697" s="10"/>
      <c r="C697" s="12"/>
      <c r="D697" s="200"/>
      <c r="E697" s="200"/>
      <c r="F697" s="199"/>
      <c r="G697" s="200"/>
      <c r="H697" s="199"/>
      <c r="I697" s="199"/>
      <c r="J697" s="200"/>
      <c r="K697" s="200"/>
      <c r="L697" s="289" t="s">
        <v>1429</v>
      </c>
      <c r="M697" s="199"/>
      <c r="N697" s="40" t="str">
        <f t="shared" si="68"/>
        <v>FY2010-11</v>
      </c>
      <c r="O697" s="40" t="s">
        <v>1355</v>
      </c>
      <c r="P697" s="40" t="s">
        <v>1347</v>
      </c>
      <c r="Q697" s="40" t="s">
        <v>1465</v>
      </c>
      <c r="R697" s="200"/>
      <c r="S697" s="200"/>
      <c r="T697" s="200"/>
      <c r="U697" s="200"/>
      <c r="V697" s="201"/>
      <c r="W697" s="201"/>
      <c r="X697" s="201"/>
      <c r="Y697" s="201"/>
      <c r="Z697" s="201"/>
      <c r="AA697" s="201"/>
      <c r="AB697" s="201"/>
      <c r="AC697" s="201"/>
      <c r="AD697" s="201"/>
      <c r="AE697" s="201"/>
      <c r="AF697" s="201"/>
      <c r="AG697" s="201"/>
    </row>
    <row r="698" spans="1:34" ht="16" customHeight="1">
      <c r="A698" s="7"/>
      <c r="B698" s="10"/>
      <c r="C698" s="12"/>
      <c r="D698" s="200"/>
      <c r="E698" s="200"/>
      <c r="F698" s="199"/>
      <c r="G698" s="200"/>
      <c r="H698" s="199"/>
      <c r="I698" s="199"/>
      <c r="J698" s="200"/>
      <c r="K698" s="200"/>
      <c r="L698" s="289" t="s">
        <v>1429</v>
      </c>
      <c r="M698" s="199"/>
      <c r="N698" s="40" t="str">
        <f t="shared" si="68"/>
        <v>FY2010-11</v>
      </c>
      <c r="O698" s="40" t="s">
        <v>1355</v>
      </c>
      <c r="P698" s="40" t="s">
        <v>1347</v>
      </c>
      <c r="Q698" s="40" t="s">
        <v>1465</v>
      </c>
      <c r="R698" s="200"/>
      <c r="S698" s="200"/>
      <c r="T698" s="200"/>
      <c r="U698" s="200"/>
      <c r="V698" s="201"/>
      <c r="W698" s="201"/>
      <c r="X698" s="201"/>
      <c r="Y698" s="201"/>
      <c r="Z698" s="201"/>
      <c r="AA698" s="201"/>
      <c r="AB698" s="201"/>
      <c r="AC698" s="201"/>
      <c r="AD698" s="201"/>
      <c r="AE698" s="201"/>
      <c r="AF698" s="201"/>
      <c r="AG698" s="201"/>
    </row>
    <row r="699" spans="1:34" ht="16" customHeight="1">
      <c r="A699" s="7"/>
      <c r="B699" s="10"/>
      <c r="C699" s="12"/>
      <c r="D699" s="200"/>
      <c r="E699" s="200"/>
      <c r="F699" s="199"/>
      <c r="G699" s="200"/>
      <c r="H699" s="199"/>
      <c r="I699" s="199"/>
      <c r="J699" s="200"/>
      <c r="K699" s="200"/>
      <c r="L699" s="289" t="s">
        <v>1429</v>
      </c>
      <c r="M699" s="199"/>
      <c r="N699" s="40" t="str">
        <f t="shared" si="68"/>
        <v>FY2010-11</v>
      </c>
      <c r="O699" s="40" t="s">
        <v>1355</v>
      </c>
      <c r="P699" s="40" t="s">
        <v>1347</v>
      </c>
      <c r="Q699" s="40" t="s">
        <v>1465</v>
      </c>
      <c r="R699" s="200"/>
      <c r="S699" s="200"/>
      <c r="T699" s="200"/>
      <c r="U699" s="200"/>
      <c r="V699" s="201"/>
      <c r="W699" s="201"/>
      <c r="X699" s="201"/>
      <c r="Y699" s="201"/>
      <c r="Z699" s="201"/>
      <c r="AA699" s="201"/>
      <c r="AB699" s="201"/>
      <c r="AC699" s="201"/>
      <c r="AD699" s="201"/>
      <c r="AE699" s="201"/>
      <c r="AF699" s="201"/>
      <c r="AG699" s="201"/>
    </row>
    <row r="700" spans="1:34" ht="16" customHeight="1">
      <c r="A700" s="7"/>
      <c r="B700" s="10"/>
      <c r="C700" s="12"/>
      <c r="D700" s="200"/>
      <c r="E700" s="200"/>
      <c r="F700" s="199"/>
      <c r="G700" s="200"/>
      <c r="H700" s="199"/>
      <c r="I700" s="199"/>
      <c r="J700" s="200"/>
      <c r="K700" s="200"/>
      <c r="L700" s="289" t="s">
        <v>1429</v>
      </c>
      <c r="M700" s="199"/>
      <c r="N700" s="40" t="str">
        <f t="shared" si="68"/>
        <v>FY2010-11</v>
      </c>
      <c r="O700" s="40" t="s">
        <v>1355</v>
      </c>
      <c r="P700" s="40" t="s">
        <v>1347</v>
      </c>
      <c r="Q700" s="40" t="s">
        <v>1465</v>
      </c>
      <c r="R700" s="200"/>
      <c r="S700" s="200"/>
      <c r="T700" s="200"/>
      <c r="U700" s="200"/>
      <c r="V700" s="201"/>
      <c r="W700" s="201"/>
      <c r="X700" s="201"/>
      <c r="Y700" s="201"/>
      <c r="Z700" s="201"/>
      <c r="AA700" s="201"/>
      <c r="AB700" s="201"/>
      <c r="AC700" s="201"/>
      <c r="AD700" s="201"/>
      <c r="AE700" s="201"/>
      <c r="AF700" s="201"/>
      <c r="AG700" s="201"/>
    </row>
    <row r="701" spans="1:34" ht="16" customHeight="1">
      <c r="A701" s="7"/>
      <c r="B701" s="10"/>
      <c r="C701" s="12"/>
      <c r="D701" s="200"/>
      <c r="E701" s="200"/>
      <c r="F701" s="199"/>
      <c r="G701" s="200"/>
      <c r="H701" s="199"/>
      <c r="I701" s="199"/>
      <c r="J701" s="200"/>
      <c r="K701" s="200"/>
      <c r="L701" s="289" t="s">
        <v>1429</v>
      </c>
      <c r="M701" s="199"/>
      <c r="N701" s="40" t="str">
        <f t="shared" si="68"/>
        <v>FY2010-11</v>
      </c>
      <c r="O701" s="40" t="s">
        <v>1355</v>
      </c>
      <c r="P701" s="40" t="s">
        <v>1347</v>
      </c>
      <c r="Q701" s="40" t="s">
        <v>1465</v>
      </c>
      <c r="R701" s="200"/>
      <c r="S701" s="200"/>
      <c r="T701" s="200"/>
      <c r="U701" s="200"/>
      <c r="V701" s="201"/>
      <c r="W701" s="201"/>
      <c r="X701" s="201"/>
      <c r="Y701" s="201"/>
      <c r="Z701" s="201"/>
      <c r="AA701" s="201"/>
      <c r="AB701" s="201"/>
      <c r="AC701" s="201"/>
      <c r="AD701" s="201"/>
      <c r="AE701" s="201"/>
      <c r="AF701" s="201"/>
      <c r="AG701" s="201"/>
    </row>
    <row r="702" spans="1:34" ht="16" customHeight="1">
      <c r="A702" s="46"/>
      <c r="B702" s="33"/>
      <c r="C702" s="33"/>
      <c r="D702" s="34"/>
      <c r="E702" s="34"/>
      <c r="F702" s="35"/>
      <c r="G702" s="34"/>
      <c r="H702" s="35"/>
      <c r="I702" s="35"/>
      <c r="J702" s="34"/>
      <c r="K702" s="34"/>
      <c r="L702" s="288"/>
      <c r="M702" s="35"/>
      <c r="N702" s="35"/>
      <c r="O702" s="34"/>
      <c r="P702" s="35"/>
      <c r="Q702" s="35"/>
      <c r="R702" s="34"/>
      <c r="S702" s="34"/>
      <c r="T702" s="34"/>
      <c r="U702" s="34"/>
      <c r="V702" s="36"/>
      <c r="W702" s="36"/>
      <c r="X702" s="36"/>
      <c r="Y702" s="36"/>
      <c r="Z702" s="36"/>
      <c r="AA702" s="36"/>
      <c r="AB702" s="36"/>
      <c r="AC702" s="36"/>
      <c r="AD702" s="36"/>
      <c r="AE702" s="36"/>
      <c r="AF702" s="36"/>
      <c r="AG702" s="36"/>
    </row>
    <row r="703" spans="1:34" ht="16" customHeight="1" thickBot="1">
      <c r="A703" s="7"/>
      <c r="B703" s="19" t="str">
        <f>"FA4 = "&amp;'FIG3'!$W$55&amp;" "&amp;'FIG3'!$X$55</f>
        <v>FA4 = FA4L1 FA4L2</v>
      </c>
      <c r="C703" s="7"/>
      <c r="D703" s="8"/>
      <c r="E703" s="8"/>
      <c r="F703" s="9"/>
      <c r="G703" s="8"/>
      <c r="H703" s="9"/>
      <c r="I703" s="9"/>
      <c r="J703" s="8"/>
      <c r="K703" s="8"/>
      <c r="L703" s="280"/>
      <c r="M703" s="9"/>
      <c r="N703" s="9"/>
      <c r="O703" s="8"/>
      <c r="P703" s="9"/>
      <c r="Q703" s="9"/>
      <c r="R703" s="8"/>
      <c r="S703" s="882"/>
      <c r="T703" s="883" t="str">
        <f>'$REV-DB'!$T$34</f>
        <v>Federal Revenues</v>
      </c>
      <c r="U703" s="883" t="str">
        <f>'$REV-DB'!$U$34</f>
        <v>local Revenues</v>
      </c>
      <c r="V703" s="883" t="str">
        <f>'$REV-DB'!$V$34</f>
        <v>Other Revenues</v>
      </c>
      <c r="W703" s="883" t="str">
        <f>'$REV-DB'!$W$34</f>
        <v>State revenues</v>
      </c>
      <c r="X703" s="883" t="str">
        <f>'$REV-DB'!$X$34</f>
        <v>UD5</v>
      </c>
      <c r="Y703" s="883" t="str">
        <f>'$REV-DB'!$Y$34</f>
        <v>UD6</v>
      </c>
      <c r="Z703" s="883" t="str">
        <f>'$REV-DB'!$Z$34</f>
        <v>UD7</v>
      </c>
      <c r="AA703" s="883" t="str">
        <f>'$REV-DB'!$AA$34</f>
        <v>UD8</v>
      </c>
      <c r="AB703" s="883" t="str">
        <f>'$REV-DB'!$AB$34</f>
        <v>UD9</v>
      </c>
      <c r="AC703" s="883" t="str">
        <f>'$REV-DB'!$AC$34</f>
        <v>UD10</v>
      </c>
      <c r="AD703" s="883" t="str">
        <f>'$REV-DB'!$AD$34</f>
        <v>UD11</v>
      </c>
      <c r="AE703" s="883" t="str">
        <f>'$REV-DB'!$AE$34</f>
        <v>UD12</v>
      </c>
      <c r="AF703" s="883" t="str">
        <f>'$REV-DB'!$AF$34</f>
        <v>UD13</v>
      </c>
      <c r="AG703" s="883" t="str">
        <f>'$REV-DB'!$AG$34</f>
        <v>UD14</v>
      </c>
    </row>
    <row r="704" spans="1:34" ht="16" customHeight="1" thickTop="1" thickBot="1">
      <c r="A704" s="7"/>
      <c r="B704" s="20" t="s">
        <v>1375</v>
      </c>
      <c r="C704" s="15"/>
      <c r="D704" s="105" t="s">
        <v>1386</v>
      </c>
      <c r="E704" s="105" t="s">
        <v>1387</v>
      </c>
      <c r="F704" s="105" t="s">
        <v>1388</v>
      </c>
      <c r="G704" s="105" t="s">
        <v>1389</v>
      </c>
      <c r="H704" s="301" t="s">
        <v>1406</v>
      </c>
      <c r="I704" s="301" t="s">
        <v>1390</v>
      </c>
      <c r="J704" s="301" t="s">
        <v>1391</v>
      </c>
      <c r="K704" s="301" t="s">
        <v>1392</v>
      </c>
      <c r="L704" s="301" t="s">
        <v>1188</v>
      </c>
      <c r="M704" s="301" t="s">
        <v>1437</v>
      </c>
      <c r="N704" s="105" t="s">
        <v>1348</v>
      </c>
      <c r="O704" s="105" t="s">
        <v>1393</v>
      </c>
      <c r="P704" s="105" t="s">
        <v>1342</v>
      </c>
      <c r="Q704" s="105" t="s">
        <v>1394</v>
      </c>
      <c r="R704" s="112" t="s">
        <v>1341</v>
      </c>
      <c r="S704" s="112" t="s">
        <v>846</v>
      </c>
      <c r="T704" s="873" t="s">
        <v>935</v>
      </c>
      <c r="U704" s="873" t="s">
        <v>936</v>
      </c>
      <c r="V704" s="873" t="s">
        <v>937</v>
      </c>
      <c r="W704" s="873" t="s">
        <v>938</v>
      </c>
      <c r="X704" s="873" t="s">
        <v>939</v>
      </c>
      <c r="Y704" s="873" t="s">
        <v>940</v>
      </c>
      <c r="Z704" s="873" t="s">
        <v>941</v>
      </c>
      <c r="AA704" s="873" t="s">
        <v>942</v>
      </c>
      <c r="AB704" s="873" t="s">
        <v>943</v>
      </c>
      <c r="AC704" s="873" t="s">
        <v>944</v>
      </c>
      <c r="AD704" s="873" t="s">
        <v>945</v>
      </c>
      <c r="AE704" s="873" t="s">
        <v>946</v>
      </c>
      <c r="AF704" s="873" t="s">
        <v>947</v>
      </c>
      <c r="AG704" s="873" t="s">
        <v>948</v>
      </c>
      <c r="AH704" s="6"/>
    </row>
    <row r="705" spans="1:34" ht="16" customHeight="1" thickTop="1">
      <c r="A705" s="7"/>
      <c r="B705" s="19" t="s">
        <v>1350</v>
      </c>
      <c r="C705" s="12"/>
      <c r="D705" s="200"/>
      <c r="E705" s="200"/>
      <c r="F705" s="199"/>
      <c r="G705" s="200"/>
      <c r="H705" s="199"/>
      <c r="I705" s="199"/>
      <c r="J705" s="200"/>
      <c r="K705" s="200"/>
      <c r="L705" s="289" t="s">
        <v>1429</v>
      </c>
      <c r="M705" s="199"/>
      <c r="N705" s="40" t="str">
        <f>J$6</f>
        <v>FY2010-11</v>
      </c>
      <c r="O705" s="40" t="s">
        <v>1355</v>
      </c>
      <c r="P705" s="40" t="s">
        <v>1347</v>
      </c>
      <c r="Q705" s="40" t="s">
        <v>1340</v>
      </c>
      <c r="R705" s="200"/>
      <c r="S705" s="200"/>
      <c r="T705" s="200"/>
      <c r="U705" s="200"/>
      <c r="V705" s="201"/>
      <c r="W705" s="201"/>
      <c r="X705" s="201"/>
      <c r="Y705" s="201"/>
      <c r="Z705" s="201"/>
      <c r="AA705" s="201"/>
      <c r="AB705" s="201"/>
      <c r="AC705" s="201"/>
      <c r="AD705" s="201"/>
      <c r="AE705" s="201"/>
      <c r="AF705" s="201"/>
      <c r="AG705" s="201"/>
      <c r="AH705" s="6"/>
    </row>
    <row r="706" spans="1:34" ht="16" customHeight="1">
      <c r="A706" s="7"/>
      <c r="B706" s="16">
        <f>DSUM('$REV-DB'!D35:AG374,"AMOUNT",'$REV-DSUM'!D704:AG711)</f>
        <v>0</v>
      </c>
      <c r="C706" s="12"/>
      <c r="D706" s="200"/>
      <c r="E706" s="200"/>
      <c r="F706" s="199"/>
      <c r="G706" s="200"/>
      <c r="H706" s="199"/>
      <c r="I706" s="199"/>
      <c r="J706" s="200"/>
      <c r="K706" s="200"/>
      <c r="L706" s="289" t="s">
        <v>1429</v>
      </c>
      <c r="M706" s="199"/>
      <c r="N706" s="40" t="str">
        <f t="shared" ref="N706:N711" si="69">J$6</f>
        <v>FY2010-11</v>
      </c>
      <c r="O706" s="40" t="s">
        <v>1355</v>
      </c>
      <c r="P706" s="40" t="s">
        <v>1347</v>
      </c>
      <c r="Q706" s="40" t="s">
        <v>1340</v>
      </c>
      <c r="R706" s="200"/>
      <c r="S706" s="200"/>
      <c r="T706" s="200"/>
      <c r="U706" s="200"/>
      <c r="V706" s="201"/>
      <c r="W706" s="201"/>
      <c r="X706" s="201"/>
      <c r="Y706" s="201"/>
      <c r="Z706" s="201"/>
      <c r="AA706" s="201"/>
      <c r="AB706" s="201"/>
      <c r="AC706" s="201"/>
      <c r="AD706" s="201"/>
      <c r="AE706" s="201"/>
      <c r="AF706" s="201"/>
      <c r="AG706" s="201"/>
      <c r="AH706" s="6"/>
    </row>
    <row r="707" spans="1:34" ht="16" customHeight="1">
      <c r="A707" s="7"/>
      <c r="B707" s="10"/>
      <c r="C707" s="12"/>
      <c r="D707" s="200"/>
      <c r="E707" s="200"/>
      <c r="F707" s="199"/>
      <c r="G707" s="200"/>
      <c r="H707" s="199"/>
      <c r="I707" s="199"/>
      <c r="J707" s="200"/>
      <c r="K707" s="200"/>
      <c r="L707" s="289" t="s">
        <v>1429</v>
      </c>
      <c r="M707" s="199"/>
      <c r="N707" s="40" t="str">
        <f t="shared" si="69"/>
        <v>FY2010-11</v>
      </c>
      <c r="O707" s="40" t="s">
        <v>1355</v>
      </c>
      <c r="P707" s="40" t="s">
        <v>1347</v>
      </c>
      <c r="Q707" s="40" t="s">
        <v>1340</v>
      </c>
      <c r="R707" s="200"/>
      <c r="S707" s="200"/>
      <c r="T707" s="200"/>
      <c r="U707" s="200"/>
      <c r="V707" s="201"/>
      <c r="W707" s="201"/>
      <c r="X707" s="201"/>
      <c r="Y707" s="201"/>
      <c r="Z707" s="201"/>
      <c r="AA707" s="201"/>
      <c r="AB707" s="201"/>
      <c r="AC707" s="201"/>
      <c r="AD707" s="201"/>
      <c r="AE707" s="201"/>
      <c r="AF707" s="201"/>
      <c r="AG707" s="201"/>
    </row>
    <row r="708" spans="1:34" ht="16" customHeight="1">
      <c r="A708" s="7"/>
      <c r="B708" s="10"/>
      <c r="C708" s="12"/>
      <c r="D708" s="200"/>
      <c r="E708" s="200"/>
      <c r="F708" s="199"/>
      <c r="G708" s="200"/>
      <c r="H708" s="199"/>
      <c r="I708" s="199"/>
      <c r="J708" s="200"/>
      <c r="K708" s="200"/>
      <c r="L708" s="289" t="s">
        <v>1429</v>
      </c>
      <c r="M708" s="199"/>
      <c r="N708" s="40" t="str">
        <f t="shared" si="69"/>
        <v>FY2010-11</v>
      </c>
      <c r="O708" s="40" t="s">
        <v>1355</v>
      </c>
      <c r="P708" s="40" t="s">
        <v>1347</v>
      </c>
      <c r="Q708" s="40" t="s">
        <v>1340</v>
      </c>
      <c r="R708" s="200"/>
      <c r="S708" s="200"/>
      <c r="T708" s="200"/>
      <c r="U708" s="200"/>
      <c r="V708" s="201"/>
      <c r="W708" s="201"/>
      <c r="X708" s="201"/>
      <c r="Y708" s="201"/>
      <c r="Z708" s="201"/>
      <c r="AA708" s="201"/>
      <c r="AB708" s="201"/>
      <c r="AC708" s="201"/>
      <c r="AD708" s="201"/>
      <c r="AE708" s="201"/>
      <c r="AF708" s="201"/>
      <c r="AG708" s="201"/>
    </row>
    <row r="709" spans="1:34" ht="16" customHeight="1">
      <c r="A709" s="7"/>
      <c r="B709" s="10"/>
      <c r="C709" s="12"/>
      <c r="D709" s="200"/>
      <c r="E709" s="200"/>
      <c r="F709" s="199"/>
      <c r="G709" s="200"/>
      <c r="H709" s="199"/>
      <c r="I709" s="199"/>
      <c r="J709" s="200"/>
      <c r="K709" s="200"/>
      <c r="L709" s="289" t="s">
        <v>1429</v>
      </c>
      <c r="M709" s="199"/>
      <c r="N709" s="40" t="str">
        <f t="shared" si="69"/>
        <v>FY2010-11</v>
      </c>
      <c r="O709" s="40" t="s">
        <v>1355</v>
      </c>
      <c r="P709" s="40" t="s">
        <v>1347</v>
      </c>
      <c r="Q709" s="40" t="s">
        <v>1340</v>
      </c>
      <c r="R709" s="200"/>
      <c r="S709" s="200"/>
      <c r="T709" s="200"/>
      <c r="U709" s="200"/>
      <c r="V709" s="201"/>
      <c r="W709" s="201"/>
      <c r="X709" s="201"/>
      <c r="Y709" s="201"/>
      <c r="Z709" s="201"/>
      <c r="AA709" s="201"/>
      <c r="AB709" s="201"/>
      <c r="AC709" s="201"/>
      <c r="AD709" s="201"/>
      <c r="AE709" s="201"/>
      <c r="AF709" s="201"/>
      <c r="AG709" s="201"/>
    </row>
    <row r="710" spans="1:34" ht="16" customHeight="1">
      <c r="A710" s="7"/>
      <c r="B710" s="10"/>
      <c r="C710" s="12"/>
      <c r="D710" s="200"/>
      <c r="E710" s="200"/>
      <c r="F710" s="199"/>
      <c r="G710" s="200"/>
      <c r="H710" s="199"/>
      <c r="I710" s="199"/>
      <c r="J710" s="200"/>
      <c r="K710" s="200"/>
      <c r="L710" s="289" t="s">
        <v>1429</v>
      </c>
      <c r="M710" s="199"/>
      <c r="N710" s="40" t="str">
        <f t="shared" si="69"/>
        <v>FY2010-11</v>
      </c>
      <c r="O710" s="40" t="s">
        <v>1355</v>
      </c>
      <c r="P710" s="40" t="s">
        <v>1347</v>
      </c>
      <c r="Q710" s="40" t="s">
        <v>1340</v>
      </c>
      <c r="R710" s="200"/>
      <c r="S710" s="200"/>
      <c r="T710" s="200"/>
      <c r="U710" s="200"/>
      <c r="V710" s="201"/>
      <c r="W710" s="201"/>
      <c r="X710" s="201"/>
      <c r="Y710" s="201"/>
      <c r="Z710" s="201"/>
      <c r="AA710" s="201"/>
      <c r="AB710" s="201"/>
      <c r="AC710" s="201"/>
      <c r="AD710" s="201"/>
      <c r="AE710" s="201"/>
      <c r="AF710" s="201"/>
      <c r="AG710" s="201"/>
    </row>
    <row r="711" spans="1:34" ht="16" customHeight="1">
      <c r="A711" s="7"/>
      <c r="B711" s="10"/>
      <c r="C711" s="12"/>
      <c r="D711" s="200"/>
      <c r="E711" s="200"/>
      <c r="F711" s="199"/>
      <c r="G711" s="200"/>
      <c r="H711" s="199"/>
      <c r="I711" s="199"/>
      <c r="J711" s="200"/>
      <c r="K711" s="200"/>
      <c r="L711" s="289" t="s">
        <v>1429</v>
      </c>
      <c r="M711" s="199"/>
      <c r="N711" s="40" t="str">
        <f t="shared" si="69"/>
        <v>FY2010-11</v>
      </c>
      <c r="O711" s="40" t="s">
        <v>1355</v>
      </c>
      <c r="P711" s="40" t="s">
        <v>1347</v>
      </c>
      <c r="Q711" s="40" t="s">
        <v>1340</v>
      </c>
      <c r="R711" s="200"/>
      <c r="S711" s="200"/>
      <c r="T711" s="200"/>
      <c r="U711" s="200"/>
      <c r="V711" s="201"/>
      <c r="W711" s="201"/>
      <c r="X711" s="201"/>
      <c r="Y711" s="201"/>
      <c r="Z711" s="201"/>
      <c r="AA711" s="201"/>
      <c r="AB711" s="201"/>
      <c r="AC711" s="201"/>
      <c r="AD711" s="201"/>
      <c r="AE711" s="201"/>
      <c r="AF711" s="201"/>
      <c r="AG711" s="201"/>
    </row>
    <row r="712" spans="1:34" ht="16" customHeight="1">
      <c r="A712" s="44"/>
      <c r="B712" s="41"/>
      <c r="C712" s="41"/>
      <c r="D712" s="42"/>
      <c r="E712" s="42"/>
      <c r="F712" s="43"/>
      <c r="G712" s="42"/>
      <c r="H712" s="43"/>
      <c r="I712" s="43"/>
      <c r="J712" s="42"/>
      <c r="K712" s="42"/>
      <c r="L712" s="290"/>
      <c r="M712" s="43"/>
      <c r="N712" s="43"/>
      <c r="O712" s="42"/>
      <c r="P712" s="43"/>
      <c r="Q712" s="43"/>
      <c r="R712" s="42"/>
      <c r="S712" s="42"/>
      <c r="T712" s="42"/>
      <c r="U712" s="42"/>
      <c r="V712" s="44"/>
      <c r="W712" s="44"/>
      <c r="X712" s="44"/>
      <c r="Y712" s="44"/>
      <c r="Z712" s="44"/>
      <c r="AA712" s="44"/>
      <c r="AB712" s="44"/>
      <c r="AC712" s="44"/>
      <c r="AD712" s="44"/>
      <c r="AE712" s="44"/>
      <c r="AF712" s="44"/>
      <c r="AG712" s="44"/>
    </row>
    <row r="713" spans="1:34" ht="16" customHeight="1" thickBot="1">
      <c r="A713" s="7"/>
      <c r="B713" s="19" t="str">
        <f>"FA5 = "&amp;'FIG3'!$W$56&amp;" "&amp;'FIG3'!$X$56</f>
        <v>FA5 = FA5L1 FA5L2</v>
      </c>
      <c r="C713" s="7"/>
      <c r="D713" s="17"/>
      <c r="E713" s="17"/>
      <c r="F713" s="18"/>
      <c r="G713" s="17"/>
      <c r="H713" s="18"/>
      <c r="I713" s="18"/>
      <c r="J713" s="17"/>
      <c r="K713" s="17"/>
      <c r="L713" s="281"/>
      <c r="M713" s="18"/>
      <c r="N713" s="9"/>
      <c r="O713" s="17"/>
      <c r="P713" s="18"/>
      <c r="Q713" s="18"/>
      <c r="R713" s="17"/>
      <c r="S713" s="882"/>
      <c r="T713" s="883" t="str">
        <f>'$REV-DB'!$T$34</f>
        <v>Federal Revenues</v>
      </c>
      <c r="U713" s="883" t="str">
        <f>'$REV-DB'!$U$34</f>
        <v>local Revenues</v>
      </c>
      <c r="V713" s="883" t="str">
        <f>'$REV-DB'!$V$34</f>
        <v>Other Revenues</v>
      </c>
      <c r="W713" s="883" t="str">
        <f>'$REV-DB'!$W$34</f>
        <v>State revenues</v>
      </c>
      <c r="X713" s="883" t="str">
        <f>'$REV-DB'!$X$34</f>
        <v>UD5</v>
      </c>
      <c r="Y713" s="883" t="str">
        <f>'$REV-DB'!$Y$34</f>
        <v>UD6</v>
      </c>
      <c r="Z713" s="883" t="str">
        <f>'$REV-DB'!$Z$34</f>
        <v>UD7</v>
      </c>
      <c r="AA713" s="883" t="str">
        <f>'$REV-DB'!$AA$34</f>
        <v>UD8</v>
      </c>
      <c r="AB713" s="883" t="str">
        <f>'$REV-DB'!$AB$34</f>
        <v>UD9</v>
      </c>
      <c r="AC713" s="883" t="str">
        <f>'$REV-DB'!$AC$34</f>
        <v>UD10</v>
      </c>
      <c r="AD713" s="883" t="str">
        <f>'$REV-DB'!$AD$34</f>
        <v>UD11</v>
      </c>
      <c r="AE713" s="883" t="str">
        <f>'$REV-DB'!$AE$34</f>
        <v>UD12</v>
      </c>
      <c r="AF713" s="883" t="str">
        <f>'$REV-DB'!$AF$34</f>
        <v>UD13</v>
      </c>
      <c r="AG713" s="883" t="str">
        <f>'$REV-DB'!$AG$34</f>
        <v>UD14</v>
      </c>
    </row>
    <row r="714" spans="1:34" ht="16" customHeight="1" thickTop="1" thickBot="1">
      <c r="A714" s="7"/>
      <c r="B714" s="20" t="s">
        <v>1399</v>
      </c>
      <c r="C714" s="15"/>
      <c r="D714" s="105" t="s">
        <v>1386</v>
      </c>
      <c r="E714" s="105" t="s">
        <v>1387</v>
      </c>
      <c r="F714" s="105" t="s">
        <v>1388</v>
      </c>
      <c r="G714" s="105" t="s">
        <v>1389</v>
      </c>
      <c r="H714" s="301" t="s">
        <v>1406</v>
      </c>
      <c r="I714" s="301" t="s">
        <v>1390</v>
      </c>
      <c r="J714" s="301" t="s">
        <v>1391</v>
      </c>
      <c r="K714" s="301" t="s">
        <v>1392</v>
      </c>
      <c r="L714" s="301" t="s">
        <v>1188</v>
      </c>
      <c r="M714" s="301" t="s">
        <v>1437</v>
      </c>
      <c r="N714" s="105" t="s">
        <v>1348</v>
      </c>
      <c r="O714" s="105" t="s">
        <v>1393</v>
      </c>
      <c r="P714" s="105" t="s">
        <v>1342</v>
      </c>
      <c r="Q714" s="105" t="s">
        <v>1394</v>
      </c>
      <c r="R714" s="112" t="s">
        <v>1341</v>
      </c>
      <c r="S714" s="112" t="s">
        <v>846</v>
      </c>
      <c r="T714" s="873" t="s">
        <v>935</v>
      </c>
      <c r="U714" s="873" t="s">
        <v>936</v>
      </c>
      <c r="V714" s="873" t="s">
        <v>937</v>
      </c>
      <c r="W714" s="873" t="s">
        <v>938</v>
      </c>
      <c r="X714" s="873" t="s">
        <v>939</v>
      </c>
      <c r="Y714" s="873" t="s">
        <v>940</v>
      </c>
      <c r="Z714" s="873" t="s">
        <v>941</v>
      </c>
      <c r="AA714" s="873" t="s">
        <v>942</v>
      </c>
      <c r="AB714" s="873" t="s">
        <v>943</v>
      </c>
      <c r="AC714" s="873" t="s">
        <v>944</v>
      </c>
      <c r="AD714" s="873" t="s">
        <v>945</v>
      </c>
      <c r="AE714" s="873" t="s">
        <v>946</v>
      </c>
      <c r="AF714" s="873" t="s">
        <v>947</v>
      </c>
      <c r="AG714" s="873" t="s">
        <v>948</v>
      </c>
      <c r="AH714" s="6"/>
    </row>
    <row r="715" spans="1:34" ht="16" customHeight="1" thickTop="1">
      <c r="A715" s="7"/>
      <c r="B715" s="19" t="s">
        <v>1346</v>
      </c>
      <c r="C715" s="12"/>
      <c r="D715" s="202"/>
      <c r="E715" s="202"/>
      <c r="F715" s="202"/>
      <c r="G715" s="202"/>
      <c r="H715" s="202"/>
      <c r="I715" s="202"/>
      <c r="J715" s="202"/>
      <c r="K715" s="202"/>
      <c r="L715" s="291" t="s">
        <v>1429</v>
      </c>
      <c r="M715" s="202"/>
      <c r="N715" s="45" t="str">
        <f>J$6</f>
        <v>FY2010-11</v>
      </c>
      <c r="O715" s="45" t="s">
        <v>1356</v>
      </c>
      <c r="P715" s="45" t="s">
        <v>1338</v>
      </c>
      <c r="Q715" s="202"/>
      <c r="R715" s="202"/>
      <c r="S715" s="203"/>
      <c r="T715" s="203"/>
      <c r="U715" s="203"/>
      <c r="V715" s="204"/>
      <c r="W715" s="204"/>
      <c r="X715" s="204"/>
      <c r="Y715" s="204"/>
      <c r="Z715" s="204"/>
      <c r="AA715" s="204"/>
      <c r="AB715" s="204"/>
      <c r="AC715" s="204"/>
      <c r="AD715" s="204"/>
      <c r="AE715" s="204"/>
      <c r="AF715" s="204"/>
      <c r="AG715" s="204"/>
      <c r="AH715" s="6"/>
    </row>
    <row r="716" spans="1:34" ht="16" customHeight="1">
      <c r="A716" s="7"/>
      <c r="B716" s="16">
        <f>DSUM('$REV-DB'!D35:AG374,"AMOUNT",'$REV-DSUM'!D714:AG721)</f>
        <v>0</v>
      </c>
      <c r="C716" s="12"/>
      <c r="D716" s="202"/>
      <c r="E716" s="202"/>
      <c r="F716" s="202"/>
      <c r="G716" s="202"/>
      <c r="H716" s="202"/>
      <c r="I716" s="202"/>
      <c r="J716" s="202"/>
      <c r="K716" s="202"/>
      <c r="L716" s="291" t="s">
        <v>1429</v>
      </c>
      <c r="M716" s="202"/>
      <c r="N716" s="45" t="str">
        <f t="shared" ref="N716:N721" si="70">J$6</f>
        <v>FY2010-11</v>
      </c>
      <c r="O716" s="45" t="s">
        <v>1356</v>
      </c>
      <c r="P716" s="45" t="s">
        <v>1338</v>
      </c>
      <c r="Q716" s="202"/>
      <c r="R716" s="202"/>
      <c r="S716" s="203"/>
      <c r="T716" s="203"/>
      <c r="U716" s="203"/>
      <c r="V716" s="204"/>
      <c r="W716" s="204"/>
      <c r="X716" s="204"/>
      <c r="Y716" s="204"/>
      <c r="Z716" s="204"/>
      <c r="AA716" s="204"/>
      <c r="AB716" s="204"/>
      <c r="AC716" s="204"/>
      <c r="AD716" s="204"/>
      <c r="AE716" s="204"/>
      <c r="AF716" s="204"/>
      <c r="AG716" s="204"/>
      <c r="AH716" s="6"/>
    </row>
    <row r="717" spans="1:34" ht="16" customHeight="1">
      <c r="A717" s="7"/>
      <c r="B717" s="10"/>
      <c r="C717" s="12"/>
      <c r="D717" s="202"/>
      <c r="E717" s="202"/>
      <c r="F717" s="202"/>
      <c r="G717" s="202"/>
      <c r="H717" s="202"/>
      <c r="I717" s="202"/>
      <c r="J717" s="202"/>
      <c r="K717" s="202"/>
      <c r="L717" s="291" t="s">
        <v>1429</v>
      </c>
      <c r="M717" s="202"/>
      <c r="N717" s="45" t="str">
        <f t="shared" si="70"/>
        <v>FY2010-11</v>
      </c>
      <c r="O717" s="45" t="s">
        <v>1356</v>
      </c>
      <c r="P717" s="45" t="s">
        <v>1338</v>
      </c>
      <c r="Q717" s="202"/>
      <c r="R717" s="202"/>
      <c r="S717" s="203"/>
      <c r="T717" s="203"/>
      <c r="U717" s="203"/>
      <c r="V717" s="204"/>
      <c r="W717" s="204"/>
      <c r="X717" s="204"/>
      <c r="Y717" s="204"/>
      <c r="Z717" s="204"/>
      <c r="AA717" s="204"/>
      <c r="AB717" s="204"/>
      <c r="AC717" s="204"/>
      <c r="AD717" s="204"/>
      <c r="AE717" s="204"/>
      <c r="AF717" s="204"/>
      <c r="AG717" s="204"/>
    </row>
    <row r="718" spans="1:34" ht="16" customHeight="1">
      <c r="A718" s="7"/>
      <c r="B718" s="10"/>
      <c r="C718" s="12"/>
      <c r="D718" s="202"/>
      <c r="E718" s="202"/>
      <c r="F718" s="202"/>
      <c r="G718" s="202"/>
      <c r="H718" s="202"/>
      <c r="I718" s="202"/>
      <c r="J718" s="202"/>
      <c r="K718" s="202"/>
      <c r="L718" s="291" t="s">
        <v>1429</v>
      </c>
      <c r="M718" s="202"/>
      <c r="N718" s="45" t="str">
        <f t="shared" si="70"/>
        <v>FY2010-11</v>
      </c>
      <c r="O718" s="45" t="s">
        <v>1356</v>
      </c>
      <c r="P718" s="45" t="s">
        <v>1338</v>
      </c>
      <c r="Q718" s="202"/>
      <c r="R718" s="202"/>
      <c r="S718" s="203"/>
      <c r="T718" s="203"/>
      <c r="U718" s="203"/>
      <c r="V718" s="204"/>
      <c r="W718" s="204"/>
      <c r="X718" s="204"/>
      <c r="Y718" s="204"/>
      <c r="Z718" s="204"/>
      <c r="AA718" s="204"/>
      <c r="AB718" s="204"/>
      <c r="AC718" s="204"/>
      <c r="AD718" s="204"/>
      <c r="AE718" s="204"/>
      <c r="AF718" s="204"/>
      <c r="AG718" s="204"/>
    </row>
    <row r="719" spans="1:34" ht="16" customHeight="1">
      <c r="A719" s="7"/>
      <c r="B719" s="10"/>
      <c r="C719" s="12"/>
      <c r="D719" s="202"/>
      <c r="E719" s="202"/>
      <c r="F719" s="202"/>
      <c r="G719" s="202"/>
      <c r="H719" s="202"/>
      <c r="I719" s="202"/>
      <c r="J719" s="202"/>
      <c r="K719" s="202"/>
      <c r="L719" s="291" t="s">
        <v>1429</v>
      </c>
      <c r="M719" s="202"/>
      <c r="N719" s="45" t="str">
        <f t="shared" si="70"/>
        <v>FY2010-11</v>
      </c>
      <c r="O719" s="45" t="s">
        <v>1356</v>
      </c>
      <c r="P719" s="45" t="s">
        <v>1338</v>
      </c>
      <c r="Q719" s="202"/>
      <c r="R719" s="202"/>
      <c r="S719" s="203"/>
      <c r="T719" s="203"/>
      <c r="U719" s="203"/>
      <c r="V719" s="204"/>
      <c r="W719" s="204"/>
      <c r="X719" s="204"/>
      <c r="Y719" s="204"/>
      <c r="Z719" s="204"/>
      <c r="AA719" s="204"/>
      <c r="AB719" s="204"/>
      <c r="AC719" s="204"/>
      <c r="AD719" s="204"/>
      <c r="AE719" s="204"/>
      <c r="AF719" s="204"/>
      <c r="AG719" s="204"/>
    </row>
    <row r="720" spans="1:34" ht="16" customHeight="1">
      <c r="A720" s="7"/>
      <c r="B720" s="10"/>
      <c r="C720" s="12"/>
      <c r="D720" s="202"/>
      <c r="E720" s="202"/>
      <c r="F720" s="202"/>
      <c r="G720" s="202"/>
      <c r="H720" s="202"/>
      <c r="I720" s="202"/>
      <c r="J720" s="202"/>
      <c r="K720" s="202"/>
      <c r="L720" s="291" t="s">
        <v>1429</v>
      </c>
      <c r="M720" s="202"/>
      <c r="N720" s="45" t="str">
        <f t="shared" si="70"/>
        <v>FY2010-11</v>
      </c>
      <c r="O720" s="45" t="s">
        <v>1356</v>
      </c>
      <c r="P720" s="45" t="s">
        <v>1338</v>
      </c>
      <c r="Q720" s="202"/>
      <c r="R720" s="202"/>
      <c r="S720" s="203"/>
      <c r="T720" s="203"/>
      <c r="U720" s="203"/>
      <c r="V720" s="204"/>
      <c r="W720" s="204"/>
      <c r="X720" s="204"/>
      <c r="Y720" s="204"/>
      <c r="Z720" s="204"/>
      <c r="AA720" s="204"/>
      <c r="AB720" s="204"/>
      <c r="AC720" s="204"/>
      <c r="AD720" s="204"/>
      <c r="AE720" s="204"/>
      <c r="AF720" s="204"/>
      <c r="AG720" s="204"/>
    </row>
    <row r="721" spans="1:34" ht="16" customHeight="1">
      <c r="A721" s="7"/>
      <c r="B721" s="10"/>
      <c r="C721" s="12"/>
      <c r="D721" s="202"/>
      <c r="E721" s="202"/>
      <c r="F721" s="202"/>
      <c r="G721" s="202"/>
      <c r="H721" s="202"/>
      <c r="I721" s="202"/>
      <c r="J721" s="202"/>
      <c r="K721" s="202"/>
      <c r="L721" s="291" t="s">
        <v>1429</v>
      </c>
      <c r="M721" s="202"/>
      <c r="N721" s="45" t="str">
        <f t="shared" si="70"/>
        <v>FY2010-11</v>
      </c>
      <c r="O721" s="45" t="s">
        <v>1356</v>
      </c>
      <c r="P721" s="45" t="s">
        <v>1338</v>
      </c>
      <c r="Q721" s="202"/>
      <c r="R721" s="202"/>
      <c r="S721" s="203"/>
      <c r="T721" s="203"/>
      <c r="U721" s="203"/>
      <c r="V721" s="204"/>
      <c r="W721" s="204"/>
      <c r="X721" s="204"/>
      <c r="Y721" s="204"/>
      <c r="Z721" s="204"/>
      <c r="AA721" s="204"/>
      <c r="AB721" s="204"/>
      <c r="AC721" s="204"/>
      <c r="AD721" s="204"/>
      <c r="AE721" s="204"/>
      <c r="AF721" s="204"/>
      <c r="AG721" s="204"/>
    </row>
    <row r="722" spans="1:34" ht="16" customHeight="1">
      <c r="A722" s="44"/>
      <c r="B722" s="41"/>
      <c r="C722" s="41"/>
      <c r="D722" s="42"/>
      <c r="E722" s="42"/>
      <c r="F722" s="43"/>
      <c r="G722" s="42"/>
      <c r="H722" s="43"/>
      <c r="I722" s="43"/>
      <c r="J722" s="42"/>
      <c r="K722" s="42"/>
      <c r="L722" s="290"/>
      <c r="M722" s="43"/>
      <c r="N722" s="43"/>
      <c r="O722" s="42"/>
      <c r="P722" s="43"/>
      <c r="Q722" s="43"/>
      <c r="R722" s="42"/>
      <c r="S722" s="42"/>
      <c r="T722" s="42"/>
      <c r="U722" s="42"/>
      <c r="V722" s="44"/>
      <c r="W722" s="44"/>
      <c r="X722" s="44"/>
      <c r="Y722" s="44"/>
      <c r="Z722" s="44"/>
      <c r="AA722" s="44"/>
      <c r="AB722" s="44"/>
      <c r="AC722" s="44"/>
      <c r="AD722" s="44"/>
      <c r="AE722" s="44"/>
      <c r="AF722" s="44"/>
      <c r="AG722" s="44"/>
    </row>
    <row r="723" spans="1:34" ht="16" customHeight="1" thickBot="1">
      <c r="A723" s="7"/>
      <c r="B723" s="19" t="str">
        <f>"FA5 = "&amp;'FIG3'!$W$56&amp;" "&amp;'FIG3'!$X$56</f>
        <v>FA5 = FA5L1 FA5L2</v>
      </c>
      <c r="C723" s="7"/>
      <c r="D723" s="8"/>
      <c r="E723" s="8"/>
      <c r="F723" s="9"/>
      <c r="G723" s="8"/>
      <c r="H723" s="9"/>
      <c r="I723" s="9"/>
      <c r="J723" s="8"/>
      <c r="K723" s="8"/>
      <c r="L723" s="280"/>
      <c r="M723" s="9"/>
      <c r="N723" s="9"/>
      <c r="O723" s="8"/>
      <c r="P723" s="9"/>
      <c r="Q723" s="9"/>
      <c r="R723" s="8"/>
      <c r="S723" s="882"/>
      <c r="T723" s="883" t="str">
        <f>'$REV-DB'!$T$34</f>
        <v>Federal Revenues</v>
      </c>
      <c r="U723" s="883" t="str">
        <f>'$REV-DB'!$U$34</f>
        <v>local Revenues</v>
      </c>
      <c r="V723" s="883" t="str">
        <f>'$REV-DB'!$V$34</f>
        <v>Other Revenues</v>
      </c>
      <c r="W723" s="883" t="str">
        <f>'$REV-DB'!$W$34</f>
        <v>State revenues</v>
      </c>
      <c r="X723" s="883" t="str">
        <f>'$REV-DB'!$X$34</f>
        <v>UD5</v>
      </c>
      <c r="Y723" s="883" t="str">
        <f>'$REV-DB'!$Y$34</f>
        <v>UD6</v>
      </c>
      <c r="Z723" s="883" t="str">
        <f>'$REV-DB'!$Z$34</f>
        <v>UD7</v>
      </c>
      <c r="AA723" s="883" t="str">
        <f>'$REV-DB'!$AA$34</f>
        <v>UD8</v>
      </c>
      <c r="AB723" s="883" t="str">
        <f>'$REV-DB'!$AB$34</f>
        <v>UD9</v>
      </c>
      <c r="AC723" s="883" t="str">
        <f>'$REV-DB'!$AC$34</f>
        <v>UD10</v>
      </c>
      <c r="AD723" s="883" t="str">
        <f>'$REV-DB'!$AD$34</f>
        <v>UD11</v>
      </c>
      <c r="AE723" s="883" t="str">
        <f>'$REV-DB'!$AE$34</f>
        <v>UD12</v>
      </c>
      <c r="AF723" s="883" t="str">
        <f>'$REV-DB'!$AF$34</f>
        <v>UD13</v>
      </c>
      <c r="AG723" s="883" t="str">
        <f>'$REV-DB'!$AG$34</f>
        <v>UD14</v>
      </c>
    </row>
    <row r="724" spans="1:34" ht="16" customHeight="1" thickTop="1" thickBot="1">
      <c r="A724" s="7"/>
      <c r="B724" s="20" t="s">
        <v>1399</v>
      </c>
      <c r="C724" s="15"/>
      <c r="D724" s="105" t="s">
        <v>1386</v>
      </c>
      <c r="E724" s="105" t="s">
        <v>1387</v>
      </c>
      <c r="F724" s="105" t="s">
        <v>1388</v>
      </c>
      <c r="G724" s="105" t="s">
        <v>1389</v>
      </c>
      <c r="H724" s="301" t="s">
        <v>1406</v>
      </c>
      <c r="I724" s="301" t="s">
        <v>1390</v>
      </c>
      <c r="J724" s="301" t="s">
        <v>1391</v>
      </c>
      <c r="K724" s="301" t="s">
        <v>1392</v>
      </c>
      <c r="L724" s="301" t="s">
        <v>1188</v>
      </c>
      <c r="M724" s="301" t="s">
        <v>1437</v>
      </c>
      <c r="N724" s="105" t="s">
        <v>1348</v>
      </c>
      <c r="O724" s="105" t="s">
        <v>1393</v>
      </c>
      <c r="P724" s="105" t="s">
        <v>1342</v>
      </c>
      <c r="Q724" s="105" t="s">
        <v>1394</v>
      </c>
      <c r="R724" s="112" t="s">
        <v>1341</v>
      </c>
      <c r="S724" s="112" t="s">
        <v>846</v>
      </c>
      <c r="T724" s="873" t="s">
        <v>935</v>
      </c>
      <c r="U724" s="873" t="s">
        <v>936</v>
      </c>
      <c r="V724" s="873" t="s">
        <v>937</v>
      </c>
      <c r="W724" s="873" t="s">
        <v>938</v>
      </c>
      <c r="X724" s="873" t="s">
        <v>939</v>
      </c>
      <c r="Y724" s="873" t="s">
        <v>940</v>
      </c>
      <c r="Z724" s="873" t="s">
        <v>941</v>
      </c>
      <c r="AA724" s="873" t="s">
        <v>942</v>
      </c>
      <c r="AB724" s="873" t="s">
        <v>943</v>
      </c>
      <c r="AC724" s="873" t="s">
        <v>944</v>
      </c>
      <c r="AD724" s="873" t="s">
        <v>945</v>
      </c>
      <c r="AE724" s="873" t="s">
        <v>946</v>
      </c>
      <c r="AF724" s="873" t="s">
        <v>947</v>
      </c>
      <c r="AG724" s="873" t="s">
        <v>948</v>
      </c>
      <c r="AH724" s="6"/>
    </row>
    <row r="725" spans="1:34" ht="16" customHeight="1" thickTop="1">
      <c r="A725" s="7"/>
      <c r="B725" s="19" t="s">
        <v>1345</v>
      </c>
      <c r="C725" s="12"/>
      <c r="D725" s="203"/>
      <c r="E725" s="203"/>
      <c r="F725" s="202"/>
      <c r="G725" s="203"/>
      <c r="H725" s="202"/>
      <c r="I725" s="202"/>
      <c r="J725" s="203"/>
      <c r="K725" s="203"/>
      <c r="L725" s="291" t="s">
        <v>1429</v>
      </c>
      <c r="M725" s="202"/>
      <c r="N725" s="45" t="str">
        <f>J$6</f>
        <v>FY2010-11</v>
      </c>
      <c r="O725" s="45" t="s">
        <v>1356</v>
      </c>
      <c r="P725" s="45" t="s">
        <v>1338</v>
      </c>
      <c r="Q725" s="45" t="s">
        <v>1380</v>
      </c>
      <c r="R725" s="203"/>
      <c r="S725" s="203"/>
      <c r="T725" s="203"/>
      <c r="U725" s="203"/>
      <c r="V725" s="204"/>
      <c r="W725" s="204"/>
      <c r="X725" s="204"/>
      <c r="Y725" s="204"/>
      <c r="Z725" s="204"/>
      <c r="AA725" s="204"/>
      <c r="AB725" s="204"/>
      <c r="AC725" s="204"/>
      <c r="AD725" s="204"/>
      <c r="AE725" s="204"/>
      <c r="AF725" s="204"/>
      <c r="AG725" s="204"/>
      <c r="AH725" s="6"/>
    </row>
    <row r="726" spans="1:34" ht="16" customHeight="1">
      <c r="A726" s="7"/>
      <c r="B726" s="16">
        <f>DSUM('$REV-DB'!D35:AG374,"AMOUNT",'$REV-DSUM'!D724:AG731)</f>
        <v>0</v>
      </c>
      <c r="C726" s="12"/>
      <c r="D726" s="203"/>
      <c r="E726" s="203"/>
      <c r="F726" s="202"/>
      <c r="G726" s="203"/>
      <c r="H726" s="202"/>
      <c r="I726" s="202"/>
      <c r="J726" s="203"/>
      <c r="K726" s="203"/>
      <c r="L726" s="291" t="s">
        <v>1429</v>
      </c>
      <c r="M726" s="202"/>
      <c r="N726" s="45" t="str">
        <f t="shared" ref="N726:N731" si="71">J$6</f>
        <v>FY2010-11</v>
      </c>
      <c r="O726" s="45" t="s">
        <v>1356</v>
      </c>
      <c r="P726" s="45" t="s">
        <v>1338</v>
      </c>
      <c r="Q726" s="45" t="s">
        <v>1380</v>
      </c>
      <c r="R726" s="203"/>
      <c r="S726" s="203"/>
      <c r="T726" s="203"/>
      <c r="U726" s="203"/>
      <c r="V726" s="204"/>
      <c r="W726" s="204"/>
      <c r="X726" s="204"/>
      <c r="Y726" s="204"/>
      <c r="Z726" s="204"/>
      <c r="AA726" s="204"/>
      <c r="AB726" s="204"/>
      <c r="AC726" s="204"/>
      <c r="AD726" s="204"/>
      <c r="AE726" s="204"/>
      <c r="AF726" s="204"/>
      <c r="AG726" s="204"/>
      <c r="AH726" s="6"/>
    </row>
    <row r="727" spans="1:34" ht="16" customHeight="1">
      <c r="A727" s="7"/>
      <c r="B727" s="10"/>
      <c r="C727" s="12"/>
      <c r="D727" s="203"/>
      <c r="E727" s="203"/>
      <c r="F727" s="202"/>
      <c r="G727" s="203"/>
      <c r="H727" s="202"/>
      <c r="I727" s="202"/>
      <c r="J727" s="203"/>
      <c r="K727" s="203"/>
      <c r="L727" s="291" t="s">
        <v>1429</v>
      </c>
      <c r="M727" s="202"/>
      <c r="N727" s="45" t="str">
        <f t="shared" si="71"/>
        <v>FY2010-11</v>
      </c>
      <c r="O727" s="45" t="s">
        <v>1356</v>
      </c>
      <c r="P727" s="45" t="s">
        <v>1338</v>
      </c>
      <c r="Q727" s="45" t="s">
        <v>1380</v>
      </c>
      <c r="R727" s="203"/>
      <c r="S727" s="203"/>
      <c r="T727" s="203"/>
      <c r="U727" s="203"/>
      <c r="V727" s="204"/>
      <c r="W727" s="204"/>
      <c r="X727" s="204"/>
      <c r="Y727" s="204"/>
      <c r="Z727" s="204"/>
      <c r="AA727" s="204"/>
      <c r="AB727" s="204"/>
      <c r="AC727" s="204"/>
      <c r="AD727" s="204"/>
      <c r="AE727" s="204"/>
      <c r="AF727" s="204"/>
      <c r="AG727" s="204"/>
    </row>
    <row r="728" spans="1:34" ht="16" customHeight="1">
      <c r="A728" s="7"/>
      <c r="B728" s="10"/>
      <c r="C728" s="12"/>
      <c r="D728" s="203"/>
      <c r="E728" s="203"/>
      <c r="F728" s="202"/>
      <c r="G728" s="203"/>
      <c r="H728" s="202"/>
      <c r="I728" s="202"/>
      <c r="J728" s="203"/>
      <c r="K728" s="203"/>
      <c r="L728" s="291" t="s">
        <v>1429</v>
      </c>
      <c r="M728" s="202"/>
      <c r="N728" s="45" t="str">
        <f t="shared" si="71"/>
        <v>FY2010-11</v>
      </c>
      <c r="O728" s="45" t="s">
        <v>1356</v>
      </c>
      <c r="P728" s="45" t="s">
        <v>1338</v>
      </c>
      <c r="Q728" s="45" t="s">
        <v>1380</v>
      </c>
      <c r="R728" s="203"/>
      <c r="S728" s="203"/>
      <c r="T728" s="203"/>
      <c r="U728" s="203"/>
      <c r="V728" s="204"/>
      <c r="W728" s="204"/>
      <c r="X728" s="204"/>
      <c r="Y728" s="204"/>
      <c r="Z728" s="204"/>
      <c r="AA728" s="204"/>
      <c r="AB728" s="204"/>
      <c r="AC728" s="204"/>
      <c r="AD728" s="204"/>
      <c r="AE728" s="204"/>
      <c r="AF728" s="204"/>
      <c r="AG728" s="204"/>
    </row>
    <row r="729" spans="1:34" ht="16" customHeight="1">
      <c r="A729" s="7"/>
      <c r="B729" s="10"/>
      <c r="C729" s="12"/>
      <c r="D729" s="203"/>
      <c r="E729" s="203"/>
      <c r="F729" s="202"/>
      <c r="G729" s="203"/>
      <c r="H729" s="202"/>
      <c r="I729" s="202"/>
      <c r="J729" s="203"/>
      <c r="K729" s="203"/>
      <c r="L729" s="291" t="s">
        <v>1429</v>
      </c>
      <c r="M729" s="202"/>
      <c r="N729" s="45" t="str">
        <f t="shared" si="71"/>
        <v>FY2010-11</v>
      </c>
      <c r="O729" s="45" t="s">
        <v>1356</v>
      </c>
      <c r="P729" s="45" t="s">
        <v>1338</v>
      </c>
      <c r="Q729" s="45" t="s">
        <v>1380</v>
      </c>
      <c r="R729" s="203"/>
      <c r="S729" s="203"/>
      <c r="T729" s="203"/>
      <c r="U729" s="203"/>
      <c r="V729" s="204"/>
      <c r="W729" s="204"/>
      <c r="X729" s="204"/>
      <c r="Y729" s="204"/>
      <c r="Z729" s="204"/>
      <c r="AA729" s="204"/>
      <c r="AB729" s="204"/>
      <c r="AC729" s="204"/>
      <c r="AD729" s="204"/>
      <c r="AE729" s="204"/>
      <c r="AF729" s="204"/>
      <c r="AG729" s="204"/>
    </row>
    <row r="730" spans="1:34" ht="16" customHeight="1">
      <c r="A730" s="7"/>
      <c r="B730" s="10"/>
      <c r="C730" s="12"/>
      <c r="D730" s="203"/>
      <c r="E730" s="203"/>
      <c r="F730" s="202"/>
      <c r="G730" s="203"/>
      <c r="H730" s="202"/>
      <c r="I730" s="202"/>
      <c r="J730" s="203"/>
      <c r="K730" s="203"/>
      <c r="L730" s="291" t="s">
        <v>1429</v>
      </c>
      <c r="M730" s="202"/>
      <c r="N730" s="45" t="str">
        <f t="shared" si="71"/>
        <v>FY2010-11</v>
      </c>
      <c r="O730" s="45" t="s">
        <v>1356</v>
      </c>
      <c r="P730" s="45" t="s">
        <v>1338</v>
      </c>
      <c r="Q730" s="45" t="s">
        <v>1380</v>
      </c>
      <c r="R730" s="203"/>
      <c r="S730" s="203"/>
      <c r="T730" s="203"/>
      <c r="U730" s="203"/>
      <c r="V730" s="204"/>
      <c r="W730" s="204"/>
      <c r="X730" s="204"/>
      <c r="Y730" s="204"/>
      <c r="Z730" s="204"/>
      <c r="AA730" s="204"/>
      <c r="AB730" s="204"/>
      <c r="AC730" s="204"/>
      <c r="AD730" s="204"/>
      <c r="AE730" s="204"/>
      <c r="AF730" s="204"/>
      <c r="AG730" s="204"/>
    </row>
    <row r="731" spans="1:34" ht="16" customHeight="1">
      <c r="A731" s="7"/>
      <c r="B731" s="10"/>
      <c r="C731" s="12"/>
      <c r="D731" s="203"/>
      <c r="E731" s="203"/>
      <c r="F731" s="202"/>
      <c r="G731" s="203"/>
      <c r="H731" s="202"/>
      <c r="I731" s="202"/>
      <c r="J731" s="203"/>
      <c r="K731" s="203"/>
      <c r="L731" s="291" t="s">
        <v>1429</v>
      </c>
      <c r="M731" s="202"/>
      <c r="N731" s="45" t="str">
        <f t="shared" si="71"/>
        <v>FY2010-11</v>
      </c>
      <c r="O731" s="45" t="s">
        <v>1356</v>
      </c>
      <c r="P731" s="45" t="s">
        <v>1338</v>
      </c>
      <c r="Q731" s="45" t="s">
        <v>1380</v>
      </c>
      <c r="R731" s="203"/>
      <c r="S731" s="203"/>
      <c r="T731" s="203"/>
      <c r="U731" s="203"/>
      <c r="V731" s="204"/>
      <c r="W731" s="204"/>
      <c r="X731" s="204"/>
      <c r="Y731" s="204"/>
      <c r="Z731" s="204"/>
      <c r="AA731" s="204"/>
      <c r="AB731" s="204"/>
      <c r="AC731" s="204"/>
      <c r="AD731" s="204"/>
      <c r="AE731" s="204"/>
      <c r="AF731" s="204"/>
      <c r="AG731" s="204"/>
    </row>
    <row r="732" spans="1:34" ht="16" customHeight="1">
      <c r="A732" s="44"/>
      <c r="B732" s="41"/>
      <c r="C732" s="41"/>
      <c r="D732" s="42"/>
      <c r="E732" s="42"/>
      <c r="F732" s="43"/>
      <c r="G732" s="42"/>
      <c r="H732" s="43"/>
      <c r="I732" s="43"/>
      <c r="J732" s="42"/>
      <c r="K732" s="42"/>
      <c r="L732" s="290"/>
      <c r="M732" s="43"/>
      <c r="N732" s="43"/>
      <c r="O732" s="42"/>
      <c r="P732" s="43"/>
      <c r="Q732" s="43"/>
      <c r="R732" s="42"/>
      <c r="S732" s="42"/>
      <c r="T732" s="42"/>
      <c r="U732" s="42"/>
      <c r="V732" s="44"/>
      <c r="W732" s="44"/>
      <c r="X732" s="44"/>
      <c r="Y732" s="44"/>
      <c r="Z732" s="44"/>
      <c r="AA732" s="44"/>
      <c r="AB732" s="44"/>
      <c r="AC732" s="44"/>
      <c r="AD732" s="44"/>
      <c r="AE732" s="44"/>
      <c r="AF732" s="44"/>
      <c r="AG732" s="44"/>
    </row>
    <row r="733" spans="1:34" ht="16" customHeight="1" thickBot="1">
      <c r="A733" s="7"/>
      <c r="B733" s="19" t="str">
        <f>"FA5 = "&amp;'FIG3'!$W$56&amp;" "&amp;'FIG3'!$X$56</f>
        <v>FA5 = FA5L1 FA5L2</v>
      </c>
      <c r="C733" s="7"/>
      <c r="D733" s="8"/>
      <c r="E733" s="8"/>
      <c r="F733" s="9"/>
      <c r="G733" s="8"/>
      <c r="H733" s="9"/>
      <c r="I733" s="9"/>
      <c r="J733" s="8"/>
      <c r="K733" s="8"/>
      <c r="L733" s="280"/>
      <c r="M733" s="9"/>
      <c r="N733" s="9"/>
      <c r="O733" s="8"/>
      <c r="P733" s="9"/>
      <c r="Q733" s="9"/>
      <c r="R733" s="8"/>
      <c r="S733" s="882"/>
      <c r="T733" s="883" t="str">
        <f>'$REV-DB'!$T$34</f>
        <v>Federal Revenues</v>
      </c>
      <c r="U733" s="883" t="str">
        <f>'$REV-DB'!$U$34</f>
        <v>local Revenues</v>
      </c>
      <c r="V733" s="883" t="str">
        <f>'$REV-DB'!$V$34</f>
        <v>Other Revenues</v>
      </c>
      <c r="W733" s="883" t="str">
        <f>'$REV-DB'!$W$34</f>
        <v>State revenues</v>
      </c>
      <c r="X733" s="883" t="str">
        <f>'$REV-DB'!$X$34</f>
        <v>UD5</v>
      </c>
      <c r="Y733" s="883" t="str">
        <f>'$REV-DB'!$Y$34</f>
        <v>UD6</v>
      </c>
      <c r="Z733" s="883" t="str">
        <f>'$REV-DB'!$Z$34</f>
        <v>UD7</v>
      </c>
      <c r="AA733" s="883" t="str">
        <f>'$REV-DB'!$AA$34</f>
        <v>UD8</v>
      </c>
      <c r="AB733" s="883" t="str">
        <f>'$REV-DB'!$AB$34</f>
        <v>UD9</v>
      </c>
      <c r="AC733" s="883" t="str">
        <f>'$REV-DB'!$AC$34</f>
        <v>UD10</v>
      </c>
      <c r="AD733" s="883" t="str">
        <f>'$REV-DB'!$AD$34</f>
        <v>UD11</v>
      </c>
      <c r="AE733" s="883" t="str">
        <f>'$REV-DB'!$AE$34</f>
        <v>UD12</v>
      </c>
      <c r="AF733" s="883" t="str">
        <f>'$REV-DB'!$AF$34</f>
        <v>UD13</v>
      </c>
      <c r="AG733" s="883" t="str">
        <f>'$REV-DB'!$AG$34</f>
        <v>UD14</v>
      </c>
    </row>
    <row r="734" spans="1:34" ht="16" customHeight="1" thickTop="1" thickBot="1">
      <c r="A734" s="7"/>
      <c r="B734" s="20" t="s">
        <v>1399</v>
      </c>
      <c r="C734" s="15"/>
      <c r="D734" s="105" t="s">
        <v>1386</v>
      </c>
      <c r="E734" s="105" t="s">
        <v>1387</v>
      </c>
      <c r="F734" s="105" t="s">
        <v>1388</v>
      </c>
      <c r="G734" s="105" t="s">
        <v>1389</v>
      </c>
      <c r="H734" s="301" t="s">
        <v>1406</v>
      </c>
      <c r="I734" s="301" t="s">
        <v>1390</v>
      </c>
      <c r="J734" s="301" t="s">
        <v>1391</v>
      </c>
      <c r="K734" s="301" t="s">
        <v>1392</v>
      </c>
      <c r="L734" s="301" t="s">
        <v>1188</v>
      </c>
      <c r="M734" s="301" t="s">
        <v>1437</v>
      </c>
      <c r="N734" s="105" t="s">
        <v>1348</v>
      </c>
      <c r="O734" s="105" t="s">
        <v>1393</v>
      </c>
      <c r="P734" s="105" t="s">
        <v>1342</v>
      </c>
      <c r="Q734" s="105" t="s">
        <v>1394</v>
      </c>
      <c r="R734" s="112" t="s">
        <v>1341</v>
      </c>
      <c r="S734" s="112" t="s">
        <v>846</v>
      </c>
      <c r="T734" s="873" t="s">
        <v>935</v>
      </c>
      <c r="U734" s="873" t="s">
        <v>936</v>
      </c>
      <c r="V734" s="873" t="s">
        <v>937</v>
      </c>
      <c r="W734" s="873" t="s">
        <v>938</v>
      </c>
      <c r="X734" s="873" t="s">
        <v>939</v>
      </c>
      <c r="Y734" s="873" t="s">
        <v>940</v>
      </c>
      <c r="Z734" s="873" t="s">
        <v>941</v>
      </c>
      <c r="AA734" s="873" t="s">
        <v>942</v>
      </c>
      <c r="AB734" s="873" t="s">
        <v>943</v>
      </c>
      <c r="AC734" s="873" t="s">
        <v>944</v>
      </c>
      <c r="AD734" s="873" t="s">
        <v>945</v>
      </c>
      <c r="AE734" s="873" t="s">
        <v>946</v>
      </c>
      <c r="AF734" s="873" t="s">
        <v>947</v>
      </c>
      <c r="AG734" s="873" t="s">
        <v>948</v>
      </c>
      <c r="AH734" s="6"/>
    </row>
    <row r="735" spans="1:34" ht="16" customHeight="1" thickTop="1">
      <c r="A735" s="7"/>
      <c r="B735" s="19" t="s">
        <v>1344</v>
      </c>
      <c r="C735" s="12"/>
      <c r="D735" s="203"/>
      <c r="E735" s="203"/>
      <c r="F735" s="202"/>
      <c r="G735" s="203"/>
      <c r="H735" s="202"/>
      <c r="I735" s="202"/>
      <c r="J735" s="203"/>
      <c r="K735" s="203"/>
      <c r="L735" s="291" t="s">
        <v>1429</v>
      </c>
      <c r="M735" s="202"/>
      <c r="N735" s="45" t="str">
        <f>J$6</f>
        <v>FY2010-11</v>
      </c>
      <c r="O735" s="45" t="s">
        <v>1356</v>
      </c>
      <c r="P735" s="45" t="s">
        <v>1338</v>
      </c>
      <c r="Q735" s="45" t="s">
        <v>1339</v>
      </c>
      <c r="R735" s="203"/>
      <c r="S735" s="203"/>
      <c r="T735" s="203"/>
      <c r="U735" s="203"/>
      <c r="V735" s="204"/>
      <c r="W735" s="204"/>
      <c r="X735" s="204"/>
      <c r="Y735" s="204"/>
      <c r="Z735" s="204"/>
      <c r="AA735" s="204"/>
      <c r="AB735" s="204"/>
      <c r="AC735" s="204"/>
      <c r="AD735" s="204"/>
      <c r="AE735" s="204"/>
      <c r="AF735" s="204"/>
      <c r="AG735" s="204"/>
      <c r="AH735" s="6"/>
    </row>
    <row r="736" spans="1:34" ht="16" customHeight="1">
      <c r="A736" s="7"/>
      <c r="B736" s="16">
        <f>DSUM('$REV-DB'!D35:AG374,"AMOUNT",'$REV-DSUM'!D734:AG741)</f>
        <v>0</v>
      </c>
      <c r="C736" s="12"/>
      <c r="D736" s="203"/>
      <c r="E736" s="203"/>
      <c r="F736" s="202"/>
      <c r="G736" s="203"/>
      <c r="H736" s="202"/>
      <c r="I736" s="202"/>
      <c r="J736" s="203"/>
      <c r="K736" s="203"/>
      <c r="L736" s="291" t="s">
        <v>1429</v>
      </c>
      <c r="M736" s="202"/>
      <c r="N736" s="45" t="str">
        <f t="shared" ref="N736:N741" si="72">J$6</f>
        <v>FY2010-11</v>
      </c>
      <c r="O736" s="45" t="s">
        <v>1356</v>
      </c>
      <c r="P736" s="45" t="s">
        <v>1338</v>
      </c>
      <c r="Q736" s="45" t="s">
        <v>1339</v>
      </c>
      <c r="R736" s="203"/>
      <c r="S736" s="203"/>
      <c r="T736" s="203"/>
      <c r="U736" s="203"/>
      <c r="V736" s="204"/>
      <c r="W736" s="204"/>
      <c r="X736" s="204"/>
      <c r="Y736" s="204"/>
      <c r="Z736" s="204"/>
      <c r="AA736" s="204"/>
      <c r="AB736" s="204"/>
      <c r="AC736" s="204"/>
      <c r="AD736" s="204"/>
      <c r="AE736" s="204"/>
      <c r="AF736" s="204"/>
      <c r="AG736" s="204"/>
      <c r="AH736" s="6"/>
    </row>
    <row r="737" spans="1:34" ht="16" customHeight="1">
      <c r="A737" s="7"/>
      <c r="B737" s="10"/>
      <c r="C737" s="12"/>
      <c r="D737" s="203"/>
      <c r="E737" s="203"/>
      <c r="F737" s="202"/>
      <c r="G737" s="203"/>
      <c r="H737" s="202"/>
      <c r="I737" s="202"/>
      <c r="J737" s="203"/>
      <c r="K737" s="203"/>
      <c r="L737" s="291" t="s">
        <v>1429</v>
      </c>
      <c r="M737" s="202"/>
      <c r="N737" s="45" t="str">
        <f t="shared" si="72"/>
        <v>FY2010-11</v>
      </c>
      <c r="O737" s="45" t="s">
        <v>1356</v>
      </c>
      <c r="P737" s="45" t="s">
        <v>1338</v>
      </c>
      <c r="Q737" s="45" t="s">
        <v>1339</v>
      </c>
      <c r="R737" s="203"/>
      <c r="S737" s="203"/>
      <c r="T737" s="203"/>
      <c r="U737" s="203"/>
      <c r="V737" s="204"/>
      <c r="W737" s="204"/>
      <c r="X737" s="204"/>
      <c r="Y737" s="204"/>
      <c r="Z737" s="204"/>
      <c r="AA737" s="204"/>
      <c r="AB737" s="204"/>
      <c r="AC737" s="204"/>
      <c r="AD737" s="204"/>
      <c r="AE737" s="204"/>
      <c r="AF737" s="204"/>
      <c r="AG737" s="204"/>
    </row>
    <row r="738" spans="1:34" ht="16" customHeight="1">
      <c r="A738" s="7"/>
      <c r="B738" s="10"/>
      <c r="C738" s="12"/>
      <c r="D738" s="203"/>
      <c r="E738" s="203"/>
      <c r="F738" s="202"/>
      <c r="G738" s="203"/>
      <c r="H738" s="202"/>
      <c r="I738" s="202"/>
      <c r="J738" s="203"/>
      <c r="K738" s="203"/>
      <c r="L738" s="291" t="s">
        <v>1429</v>
      </c>
      <c r="M738" s="202"/>
      <c r="N738" s="45" t="str">
        <f t="shared" si="72"/>
        <v>FY2010-11</v>
      </c>
      <c r="O738" s="45" t="s">
        <v>1356</v>
      </c>
      <c r="P738" s="45" t="s">
        <v>1338</v>
      </c>
      <c r="Q738" s="45" t="s">
        <v>1339</v>
      </c>
      <c r="R738" s="203"/>
      <c r="S738" s="203"/>
      <c r="T738" s="203"/>
      <c r="U738" s="203"/>
      <c r="V738" s="204"/>
      <c r="W738" s="204"/>
      <c r="X738" s="204"/>
      <c r="Y738" s="204"/>
      <c r="Z738" s="204"/>
      <c r="AA738" s="204"/>
      <c r="AB738" s="204"/>
      <c r="AC738" s="204"/>
      <c r="AD738" s="204"/>
      <c r="AE738" s="204"/>
      <c r="AF738" s="204"/>
      <c r="AG738" s="204"/>
    </row>
    <row r="739" spans="1:34" ht="16" customHeight="1">
      <c r="A739" s="7"/>
      <c r="B739" s="10"/>
      <c r="C739" s="12"/>
      <c r="D739" s="203"/>
      <c r="E739" s="203"/>
      <c r="F739" s="202"/>
      <c r="G739" s="203"/>
      <c r="H739" s="202"/>
      <c r="I739" s="202"/>
      <c r="J739" s="203"/>
      <c r="K739" s="203"/>
      <c r="L739" s="291" t="s">
        <v>1429</v>
      </c>
      <c r="M739" s="202"/>
      <c r="N739" s="45" t="str">
        <f t="shared" si="72"/>
        <v>FY2010-11</v>
      </c>
      <c r="O739" s="45" t="s">
        <v>1356</v>
      </c>
      <c r="P739" s="45" t="s">
        <v>1338</v>
      </c>
      <c r="Q739" s="45" t="s">
        <v>1339</v>
      </c>
      <c r="R739" s="203"/>
      <c r="S739" s="203"/>
      <c r="T739" s="203"/>
      <c r="U739" s="203"/>
      <c r="V739" s="204"/>
      <c r="W739" s="204"/>
      <c r="X739" s="204"/>
      <c r="Y739" s="204"/>
      <c r="Z739" s="204"/>
      <c r="AA739" s="204"/>
      <c r="AB739" s="204"/>
      <c r="AC739" s="204"/>
      <c r="AD739" s="204"/>
      <c r="AE739" s="204"/>
      <c r="AF739" s="204"/>
      <c r="AG739" s="204"/>
    </row>
    <row r="740" spans="1:34" ht="16" customHeight="1">
      <c r="A740" s="7"/>
      <c r="B740" s="10"/>
      <c r="C740" s="12"/>
      <c r="D740" s="203"/>
      <c r="E740" s="203"/>
      <c r="F740" s="202"/>
      <c r="G740" s="203"/>
      <c r="H740" s="202"/>
      <c r="I740" s="202"/>
      <c r="J740" s="203"/>
      <c r="K740" s="203"/>
      <c r="L740" s="291" t="s">
        <v>1429</v>
      </c>
      <c r="M740" s="202"/>
      <c r="N740" s="45" t="str">
        <f t="shared" si="72"/>
        <v>FY2010-11</v>
      </c>
      <c r="O740" s="45" t="s">
        <v>1356</v>
      </c>
      <c r="P740" s="45" t="s">
        <v>1338</v>
      </c>
      <c r="Q740" s="45" t="s">
        <v>1339</v>
      </c>
      <c r="R740" s="203"/>
      <c r="S740" s="203"/>
      <c r="T740" s="203"/>
      <c r="U740" s="203"/>
      <c r="V740" s="204"/>
      <c r="W740" s="204"/>
      <c r="X740" s="204"/>
      <c r="Y740" s="204"/>
      <c r="Z740" s="204"/>
      <c r="AA740" s="204"/>
      <c r="AB740" s="204"/>
      <c r="AC740" s="204"/>
      <c r="AD740" s="204"/>
      <c r="AE740" s="204"/>
      <c r="AF740" s="204"/>
      <c r="AG740" s="204"/>
    </row>
    <row r="741" spans="1:34" ht="16" customHeight="1">
      <c r="A741" s="7"/>
      <c r="B741" s="10"/>
      <c r="C741" s="12"/>
      <c r="D741" s="203"/>
      <c r="E741" s="203"/>
      <c r="F741" s="202"/>
      <c r="G741" s="203"/>
      <c r="H741" s="202"/>
      <c r="I741" s="202"/>
      <c r="J741" s="203"/>
      <c r="K741" s="203"/>
      <c r="L741" s="291" t="s">
        <v>1429</v>
      </c>
      <c r="M741" s="202"/>
      <c r="N741" s="45" t="str">
        <f t="shared" si="72"/>
        <v>FY2010-11</v>
      </c>
      <c r="O741" s="45" t="s">
        <v>1356</v>
      </c>
      <c r="P741" s="45" t="s">
        <v>1338</v>
      </c>
      <c r="Q741" s="45" t="s">
        <v>1339</v>
      </c>
      <c r="R741" s="203"/>
      <c r="S741" s="203"/>
      <c r="T741" s="203"/>
      <c r="U741" s="203"/>
      <c r="V741" s="204"/>
      <c r="W741" s="204"/>
      <c r="X741" s="204"/>
      <c r="Y741" s="204"/>
      <c r="Z741" s="204"/>
      <c r="AA741" s="204"/>
      <c r="AB741" s="204"/>
      <c r="AC741" s="204"/>
      <c r="AD741" s="204"/>
      <c r="AE741" s="204"/>
      <c r="AF741" s="204"/>
      <c r="AG741" s="204"/>
    </row>
    <row r="742" spans="1:34" ht="16" customHeight="1">
      <c r="A742" s="44"/>
      <c r="B742" s="41"/>
      <c r="C742" s="41"/>
      <c r="D742" s="42"/>
      <c r="E742" s="42"/>
      <c r="F742" s="43"/>
      <c r="G742" s="42"/>
      <c r="H742" s="43"/>
      <c r="I742" s="43"/>
      <c r="J742" s="42"/>
      <c r="K742" s="42"/>
      <c r="L742" s="290"/>
      <c r="M742" s="43"/>
      <c r="N742" s="43"/>
      <c r="O742" s="42"/>
      <c r="P742" s="43"/>
      <c r="Q742" s="43"/>
      <c r="R742" s="42"/>
      <c r="S742" s="42"/>
      <c r="T742" s="42"/>
      <c r="U742" s="42"/>
      <c r="V742" s="44"/>
      <c r="W742" s="44"/>
      <c r="X742" s="44"/>
      <c r="Y742" s="44"/>
      <c r="Z742" s="44"/>
      <c r="AA742" s="44"/>
      <c r="AB742" s="44"/>
      <c r="AC742" s="44"/>
      <c r="AD742" s="44"/>
      <c r="AE742" s="44"/>
      <c r="AF742" s="44"/>
      <c r="AG742" s="44"/>
    </row>
    <row r="743" spans="1:34" ht="16" customHeight="1" thickBot="1">
      <c r="A743" s="7"/>
      <c r="B743" s="19" t="str">
        <f>"FA5 = "&amp;'FIG3'!$W$56&amp;" "&amp;'FIG3'!$X$56</f>
        <v>FA5 = FA5L1 FA5L2</v>
      </c>
      <c r="C743" s="7"/>
      <c r="D743" s="8"/>
      <c r="E743" s="8"/>
      <c r="F743" s="9"/>
      <c r="G743" s="8"/>
      <c r="H743" s="9"/>
      <c r="I743" s="9"/>
      <c r="J743" s="8"/>
      <c r="K743" s="8"/>
      <c r="L743" s="280"/>
      <c r="M743" s="9"/>
      <c r="N743" s="9"/>
      <c r="O743" s="8"/>
      <c r="P743" s="9"/>
      <c r="Q743" s="9"/>
      <c r="R743" s="8"/>
      <c r="S743" s="882"/>
      <c r="T743" s="883" t="str">
        <f>'$REV-DB'!$T$34</f>
        <v>Federal Revenues</v>
      </c>
      <c r="U743" s="883" t="str">
        <f>'$REV-DB'!$U$34</f>
        <v>local Revenues</v>
      </c>
      <c r="V743" s="883" t="str">
        <f>'$REV-DB'!$V$34</f>
        <v>Other Revenues</v>
      </c>
      <c r="W743" s="883" t="str">
        <f>'$REV-DB'!$W$34</f>
        <v>State revenues</v>
      </c>
      <c r="X743" s="883" t="str">
        <f>'$REV-DB'!$X$34</f>
        <v>UD5</v>
      </c>
      <c r="Y743" s="883" t="str">
        <f>'$REV-DB'!$Y$34</f>
        <v>UD6</v>
      </c>
      <c r="Z743" s="883" t="str">
        <f>'$REV-DB'!$Z$34</f>
        <v>UD7</v>
      </c>
      <c r="AA743" s="883" t="str">
        <f>'$REV-DB'!$AA$34</f>
        <v>UD8</v>
      </c>
      <c r="AB743" s="883" t="str">
        <f>'$REV-DB'!$AB$34</f>
        <v>UD9</v>
      </c>
      <c r="AC743" s="883" t="str">
        <f>'$REV-DB'!$AC$34</f>
        <v>UD10</v>
      </c>
      <c r="AD743" s="883" t="str">
        <f>'$REV-DB'!$AD$34</f>
        <v>UD11</v>
      </c>
      <c r="AE743" s="883" t="str">
        <f>'$REV-DB'!$AE$34</f>
        <v>UD12</v>
      </c>
      <c r="AF743" s="883" t="str">
        <f>'$REV-DB'!$AF$34</f>
        <v>UD13</v>
      </c>
      <c r="AG743" s="883" t="str">
        <f>'$REV-DB'!$AG$34</f>
        <v>UD14</v>
      </c>
    </row>
    <row r="744" spans="1:34" ht="16" customHeight="1" thickTop="1" thickBot="1">
      <c r="A744" s="7"/>
      <c r="B744" s="20" t="s">
        <v>1399</v>
      </c>
      <c r="C744" s="15"/>
      <c r="D744" s="105" t="s">
        <v>1386</v>
      </c>
      <c r="E744" s="105" t="s">
        <v>1387</v>
      </c>
      <c r="F744" s="105" t="s">
        <v>1388</v>
      </c>
      <c r="G744" s="105" t="s">
        <v>1389</v>
      </c>
      <c r="H744" s="301" t="s">
        <v>1406</v>
      </c>
      <c r="I744" s="301" t="s">
        <v>1390</v>
      </c>
      <c r="J744" s="301" t="s">
        <v>1391</v>
      </c>
      <c r="K744" s="301" t="s">
        <v>1392</v>
      </c>
      <c r="L744" s="301" t="s">
        <v>1188</v>
      </c>
      <c r="M744" s="301" t="s">
        <v>1437</v>
      </c>
      <c r="N744" s="105" t="s">
        <v>1348</v>
      </c>
      <c r="O744" s="105" t="s">
        <v>1393</v>
      </c>
      <c r="P744" s="105" t="s">
        <v>1342</v>
      </c>
      <c r="Q744" s="105" t="s">
        <v>1394</v>
      </c>
      <c r="R744" s="112" t="s">
        <v>1341</v>
      </c>
      <c r="S744" s="112" t="s">
        <v>846</v>
      </c>
      <c r="T744" s="873" t="s">
        <v>935</v>
      </c>
      <c r="U744" s="873" t="s">
        <v>936</v>
      </c>
      <c r="V744" s="873" t="s">
        <v>937</v>
      </c>
      <c r="W744" s="873" t="s">
        <v>938</v>
      </c>
      <c r="X744" s="873" t="s">
        <v>939</v>
      </c>
      <c r="Y744" s="873" t="s">
        <v>940</v>
      </c>
      <c r="Z744" s="873" t="s">
        <v>941</v>
      </c>
      <c r="AA744" s="873" t="s">
        <v>942</v>
      </c>
      <c r="AB744" s="873" t="s">
        <v>943</v>
      </c>
      <c r="AC744" s="873" t="s">
        <v>944</v>
      </c>
      <c r="AD744" s="873" t="s">
        <v>945</v>
      </c>
      <c r="AE744" s="873" t="s">
        <v>946</v>
      </c>
      <c r="AF744" s="873" t="s">
        <v>947</v>
      </c>
      <c r="AG744" s="873" t="s">
        <v>948</v>
      </c>
      <c r="AH744" s="6"/>
    </row>
    <row r="745" spans="1:34" ht="16" customHeight="1" thickTop="1">
      <c r="A745" s="7"/>
      <c r="B745" s="19" t="s">
        <v>1343</v>
      </c>
      <c r="C745" s="12"/>
      <c r="D745" s="203"/>
      <c r="E745" s="203"/>
      <c r="F745" s="202"/>
      <c r="G745" s="203"/>
      <c r="H745" s="202"/>
      <c r="I745" s="202"/>
      <c r="J745" s="203"/>
      <c r="K745" s="203"/>
      <c r="L745" s="291" t="s">
        <v>1429</v>
      </c>
      <c r="M745" s="202"/>
      <c r="N745" s="45" t="str">
        <f>J$6</f>
        <v>FY2010-11</v>
      </c>
      <c r="O745" s="45" t="s">
        <v>1356</v>
      </c>
      <c r="P745" s="45" t="s">
        <v>1338</v>
      </c>
      <c r="Q745" s="45" t="s">
        <v>1379</v>
      </c>
      <c r="R745" s="203"/>
      <c r="S745" s="203"/>
      <c r="T745" s="203"/>
      <c r="U745" s="203"/>
      <c r="V745" s="204"/>
      <c r="W745" s="204"/>
      <c r="X745" s="204"/>
      <c r="Y745" s="204"/>
      <c r="Z745" s="204"/>
      <c r="AA745" s="204"/>
      <c r="AB745" s="204"/>
      <c r="AC745" s="204"/>
      <c r="AD745" s="204"/>
      <c r="AE745" s="204"/>
      <c r="AF745" s="204"/>
      <c r="AG745" s="204"/>
      <c r="AH745" s="6"/>
    </row>
    <row r="746" spans="1:34" ht="16" customHeight="1">
      <c r="A746" s="7"/>
      <c r="B746" s="16">
        <f>DSUM('$REV-DB'!D35:AG374,"AMOUNT",'$REV-DSUM'!D744:AG751)</f>
        <v>0</v>
      </c>
      <c r="C746" s="12"/>
      <c r="D746" s="203"/>
      <c r="E746" s="203"/>
      <c r="F746" s="202"/>
      <c r="G746" s="203"/>
      <c r="H746" s="202"/>
      <c r="I746" s="202"/>
      <c r="J746" s="203"/>
      <c r="K746" s="203"/>
      <c r="L746" s="291" t="s">
        <v>1429</v>
      </c>
      <c r="M746" s="202"/>
      <c r="N746" s="45" t="str">
        <f t="shared" ref="N746:N751" si="73">J$6</f>
        <v>FY2010-11</v>
      </c>
      <c r="O746" s="45" t="s">
        <v>1356</v>
      </c>
      <c r="P746" s="45" t="s">
        <v>1338</v>
      </c>
      <c r="Q746" s="45" t="s">
        <v>1379</v>
      </c>
      <c r="R746" s="203"/>
      <c r="S746" s="203"/>
      <c r="T746" s="203"/>
      <c r="U746" s="203"/>
      <c r="V746" s="204"/>
      <c r="W746" s="204"/>
      <c r="X746" s="204"/>
      <c r="Y746" s="204"/>
      <c r="Z746" s="204"/>
      <c r="AA746" s="204"/>
      <c r="AB746" s="204"/>
      <c r="AC746" s="204"/>
      <c r="AD746" s="204"/>
      <c r="AE746" s="204"/>
      <c r="AF746" s="204"/>
      <c r="AG746" s="204"/>
      <c r="AH746" s="6"/>
    </row>
    <row r="747" spans="1:34" ht="16" customHeight="1">
      <c r="A747" s="7"/>
      <c r="B747" s="10"/>
      <c r="C747" s="12"/>
      <c r="D747" s="203"/>
      <c r="E747" s="203"/>
      <c r="F747" s="202"/>
      <c r="G747" s="203"/>
      <c r="H747" s="202"/>
      <c r="I747" s="202"/>
      <c r="J747" s="203"/>
      <c r="K747" s="203"/>
      <c r="L747" s="291" t="s">
        <v>1429</v>
      </c>
      <c r="M747" s="202"/>
      <c r="N747" s="45" t="str">
        <f t="shared" si="73"/>
        <v>FY2010-11</v>
      </c>
      <c r="O747" s="45" t="s">
        <v>1356</v>
      </c>
      <c r="P747" s="45" t="s">
        <v>1338</v>
      </c>
      <c r="Q747" s="45" t="s">
        <v>1379</v>
      </c>
      <c r="R747" s="203"/>
      <c r="S747" s="203"/>
      <c r="T747" s="203"/>
      <c r="U747" s="203"/>
      <c r="V747" s="204"/>
      <c r="W747" s="204"/>
      <c r="X747" s="204"/>
      <c r="Y747" s="204"/>
      <c r="Z747" s="204"/>
      <c r="AA747" s="204"/>
      <c r="AB747" s="204"/>
      <c r="AC747" s="204"/>
      <c r="AD747" s="204"/>
      <c r="AE747" s="204"/>
      <c r="AF747" s="204"/>
      <c r="AG747" s="204"/>
    </row>
    <row r="748" spans="1:34" ht="16" customHeight="1">
      <c r="A748" s="7"/>
      <c r="B748" s="10"/>
      <c r="C748" s="12"/>
      <c r="D748" s="203"/>
      <c r="E748" s="203"/>
      <c r="F748" s="202"/>
      <c r="G748" s="203"/>
      <c r="H748" s="202"/>
      <c r="I748" s="202"/>
      <c r="J748" s="203"/>
      <c r="K748" s="203"/>
      <c r="L748" s="291" t="s">
        <v>1429</v>
      </c>
      <c r="M748" s="202"/>
      <c r="N748" s="45" t="str">
        <f t="shared" si="73"/>
        <v>FY2010-11</v>
      </c>
      <c r="O748" s="45" t="s">
        <v>1356</v>
      </c>
      <c r="P748" s="45" t="s">
        <v>1338</v>
      </c>
      <c r="Q748" s="45" t="s">
        <v>1379</v>
      </c>
      <c r="R748" s="203"/>
      <c r="S748" s="203"/>
      <c r="T748" s="203"/>
      <c r="U748" s="203"/>
      <c r="V748" s="204"/>
      <c r="W748" s="204"/>
      <c r="X748" s="204"/>
      <c r="Y748" s="204"/>
      <c r="Z748" s="204"/>
      <c r="AA748" s="204"/>
      <c r="AB748" s="204"/>
      <c r="AC748" s="204"/>
      <c r="AD748" s="204"/>
      <c r="AE748" s="204"/>
      <c r="AF748" s="204"/>
      <c r="AG748" s="204"/>
    </row>
    <row r="749" spans="1:34" ht="16" customHeight="1">
      <c r="A749" s="7"/>
      <c r="B749" s="10"/>
      <c r="C749" s="12"/>
      <c r="D749" s="203"/>
      <c r="E749" s="203"/>
      <c r="F749" s="202"/>
      <c r="G749" s="203"/>
      <c r="H749" s="202"/>
      <c r="I749" s="202"/>
      <c r="J749" s="203"/>
      <c r="K749" s="203"/>
      <c r="L749" s="291" t="s">
        <v>1429</v>
      </c>
      <c r="M749" s="202"/>
      <c r="N749" s="45" t="str">
        <f t="shared" si="73"/>
        <v>FY2010-11</v>
      </c>
      <c r="O749" s="45" t="s">
        <v>1356</v>
      </c>
      <c r="P749" s="45" t="s">
        <v>1338</v>
      </c>
      <c r="Q749" s="45" t="s">
        <v>1379</v>
      </c>
      <c r="R749" s="203"/>
      <c r="S749" s="203"/>
      <c r="T749" s="203"/>
      <c r="U749" s="203"/>
      <c r="V749" s="204"/>
      <c r="W749" s="204"/>
      <c r="X749" s="204"/>
      <c r="Y749" s="204"/>
      <c r="Z749" s="204"/>
      <c r="AA749" s="204"/>
      <c r="AB749" s="204"/>
      <c r="AC749" s="204"/>
      <c r="AD749" s="204"/>
      <c r="AE749" s="204"/>
      <c r="AF749" s="204"/>
      <c r="AG749" s="204"/>
    </row>
    <row r="750" spans="1:34" ht="16" customHeight="1">
      <c r="A750" s="7"/>
      <c r="B750" s="10"/>
      <c r="C750" s="12"/>
      <c r="D750" s="203"/>
      <c r="E750" s="203"/>
      <c r="F750" s="202"/>
      <c r="G750" s="203"/>
      <c r="H750" s="202"/>
      <c r="I750" s="202"/>
      <c r="J750" s="203"/>
      <c r="K750" s="203"/>
      <c r="L750" s="291" t="s">
        <v>1429</v>
      </c>
      <c r="M750" s="202"/>
      <c r="N750" s="45" t="str">
        <f t="shared" si="73"/>
        <v>FY2010-11</v>
      </c>
      <c r="O750" s="45" t="s">
        <v>1356</v>
      </c>
      <c r="P750" s="45" t="s">
        <v>1338</v>
      </c>
      <c r="Q750" s="45" t="s">
        <v>1379</v>
      </c>
      <c r="R750" s="203"/>
      <c r="S750" s="203"/>
      <c r="T750" s="203"/>
      <c r="U750" s="203"/>
      <c r="V750" s="204"/>
      <c r="W750" s="204"/>
      <c r="X750" s="204"/>
      <c r="Y750" s="204"/>
      <c r="Z750" s="204"/>
      <c r="AA750" s="204"/>
      <c r="AB750" s="204"/>
      <c r="AC750" s="204"/>
      <c r="AD750" s="204"/>
      <c r="AE750" s="204"/>
      <c r="AF750" s="204"/>
      <c r="AG750" s="204"/>
    </row>
    <row r="751" spans="1:34" ht="16" customHeight="1">
      <c r="A751" s="7"/>
      <c r="B751" s="10"/>
      <c r="C751" s="12"/>
      <c r="D751" s="203"/>
      <c r="E751" s="203"/>
      <c r="F751" s="202"/>
      <c r="G751" s="203"/>
      <c r="H751" s="202"/>
      <c r="I751" s="202"/>
      <c r="J751" s="203"/>
      <c r="K751" s="203"/>
      <c r="L751" s="291" t="s">
        <v>1429</v>
      </c>
      <c r="M751" s="202"/>
      <c r="N751" s="45" t="str">
        <f t="shared" si="73"/>
        <v>FY2010-11</v>
      </c>
      <c r="O751" s="45" t="s">
        <v>1356</v>
      </c>
      <c r="P751" s="45" t="s">
        <v>1338</v>
      </c>
      <c r="Q751" s="45" t="s">
        <v>1379</v>
      </c>
      <c r="R751" s="203"/>
      <c r="S751" s="203"/>
      <c r="T751" s="203"/>
      <c r="U751" s="203"/>
      <c r="V751" s="204"/>
      <c r="W751" s="204"/>
      <c r="X751" s="204"/>
      <c r="Y751" s="204"/>
      <c r="Z751" s="204"/>
      <c r="AA751" s="204"/>
      <c r="AB751" s="204"/>
      <c r="AC751" s="204"/>
      <c r="AD751" s="204"/>
      <c r="AE751" s="204"/>
      <c r="AF751" s="204"/>
      <c r="AG751" s="204"/>
    </row>
    <row r="752" spans="1:34" ht="16" customHeight="1">
      <c r="A752" s="44"/>
      <c r="B752" s="41"/>
      <c r="C752" s="41"/>
      <c r="D752" s="42"/>
      <c r="E752" s="42"/>
      <c r="F752" s="43"/>
      <c r="G752" s="42"/>
      <c r="H752" s="43"/>
      <c r="I752" s="43"/>
      <c r="J752" s="42"/>
      <c r="K752" s="42"/>
      <c r="L752" s="290"/>
      <c r="M752" s="43"/>
      <c r="N752" s="43"/>
      <c r="O752" s="42"/>
      <c r="P752" s="43"/>
      <c r="Q752" s="43"/>
      <c r="R752" s="42"/>
      <c r="S752" s="42"/>
      <c r="T752" s="42"/>
      <c r="U752" s="42"/>
      <c r="V752" s="44"/>
      <c r="W752" s="44"/>
      <c r="X752" s="44"/>
      <c r="Y752" s="44"/>
      <c r="Z752" s="44"/>
      <c r="AA752" s="44"/>
      <c r="AB752" s="44"/>
      <c r="AC752" s="44"/>
      <c r="AD752" s="44"/>
      <c r="AE752" s="44"/>
      <c r="AF752" s="44"/>
      <c r="AG752" s="44"/>
    </row>
    <row r="753" spans="1:34" ht="16" customHeight="1" thickBot="1">
      <c r="A753" s="7"/>
      <c r="B753" s="19" t="str">
        <f>"FA5 = "&amp;'FIG3'!$W$56&amp;" "&amp;'FIG3'!$X$56</f>
        <v>FA5 = FA5L1 FA5L2</v>
      </c>
      <c r="C753" s="7"/>
      <c r="D753" s="8"/>
      <c r="E753" s="8"/>
      <c r="F753" s="9"/>
      <c r="G753" s="8"/>
      <c r="H753" s="9"/>
      <c r="I753" s="9"/>
      <c r="J753" s="8"/>
      <c r="K753" s="8"/>
      <c r="L753" s="280"/>
      <c r="M753" s="9"/>
      <c r="N753" s="9"/>
      <c r="O753" s="8"/>
      <c r="P753" s="9"/>
      <c r="Q753" s="9"/>
      <c r="R753" s="8"/>
      <c r="S753" s="882"/>
      <c r="T753" s="883" t="str">
        <f>'$REV-DB'!$T$34</f>
        <v>Federal Revenues</v>
      </c>
      <c r="U753" s="883" t="str">
        <f>'$REV-DB'!$U$34</f>
        <v>local Revenues</v>
      </c>
      <c r="V753" s="883" t="str">
        <f>'$REV-DB'!$V$34</f>
        <v>Other Revenues</v>
      </c>
      <c r="W753" s="883" t="str">
        <f>'$REV-DB'!$W$34</f>
        <v>State revenues</v>
      </c>
      <c r="X753" s="883" t="str">
        <f>'$REV-DB'!$X$34</f>
        <v>UD5</v>
      </c>
      <c r="Y753" s="883" t="str">
        <f>'$REV-DB'!$Y$34</f>
        <v>UD6</v>
      </c>
      <c r="Z753" s="883" t="str">
        <f>'$REV-DB'!$Z$34</f>
        <v>UD7</v>
      </c>
      <c r="AA753" s="883" t="str">
        <f>'$REV-DB'!$AA$34</f>
        <v>UD8</v>
      </c>
      <c r="AB753" s="883" t="str">
        <f>'$REV-DB'!$AB$34</f>
        <v>UD9</v>
      </c>
      <c r="AC753" s="883" t="str">
        <f>'$REV-DB'!$AC$34</f>
        <v>UD10</v>
      </c>
      <c r="AD753" s="883" t="str">
        <f>'$REV-DB'!$AD$34</f>
        <v>UD11</v>
      </c>
      <c r="AE753" s="883" t="str">
        <f>'$REV-DB'!$AE$34</f>
        <v>UD12</v>
      </c>
      <c r="AF753" s="883" t="str">
        <f>'$REV-DB'!$AF$34</f>
        <v>UD13</v>
      </c>
      <c r="AG753" s="883" t="str">
        <f>'$REV-DB'!$AG$34</f>
        <v>UD14</v>
      </c>
    </row>
    <row r="754" spans="1:34" ht="16" customHeight="1" thickTop="1" thickBot="1">
      <c r="A754" s="7"/>
      <c r="B754" s="20" t="s">
        <v>1399</v>
      </c>
      <c r="C754" s="15"/>
      <c r="D754" s="105" t="s">
        <v>1386</v>
      </c>
      <c r="E754" s="105" t="s">
        <v>1387</v>
      </c>
      <c r="F754" s="105" t="s">
        <v>1388</v>
      </c>
      <c r="G754" s="105" t="s">
        <v>1389</v>
      </c>
      <c r="H754" s="301" t="s">
        <v>1406</v>
      </c>
      <c r="I754" s="301" t="s">
        <v>1390</v>
      </c>
      <c r="J754" s="301" t="s">
        <v>1391</v>
      </c>
      <c r="K754" s="301" t="s">
        <v>1392</v>
      </c>
      <c r="L754" s="301" t="s">
        <v>1188</v>
      </c>
      <c r="M754" s="301" t="s">
        <v>1437</v>
      </c>
      <c r="N754" s="105" t="s">
        <v>1348</v>
      </c>
      <c r="O754" s="105" t="s">
        <v>1393</v>
      </c>
      <c r="P754" s="105" t="s">
        <v>1342</v>
      </c>
      <c r="Q754" s="105" t="s">
        <v>1394</v>
      </c>
      <c r="R754" s="112" t="s">
        <v>1341</v>
      </c>
      <c r="S754" s="112" t="s">
        <v>846</v>
      </c>
      <c r="T754" s="873" t="s">
        <v>935</v>
      </c>
      <c r="U754" s="873" t="s">
        <v>936</v>
      </c>
      <c r="V754" s="873" t="s">
        <v>937</v>
      </c>
      <c r="W754" s="873" t="s">
        <v>938</v>
      </c>
      <c r="X754" s="873" t="s">
        <v>939</v>
      </c>
      <c r="Y754" s="873" t="s">
        <v>940</v>
      </c>
      <c r="Z754" s="873" t="s">
        <v>941</v>
      </c>
      <c r="AA754" s="873" t="s">
        <v>942</v>
      </c>
      <c r="AB754" s="873" t="s">
        <v>943</v>
      </c>
      <c r="AC754" s="873" t="s">
        <v>944</v>
      </c>
      <c r="AD754" s="873" t="s">
        <v>945</v>
      </c>
      <c r="AE754" s="873" t="s">
        <v>946</v>
      </c>
      <c r="AF754" s="873" t="s">
        <v>947</v>
      </c>
      <c r="AG754" s="873" t="s">
        <v>948</v>
      </c>
      <c r="AH754" s="6"/>
    </row>
    <row r="755" spans="1:34" ht="16" customHeight="1" thickTop="1">
      <c r="A755" s="7"/>
      <c r="B755" s="19" t="s">
        <v>1349</v>
      </c>
      <c r="C755" s="12"/>
      <c r="D755" s="203"/>
      <c r="E755" s="203"/>
      <c r="F755" s="202"/>
      <c r="G755" s="203"/>
      <c r="H755" s="202"/>
      <c r="I755" s="202"/>
      <c r="J755" s="203"/>
      <c r="K755" s="203"/>
      <c r="L755" s="291" t="s">
        <v>1429</v>
      </c>
      <c r="M755" s="202"/>
      <c r="N755" s="45" t="str">
        <f>J$6</f>
        <v>FY2010-11</v>
      </c>
      <c r="O755" s="45" t="s">
        <v>1356</v>
      </c>
      <c r="P755" s="45" t="s">
        <v>1338</v>
      </c>
      <c r="Q755" s="45" t="s">
        <v>1397</v>
      </c>
      <c r="R755" s="203"/>
      <c r="S755" s="203"/>
      <c r="T755" s="203"/>
      <c r="U755" s="203"/>
      <c r="V755" s="204"/>
      <c r="W755" s="204"/>
      <c r="X755" s="204"/>
      <c r="Y755" s="204"/>
      <c r="Z755" s="204"/>
      <c r="AA755" s="204"/>
      <c r="AB755" s="204"/>
      <c r="AC755" s="204"/>
      <c r="AD755" s="204"/>
      <c r="AE755" s="204"/>
      <c r="AF755" s="204"/>
      <c r="AG755" s="204"/>
      <c r="AH755" s="6"/>
    </row>
    <row r="756" spans="1:34" ht="16" customHeight="1">
      <c r="A756" s="7"/>
      <c r="B756" s="16">
        <f>DSUM('$REV-DB'!D35:AG374,"AMOUNT",'$REV-DSUM'!D754:AG761)</f>
        <v>0</v>
      </c>
      <c r="C756" s="12"/>
      <c r="D756" s="203"/>
      <c r="E756" s="203"/>
      <c r="F756" s="202"/>
      <c r="G756" s="203"/>
      <c r="H756" s="202"/>
      <c r="I756" s="202"/>
      <c r="J756" s="203"/>
      <c r="K756" s="203"/>
      <c r="L756" s="291" t="s">
        <v>1429</v>
      </c>
      <c r="M756" s="202"/>
      <c r="N756" s="45" t="str">
        <f t="shared" ref="N756:N761" si="74">J$6</f>
        <v>FY2010-11</v>
      </c>
      <c r="O756" s="45" t="s">
        <v>1356</v>
      </c>
      <c r="P756" s="45" t="s">
        <v>1338</v>
      </c>
      <c r="Q756" s="45" t="s">
        <v>1397</v>
      </c>
      <c r="R756" s="203"/>
      <c r="S756" s="203"/>
      <c r="T756" s="203"/>
      <c r="U756" s="203"/>
      <c r="V756" s="204"/>
      <c r="W756" s="204"/>
      <c r="X756" s="204"/>
      <c r="Y756" s="204"/>
      <c r="Z756" s="204"/>
      <c r="AA756" s="204"/>
      <c r="AB756" s="204"/>
      <c r="AC756" s="204"/>
      <c r="AD756" s="204"/>
      <c r="AE756" s="204"/>
      <c r="AF756" s="204"/>
      <c r="AG756" s="204"/>
      <c r="AH756" s="6"/>
    </row>
    <row r="757" spans="1:34" ht="16" customHeight="1">
      <c r="A757" s="7"/>
      <c r="B757" s="10"/>
      <c r="C757" s="12"/>
      <c r="D757" s="203"/>
      <c r="E757" s="203"/>
      <c r="F757" s="202"/>
      <c r="G757" s="203"/>
      <c r="H757" s="202"/>
      <c r="I757" s="202"/>
      <c r="J757" s="203"/>
      <c r="K757" s="203"/>
      <c r="L757" s="291" t="s">
        <v>1429</v>
      </c>
      <c r="M757" s="202"/>
      <c r="N757" s="45" t="str">
        <f t="shared" si="74"/>
        <v>FY2010-11</v>
      </c>
      <c r="O757" s="45" t="s">
        <v>1356</v>
      </c>
      <c r="P757" s="45" t="s">
        <v>1338</v>
      </c>
      <c r="Q757" s="45" t="s">
        <v>1397</v>
      </c>
      <c r="R757" s="203"/>
      <c r="S757" s="203"/>
      <c r="T757" s="203"/>
      <c r="U757" s="203"/>
      <c r="V757" s="204"/>
      <c r="W757" s="204"/>
      <c r="X757" s="204"/>
      <c r="Y757" s="204"/>
      <c r="Z757" s="204"/>
      <c r="AA757" s="204"/>
      <c r="AB757" s="204"/>
      <c r="AC757" s="204"/>
      <c r="AD757" s="204"/>
      <c r="AE757" s="204"/>
      <c r="AF757" s="204"/>
      <c r="AG757" s="204"/>
    </row>
    <row r="758" spans="1:34" ht="16" customHeight="1">
      <c r="A758" s="7"/>
      <c r="B758" s="10"/>
      <c r="C758" s="12"/>
      <c r="D758" s="203"/>
      <c r="E758" s="203"/>
      <c r="F758" s="202"/>
      <c r="G758" s="203"/>
      <c r="H758" s="202"/>
      <c r="I758" s="202"/>
      <c r="J758" s="203"/>
      <c r="K758" s="203"/>
      <c r="L758" s="291" t="s">
        <v>1429</v>
      </c>
      <c r="M758" s="202"/>
      <c r="N758" s="45" t="str">
        <f t="shared" si="74"/>
        <v>FY2010-11</v>
      </c>
      <c r="O758" s="45" t="s">
        <v>1356</v>
      </c>
      <c r="P758" s="45" t="s">
        <v>1338</v>
      </c>
      <c r="Q758" s="45" t="s">
        <v>1397</v>
      </c>
      <c r="R758" s="203"/>
      <c r="S758" s="203"/>
      <c r="T758" s="203"/>
      <c r="U758" s="203"/>
      <c r="V758" s="204"/>
      <c r="W758" s="204"/>
      <c r="X758" s="204"/>
      <c r="Y758" s="204"/>
      <c r="Z758" s="204"/>
      <c r="AA758" s="204"/>
      <c r="AB758" s="204"/>
      <c r="AC758" s="204"/>
      <c r="AD758" s="204"/>
      <c r="AE758" s="204"/>
      <c r="AF758" s="204"/>
      <c r="AG758" s="204"/>
    </row>
    <row r="759" spans="1:34" ht="16" customHeight="1">
      <c r="A759" s="7"/>
      <c r="B759" s="10"/>
      <c r="C759" s="12"/>
      <c r="D759" s="203"/>
      <c r="E759" s="203"/>
      <c r="F759" s="202"/>
      <c r="G759" s="203"/>
      <c r="H759" s="202"/>
      <c r="I759" s="202"/>
      <c r="J759" s="203"/>
      <c r="K759" s="203"/>
      <c r="L759" s="291" t="s">
        <v>1429</v>
      </c>
      <c r="M759" s="202"/>
      <c r="N759" s="45" t="str">
        <f t="shared" si="74"/>
        <v>FY2010-11</v>
      </c>
      <c r="O759" s="45" t="s">
        <v>1356</v>
      </c>
      <c r="P759" s="45" t="s">
        <v>1338</v>
      </c>
      <c r="Q759" s="45" t="s">
        <v>1397</v>
      </c>
      <c r="R759" s="203"/>
      <c r="S759" s="203"/>
      <c r="T759" s="203"/>
      <c r="U759" s="203"/>
      <c r="V759" s="204"/>
      <c r="W759" s="204"/>
      <c r="X759" s="204"/>
      <c r="Y759" s="204"/>
      <c r="Z759" s="204"/>
      <c r="AA759" s="204"/>
      <c r="AB759" s="204"/>
      <c r="AC759" s="204"/>
      <c r="AD759" s="204"/>
      <c r="AE759" s="204"/>
      <c r="AF759" s="204"/>
      <c r="AG759" s="204"/>
    </row>
    <row r="760" spans="1:34" ht="16" customHeight="1">
      <c r="A760" s="7"/>
      <c r="B760" s="10"/>
      <c r="C760" s="12"/>
      <c r="D760" s="203"/>
      <c r="E760" s="203"/>
      <c r="F760" s="202"/>
      <c r="G760" s="203"/>
      <c r="H760" s="202"/>
      <c r="I760" s="202"/>
      <c r="J760" s="203"/>
      <c r="K760" s="203"/>
      <c r="L760" s="291" t="s">
        <v>1429</v>
      </c>
      <c r="M760" s="202"/>
      <c r="N760" s="45" t="str">
        <f t="shared" si="74"/>
        <v>FY2010-11</v>
      </c>
      <c r="O760" s="45" t="s">
        <v>1356</v>
      </c>
      <c r="P760" s="45" t="s">
        <v>1338</v>
      </c>
      <c r="Q760" s="45" t="s">
        <v>1397</v>
      </c>
      <c r="R760" s="203"/>
      <c r="S760" s="203"/>
      <c r="T760" s="203"/>
      <c r="U760" s="203"/>
      <c r="V760" s="204"/>
      <c r="W760" s="204"/>
      <c r="X760" s="204"/>
      <c r="Y760" s="204"/>
      <c r="Z760" s="204"/>
      <c r="AA760" s="204"/>
      <c r="AB760" s="204"/>
      <c r="AC760" s="204"/>
      <c r="AD760" s="204"/>
      <c r="AE760" s="204"/>
      <c r="AF760" s="204"/>
      <c r="AG760" s="204"/>
    </row>
    <row r="761" spans="1:34" ht="16" customHeight="1">
      <c r="A761" s="7"/>
      <c r="B761" s="10"/>
      <c r="C761" s="12"/>
      <c r="D761" s="203"/>
      <c r="E761" s="203"/>
      <c r="F761" s="202"/>
      <c r="G761" s="203"/>
      <c r="H761" s="202"/>
      <c r="I761" s="202"/>
      <c r="J761" s="203"/>
      <c r="K761" s="203"/>
      <c r="L761" s="291" t="s">
        <v>1429</v>
      </c>
      <c r="M761" s="202"/>
      <c r="N761" s="45" t="str">
        <f t="shared" si="74"/>
        <v>FY2010-11</v>
      </c>
      <c r="O761" s="45" t="s">
        <v>1356</v>
      </c>
      <c r="P761" s="45" t="s">
        <v>1338</v>
      </c>
      <c r="Q761" s="45" t="s">
        <v>1397</v>
      </c>
      <c r="R761" s="203"/>
      <c r="S761" s="203"/>
      <c r="T761" s="203"/>
      <c r="U761" s="203"/>
      <c r="V761" s="204"/>
      <c r="W761" s="204"/>
      <c r="X761" s="204"/>
      <c r="Y761" s="204"/>
      <c r="Z761" s="204"/>
      <c r="AA761" s="204"/>
      <c r="AB761" s="204"/>
      <c r="AC761" s="204"/>
      <c r="AD761" s="204"/>
      <c r="AE761" s="204"/>
      <c r="AF761" s="204"/>
      <c r="AG761" s="204"/>
    </row>
    <row r="762" spans="1:34" ht="16" customHeight="1">
      <c r="A762" s="44"/>
      <c r="B762" s="41"/>
      <c r="C762" s="41"/>
      <c r="D762" s="42"/>
      <c r="E762" s="42"/>
      <c r="F762" s="43"/>
      <c r="G762" s="42"/>
      <c r="H762" s="43"/>
      <c r="I762" s="43"/>
      <c r="J762" s="42"/>
      <c r="K762" s="42"/>
      <c r="L762" s="290"/>
      <c r="M762" s="43"/>
      <c r="N762" s="43"/>
      <c r="O762" s="42"/>
      <c r="P762" s="43"/>
      <c r="Q762" s="43"/>
      <c r="R762" s="42"/>
      <c r="S762" s="42"/>
      <c r="T762" s="42"/>
      <c r="U762" s="42"/>
      <c r="V762" s="44"/>
      <c r="W762" s="44"/>
      <c r="X762" s="44"/>
      <c r="Y762" s="44"/>
      <c r="Z762" s="44"/>
      <c r="AA762" s="44"/>
      <c r="AB762" s="44"/>
      <c r="AC762" s="44"/>
      <c r="AD762" s="44"/>
      <c r="AE762" s="44"/>
      <c r="AF762" s="44"/>
      <c r="AG762" s="44"/>
    </row>
    <row r="763" spans="1:34" ht="16" customHeight="1" thickBot="1">
      <c r="A763" s="7"/>
      <c r="B763" s="19" t="str">
        <f>"FA5 = "&amp;'FIG3'!$W$56&amp;" "&amp;'FIG3'!$X$56</f>
        <v>FA5 = FA5L1 FA5L2</v>
      </c>
      <c r="C763" s="7"/>
      <c r="D763" s="8"/>
      <c r="E763" s="8"/>
      <c r="F763" s="9"/>
      <c r="G763" s="8"/>
      <c r="H763" s="9"/>
      <c r="I763" s="9"/>
      <c r="J763" s="8"/>
      <c r="K763" s="8"/>
      <c r="L763" s="280"/>
      <c r="M763" s="9"/>
      <c r="N763" s="9"/>
      <c r="O763" s="8"/>
      <c r="P763" s="9"/>
      <c r="Q763" s="9"/>
      <c r="R763" s="8"/>
      <c r="S763" s="882"/>
      <c r="T763" s="883" t="str">
        <f>'$REV-DB'!$T$34</f>
        <v>Federal Revenues</v>
      </c>
      <c r="U763" s="883" t="str">
        <f>'$REV-DB'!$U$34</f>
        <v>local Revenues</v>
      </c>
      <c r="V763" s="883" t="str">
        <f>'$REV-DB'!$V$34</f>
        <v>Other Revenues</v>
      </c>
      <c r="W763" s="883" t="str">
        <f>'$REV-DB'!$W$34</f>
        <v>State revenues</v>
      </c>
      <c r="X763" s="883" t="str">
        <f>'$REV-DB'!$X$34</f>
        <v>UD5</v>
      </c>
      <c r="Y763" s="883" t="str">
        <f>'$REV-DB'!$Y$34</f>
        <v>UD6</v>
      </c>
      <c r="Z763" s="883" t="str">
        <f>'$REV-DB'!$Z$34</f>
        <v>UD7</v>
      </c>
      <c r="AA763" s="883" t="str">
        <f>'$REV-DB'!$AA$34</f>
        <v>UD8</v>
      </c>
      <c r="AB763" s="883" t="str">
        <f>'$REV-DB'!$AB$34</f>
        <v>UD9</v>
      </c>
      <c r="AC763" s="883" t="str">
        <f>'$REV-DB'!$AC$34</f>
        <v>UD10</v>
      </c>
      <c r="AD763" s="883" t="str">
        <f>'$REV-DB'!$AD$34</f>
        <v>UD11</v>
      </c>
      <c r="AE763" s="883" t="str">
        <f>'$REV-DB'!$AE$34</f>
        <v>UD12</v>
      </c>
      <c r="AF763" s="883" t="str">
        <f>'$REV-DB'!$AF$34</f>
        <v>UD13</v>
      </c>
      <c r="AG763" s="883" t="str">
        <f>'$REV-DB'!$AG$34</f>
        <v>UD14</v>
      </c>
    </row>
    <row r="764" spans="1:34" ht="16" customHeight="1" thickTop="1" thickBot="1">
      <c r="A764" s="7"/>
      <c r="B764" s="20" t="s">
        <v>1399</v>
      </c>
      <c r="C764" s="15"/>
      <c r="D764" s="276" t="s">
        <v>1386</v>
      </c>
      <c r="E764" s="276" t="s">
        <v>1387</v>
      </c>
      <c r="F764" s="276" t="s">
        <v>1388</v>
      </c>
      <c r="G764" s="276" t="s">
        <v>1389</v>
      </c>
      <c r="H764" s="301" t="s">
        <v>1406</v>
      </c>
      <c r="I764" s="301" t="s">
        <v>1390</v>
      </c>
      <c r="J764" s="301" t="s">
        <v>1391</v>
      </c>
      <c r="K764" s="301" t="s">
        <v>1392</v>
      </c>
      <c r="L764" s="301" t="s">
        <v>1188</v>
      </c>
      <c r="M764" s="301" t="s">
        <v>1437</v>
      </c>
      <c r="N764" s="276" t="s">
        <v>1348</v>
      </c>
      <c r="O764" s="276" t="s">
        <v>1393</v>
      </c>
      <c r="P764" s="276" t="s">
        <v>1342</v>
      </c>
      <c r="Q764" s="276" t="s">
        <v>1394</v>
      </c>
      <c r="R764" s="112" t="s">
        <v>1341</v>
      </c>
      <c r="S764" s="112" t="s">
        <v>846</v>
      </c>
      <c r="T764" s="873" t="s">
        <v>935</v>
      </c>
      <c r="U764" s="873" t="s">
        <v>936</v>
      </c>
      <c r="V764" s="873" t="s">
        <v>937</v>
      </c>
      <c r="W764" s="873" t="s">
        <v>938</v>
      </c>
      <c r="X764" s="873" t="s">
        <v>939</v>
      </c>
      <c r="Y764" s="873" t="s">
        <v>940</v>
      </c>
      <c r="Z764" s="873" t="s">
        <v>941</v>
      </c>
      <c r="AA764" s="873" t="s">
        <v>942</v>
      </c>
      <c r="AB764" s="873" t="s">
        <v>943</v>
      </c>
      <c r="AC764" s="873" t="s">
        <v>944</v>
      </c>
      <c r="AD764" s="873" t="s">
        <v>945</v>
      </c>
      <c r="AE764" s="873" t="s">
        <v>946</v>
      </c>
      <c r="AF764" s="873" t="s">
        <v>947</v>
      </c>
      <c r="AG764" s="873" t="s">
        <v>948</v>
      </c>
      <c r="AH764" s="6"/>
    </row>
    <row r="765" spans="1:34" ht="16" customHeight="1" thickTop="1">
      <c r="A765" s="7"/>
      <c r="B765" s="19" t="s">
        <v>1178</v>
      </c>
      <c r="C765" s="12"/>
      <c r="D765" s="203"/>
      <c r="E765" s="203"/>
      <c r="F765" s="202"/>
      <c r="G765" s="203"/>
      <c r="H765" s="202"/>
      <c r="I765" s="202"/>
      <c r="J765" s="203"/>
      <c r="K765" s="203"/>
      <c r="L765" s="291" t="s">
        <v>1429</v>
      </c>
      <c r="M765" s="202"/>
      <c r="N765" s="45" t="str">
        <f>J$6</f>
        <v>FY2010-11</v>
      </c>
      <c r="O765" s="45" t="s">
        <v>1356</v>
      </c>
      <c r="P765" s="45" t="s">
        <v>1338</v>
      </c>
      <c r="Q765" s="45" t="s">
        <v>1465</v>
      </c>
      <c r="R765" s="203"/>
      <c r="S765" s="203"/>
      <c r="T765" s="203"/>
      <c r="U765" s="203"/>
      <c r="V765" s="204"/>
      <c r="W765" s="204"/>
      <c r="X765" s="204"/>
      <c r="Y765" s="204"/>
      <c r="Z765" s="204"/>
      <c r="AA765" s="204"/>
      <c r="AB765" s="204"/>
      <c r="AC765" s="204"/>
      <c r="AD765" s="204"/>
      <c r="AE765" s="204"/>
      <c r="AF765" s="204"/>
      <c r="AG765" s="204"/>
      <c r="AH765" s="6"/>
    </row>
    <row r="766" spans="1:34" ht="16" customHeight="1">
      <c r="A766" s="7"/>
      <c r="B766" s="16">
        <f>DSUM('$REV-DB'!D35:AG374,"AMOUNT",'$REV-DSUM'!D764:AG771)</f>
        <v>0</v>
      </c>
      <c r="C766" s="12"/>
      <c r="D766" s="203"/>
      <c r="E766" s="203"/>
      <c r="F766" s="202"/>
      <c r="G766" s="203"/>
      <c r="H766" s="202"/>
      <c r="I766" s="202"/>
      <c r="J766" s="203"/>
      <c r="K766" s="203"/>
      <c r="L766" s="291" t="s">
        <v>1429</v>
      </c>
      <c r="M766" s="202"/>
      <c r="N766" s="45" t="str">
        <f t="shared" ref="N766:N771" si="75">J$6</f>
        <v>FY2010-11</v>
      </c>
      <c r="O766" s="45" t="s">
        <v>1356</v>
      </c>
      <c r="P766" s="45" t="s">
        <v>1338</v>
      </c>
      <c r="Q766" s="45" t="s">
        <v>1465</v>
      </c>
      <c r="R766" s="203"/>
      <c r="S766" s="203"/>
      <c r="T766" s="203"/>
      <c r="U766" s="203"/>
      <c r="V766" s="204"/>
      <c r="W766" s="204"/>
      <c r="X766" s="204"/>
      <c r="Y766" s="204"/>
      <c r="Z766" s="204"/>
      <c r="AA766" s="204"/>
      <c r="AB766" s="204"/>
      <c r="AC766" s="204"/>
      <c r="AD766" s="204"/>
      <c r="AE766" s="204"/>
      <c r="AF766" s="204"/>
      <c r="AG766" s="204"/>
      <c r="AH766" s="6"/>
    </row>
    <row r="767" spans="1:34" ht="16" customHeight="1">
      <c r="A767" s="7"/>
      <c r="B767" s="10"/>
      <c r="C767" s="12"/>
      <c r="D767" s="203"/>
      <c r="E767" s="203"/>
      <c r="F767" s="202"/>
      <c r="G767" s="203"/>
      <c r="H767" s="202"/>
      <c r="I767" s="202"/>
      <c r="J767" s="203"/>
      <c r="K767" s="203"/>
      <c r="L767" s="291" t="s">
        <v>1429</v>
      </c>
      <c r="M767" s="202"/>
      <c r="N767" s="45" t="str">
        <f t="shared" si="75"/>
        <v>FY2010-11</v>
      </c>
      <c r="O767" s="45" t="s">
        <v>1356</v>
      </c>
      <c r="P767" s="45" t="s">
        <v>1338</v>
      </c>
      <c r="Q767" s="45" t="s">
        <v>1465</v>
      </c>
      <c r="R767" s="203"/>
      <c r="S767" s="203"/>
      <c r="T767" s="203"/>
      <c r="U767" s="203"/>
      <c r="V767" s="204"/>
      <c r="W767" s="204"/>
      <c r="X767" s="204"/>
      <c r="Y767" s="204"/>
      <c r="Z767" s="204"/>
      <c r="AA767" s="204"/>
      <c r="AB767" s="204"/>
      <c r="AC767" s="204"/>
      <c r="AD767" s="204"/>
      <c r="AE767" s="204"/>
      <c r="AF767" s="204"/>
      <c r="AG767" s="204"/>
    </row>
    <row r="768" spans="1:34" ht="16" customHeight="1">
      <c r="A768" s="7"/>
      <c r="B768" s="10"/>
      <c r="C768" s="12"/>
      <c r="D768" s="203"/>
      <c r="E768" s="203"/>
      <c r="F768" s="202"/>
      <c r="G768" s="203"/>
      <c r="H768" s="202"/>
      <c r="I768" s="202"/>
      <c r="J768" s="203"/>
      <c r="K768" s="203"/>
      <c r="L768" s="291" t="s">
        <v>1429</v>
      </c>
      <c r="M768" s="202"/>
      <c r="N768" s="45" t="str">
        <f t="shared" si="75"/>
        <v>FY2010-11</v>
      </c>
      <c r="O768" s="45" t="s">
        <v>1356</v>
      </c>
      <c r="P768" s="45" t="s">
        <v>1338</v>
      </c>
      <c r="Q768" s="45" t="s">
        <v>1465</v>
      </c>
      <c r="R768" s="203"/>
      <c r="S768" s="203"/>
      <c r="T768" s="203"/>
      <c r="U768" s="203"/>
      <c r="V768" s="204"/>
      <c r="W768" s="204"/>
      <c r="X768" s="204"/>
      <c r="Y768" s="204"/>
      <c r="Z768" s="204"/>
      <c r="AA768" s="204"/>
      <c r="AB768" s="204"/>
      <c r="AC768" s="204"/>
      <c r="AD768" s="204"/>
      <c r="AE768" s="204"/>
      <c r="AF768" s="204"/>
      <c r="AG768" s="204"/>
    </row>
    <row r="769" spans="1:34" ht="16" customHeight="1">
      <c r="A769" s="7"/>
      <c r="B769" s="10"/>
      <c r="C769" s="12"/>
      <c r="D769" s="203"/>
      <c r="E769" s="203"/>
      <c r="F769" s="202"/>
      <c r="G769" s="203"/>
      <c r="H769" s="202"/>
      <c r="I769" s="202"/>
      <c r="J769" s="203"/>
      <c r="K769" s="203"/>
      <c r="L769" s="291" t="s">
        <v>1429</v>
      </c>
      <c r="M769" s="202"/>
      <c r="N769" s="45" t="str">
        <f t="shared" si="75"/>
        <v>FY2010-11</v>
      </c>
      <c r="O769" s="45" t="s">
        <v>1356</v>
      </c>
      <c r="P769" s="45" t="s">
        <v>1338</v>
      </c>
      <c r="Q769" s="45" t="s">
        <v>1465</v>
      </c>
      <c r="R769" s="203"/>
      <c r="S769" s="203"/>
      <c r="T769" s="203"/>
      <c r="U769" s="203"/>
      <c r="V769" s="204"/>
      <c r="W769" s="204"/>
      <c r="X769" s="204"/>
      <c r="Y769" s="204"/>
      <c r="Z769" s="204"/>
      <c r="AA769" s="204"/>
      <c r="AB769" s="204"/>
      <c r="AC769" s="204"/>
      <c r="AD769" s="204"/>
      <c r="AE769" s="204"/>
      <c r="AF769" s="204"/>
      <c r="AG769" s="204"/>
    </row>
    <row r="770" spans="1:34" ht="16" customHeight="1">
      <c r="A770" s="7"/>
      <c r="B770" s="10"/>
      <c r="C770" s="12"/>
      <c r="D770" s="203"/>
      <c r="E770" s="203"/>
      <c r="F770" s="202"/>
      <c r="G770" s="203"/>
      <c r="H770" s="202"/>
      <c r="I770" s="202"/>
      <c r="J770" s="203"/>
      <c r="K770" s="203"/>
      <c r="L770" s="291" t="s">
        <v>1429</v>
      </c>
      <c r="M770" s="202"/>
      <c r="N770" s="45" t="str">
        <f t="shared" si="75"/>
        <v>FY2010-11</v>
      </c>
      <c r="O770" s="45" t="s">
        <v>1356</v>
      </c>
      <c r="P770" s="45" t="s">
        <v>1338</v>
      </c>
      <c r="Q770" s="45" t="s">
        <v>1465</v>
      </c>
      <c r="R770" s="203"/>
      <c r="S770" s="203"/>
      <c r="T770" s="203"/>
      <c r="U770" s="203"/>
      <c r="V770" s="204"/>
      <c r="W770" s="204"/>
      <c r="X770" s="204"/>
      <c r="Y770" s="204"/>
      <c r="Z770" s="204"/>
      <c r="AA770" s="204"/>
      <c r="AB770" s="204"/>
      <c r="AC770" s="204"/>
      <c r="AD770" s="204"/>
      <c r="AE770" s="204"/>
      <c r="AF770" s="204"/>
      <c r="AG770" s="204"/>
    </row>
    <row r="771" spans="1:34" ht="16" customHeight="1">
      <c r="A771" s="7"/>
      <c r="B771" s="10"/>
      <c r="C771" s="12"/>
      <c r="D771" s="203"/>
      <c r="E771" s="203"/>
      <c r="F771" s="202"/>
      <c r="G771" s="203"/>
      <c r="H771" s="202"/>
      <c r="I771" s="202"/>
      <c r="J771" s="203"/>
      <c r="K771" s="203"/>
      <c r="L771" s="291" t="s">
        <v>1429</v>
      </c>
      <c r="M771" s="202"/>
      <c r="N771" s="45" t="str">
        <f t="shared" si="75"/>
        <v>FY2010-11</v>
      </c>
      <c r="O771" s="45" t="s">
        <v>1356</v>
      </c>
      <c r="P771" s="45" t="s">
        <v>1338</v>
      </c>
      <c r="Q771" s="45" t="s">
        <v>1465</v>
      </c>
      <c r="R771" s="203"/>
      <c r="S771" s="203"/>
      <c r="T771" s="203"/>
      <c r="U771" s="203"/>
      <c r="V771" s="204"/>
      <c r="W771" s="204"/>
      <c r="X771" s="204"/>
      <c r="Y771" s="204"/>
      <c r="Z771" s="204"/>
      <c r="AA771" s="204"/>
      <c r="AB771" s="204"/>
      <c r="AC771" s="204"/>
      <c r="AD771" s="204"/>
      <c r="AE771" s="204"/>
      <c r="AF771" s="204"/>
      <c r="AG771" s="204"/>
    </row>
    <row r="772" spans="1:34" ht="16" customHeight="1">
      <c r="A772" s="44"/>
      <c r="B772" s="41"/>
      <c r="C772" s="41"/>
      <c r="D772" s="42"/>
      <c r="E772" s="42"/>
      <c r="F772" s="43"/>
      <c r="G772" s="42"/>
      <c r="H772" s="43"/>
      <c r="I772" s="43"/>
      <c r="J772" s="42"/>
      <c r="K772" s="42"/>
      <c r="L772" s="290"/>
      <c r="M772" s="43"/>
      <c r="N772" s="43"/>
      <c r="O772" s="42"/>
      <c r="P772" s="43"/>
      <c r="Q772" s="43"/>
      <c r="R772" s="42"/>
      <c r="S772" s="42"/>
      <c r="T772" s="42"/>
      <c r="U772" s="42"/>
      <c r="V772" s="44"/>
      <c r="W772" s="44"/>
      <c r="X772" s="44"/>
      <c r="Y772" s="44"/>
      <c r="Z772" s="44"/>
      <c r="AA772" s="44"/>
      <c r="AB772" s="44"/>
      <c r="AC772" s="44"/>
      <c r="AD772" s="44"/>
      <c r="AE772" s="44"/>
      <c r="AF772" s="44"/>
      <c r="AG772" s="44"/>
    </row>
    <row r="773" spans="1:34" ht="16" customHeight="1" thickBot="1">
      <c r="A773" s="7"/>
      <c r="B773" s="19" t="str">
        <f>"FA5 = "&amp;'FIG3'!$W$56&amp;" "&amp;'FIG3'!$X$56</f>
        <v>FA5 = FA5L1 FA5L2</v>
      </c>
      <c r="C773" s="7"/>
      <c r="D773" s="8"/>
      <c r="E773" s="8"/>
      <c r="F773" s="9"/>
      <c r="G773" s="8"/>
      <c r="H773" s="9"/>
      <c r="I773" s="9"/>
      <c r="J773" s="8"/>
      <c r="K773" s="8"/>
      <c r="L773" s="280"/>
      <c r="M773" s="9"/>
      <c r="N773" s="9"/>
      <c r="O773" s="8"/>
      <c r="P773" s="9"/>
      <c r="Q773" s="9"/>
      <c r="R773" s="8"/>
      <c r="S773" s="882"/>
      <c r="T773" s="883" t="str">
        <f>'$REV-DB'!$T$34</f>
        <v>Federal Revenues</v>
      </c>
      <c r="U773" s="883" t="str">
        <f>'$REV-DB'!$U$34</f>
        <v>local Revenues</v>
      </c>
      <c r="V773" s="883" t="str">
        <f>'$REV-DB'!$V$34</f>
        <v>Other Revenues</v>
      </c>
      <c r="W773" s="883" t="str">
        <f>'$REV-DB'!$W$34</f>
        <v>State revenues</v>
      </c>
      <c r="X773" s="883" t="str">
        <f>'$REV-DB'!$X$34</f>
        <v>UD5</v>
      </c>
      <c r="Y773" s="883" t="str">
        <f>'$REV-DB'!$Y$34</f>
        <v>UD6</v>
      </c>
      <c r="Z773" s="883" t="str">
        <f>'$REV-DB'!$Z$34</f>
        <v>UD7</v>
      </c>
      <c r="AA773" s="883" t="str">
        <f>'$REV-DB'!$AA$34</f>
        <v>UD8</v>
      </c>
      <c r="AB773" s="883" t="str">
        <f>'$REV-DB'!$AB$34</f>
        <v>UD9</v>
      </c>
      <c r="AC773" s="883" t="str">
        <f>'$REV-DB'!$AC$34</f>
        <v>UD10</v>
      </c>
      <c r="AD773" s="883" t="str">
        <f>'$REV-DB'!$AD$34</f>
        <v>UD11</v>
      </c>
      <c r="AE773" s="883" t="str">
        <f>'$REV-DB'!$AE$34</f>
        <v>UD12</v>
      </c>
      <c r="AF773" s="883" t="str">
        <f>'$REV-DB'!$AF$34</f>
        <v>UD13</v>
      </c>
      <c r="AG773" s="883" t="str">
        <f>'$REV-DB'!$AG$34</f>
        <v>UD14</v>
      </c>
    </row>
    <row r="774" spans="1:34" ht="16" customHeight="1" thickTop="1" thickBot="1">
      <c r="A774" s="7"/>
      <c r="B774" s="20" t="s">
        <v>1399</v>
      </c>
      <c r="C774" s="15"/>
      <c r="D774" s="105" t="s">
        <v>1386</v>
      </c>
      <c r="E774" s="105" t="s">
        <v>1387</v>
      </c>
      <c r="F774" s="105" t="s">
        <v>1388</v>
      </c>
      <c r="G774" s="105" t="s">
        <v>1389</v>
      </c>
      <c r="H774" s="301" t="s">
        <v>1406</v>
      </c>
      <c r="I774" s="301" t="s">
        <v>1390</v>
      </c>
      <c r="J774" s="301" t="s">
        <v>1391</v>
      </c>
      <c r="K774" s="301" t="s">
        <v>1392</v>
      </c>
      <c r="L774" s="301" t="s">
        <v>1188</v>
      </c>
      <c r="M774" s="301" t="s">
        <v>1437</v>
      </c>
      <c r="N774" s="105" t="s">
        <v>1348</v>
      </c>
      <c r="O774" s="105" t="s">
        <v>1393</v>
      </c>
      <c r="P774" s="105" t="s">
        <v>1342</v>
      </c>
      <c r="Q774" s="105" t="s">
        <v>1394</v>
      </c>
      <c r="R774" s="112" t="s">
        <v>1341</v>
      </c>
      <c r="S774" s="112" t="s">
        <v>846</v>
      </c>
      <c r="T774" s="873" t="s">
        <v>935</v>
      </c>
      <c r="U774" s="873" t="s">
        <v>936</v>
      </c>
      <c r="V774" s="873" t="s">
        <v>937</v>
      </c>
      <c r="W774" s="873" t="s">
        <v>938</v>
      </c>
      <c r="X774" s="873" t="s">
        <v>939</v>
      </c>
      <c r="Y774" s="873" t="s">
        <v>940</v>
      </c>
      <c r="Z774" s="873" t="s">
        <v>941</v>
      </c>
      <c r="AA774" s="873" t="s">
        <v>942</v>
      </c>
      <c r="AB774" s="873" t="s">
        <v>943</v>
      </c>
      <c r="AC774" s="873" t="s">
        <v>944</v>
      </c>
      <c r="AD774" s="873" t="s">
        <v>945</v>
      </c>
      <c r="AE774" s="873" t="s">
        <v>946</v>
      </c>
      <c r="AF774" s="873" t="s">
        <v>947</v>
      </c>
      <c r="AG774" s="873" t="s">
        <v>948</v>
      </c>
      <c r="AH774" s="6"/>
    </row>
    <row r="775" spans="1:34" ht="16" customHeight="1" thickTop="1">
      <c r="A775" s="7"/>
      <c r="B775" s="19" t="s">
        <v>1350</v>
      </c>
      <c r="C775" s="12"/>
      <c r="D775" s="203"/>
      <c r="E775" s="203"/>
      <c r="F775" s="202"/>
      <c r="G775" s="203"/>
      <c r="H775" s="202"/>
      <c r="I775" s="202"/>
      <c r="J775" s="203"/>
      <c r="K775" s="203"/>
      <c r="L775" s="291" t="s">
        <v>1429</v>
      </c>
      <c r="M775" s="202"/>
      <c r="N775" s="45" t="str">
        <f>J$6</f>
        <v>FY2010-11</v>
      </c>
      <c r="O775" s="45" t="s">
        <v>1356</v>
      </c>
      <c r="P775" s="45" t="s">
        <v>1338</v>
      </c>
      <c r="Q775" s="45" t="s">
        <v>1340</v>
      </c>
      <c r="R775" s="203"/>
      <c r="S775" s="203"/>
      <c r="T775" s="203"/>
      <c r="U775" s="203"/>
      <c r="V775" s="204"/>
      <c r="W775" s="204"/>
      <c r="X775" s="204"/>
      <c r="Y775" s="204"/>
      <c r="Z775" s="204"/>
      <c r="AA775" s="204"/>
      <c r="AB775" s="204"/>
      <c r="AC775" s="204"/>
      <c r="AD775" s="204"/>
      <c r="AE775" s="204"/>
      <c r="AF775" s="204"/>
      <c r="AG775" s="204"/>
      <c r="AH775" s="6"/>
    </row>
    <row r="776" spans="1:34" ht="16" customHeight="1">
      <c r="A776" s="7"/>
      <c r="B776" s="16">
        <f>DSUM('$REV-DB'!D35:AG374,"AMOUNT",'$REV-DSUM'!D774:AG781)</f>
        <v>0</v>
      </c>
      <c r="C776" s="12"/>
      <c r="D776" s="203"/>
      <c r="E776" s="203"/>
      <c r="F776" s="202"/>
      <c r="G776" s="203"/>
      <c r="H776" s="202"/>
      <c r="I776" s="202"/>
      <c r="J776" s="203"/>
      <c r="K776" s="203"/>
      <c r="L776" s="291" t="s">
        <v>1429</v>
      </c>
      <c r="M776" s="202"/>
      <c r="N776" s="45" t="str">
        <f t="shared" ref="N776:N781" si="76">J$6</f>
        <v>FY2010-11</v>
      </c>
      <c r="O776" s="45" t="s">
        <v>1356</v>
      </c>
      <c r="P776" s="45" t="s">
        <v>1338</v>
      </c>
      <c r="Q776" s="45" t="s">
        <v>1340</v>
      </c>
      <c r="R776" s="203"/>
      <c r="S776" s="203"/>
      <c r="T776" s="203"/>
      <c r="U776" s="203"/>
      <c r="V776" s="204"/>
      <c r="W776" s="204"/>
      <c r="X776" s="204"/>
      <c r="Y776" s="204"/>
      <c r="Z776" s="204"/>
      <c r="AA776" s="204"/>
      <c r="AB776" s="204"/>
      <c r="AC776" s="204"/>
      <c r="AD776" s="204"/>
      <c r="AE776" s="204"/>
      <c r="AF776" s="204"/>
      <c r="AG776" s="204"/>
      <c r="AH776" s="6"/>
    </row>
    <row r="777" spans="1:34" ht="16" customHeight="1">
      <c r="A777" s="7"/>
      <c r="B777" s="10"/>
      <c r="C777" s="12"/>
      <c r="D777" s="203"/>
      <c r="E777" s="203"/>
      <c r="F777" s="202"/>
      <c r="G777" s="203"/>
      <c r="H777" s="202"/>
      <c r="I777" s="202"/>
      <c r="J777" s="203"/>
      <c r="K777" s="203"/>
      <c r="L777" s="291" t="s">
        <v>1429</v>
      </c>
      <c r="M777" s="202"/>
      <c r="N777" s="45" t="str">
        <f t="shared" si="76"/>
        <v>FY2010-11</v>
      </c>
      <c r="O777" s="45" t="s">
        <v>1356</v>
      </c>
      <c r="P777" s="45" t="s">
        <v>1338</v>
      </c>
      <c r="Q777" s="45" t="s">
        <v>1340</v>
      </c>
      <c r="R777" s="203"/>
      <c r="S777" s="203"/>
      <c r="T777" s="203"/>
      <c r="U777" s="203"/>
      <c r="V777" s="204"/>
      <c r="W777" s="204"/>
      <c r="X777" s="204"/>
      <c r="Y777" s="204"/>
      <c r="Z777" s="204"/>
      <c r="AA777" s="204"/>
      <c r="AB777" s="204"/>
      <c r="AC777" s="204"/>
      <c r="AD777" s="204"/>
      <c r="AE777" s="204"/>
      <c r="AF777" s="204"/>
      <c r="AG777" s="204"/>
    </row>
    <row r="778" spans="1:34" ht="16" customHeight="1">
      <c r="A778" s="7"/>
      <c r="B778" s="10"/>
      <c r="C778" s="12"/>
      <c r="D778" s="203"/>
      <c r="E778" s="203"/>
      <c r="F778" s="202"/>
      <c r="G778" s="203"/>
      <c r="H778" s="202"/>
      <c r="I778" s="202"/>
      <c r="J778" s="203"/>
      <c r="K778" s="203"/>
      <c r="L778" s="291" t="s">
        <v>1429</v>
      </c>
      <c r="M778" s="202"/>
      <c r="N778" s="45" t="str">
        <f t="shared" si="76"/>
        <v>FY2010-11</v>
      </c>
      <c r="O778" s="45" t="s">
        <v>1356</v>
      </c>
      <c r="P778" s="45" t="s">
        <v>1338</v>
      </c>
      <c r="Q778" s="45" t="s">
        <v>1340</v>
      </c>
      <c r="R778" s="203"/>
      <c r="S778" s="203"/>
      <c r="T778" s="203"/>
      <c r="U778" s="203"/>
      <c r="V778" s="204"/>
      <c r="W778" s="204"/>
      <c r="X778" s="204"/>
      <c r="Y778" s="204"/>
      <c r="Z778" s="204"/>
      <c r="AA778" s="204"/>
      <c r="AB778" s="204"/>
      <c r="AC778" s="204"/>
      <c r="AD778" s="204"/>
      <c r="AE778" s="204"/>
      <c r="AF778" s="204"/>
      <c r="AG778" s="204"/>
    </row>
    <row r="779" spans="1:34" ht="16" customHeight="1">
      <c r="A779" s="7"/>
      <c r="B779" s="10"/>
      <c r="C779" s="12"/>
      <c r="D779" s="203"/>
      <c r="E779" s="203"/>
      <c r="F779" s="202"/>
      <c r="G779" s="203"/>
      <c r="H779" s="202"/>
      <c r="I779" s="202"/>
      <c r="J779" s="203"/>
      <c r="K779" s="203"/>
      <c r="L779" s="291" t="s">
        <v>1429</v>
      </c>
      <c r="M779" s="202"/>
      <c r="N779" s="45" t="str">
        <f t="shared" si="76"/>
        <v>FY2010-11</v>
      </c>
      <c r="O779" s="45" t="s">
        <v>1356</v>
      </c>
      <c r="P779" s="45" t="s">
        <v>1338</v>
      </c>
      <c r="Q779" s="45" t="s">
        <v>1340</v>
      </c>
      <c r="R779" s="203"/>
      <c r="S779" s="203"/>
      <c r="T779" s="203"/>
      <c r="U779" s="203"/>
      <c r="V779" s="204"/>
      <c r="W779" s="204"/>
      <c r="X779" s="204"/>
      <c r="Y779" s="204"/>
      <c r="Z779" s="204"/>
      <c r="AA779" s="204"/>
      <c r="AB779" s="204"/>
      <c r="AC779" s="204"/>
      <c r="AD779" s="204"/>
      <c r="AE779" s="204"/>
      <c r="AF779" s="204"/>
      <c r="AG779" s="204"/>
    </row>
    <row r="780" spans="1:34" ht="16" customHeight="1">
      <c r="A780" s="7"/>
      <c r="B780" s="10"/>
      <c r="C780" s="12"/>
      <c r="D780" s="203"/>
      <c r="E780" s="203"/>
      <c r="F780" s="202"/>
      <c r="G780" s="203"/>
      <c r="H780" s="202"/>
      <c r="I780" s="202"/>
      <c r="J780" s="203"/>
      <c r="K780" s="203"/>
      <c r="L780" s="291" t="s">
        <v>1429</v>
      </c>
      <c r="M780" s="202"/>
      <c r="N780" s="45" t="str">
        <f t="shared" si="76"/>
        <v>FY2010-11</v>
      </c>
      <c r="O780" s="45" t="s">
        <v>1356</v>
      </c>
      <c r="P780" s="45" t="s">
        <v>1338</v>
      </c>
      <c r="Q780" s="45" t="s">
        <v>1340</v>
      </c>
      <c r="R780" s="203"/>
      <c r="S780" s="203"/>
      <c r="T780" s="203"/>
      <c r="U780" s="203"/>
      <c r="V780" s="204"/>
      <c r="W780" s="204"/>
      <c r="X780" s="204"/>
      <c r="Y780" s="204"/>
      <c r="Z780" s="204"/>
      <c r="AA780" s="204"/>
      <c r="AB780" s="204"/>
      <c r="AC780" s="204"/>
      <c r="AD780" s="204"/>
      <c r="AE780" s="204"/>
      <c r="AF780" s="204"/>
      <c r="AG780" s="204"/>
    </row>
    <row r="781" spans="1:34" ht="16" customHeight="1">
      <c r="A781" s="7"/>
      <c r="B781" s="10"/>
      <c r="C781" s="12"/>
      <c r="D781" s="203"/>
      <c r="E781" s="203"/>
      <c r="F781" s="202"/>
      <c r="G781" s="203"/>
      <c r="H781" s="202"/>
      <c r="I781" s="202"/>
      <c r="J781" s="203"/>
      <c r="K781" s="203"/>
      <c r="L781" s="291" t="s">
        <v>1429</v>
      </c>
      <c r="M781" s="202"/>
      <c r="N781" s="45" t="str">
        <f t="shared" si="76"/>
        <v>FY2010-11</v>
      </c>
      <c r="O781" s="45" t="s">
        <v>1356</v>
      </c>
      <c r="P781" s="45" t="s">
        <v>1338</v>
      </c>
      <c r="Q781" s="45" t="s">
        <v>1340</v>
      </c>
      <c r="R781" s="203"/>
      <c r="S781" s="203"/>
      <c r="T781" s="203"/>
      <c r="U781" s="203"/>
      <c r="V781" s="204"/>
      <c r="W781" s="204"/>
      <c r="X781" s="204"/>
      <c r="Y781" s="204"/>
      <c r="Z781" s="204"/>
      <c r="AA781" s="204"/>
      <c r="AB781" s="204"/>
      <c r="AC781" s="204"/>
      <c r="AD781" s="204"/>
      <c r="AE781" s="204"/>
      <c r="AF781" s="204"/>
      <c r="AG781" s="204"/>
    </row>
    <row r="782" spans="1:34" ht="16" customHeight="1">
      <c r="A782" s="44"/>
      <c r="B782" s="41"/>
      <c r="C782" s="41"/>
      <c r="D782" s="42"/>
      <c r="E782" s="42"/>
      <c r="F782" s="43"/>
      <c r="G782" s="42"/>
      <c r="H782" s="43"/>
      <c r="I782" s="43"/>
      <c r="J782" s="42"/>
      <c r="K782" s="42"/>
      <c r="L782" s="290"/>
      <c r="M782" s="43"/>
      <c r="N782" s="43"/>
      <c r="O782" s="42"/>
      <c r="P782" s="43"/>
      <c r="Q782" s="43"/>
      <c r="R782" s="42"/>
      <c r="S782" s="42"/>
      <c r="T782" s="42"/>
      <c r="U782" s="42"/>
      <c r="V782" s="44"/>
      <c r="W782" s="44"/>
      <c r="X782" s="44"/>
      <c r="Y782" s="44"/>
      <c r="Z782" s="44"/>
      <c r="AA782" s="44"/>
      <c r="AB782" s="44"/>
      <c r="AC782" s="44"/>
      <c r="AD782" s="44"/>
      <c r="AE782" s="44"/>
      <c r="AF782" s="44"/>
      <c r="AG782" s="44"/>
    </row>
    <row r="783" spans="1:34" ht="16" customHeight="1" thickBot="1">
      <c r="A783" s="7"/>
      <c r="B783" s="19" t="str">
        <f>"FA5 = "&amp;'FIG3'!$W$56&amp;" "&amp;'FIG3'!$X$56</f>
        <v>FA5 = FA5L1 FA5L2</v>
      </c>
      <c r="C783" s="7"/>
      <c r="D783" s="17"/>
      <c r="E783" s="17"/>
      <c r="F783" s="18"/>
      <c r="G783" s="17"/>
      <c r="H783" s="18"/>
      <c r="I783" s="18"/>
      <c r="J783" s="17"/>
      <c r="K783" s="17"/>
      <c r="L783" s="281"/>
      <c r="M783" s="18"/>
      <c r="N783" s="9"/>
      <c r="O783" s="17"/>
      <c r="P783" s="18"/>
      <c r="Q783" s="18"/>
      <c r="R783" s="17"/>
      <c r="S783" s="882"/>
      <c r="T783" s="883" t="str">
        <f>'$REV-DB'!$T$34</f>
        <v>Federal Revenues</v>
      </c>
      <c r="U783" s="883" t="str">
        <f>'$REV-DB'!$U$34</f>
        <v>local Revenues</v>
      </c>
      <c r="V783" s="883" t="str">
        <f>'$REV-DB'!$V$34</f>
        <v>Other Revenues</v>
      </c>
      <c r="W783" s="883" t="str">
        <f>'$REV-DB'!$W$34</f>
        <v>State revenues</v>
      </c>
      <c r="X783" s="883" t="str">
        <f>'$REV-DB'!$X$34</f>
        <v>UD5</v>
      </c>
      <c r="Y783" s="883" t="str">
        <f>'$REV-DB'!$Y$34</f>
        <v>UD6</v>
      </c>
      <c r="Z783" s="883" t="str">
        <f>'$REV-DB'!$Z$34</f>
        <v>UD7</v>
      </c>
      <c r="AA783" s="883" t="str">
        <f>'$REV-DB'!$AA$34</f>
        <v>UD8</v>
      </c>
      <c r="AB783" s="883" t="str">
        <f>'$REV-DB'!$AB$34</f>
        <v>UD9</v>
      </c>
      <c r="AC783" s="883" t="str">
        <f>'$REV-DB'!$AC$34</f>
        <v>UD10</v>
      </c>
      <c r="AD783" s="883" t="str">
        <f>'$REV-DB'!$AD$34</f>
        <v>UD11</v>
      </c>
      <c r="AE783" s="883" t="str">
        <f>'$REV-DB'!$AE$34</f>
        <v>UD12</v>
      </c>
      <c r="AF783" s="883" t="str">
        <f>'$REV-DB'!$AF$34</f>
        <v>UD13</v>
      </c>
      <c r="AG783" s="883" t="str">
        <f>'$REV-DB'!$AG$34</f>
        <v>UD14</v>
      </c>
    </row>
    <row r="784" spans="1:34" ht="16" customHeight="1" thickTop="1" thickBot="1">
      <c r="A784" s="7"/>
      <c r="B784" s="20" t="s">
        <v>1375</v>
      </c>
      <c r="C784" s="15"/>
      <c r="D784" s="105" t="s">
        <v>1386</v>
      </c>
      <c r="E784" s="105" t="s">
        <v>1387</v>
      </c>
      <c r="F784" s="105" t="s">
        <v>1388</v>
      </c>
      <c r="G784" s="105" t="s">
        <v>1389</v>
      </c>
      <c r="H784" s="301" t="s">
        <v>1406</v>
      </c>
      <c r="I784" s="301" t="s">
        <v>1390</v>
      </c>
      <c r="J784" s="301" t="s">
        <v>1391</v>
      </c>
      <c r="K784" s="301" t="s">
        <v>1392</v>
      </c>
      <c r="L784" s="301" t="s">
        <v>1188</v>
      </c>
      <c r="M784" s="301" t="s">
        <v>1437</v>
      </c>
      <c r="N784" s="105" t="s">
        <v>1348</v>
      </c>
      <c r="O784" s="105" t="s">
        <v>1393</v>
      </c>
      <c r="P784" s="105" t="s">
        <v>1342</v>
      </c>
      <c r="Q784" s="105" t="s">
        <v>1394</v>
      </c>
      <c r="R784" s="112" t="s">
        <v>1341</v>
      </c>
      <c r="S784" s="112" t="s">
        <v>846</v>
      </c>
      <c r="T784" s="873" t="s">
        <v>935</v>
      </c>
      <c r="U784" s="873" t="s">
        <v>936</v>
      </c>
      <c r="V784" s="873" t="s">
        <v>937</v>
      </c>
      <c r="W784" s="873" t="s">
        <v>938</v>
      </c>
      <c r="X784" s="873" t="s">
        <v>939</v>
      </c>
      <c r="Y784" s="873" t="s">
        <v>940</v>
      </c>
      <c r="Z784" s="873" t="s">
        <v>941</v>
      </c>
      <c r="AA784" s="873" t="s">
        <v>942</v>
      </c>
      <c r="AB784" s="873" t="s">
        <v>943</v>
      </c>
      <c r="AC784" s="873" t="s">
        <v>944</v>
      </c>
      <c r="AD784" s="873" t="s">
        <v>945</v>
      </c>
      <c r="AE784" s="873" t="s">
        <v>946</v>
      </c>
      <c r="AF784" s="873" t="s">
        <v>947</v>
      </c>
      <c r="AG784" s="873" t="s">
        <v>948</v>
      </c>
      <c r="AH784" s="6"/>
    </row>
    <row r="785" spans="1:34" ht="16" customHeight="1" thickTop="1">
      <c r="A785" s="7"/>
      <c r="B785" s="19" t="s">
        <v>1346</v>
      </c>
      <c r="C785" s="12"/>
      <c r="D785" s="203"/>
      <c r="E785" s="203"/>
      <c r="F785" s="202"/>
      <c r="G785" s="203"/>
      <c r="H785" s="202"/>
      <c r="I785" s="202"/>
      <c r="J785" s="203"/>
      <c r="K785" s="203"/>
      <c r="L785" s="291" t="s">
        <v>1429</v>
      </c>
      <c r="M785" s="202"/>
      <c r="N785" s="45" t="str">
        <f>J$6</f>
        <v>FY2010-11</v>
      </c>
      <c r="O785" s="45" t="s">
        <v>1356</v>
      </c>
      <c r="P785" s="45" t="s">
        <v>1347</v>
      </c>
      <c r="Q785" s="45"/>
      <c r="R785" s="203"/>
      <c r="S785" s="203"/>
      <c r="T785" s="203"/>
      <c r="U785" s="203"/>
      <c r="V785" s="204"/>
      <c r="W785" s="204"/>
      <c r="X785" s="204"/>
      <c r="Y785" s="204"/>
      <c r="Z785" s="204"/>
      <c r="AA785" s="204"/>
      <c r="AB785" s="204"/>
      <c r="AC785" s="204"/>
      <c r="AD785" s="204"/>
      <c r="AE785" s="204"/>
      <c r="AF785" s="204"/>
      <c r="AG785" s="204"/>
      <c r="AH785" s="6"/>
    </row>
    <row r="786" spans="1:34" ht="16" customHeight="1">
      <c r="A786" s="7"/>
      <c r="B786" s="16">
        <f>DSUM('$REV-DB'!D35:AG374,"AMOUNT",'$REV-DSUM'!D784:AG791)</f>
        <v>0</v>
      </c>
      <c r="C786" s="12"/>
      <c r="D786" s="203"/>
      <c r="E786" s="203"/>
      <c r="F786" s="202"/>
      <c r="G786" s="203"/>
      <c r="H786" s="202"/>
      <c r="I786" s="202"/>
      <c r="J786" s="203"/>
      <c r="K786" s="203"/>
      <c r="L786" s="291" t="s">
        <v>1429</v>
      </c>
      <c r="M786" s="202"/>
      <c r="N786" s="45" t="str">
        <f t="shared" ref="N786:N791" si="77">J$6</f>
        <v>FY2010-11</v>
      </c>
      <c r="O786" s="45" t="s">
        <v>1356</v>
      </c>
      <c r="P786" s="45" t="s">
        <v>1347</v>
      </c>
      <c r="Q786" s="45"/>
      <c r="R786" s="203"/>
      <c r="S786" s="203"/>
      <c r="T786" s="203"/>
      <c r="U786" s="203"/>
      <c r="V786" s="204"/>
      <c r="W786" s="204"/>
      <c r="X786" s="204"/>
      <c r="Y786" s="204"/>
      <c r="Z786" s="204"/>
      <c r="AA786" s="204"/>
      <c r="AB786" s="204"/>
      <c r="AC786" s="204"/>
      <c r="AD786" s="204"/>
      <c r="AE786" s="204"/>
      <c r="AF786" s="204"/>
      <c r="AG786" s="204"/>
      <c r="AH786" s="6"/>
    </row>
    <row r="787" spans="1:34" ht="16" customHeight="1">
      <c r="A787" s="7"/>
      <c r="B787" s="10"/>
      <c r="C787" s="12"/>
      <c r="D787" s="203"/>
      <c r="E787" s="203"/>
      <c r="F787" s="202"/>
      <c r="G787" s="203"/>
      <c r="H787" s="202"/>
      <c r="I787" s="202"/>
      <c r="J787" s="203"/>
      <c r="K787" s="203"/>
      <c r="L787" s="291" t="s">
        <v>1429</v>
      </c>
      <c r="M787" s="202"/>
      <c r="N787" s="45" t="str">
        <f t="shared" si="77"/>
        <v>FY2010-11</v>
      </c>
      <c r="O787" s="45" t="s">
        <v>1356</v>
      </c>
      <c r="P787" s="45" t="s">
        <v>1347</v>
      </c>
      <c r="Q787" s="45"/>
      <c r="R787" s="203"/>
      <c r="S787" s="203"/>
      <c r="T787" s="203"/>
      <c r="U787" s="203"/>
      <c r="V787" s="204"/>
      <c r="W787" s="204"/>
      <c r="X787" s="204"/>
      <c r="Y787" s="204"/>
      <c r="Z787" s="204"/>
      <c r="AA787" s="204"/>
      <c r="AB787" s="204"/>
      <c r="AC787" s="204"/>
      <c r="AD787" s="204"/>
      <c r="AE787" s="204"/>
      <c r="AF787" s="204"/>
      <c r="AG787" s="204"/>
    </row>
    <row r="788" spans="1:34" ht="16" customHeight="1">
      <c r="A788" s="7"/>
      <c r="B788" s="10"/>
      <c r="C788" s="12"/>
      <c r="D788" s="203"/>
      <c r="E788" s="203"/>
      <c r="F788" s="202"/>
      <c r="G788" s="203"/>
      <c r="H788" s="202"/>
      <c r="I788" s="202"/>
      <c r="J788" s="203"/>
      <c r="K788" s="203"/>
      <c r="L788" s="291" t="s">
        <v>1429</v>
      </c>
      <c r="M788" s="202"/>
      <c r="N788" s="45" t="str">
        <f t="shared" si="77"/>
        <v>FY2010-11</v>
      </c>
      <c r="O788" s="45" t="s">
        <v>1356</v>
      </c>
      <c r="P788" s="45" t="s">
        <v>1347</v>
      </c>
      <c r="Q788" s="45"/>
      <c r="R788" s="203"/>
      <c r="S788" s="203"/>
      <c r="T788" s="203"/>
      <c r="U788" s="203"/>
      <c r="V788" s="204"/>
      <c r="W788" s="204"/>
      <c r="X788" s="204"/>
      <c r="Y788" s="204"/>
      <c r="Z788" s="204"/>
      <c r="AA788" s="204"/>
      <c r="AB788" s="204"/>
      <c r="AC788" s="204"/>
      <c r="AD788" s="204"/>
      <c r="AE788" s="204"/>
      <c r="AF788" s="204"/>
      <c r="AG788" s="204"/>
    </row>
    <row r="789" spans="1:34" ht="16" customHeight="1">
      <c r="A789" s="7"/>
      <c r="B789" s="10"/>
      <c r="C789" s="12"/>
      <c r="D789" s="203"/>
      <c r="E789" s="203"/>
      <c r="F789" s="202"/>
      <c r="G789" s="203"/>
      <c r="H789" s="202"/>
      <c r="I789" s="202"/>
      <c r="J789" s="203"/>
      <c r="K789" s="203"/>
      <c r="L789" s="291" t="s">
        <v>1429</v>
      </c>
      <c r="M789" s="202"/>
      <c r="N789" s="45" t="str">
        <f t="shared" si="77"/>
        <v>FY2010-11</v>
      </c>
      <c r="O789" s="45" t="s">
        <v>1356</v>
      </c>
      <c r="P789" s="45" t="s">
        <v>1347</v>
      </c>
      <c r="Q789" s="45"/>
      <c r="R789" s="203"/>
      <c r="S789" s="203"/>
      <c r="T789" s="203"/>
      <c r="U789" s="203"/>
      <c r="V789" s="204"/>
      <c r="W789" s="204"/>
      <c r="X789" s="204"/>
      <c r="Y789" s="204"/>
      <c r="Z789" s="204"/>
      <c r="AA789" s="204"/>
      <c r="AB789" s="204"/>
      <c r="AC789" s="204"/>
      <c r="AD789" s="204"/>
      <c r="AE789" s="204"/>
      <c r="AF789" s="204"/>
      <c r="AG789" s="204"/>
    </row>
    <row r="790" spans="1:34" ht="16" customHeight="1">
      <c r="A790" s="7"/>
      <c r="B790" s="10"/>
      <c r="C790" s="12"/>
      <c r="D790" s="203"/>
      <c r="E790" s="203"/>
      <c r="F790" s="202"/>
      <c r="G790" s="203"/>
      <c r="H790" s="202"/>
      <c r="I790" s="202"/>
      <c r="J790" s="203"/>
      <c r="K790" s="203"/>
      <c r="L790" s="291" t="s">
        <v>1429</v>
      </c>
      <c r="M790" s="202"/>
      <c r="N790" s="45" t="str">
        <f t="shared" si="77"/>
        <v>FY2010-11</v>
      </c>
      <c r="O790" s="45" t="s">
        <v>1356</v>
      </c>
      <c r="P790" s="45" t="s">
        <v>1347</v>
      </c>
      <c r="Q790" s="45"/>
      <c r="R790" s="203"/>
      <c r="S790" s="203"/>
      <c r="T790" s="203"/>
      <c r="U790" s="203"/>
      <c r="V790" s="204"/>
      <c r="W790" s="204"/>
      <c r="X790" s="204"/>
      <c r="Y790" s="204"/>
      <c r="Z790" s="204"/>
      <c r="AA790" s="204"/>
      <c r="AB790" s="204"/>
      <c r="AC790" s="204"/>
      <c r="AD790" s="204"/>
      <c r="AE790" s="204"/>
      <c r="AF790" s="204"/>
      <c r="AG790" s="204"/>
    </row>
    <row r="791" spans="1:34" ht="16" customHeight="1">
      <c r="A791" s="7"/>
      <c r="B791" s="10"/>
      <c r="C791" s="12"/>
      <c r="D791" s="203"/>
      <c r="E791" s="203"/>
      <c r="F791" s="202"/>
      <c r="G791" s="203"/>
      <c r="H791" s="202"/>
      <c r="I791" s="202"/>
      <c r="J791" s="203"/>
      <c r="K791" s="203"/>
      <c r="L791" s="291" t="s">
        <v>1429</v>
      </c>
      <c r="M791" s="202"/>
      <c r="N791" s="45" t="str">
        <f t="shared" si="77"/>
        <v>FY2010-11</v>
      </c>
      <c r="O791" s="45" t="s">
        <v>1356</v>
      </c>
      <c r="P791" s="45" t="s">
        <v>1347</v>
      </c>
      <c r="Q791" s="45"/>
      <c r="R791" s="203"/>
      <c r="S791" s="203"/>
      <c r="T791" s="203"/>
      <c r="U791" s="203"/>
      <c r="V791" s="204"/>
      <c r="W791" s="204"/>
      <c r="X791" s="204"/>
      <c r="Y791" s="204"/>
      <c r="Z791" s="204"/>
      <c r="AA791" s="204"/>
      <c r="AB791" s="204"/>
      <c r="AC791" s="204"/>
      <c r="AD791" s="204"/>
      <c r="AE791" s="204"/>
      <c r="AF791" s="204"/>
      <c r="AG791" s="204"/>
    </row>
    <row r="792" spans="1:34" ht="16" customHeight="1">
      <c r="A792" s="44"/>
      <c r="B792" s="41"/>
      <c r="C792" s="41"/>
      <c r="D792" s="42"/>
      <c r="E792" s="42"/>
      <c r="F792" s="43"/>
      <c r="G792" s="42"/>
      <c r="H792" s="43"/>
      <c r="I792" s="43"/>
      <c r="J792" s="42"/>
      <c r="K792" s="42"/>
      <c r="L792" s="290"/>
      <c r="M792" s="43"/>
      <c r="N792" s="43"/>
      <c r="O792" s="42"/>
      <c r="P792" s="43"/>
      <c r="Q792" s="43"/>
      <c r="R792" s="42"/>
      <c r="S792" s="42"/>
      <c r="T792" s="42"/>
      <c r="U792" s="42"/>
      <c r="V792" s="44"/>
      <c r="W792" s="44"/>
      <c r="X792" s="44"/>
      <c r="Y792" s="44"/>
      <c r="Z792" s="44"/>
      <c r="AA792" s="44"/>
      <c r="AB792" s="44"/>
      <c r="AC792" s="44"/>
      <c r="AD792" s="44"/>
      <c r="AE792" s="44"/>
      <c r="AF792" s="44"/>
      <c r="AG792" s="44"/>
    </row>
    <row r="793" spans="1:34" ht="16" customHeight="1" thickBot="1">
      <c r="A793" s="7"/>
      <c r="B793" s="19" t="str">
        <f>"FA5 = "&amp;'FIG3'!$W$56&amp;" "&amp;'FIG3'!$X$56</f>
        <v>FA5 = FA5L1 FA5L2</v>
      </c>
      <c r="C793" s="7"/>
      <c r="D793" s="8"/>
      <c r="E793" s="8"/>
      <c r="F793" s="9"/>
      <c r="G793" s="8"/>
      <c r="H793" s="9"/>
      <c r="I793" s="9"/>
      <c r="J793" s="8"/>
      <c r="K793" s="8"/>
      <c r="L793" s="280"/>
      <c r="M793" s="9"/>
      <c r="N793" s="9"/>
      <c r="O793" s="8"/>
      <c r="P793" s="9"/>
      <c r="Q793" s="9"/>
      <c r="R793" s="8"/>
      <c r="S793" s="882"/>
      <c r="T793" s="883" t="str">
        <f>'$REV-DB'!$T$34</f>
        <v>Federal Revenues</v>
      </c>
      <c r="U793" s="883" t="str">
        <f>'$REV-DB'!$U$34</f>
        <v>local Revenues</v>
      </c>
      <c r="V793" s="883" t="str">
        <f>'$REV-DB'!$V$34</f>
        <v>Other Revenues</v>
      </c>
      <c r="W793" s="883" t="str">
        <f>'$REV-DB'!$W$34</f>
        <v>State revenues</v>
      </c>
      <c r="X793" s="883" t="str">
        <f>'$REV-DB'!$X$34</f>
        <v>UD5</v>
      </c>
      <c r="Y793" s="883" t="str">
        <f>'$REV-DB'!$Y$34</f>
        <v>UD6</v>
      </c>
      <c r="Z793" s="883" t="str">
        <f>'$REV-DB'!$Z$34</f>
        <v>UD7</v>
      </c>
      <c r="AA793" s="883" t="str">
        <f>'$REV-DB'!$AA$34</f>
        <v>UD8</v>
      </c>
      <c r="AB793" s="883" t="str">
        <f>'$REV-DB'!$AB$34</f>
        <v>UD9</v>
      </c>
      <c r="AC793" s="883" t="str">
        <f>'$REV-DB'!$AC$34</f>
        <v>UD10</v>
      </c>
      <c r="AD793" s="883" t="str">
        <f>'$REV-DB'!$AD$34</f>
        <v>UD11</v>
      </c>
      <c r="AE793" s="883" t="str">
        <f>'$REV-DB'!$AE$34</f>
        <v>UD12</v>
      </c>
      <c r="AF793" s="883" t="str">
        <f>'$REV-DB'!$AF$34</f>
        <v>UD13</v>
      </c>
      <c r="AG793" s="883" t="str">
        <f>'$REV-DB'!$AG$34</f>
        <v>UD14</v>
      </c>
    </row>
    <row r="794" spans="1:34" ht="16" customHeight="1" thickTop="1" thickBot="1">
      <c r="A794" s="7"/>
      <c r="B794" s="20" t="s">
        <v>1375</v>
      </c>
      <c r="C794" s="15"/>
      <c r="D794" s="105" t="s">
        <v>1386</v>
      </c>
      <c r="E794" s="105" t="s">
        <v>1387</v>
      </c>
      <c r="F794" s="105" t="s">
        <v>1388</v>
      </c>
      <c r="G794" s="105" t="s">
        <v>1389</v>
      </c>
      <c r="H794" s="301" t="s">
        <v>1406</v>
      </c>
      <c r="I794" s="301" t="s">
        <v>1390</v>
      </c>
      <c r="J794" s="301" t="s">
        <v>1391</v>
      </c>
      <c r="K794" s="301" t="s">
        <v>1392</v>
      </c>
      <c r="L794" s="301" t="s">
        <v>1188</v>
      </c>
      <c r="M794" s="301" t="s">
        <v>1437</v>
      </c>
      <c r="N794" s="105" t="s">
        <v>1348</v>
      </c>
      <c r="O794" s="105" t="s">
        <v>1393</v>
      </c>
      <c r="P794" s="105" t="s">
        <v>1342</v>
      </c>
      <c r="Q794" s="105" t="s">
        <v>1394</v>
      </c>
      <c r="R794" s="112" t="s">
        <v>1341</v>
      </c>
      <c r="S794" s="112" t="s">
        <v>846</v>
      </c>
      <c r="T794" s="873" t="s">
        <v>935</v>
      </c>
      <c r="U794" s="873" t="s">
        <v>936</v>
      </c>
      <c r="V794" s="873" t="s">
        <v>937</v>
      </c>
      <c r="W794" s="873" t="s">
        <v>938</v>
      </c>
      <c r="X794" s="873" t="s">
        <v>939</v>
      </c>
      <c r="Y794" s="873" t="s">
        <v>940</v>
      </c>
      <c r="Z794" s="873" t="s">
        <v>941</v>
      </c>
      <c r="AA794" s="873" t="s">
        <v>942</v>
      </c>
      <c r="AB794" s="873" t="s">
        <v>943</v>
      </c>
      <c r="AC794" s="873" t="s">
        <v>944</v>
      </c>
      <c r="AD794" s="873" t="s">
        <v>945</v>
      </c>
      <c r="AE794" s="873" t="s">
        <v>946</v>
      </c>
      <c r="AF794" s="873" t="s">
        <v>947</v>
      </c>
      <c r="AG794" s="873" t="s">
        <v>948</v>
      </c>
      <c r="AH794" s="6"/>
    </row>
    <row r="795" spans="1:34" ht="16" customHeight="1" thickTop="1">
      <c r="A795" s="7"/>
      <c r="B795" s="19" t="s">
        <v>1345</v>
      </c>
      <c r="C795" s="12"/>
      <c r="D795" s="203"/>
      <c r="E795" s="203"/>
      <c r="F795" s="202"/>
      <c r="G795" s="203"/>
      <c r="H795" s="202"/>
      <c r="I795" s="202"/>
      <c r="J795" s="203"/>
      <c r="K795" s="203"/>
      <c r="L795" s="291" t="s">
        <v>1429</v>
      </c>
      <c r="M795" s="202"/>
      <c r="N795" s="45" t="str">
        <f>J$6</f>
        <v>FY2010-11</v>
      </c>
      <c r="O795" s="45" t="s">
        <v>1356</v>
      </c>
      <c r="P795" s="45" t="s">
        <v>1347</v>
      </c>
      <c r="Q795" s="45" t="s">
        <v>1380</v>
      </c>
      <c r="R795" s="203"/>
      <c r="S795" s="203"/>
      <c r="T795" s="203"/>
      <c r="U795" s="203"/>
      <c r="V795" s="204"/>
      <c r="W795" s="204"/>
      <c r="X795" s="204"/>
      <c r="Y795" s="204"/>
      <c r="Z795" s="204"/>
      <c r="AA795" s="204"/>
      <c r="AB795" s="204"/>
      <c r="AC795" s="204"/>
      <c r="AD795" s="204"/>
      <c r="AE795" s="204"/>
      <c r="AF795" s="204"/>
      <c r="AG795" s="204"/>
      <c r="AH795" s="6"/>
    </row>
    <row r="796" spans="1:34" ht="16" customHeight="1">
      <c r="A796" s="7"/>
      <c r="B796" s="16">
        <f>DSUM('$REV-DB'!D35:AG374,"AMOUNT",'$REV-DSUM'!D794:AG801)</f>
        <v>0</v>
      </c>
      <c r="C796" s="12"/>
      <c r="D796" s="203"/>
      <c r="E796" s="203"/>
      <c r="F796" s="202"/>
      <c r="G796" s="203"/>
      <c r="H796" s="202"/>
      <c r="I796" s="202"/>
      <c r="J796" s="203"/>
      <c r="K796" s="203"/>
      <c r="L796" s="291" t="s">
        <v>1429</v>
      </c>
      <c r="M796" s="202"/>
      <c r="N796" s="45" t="str">
        <f t="shared" ref="N796:N801" si="78">J$6</f>
        <v>FY2010-11</v>
      </c>
      <c r="O796" s="45" t="s">
        <v>1356</v>
      </c>
      <c r="P796" s="45" t="s">
        <v>1347</v>
      </c>
      <c r="Q796" s="45" t="s">
        <v>1380</v>
      </c>
      <c r="R796" s="203"/>
      <c r="S796" s="203"/>
      <c r="T796" s="203"/>
      <c r="U796" s="203"/>
      <c r="V796" s="204"/>
      <c r="W796" s="204"/>
      <c r="X796" s="204"/>
      <c r="Y796" s="204"/>
      <c r="Z796" s="204"/>
      <c r="AA796" s="204"/>
      <c r="AB796" s="204"/>
      <c r="AC796" s="204"/>
      <c r="AD796" s="204"/>
      <c r="AE796" s="204"/>
      <c r="AF796" s="204"/>
      <c r="AG796" s="204"/>
      <c r="AH796" s="6"/>
    </row>
    <row r="797" spans="1:34" ht="16" customHeight="1">
      <c r="A797" s="7"/>
      <c r="B797" s="10"/>
      <c r="C797" s="12"/>
      <c r="D797" s="203"/>
      <c r="E797" s="203"/>
      <c r="F797" s="202"/>
      <c r="G797" s="203"/>
      <c r="H797" s="202"/>
      <c r="I797" s="202"/>
      <c r="J797" s="203"/>
      <c r="K797" s="203"/>
      <c r="L797" s="291" t="s">
        <v>1429</v>
      </c>
      <c r="M797" s="202"/>
      <c r="N797" s="45" t="str">
        <f t="shared" si="78"/>
        <v>FY2010-11</v>
      </c>
      <c r="O797" s="45" t="s">
        <v>1356</v>
      </c>
      <c r="P797" s="45" t="s">
        <v>1347</v>
      </c>
      <c r="Q797" s="45" t="s">
        <v>1380</v>
      </c>
      <c r="R797" s="203"/>
      <c r="S797" s="203"/>
      <c r="T797" s="203"/>
      <c r="U797" s="203"/>
      <c r="V797" s="204"/>
      <c r="W797" s="204"/>
      <c r="X797" s="204"/>
      <c r="Y797" s="204"/>
      <c r="Z797" s="204"/>
      <c r="AA797" s="204"/>
      <c r="AB797" s="204"/>
      <c r="AC797" s="204"/>
      <c r="AD797" s="204"/>
      <c r="AE797" s="204"/>
      <c r="AF797" s="204"/>
      <c r="AG797" s="204"/>
    </row>
    <row r="798" spans="1:34" ht="16" customHeight="1">
      <c r="A798" s="7"/>
      <c r="B798" s="10"/>
      <c r="C798" s="12"/>
      <c r="D798" s="203"/>
      <c r="E798" s="203"/>
      <c r="F798" s="202"/>
      <c r="G798" s="203"/>
      <c r="H798" s="202"/>
      <c r="I798" s="202"/>
      <c r="J798" s="203"/>
      <c r="K798" s="203"/>
      <c r="L798" s="291" t="s">
        <v>1429</v>
      </c>
      <c r="M798" s="202"/>
      <c r="N798" s="45" t="str">
        <f t="shared" si="78"/>
        <v>FY2010-11</v>
      </c>
      <c r="O798" s="45" t="s">
        <v>1356</v>
      </c>
      <c r="P798" s="45" t="s">
        <v>1347</v>
      </c>
      <c r="Q798" s="45" t="s">
        <v>1380</v>
      </c>
      <c r="R798" s="203"/>
      <c r="S798" s="203"/>
      <c r="T798" s="203"/>
      <c r="U798" s="203"/>
      <c r="V798" s="204"/>
      <c r="W798" s="204"/>
      <c r="X798" s="204"/>
      <c r="Y798" s="204"/>
      <c r="Z798" s="204"/>
      <c r="AA798" s="204"/>
      <c r="AB798" s="204"/>
      <c r="AC798" s="204"/>
      <c r="AD798" s="204"/>
      <c r="AE798" s="204"/>
      <c r="AF798" s="204"/>
      <c r="AG798" s="204"/>
    </row>
    <row r="799" spans="1:34" ht="16" customHeight="1">
      <c r="A799" s="7"/>
      <c r="B799" s="10"/>
      <c r="C799" s="12"/>
      <c r="D799" s="203"/>
      <c r="E799" s="203"/>
      <c r="F799" s="202"/>
      <c r="G799" s="203"/>
      <c r="H799" s="202"/>
      <c r="I799" s="202"/>
      <c r="J799" s="203"/>
      <c r="K799" s="203"/>
      <c r="L799" s="291" t="s">
        <v>1429</v>
      </c>
      <c r="M799" s="202"/>
      <c r="N799" s="45" t="str">
        <f t="shared" si="78"/>
        <v>FY2010-11</v>
      </c>
      <c r="O799" s="45" t="s">
        <v>1356</v>
      </c>
      <c r="P799" s="45" t="s">
        <v>1347</v>
      </c>
      <c r="Q799" s="45" t="s">
        <v>1380</v>
      </c>
      <c r="R799" s="203"/>
      <c r="S799" s="203"/>
      <c r="T799" s="203"/>
      <c r="U799" s="203"/>
      <c r="V799" s="204"/>
      <c r="W799" s="204"/>
      <c r="X799" s="204"/>
      <c r="Y799" s="204"/>
      <c r="Z799" s="204"/>
      <c r="AA799" s="204"/>
      <c r="AB799" s="204"/>
      <c r="AC799" s="204"/>
      <c r="AD799" s="204"/>
      <c r="AE799" s="204"/>
      <c r="AF799" s="204"/>
      <c r="AG799" s="204"/>
    </row>
    <row r="800" spans="1:34" ht="16" customHeight="1">
      <c r="A800" s="7"/>
      <c r="B800" s="10"/>
      <c r="C800" s="12"/>
      <c r="D800" s="203"/>
      <c r="E800" s="203"/>
      <c r="F800" s="202"/>
      <c r="G800" s="203"/>
      <c r="H800" s="202"/>
      <c r="I800" s="202"/>
      <c r="J800" s="203"/>
      <c r="K800" s="203"/>
      <c r="L800" s="291" t="s">
        <v>1429</v>
      </c>
      <c r="M800" s="202"/>
      <c r="N800" s="45" t="str">
        <f t="shared" si="78"/>
        <v>FY2010-11</v>
      </c>
      <c r="O800" s="45" t="s">
        <v>1356</v>
      </c>
      <c r="P800" s="45" t="s">
        <v>1347</v>
      </c>
      <c r="Q800" s="45" t="s">
        <v>1380</v>
      </c>
      <c r="R800" s="203"/>
      <c r="S800" s="203"/>
      <c r="T800" s="203"/>
      <c r="U800" s="203"/>
      <c r="V800" s="204"/>
      <c r="W800" s="204"/>
      <c r="X800" s="204"/>
      <c r="Y800" s="204"/>
      <c r="Z800" s="204"/>
      <c r="AA800" s="204"/>
      <c r="AB800" s="204"/>
      <c r="AC800" s="204"/>
      <c r="AD800" s="204"/>
      <c r="AE800" s="204"/>
      <c r="AF800" s="204"/>
      <c r="AG800" s="204"/>
    </row>
    <row r="801" spans="1:34" ht="16" customHeight="1">
      <c r="A801" s="7"/>
      <c r="B801" s="10"/>
      <c r="C801" s="12"/>
      <c r="D801" s="203"/>
      <c r="E801" s="203"/>
      <c r="F801" s="202"/>
      <c r="G801" s="203"/>
      <c r="H801" s="202"/>
      <c r="I801" s="202"/>
      <c r="J801" s="203"/>
      <c r="K801" s="203"/>
      <c r="L801" s="291" t="s">
        <v>1429</v>
      </c>
      <c r="M801" s="202"/>
      <c r="N801" s="45" t="str">
        <f t="shared" si="78"/>
        <v>FY2010-11</v>
      </c>
      <c r="O801" s="45" t="s">
        <v>1356</v>
      </c>
      <c r="P801" s="45" t="s">
        <v>1347</v>
      </c>
      <c r="Q801" s="45" t="s">
        <v>1380</v>
      </c>
      <c r="R801" s="203"/>
      <c r="S801" s="203"/>
      <c r="T801" s="203"/>
      <c r="U801" s="203"/>
      <c r="V801" s="204"/>
      <c r="W801" s="204"/>
      <c r="X801" s="204"/>
      <c r="Y801" s="204"/>
      <c r="Z801" s="204"/>
      <c r="AA801" s="204"/>
      <c r="AB801" s="204"/>
      <c r="AC801" s="204"/>
      <c r="AD801" s="204"/>
      <c r="AE801" s="204"/>
      <c r="AF801" s="204"/>
      <c r="AG801" s="204"/>
    </row>
    <row r="802" spans="1:34" ht="16" customHeight="1">
      <c r="A802" s="44"/>
      <c r="B802" s="41"/>
      <c r="C802" s="41"/>
      <c r="D802" s="42"/>
      <c r="E802" s="42"/>
      <c r="F802" s="43"/>
      <c r="G802" s="42"/>
      <c r="H802" s="43"/>
      <c r="I802" s="43"/>
      <c r="J802" s="42"/>
      <c r="K802" s="42"/>
      <c r="L802" s="290"/>
      <c r="M802" s="43"/>
      <c r="N802" s="43"/>
      <c r="O802" s="42"/>
      <c r="P802" s="43"/>
      <c r="Q802" s="43"/>
      <c r="R802" s="42"/>
      <c r="S802" s="42"/>
      <c r="T802" s="42"/>
      <c r="U802" s="42"/>
      <c r="V802" s="44"/>
      <c r="W802" s="44"/>
      <c r="X802" s="44"/>
      <c r="Y802" s="44"/>
      <c r="Z802" s="44"/>
      <c r="AA802" s="44"/>
      <c r="AB802" s="44"/>
      <c r="AC802" s="44"/>
      <c r="AD802" s="44"/>
      <c r="AE802" s="44"/>
      <c r="AF802" s="44"/>
      <c r="AG802" s="44"/>
    </row>
    <row r="803" spans="1:34" ht="16" customHeight="1" thickBot="1">
      <c r="A803" s="7"/>
      <c r="B803" s="19" t="str">
        <f>"FA5 = "&amp;'FIG3'!$W$56&amp;" "&amp;'FIG3'!$X$56</f>
        <v>FA5 = FA5L1 FA5L2</v>
      </c>
      <c r="C803" s="7"/>
      <c r="D803" s="8"/>
      <c r="E803" s="8"/>
      <c r="F803" s="9"/>
      <c r="G803" s="8"/>
      <c r="H803" s="9"/>
      <c r="I803" s="9"/>
      <c r="J803" s="8"/>
      <c r="K803" s="8"/>
      <c r="L803" s="280"/>
      <c r="M803" s="9"/>
      <c r="N803" s="9"/>
      <c r="O803" s="8"/>
      <c r="P803" s="9"/>
      <c r="Q803" s="9"/>
      <c r="R803" s="8"/>
      <c r="S803" s="882"/>
      <c r="T803" s="883" t="str">
        <f>'$REV-DB'!$T$34</f>
        <v>Federal Revenues</v>
      </c>
      <c r="U803" s="883" t="str">
        <f>'$REV-DB'!$U$34</f>
        <v>local Revenues</v>
      </c>
      <c r="V803" s="883" t="str">
        <f>'$REV-DB'!$V$34</f>
        <v>Other Revenues</v>
      </c>
      <c r="W803" s="883" t="str">
        <f>'$REV-DB'!$W$34</f>
        <v>State revenues</v>
      </c>
      <c r="X803" s="883" t="str">
        <f>'$REV-DB'!$X$34</f>
        <v>UD5</v>
      </c>
      <c r="Y803" s="883" t="str">
        <f>'$REV-DB'!$Y$34</f>
        <v>UD6</v>
      </c>
      <c r="Z803" s="883" t="str">
        <f>'$REV-DB'!$Z$34</f>
        <v>UD7</v>
      </c>
      <c r="AA803" s="883" t="str">
        <f>'$REV-DB'!$AA$34</f>
        <v>UD8</v>
      </c>
      <c r="AB803" s="883" t="str">
        <f>'$REV-DB'!$AB$34</f>
        <v>UD9</v>
      </c>
      <c r="AC803" s="883" t="str">
        <f>'$REV-DB'!$AC$34</f>
        <v>UD10</v>
      </c>
      <c r="AD803" s="883" t="str">
        <f>'$REV-DB'!$AD$34</f>
        <v>UD11</v>
      </c>
      <c r="AE803" s="883" t="str">
        <f>'$REV-DB'!$AE$34</f>
        <v>UD12</v>
      </c>
      <c r="AF803" s="883" t="str">
        <f>'$REV-DB'!$AF$34</f>
        <v>UD13</v>
      </c>
      <c r="AG803" s="883" t="str">
        <f>'$REV-DB'!$AG$34</f>
        <v>UD14</v>
      </c>
    </row>
    <row r="804" spans="1:34" ht="16" customHeight="1" thickTop="1" thickBot="1">
      <c r="A804" s="7"/>
      <c r="B804" s="20" t="s">
        <v>1375</v>
      </c>
      <c r="C804" s="15"/>
      <c r="D804" s="105" t="s">
        <v>1386</v>
      </c>
      <c r="E804" s="105" t="s">
        <v>1387</v>
      </c>
      <c r="F804" s="105" t="s">
        <v>1388</v>
      </c>
      <c r="G804" s="105" t="s">
        <v>1389</v>
      </c>
      <c r="H804" s="301" t="s">
        <v>1406</v>
      </c>
      <c r="I804" s="301" t="s">
        <v>1390</v>
      </c>
      <c r="J804" s="301" t="s">
        <v>1391</v>
      </c>
      <c r="K804" s="301" t="s">
        <v>1392</v>
      </c>
      <c r="L804" s="301" t="s">
        <v>1188</v>
      </c>
      <c r="M804" s="301" t="s">
        <v>1437</v>
      </c>
      <c r="N804" s="105" t="s">
        <v>1348</v>
      </c>
      <c r="O804" s="105" t="s">
        <v>1393</v>
      </c>
      <c r="P804" s="105" t="s">
        <v>1342</v>
      </c>
      <c r="Q804" s="105" t="s">
        <v>1394</v>
      </c>
      <c r="R804" s="112" t="s">
        <v>1341</v>
      </c>
      <c r="S804" s="112" t="s">
        <v>846</v>
      </c>
      <c r="T804" s="873" t="s">
        <v>935</v>
      </c>
      <c r="U804" s="873" t="s">
        <v>936</v>
      </c>
      <c r="V804" s="873" t="s">
        <v>937</v>
      </c>
      <c r="W804" s="873" t="s">
        <v>938</v>
      </c>
      <c r="X804" s="873" t="s">
        <v>939</v>
      </c>
      <c r="Y804" s="873" t="s">
        <v>940</v>
      </c>
      <c r="Z804" s="873" t="s">
        <v>941</v>
      </c>
      <c r="AA804" s="873" t="s">
        <v>942</v>
      </c>
      <c r="AB804" s="873" t="s">
        <v>943</v>
      </c>
      <c r="AC804" s="873" t="s">
        <v>944</v>
      </c>
      <c r="AD804" s="873" t="s">
        <v>945</v>
      </c>
      <c r="AE804" s="873" t="s">
        <v>946</v>
      </c>
      <c r="AF804" s="873" t="s">
        <v>947</v>
      </c>
      <c r="AG804" s="873" t="s">
        <v>948</v>
      </c>
      <c r="AH804" s="6"/>
    </row>
    <row r="805" spans="1:34" ht="16" customHeight="1" thickTop="1">
      <c r="A805" s="7"/>
      <c r="B805" s="19" t="s">
        <v>1344</v>
      </c>
      <c r="C805" s="12"/>
      <c r="D805" s="203"/>
      <c r="E805" s="203"/>
      <c r="F805" s="202"/>
      <c r="G805" s="203"/>
      <c r="H805" s="202"/>
      <c r="I805" s="202"/>
      <c r="J805" s="203"/>
      <c r="K805" s="203"/>
      <c r="L805" s="291" t="s">
        <v>1429</v>
      </c>
      <c r="M805" s="202"/>
      <c r="N805" s="45" t="str">
        <f>J$6</f>
        <v>FY2010-11</v>
      </c>
      <c r="O805" s="45" t="s">
        <v>1356</v>
      </c>
      <c r="P805" s="45" t="s">
        <v>1347</v>
      </c>
      <c r="Q805" s="45" t="s">
        <v>1339</v>
      </c>
      <c r="R805" s="203"/>
      <c r="S805" s="203"/>
      <c r="T805" s="203"/>
      <c r="U805" s="203"/>
      <c r="V805" s="204"/>
      <c r="W805" s="204"/>
      <c r="X805" s="204"/>
      <c r="Y805" s="204"/>
      <c r="Z805" s="204"/>
      <c r="AA805" s="204"/>
      <c r="AB805" s="204"/>
      <c r="AC805" s="204"/>
      <c r="AD805" s="204"/>
      <c r="AE805" s="204"/>
      <c r="AF805" s="204"/>
      <c r="AG805" s="204"/>
      <c r="AH805" s="6"/>
    </row>
    <row r="806" spans="1:34" ht="16" customHeight="1">
      <c r="A806" s="7"/>
      <c r="B806" s="16">
        <f>DSUM('$REV-DB'!D35:AG374,"AMOUNT",'$REV-DSUM'!D804:AG811)</f>
        <v>0</v>
      </c>
      <c r="C806" s="12"/>
      <c r="D806" s="203"/>
      <c r="E806" s="203"/>
      <c r="F806" s="202"/>
      <c r="G806" s="203"/>
      <c r="H806" s="202"/>
      <c r="I806" s="202"/>
      <c r="J806" s="203"/>
      <c r="K806" s="203"/>
      <c r="L806" s="291" t="s">
        <v>1429</v>
      </c>
      <c r="M806" s="202"/>
      <c r="N806" s="45" t="str">
        <f t="shared" ref="N806:N811" si="79">J$6</f>
        <v>FY2010-11</v>
      </c>
      <c r="O806" s="45" t="s">
        <v>1356</v>
      </c>
      <c r="P806" s="45" t="s">
        <v>1347</v>
      </c>
      <c r="Q806" s="45" t="s">
        <v>1339</v>
      </c>
      <c r="R806" s="203"/>
      <c r="S806" s="203"/>
      <c r="T806" s="203"/>
      <c r="U806" s="203"/>
      <c r="V806" s="204"/>
      <c r="W806" s="204"/>
      <c r="X806" s="204"/>
      <c r="Y806" s="204"/>
      <c r="Z806" s="204"/>
      <c r="AA806" s="204"/>
      <c r="AB806" s="204"/>
      <c r="AC806" s="204"/>
      <c r="AD806" s="204"/>
      <c r="AE806" s="204"/>
      <c r="AF806" s="204"/>
      <c r="AG806" s="204"/>
      <c r="AH806" s="6"/>
    </row>
    <row r="807" spans="1:34" ht="16" customHeight="1">
      <c r="A807" s="7"/>
      <c r="B807" s="10"/>
      <c r="C807" s="12"/>
      <c r="D807" s="203"/>
      <c r="E807" s="203"/>
      <c r="F807" s="202"/>
      <c r="G807" s="203"/>
      <c r="H807" s="202"/>
      <c r="I807" s="202"/>
      <c r="J807" s="203"/>
      <c r="K807" s="203"/>
      <c r="L807" s="291" t="s">
        <v>1429</v>
      </c>
      <c r="M807" s="202"/>
      <c r="N807" s="45" t="str">
        <f t="shared" si="79"/>
        <v>FY2010-11</v>
      </c>
      <c r="O807" s="45" t="s">
        <v>1356</v>
      </c>
      <c r="P807" s="45" t="s">
        <v>1347</v>
      </c>
      <c r="Q807" s="45" t="s">
        <v>1339</v>
      </c>
      <c r="R807" s="203"/>
      <c r="S807" s="203"/>
      <c r="T807" s="203"/>
      <c r="U807" s="203"/>
      <c r="V807" s="204"/>
      <c r="W807" s="204"/>
      <c r="X807" s="204"/>
      <c r="Y807" s="204"/>
      <c r="Z807" s="204"/>
      <c r="AA807" s="204"/>
      <c r="AB807" s="204"/>
      <c r="AC807" s="204"/>
      <c r="AD807" s="204"/>
      <c r="AE807" s="204"/>
      <c r="AF807" s="204"/>
      <c r="AG807" s="204"/>
    </row>
    <row r="808" spans="1:34" ht="16" customHeight="1">
      <c r="A808" s="7"/>
      <c r="B808" s="10"/>
      <c r="C808" s="12"/>
      <c r="D808" s="203"/>
      <c r="E808" s="203"/>
      <c r="F808" s="202"/>
      <c r="G808" s="203"/>
      <c r="H808" s="202"/>
      <c r="I808" s="202"/>
      <c r="J808" s="203"/>
      <c r="K808" s="203"/>
      <c r="L808" s="291" t="s">
        <v>1429</v>
      </c>
      <c r="M808" s="202"/>
      <c r="N808" s="45" t="str">
        <f t="shared" si="79"/>
        <v>FY2010-11</v>
      </c>
      <c r="O808" s="45" t="s">
        <v>1356</v>
      </c>
      <c r="P808" s="45" t="s">
        <v>1347</v>
      </c>
      <c r="Q808" s="45" t="s">
        <v>1339</v>
      </c>
      <c r="R808" s="203"/>
      <c r="S808" s="203"/>
      <c r="T808" s="203"/>
      <c r="U808" s="203"/>
      <c r="V808" s="204"/>
      <c r="W808" s="204"/>
      <c r="X808" s="204"/>
      <c r="Y808" s="204"/>
      <c r="Z808" s="204"/>
      <c r="AA808" s="204"/>
      <c r="AB808" s="204"/>
      <c r="AC808" s="204"/>
      <c r="AD808" s="204"/>
      <c r="AE808" s="204"/>
      <c r="AF808" s="204"/>
      <c r="AG808" s="204"/>
    </row>
    <row r="809" spans="1:34" ht="16" customHeight="1">
      <c r="A809" s="7"/>
      <c r="B809" s="10"/>
      <c r="C809" s="12"/>
      <c r="D809" s="203"/>
      <c r="E809" s="203"/>
      <c r="F809" s="202"/>
      <c r="G809" s="203"/>
      <c r="H809" s="202"/>
      <c r="I809" s="202"/>
      <c r="J809" s="203"/>
      <c r="K809" s="203"/>
      <c r="L809" s="291" t="s">
        <v>1429</v>
      </c>
      <c r="M809" s="202"/>
      <c r="N809" s="45" t="str">
        <f t="shared" si="79"/>
        <v>FY2010-11</v>
      </c>
      <c r="O809" s="45" t="s">
        <v>1356</v>
      </c>
      <c r="P809" s="45" t="s">
        <v>1347</v>
      </c>
      <c r="Q809" s="45" t="s">
        <v>1339</v>
      </c>
      <c r="R809" s="203"/>
      <c r="S809" s="203"/>
      <c r="T809" s="203"/>
      <c r="U809" s="203"/>
      <c r="V809" s="204"/>
      <c r="W809" s="204"/>
      <c r="X809" s="204"/>
      <c r="Y809" s="204"/>
      <c r="Z809" s="204"/>
      <c r="AA809" s="204"/>
      <c r="AB809" s="204"/>
      <c r="AC809" s="204"/>
      <c r="AD809" s="204"/>
      <c r="AE809" s="204"/>
      <c r="AF809" s="204"/>
      <c r="AG809" s="204"/>
    </row>
    <row r="810" spans="1:34" ht="16" customHeight="1">
      <c r="A810" s="7"/>
      <c r="B810" s="10"/>
      <c r="C810" s="12"/>
      <c r="D810" s="203"/>
      <c r="E810" s="203"/>
      <c r="F810" s="202"/>
      <c r="G810" s="203"/>
      <c r="H810" s="202"/>
      <c r="I810" s="202"/>
      <c r="J810" s="203"/>
      <c r="K810" s="203"/>
      <c r="L810" s="291" t="s">
        <v>1429</v>
      </c>
      <c r="M810" s="202"/>
      <c r="N810" s="45" t="str">
        <f t="shared" si="79"/>
        <v>FY2010-11</v>
      </c>
      <c r="O810" s="45" t="s">
        <v>1356</v>
      </c>
      <c r="P810" s="45" t="s">
        <v>1347</v>
      </c>
      <c r="Q810" s="45" t="s">
        <v>1339</v>
      </c>
      <c r="R810" s="203"/>
      <c r="S810" s="203"/>
      <c r="T810" s="203"/>
      <c r="U810" s="203"/>
      <c r="V810" s="204"/>
      <c r="W810" s="204"/>
      <c r="X810" s="204"/>
      <c r="Y810" s="204"/>
      <c r="Z810" s="204"/>
      <c r="AA810" s="204"/>
      <c r="AB810" s="204"/>
      <c r="AC810" s="204"/>
      <c r="AD810" s="204"/>
      <c r="AE810" s="204"/>
      <c r="AF810" s="204"/>
      <c r="AG810" s="204"/>
    </row>
    <row r="811" spans="1:34" ht="16" customHeight="1">
      <c r="A811" s="7"/>
      <c r="B811" s="10"/>
      <c r="C811" s="12"/>
      <c r="D811" s="203"/>
      <c r="E811" s="203"/>
      <c r="F811" s="202"/>
      <c r="G811" s="203"/>
      <c r="H811" s="202"/>
      <c r="I811" s="202"/>
      <c r="J811" s="203"/>
      <c r="K811" s="203"/>
      <c r="L811" s="291" t="s">
        <v>1429</v>
      </c>
      <c r="M811" s="202"/>
      <c r="N811" s="45" t="str">
        <f t="shared" si="79"/>
        <v>FY2010-11</v>
      </c>
      <c r="O811" s="45" t="s">
        <v>1356</v>
      </c>
      <c r="P811" s="45" t="s">
        <v>1347</v>
      </c>
      <c r="Q811" s="45" t="s">
        <v>1339</v>
      </c>
      <c r="R811" s="203"/>
      <c r="S811" s="203"/>
      <c r="T811" s="203"/>
      <c r="U811" s="203"/>
      <c r="V811" s="204"/>
      <c r="W811" s="204"/>
      <c r="X811" s="204"/>
      <c r="Y811" s="204"/>
      <c r="Z811" s="204"/>
      <c r="AA811" s="204"/>
      <c r="AB811" s="204"/>
      <c r="AC811" s="204"/>
      <c r="AD811" s="204"/>
      <c r="AE811" s="204"/>
      <c r="AF811" s="204"/>
      <c r="AG811" s="204"/>
    </row>
    <row r="812" spans="1:34" ht="16" customHeight="1">
      <c r="A812" s="44"/>
      <c r="B812" s="41"/>
      <c r="C812" s="41"/>
      <c r="D812" s="42"/>
      <c r="E812" s="42"/>
      <c r="F812" s="43"/>
      <c r="G812" s="42"/>
      <c r="H812" s="43"/>
      <c r="I812" s="43"/>
      <c r="J812" s="42"/>
      <c r="K812" s="42"/>
      <c r="L812" s="290"/>
      <c r="M812" s="43"/>
      <c r="N812" s="43"/>
      <c r="O812" s="42"/>
      <c r="P812" s="43"/>
      <c r="Q812" s="43"/>
      <c r="R812" s="42"/>
      <c r="S812" s="42"/>
      <c r="T812" s="42"/>
      <c r="U812" s="42"/>
      <c r="V812" s="44"/>
      <c r="W812" s="44"/>
      <c r="X812" s="44"/>
      <c r="Y812" s="44"/>
      <c r="Z812" s="44"/>
      <c r="AA812" s="44"/>
      <c r="AB812" s="44"/>
      <c r="AC812" s="44"/>
      <c r="AD812" s="44"/>
      <c r="AE812" s="44"/>
      <c r="AF812" s="44"/>
      <c r="AG812" s="44"/>
    </row>
    <row r="813" spans="1:34" ht="16" customHeight="1" thickBot="1">
      <c r="A813" s="7"/>
      <c r="B813" s="19" t="str">
        <f>"FA5 = "&amp;'FIG3'!$W$56&amp;" "&amp;'FIG3'!$X$56</f>
        <v>FA5 = FA5L1 FA5L2</v>
      </c>
      <c r="C813" s="7"/>
      <c r="D813" s="8"/>
      <c r="E813" s="8"/>
      <c r="F813" s="9"/>
      <c r="G813" s="8"/>
      <c r="H813" s="9"/>
      <c r="I813" s="9"/>
      <c r="J813" s="8"/>
      <c r="K813" s="8"/>
      <c r="L813" s="280"/>
      <c r="M813" s="9"/>
      <c r="N813" s="9"/>
      <c r="O813" s="8"/>
      <c r="P813" s="9"/>
      <c r="Q813" s="9"/>
      <c r="R813" s="8"/>
      <c r="S813" s="882"/>
      <c r="T813" s="883" t="str">
        <f>'$REV-DB'!$T$34</f>
        <v>Federal Revenues</v>
      </c>
      <c r="U813" s="883" t="str">
        <f>'$REV-DB'!$U$34</f>
        <v>local Revenues</v>
      </c>
      <c r="V813" s="883" t="str">
        <f>'$REV-DB'!$V$34</f>
        <v>Other Revenues</v>
      </c>
      <c r="W813" s="883" t="str">
        <f>'$REV-DB'!$W$34</f>
        <v>State revenues</v>
      </c>
      <c r="X813" s="883" t="str">
        <f>'$REV-DB'!$X$34</f>
        <v>UD5</v>
      </c>
      <c r="Y813" s="883" t="str">
        <f>'$REV-DB'!$Y$34</f>
        <v>UD6</v>
      </c>
      <c r="Z813" s="883" t="str">
        <f>'$REV-DB'!$Z$34</f>
        <v>UD7</v>
      </c>
      <c r="AA813" s="883" t="str">
        <f>'$REV-DB'!$AA$34</f>
        <v>UD8</v>
      </c>
      <c r="AB813" s="883" t="str">
        <f>'$REV-DB'!$AB$34</f>
        <v>UD9</v>
      </c>
      <c r="AC813" s="883" t="str">
        <f>'$REV-DB'!$AC$34</f>
        <v>UD10</v>
      </c>
      <c r="AD813" s="883" t="str">
        <f>'$REV-DB'!$AD$34</f>
        <v>UD11</v>
      </c>
      <c r="AE813" s="883" t="str">
        <f>'$REV-DB'!$AE$34</f>
        <v>UD12</v>
      </c>
      <c r="AF813" s="883" t="str">
        <f>'$REV-DB'!$AF$34</f>
        <v>UD13</v>
      </c>
      <c r="AG813" s="883" t="str">
        <f>'$REV-DB'!$AG$34</f>
        <v>UD14</v>
      </c>
    </row>
    <row r="814" spans="1:34" ht="16" customHeight="1" thickTop="1" thickBot="1">
      <c r="A814" s="7"/>
      <c r="B814" s="20" t="s">
        <v>1375</v>
      </c>
      <c r="C814" s="15"/>
      <c r="D814" s="105" t="s">
        <v>1386</v>
      </c>
      <c r="E814" s="105" t="s">
        <v>1387</v>
      </c>
      <c r="F814" s="105" t="s">
        <v>1388</v>
      </c>
      <c r="G814" s="105" t="s">
        <v>1389</v>
      </c>
      <c r="H814" s="301" t="s">
        <v>1406</v>
      </c>
      <c r="I814" s="301" t="s">
        <v>1390</v>
      </c>
      <c r="J814" s="301" t="s">
        <v>1391</v>
      </c>
      <c r="K814" s="301" t="s">
        <v>1392</v>
      </c>
      <c r="L814" s="301" t="s">
        <v>1188</v>
      </c>
      <c r="M814" s="301" t="s">
        <v>1437</v>
      </c>
      <c r="N814" s="105" t="s">
        <v>1348</v>
      </c>
      <c r="O814" s="105" t="s">
        <v>1393</v>
      </c>
      <c r="P814" s="105" t="s">
        <v>1342</v>
      </c>
      <c r="Q814" s="105" t="s">
        <v>1394</v>
      </c>
      <c r="R814" s="112" t="s">
        <v>1341</v>
      </c>
      <c r="S814" s="112" t="s">
        <v>846</v>
      </c>
      <c r="T814" s="873" t="s">
        <v>935</v>
      </c>
      <c r="U814" s="873" t="s">
        <v>936</v>
      </c>
      <c r="V814" s="873" t="s">
        <v>937</v>
      </c>
      <c r="W814" s="873" t="s">
        <v>938</v>
      </c>
      <c r="X814" s="873" t="s">
        <v>939</v>
      </c>
      <c r="Y814" s="873" t="s">
        <v>940</v>
      </c>
      <c r="Z814" s="873" t="s">
        <v>941</v>
      </c>
      <c r="AA814" s="873" t="s">
        <v>942</v>
      </c>
      <c r="AB814" s="873" t="s">
        <v>943</v>
      </c>
      <c r="AC814" s="873" t="s">
        <v>944</v>
      </c>
      <c r="AD814" s="873" t="s">
        <v>945</v>
      </c>
      <c r="AE814" s="873" t="s">
        <v>946</v>
      </c>
      <c r="AF814" s="873" t="s">
        <v>947</v>
      </c>
      <c r="AG814" s="873" t="s">
        <v>948</v>
      </c>
      <c r="AH814" s="6"/>
    </row>
    <row r="815" spans="1:34" ht="16" customHeight="1" thickTop="1">
      <c r="A815" s="7"/>
      <c r="B815" s="19" t="s">
        <v>1343</v>
      </c>
      <c r="C815" s="12"/>
      <c r="D815" s="203"/>
      <c r="E815" s="203"/>
      <c r="F815" s="202"/>
      <c r="G815" s="203"/>
      <c r="H815" s="202"/>
      <c r="I815" s="202"/>
      <c r="J815" s="203"/>
      <c r="K815" s="203"/>
      <c r="L815" s="291" t="s">
        <v>1429</v>
      </c>
      <c r="M815" s="202"/>
      <c r="N815" s="45" t="str">
        <f>J$6</f>
        <v>FY2010-11</v>
      </c>
      <c r="O815" s="45" t="s">
        <v>1356</v>
      </c>
      <c r="P815" s="45" t="s">
        <v>1347</v>
      </c>
      <c r="Q815" s="45" t="s">
        <v>1379</v>
      </c>
      <c r="R815" s="203"/>
      <c r="S815" s="203"/>
      <c r="T815" s="203"/>
      <c r="U815" s="203"/>
      <c r="V815" s="204"/>
      <c r="W815" s="204"/>
      <c r="X815" s="204"/>
      <c r="Y815" s="204"/>
      <c r="Z815" s="204"/>
      <c r="AA815" s="204"/>
      <c r="AB815" s="204"/>
      <c r="AC815" s="204"/>
      <c r="AD815" s="204"/>
      <c r="AE815" s="204"/>
      <c r="AF815" s="204"/>
      <c r="AG815" s="204"/>
      <c r="AH815" s="6"/>
    </row>
    <row r="816" spans="1:34" ht="16" customHeight="1">
      <c r="A816" s="7"/>
      <c r="B816" s="16">
        <f>DSUM('$REV-DB'!D35:AG374,"AMOUNT",'$REV-DSUM'!D814:AG821)</f>
        <v>0</v>
      </c>
      <c r="C816" s="12"/>
      <c r="D816" s="203"/>
      <c r="E816" s="203"/>
      <c r="F816" s="202"/>
      <c r="G816" s="203"/>
      <c r="H816" s="202"/>
      <c r="I816" s="202"/>
      <c r="J816" s="203"/>
      <c r="K816" s="203"/>
      <c r="L816" s="291" t="s">
        <v>1429</v>
      </c>
      <c r="M816" s="202"/>
      <c r="N816" s="45" t="str">
        <f t="shared" ref="N816:N821" si="80">J$6</f>
        <v>FY2010-11</v>
      </c>
      <c r="O816" s="45" t="s">
        <v>1356</v>
      </c>
      <c r="P816" s="45" t="s">
        <v>1347</v>
      </c>
      <c r="Q816" s="45" t="s">
        <v>1379</v>
      </c>
      <c r="R816" s="203"/>
      <c r="S816" s="203"/>
      <c r="T816" s="203"/>
      <c r="U816" s="203"/>
      <c r="V816" s="204"/>
      <c r="W816" s="204"/>
      <c r="X816" s="204"/>
      <c r="Y816" s="204"/>
      <c r="Z816" s="204"/>
      <c r="AA816" s="204"/>
      <c r="AB816" s="204"/>
      <c r="AC816" s="204"/>
      <c r="AD816" s="204"/>
      <c r="AE816" s="204"/>
      <c r="AF816" s="204"/>
      <c r="AG816" s="204"/>
      <c r="AH816" s="6"/>
    </row>
    <row r="817" spans="1:34" ht="16" customHeight="1">
      <c r="A817" s="7"/>
      <c r="B817" s="10"/>
      <c r="C817" s="12"/>
      <c r="D817" s="203"/>
      <c r="E817" s="203"/>
      <c r="F817" s="202"/>
      <c r="G817" s="203"/>
      <c r="H817" s="202"/>
      <c r="I817" s="202"/>
      <c r="J817" s="203"/>
      <c r="K817" s="203"/>
      <c r="L817" s="291" t="s">
        <v>1429</v>
      </c>
      <c r="M817" s="202"/>
      <c r="N817" s="45" t="str">
        <f t="shared" si="80"/>
        <v>FY2010-11</v>
      </c>
      <c r="O817" s="45" t="s">
        <v>1356</v>
      </c>
      <c r="P817" s="45" t="s">
        <v>1347</v>
      </c>
      <c r="Q817" s="45" t="s">
        <v>1379</v>
      </c>
      <c r="R817" s="203"/>
      <c r="S817" s="203"/>
      <c r="T817" s="203"/>
      <c r="U817" s="203"/>
      <c r="V817" s="204"/>
      <c r="W817" s="204"/>
      <c r="X817" s="204"/>
      <c r="Y817" s="204"/>
      <c r="Z817" s="204"/>
      <c r="AA817" s="204"/>
      <c r="AB817" s="204"/>
      <c r="AC817" s="204"/>
      <c r="AD817" s="204"/>
      <c r="AE817" s="204"/>
      <c r="AF817" s="204"/>
      <c r="AG817" s="204"/>
    </row>
    <row r="818" spans="1:34" ht="16" customHeight="1">
      <c r="A818" s="7"/>
      <c r="B818" s="10"/>
      <c r="C818" s="12"/>
      <c r="D818" s="203"/>
      <c r="E818" s="203"/>
      <c r="F818" s="202"/>
      <c r="G818" s="203"/>
      <c r="H818" s="202"/>
      <c r="I818" s="202"/>
      <c r="J818" s="203"/>
      <c r="K818" s="203"/>
      <c r="L818" s="291" t="s">
        <v>1429</v>
      </c>
      <c r="M818" s="202"/>
      <c r="N818" s="45" t="str">
        <f t="shared" si="80"/>
        <v>FY2010-11</v>
      </c>
      <c r="O818" s="45" t="s">
        <v>1356</v>
      </c>
      <c r="P818" s="45" t="s">
        <v>1347</v>
      </c>
      <c r="Q818" s="45" t="s">
        <v>1379</v>
      </c>
      <c r="R818" s="203"/>
      <c r="S818" s="203"/>
      <c r="T818" s="203"/>
      <c r="U818" s="203"/>
      <c r="V818" s="204"/>
      <c r="W818" s="204"/>
      <c r="X818" s="204"/>
      <c r="Y818" s="204"/>
      <c r="Z818" s="204"/>
      <c r="AA818" s="204"/>
      <c r="AB818" s="204"/>
      <c r="AC818" s="204"/>
      <c r="AD818" s="204"/>
      <c r="AE818" s="204"/>
      <c r="AF818" s="204"/>
      <c r="AG818" s="204"/>
    </row>
    <row r="819" spans="1:34" ht="16" customHeight="1">
      <c r="A819" s="7"/>
      <c r="B819" s="10"/>
      <c r="C819" s="12"/>
      <c r="D819" s="203"/>
      <c r="E819" s="203"/>
      <c r="F819" s="202"/>
      <c r="G819" s="203"/>
      <c r="H819" s="202"/>
      <c r="I819" s="202"/>
      <c r="J819" s="203"/>
      <c r="K819" s="203"/>
      <c r="L819" s="291" t="s">
        <v>1429</v>
      </c>
      <c r="M819" s="202"/>
      <c r="N819" s="45" t="str">
        <f t="shared" si="80"/>
        <v>FY2010-11</v>
      </c>
      <c r="O819" s="45" t="s">
        <v>1356</v>
      </c>
      <c r="P819" s="45" t="s">
        <v>1347</v>
      </c>
      <c r="Q819" s="45" t="s">
        <v>1379</v>
      </c>
      <c r="R819" s="203"/>
      <c r="S819" s="203"/>
      <c r="T819" s="203"/>
      <c r="U819" s="203"/>
      <c r="V819" s="204"/>
      <c r="W819" s="204"/>
      <c r="X819" s="204"/>
      <c r="Y819" s="204"/>
      <c r="Z819" s="204"/>
      <c r="AA819" s="204"/>
      <c r="AB819" s="204"/>
      <c r="AC819" s="204"/>
      <c r="AD819" s="204"/>
      <c r="AE819" s="204"/>
      <c r="AF819" s="204"/>
      <c r="AG819" s="204"/>
    </row>
    <row r="820" spans="1:34" ht="16" customHeight="1">
      <c r="A820" s="7"/>
      <c r="B820" s="10"/>
      <c r="C820" s="12"/>
      <c r="D820" s="203"/>
      <c r="E820" s="203"/>
      <c r="F820" s="202"/>
      <c r="G820" s="203"/>
      <c r="H820" s="202"/>
      <c r="I820" s="202"/>
      <c r="J820" s="203"/>
      <c r="K820" s="203"/>
      <c r="L820" s="291" t="s">
        <v>1429</v>
      </c>
      <c r="M820" s="202"/>
      <c r="N820" s="45" t="str">
        <f t="shared" si="80"/>
        <v>FY2010-11</v>
      </c>
      <c r="O820" s="45" t="s">
        <v>1356</v>
      </c>
      <c r="P820" s="45" t="s">
        <v>1347</v>
      </c>
      <c r="Q820" s="45" t="s">
        <v>1379</v>
      </c>
      <c r="R820" s="203"/>
      <c r="S820" s="203"/>
      <c r="T820" s="203"/>
      <c r="U820" s="203"/>
      <c r="V820" s="204"/>
      <c r="W820" s="204"/>
      <c r="X820" s="204"/>
      <c r="Y820" s="204"/>
      <c r="Z820" s="204"/>
      <c r="AA820" s="204"/>
      <c r="AB820" s="204"/>
      <c r="AC820" s="204"/>
      <c r="AD820" s="204"/>
      <c r="AE820" s="204"/>
      <c r="AF820" s="204"/>
      <c r="AG820" s="204"/>
    </row>
    <row r="821" spans="1:34" ht="16" customHeight="1">
      <c r="A821" s="7"/>
      <c r="B821" s="10"/>
      <c r="C821" s="12"/>
      <c r="D821" s="203"/>
      <c r="E821" s="203"/>
      <c r="F821" s="202"/>
      <c r="G821" s="203"/>
      <c r="H821" s="202"/>
      <c r="I821" s="202"/>
      <c r="J821" s="203"/>
      <c r="K821" s="203"/>
      <c r="L821" s="291" t="s">
        <v>1429</v>
      </c>
      <c r="M821" s="202"/>
      <c r="N821" s="45" t="str">
        <f t="shared" si="80"/>
        <v>FY2010-11</v>
      </c>
      <c r="O821" s="45" t="s">
        <v>1356</v>
      </c>
      <c r="P821" s="45" t="s">
        <v>1347</v>
      </c>
      <c r="Q821" s="45" t="s">
        <v>1379</v>
      </c>
      <c r="R821" s="203"/>
      <c r="S821" s="203"/>
      <c r="T821" s="203"/>
      <c r="U821" s="203"/>
      <c r="V821" s="204"/>
      <c r="W821" s="204"/>
      <c r="X821" s="204"/>
      <c r="Y821" s="204"/>
      <c r="Z821" s="204"/>
      <c r="AA821" s="204"/>
      <c r="AB821" s="204"/>
      <c r="AC821" s="204"/>
      <c r="AD821" s="204"/>
      <c r="AE821" s="204"/>
      <c r="AF821" s="204"/>
      <c r="AG821" s="204"/>
    </row>
    <row r="822" spans="1:34" ht="16" customHeight="1">
      <c r="A822" s="44"/>
      <c r="B822" s="41"/>
      <c r="C822" s="41"/>
      <c r="D822" s="42"/>
      <c r="E822" s="42"/>
      <c r="F822" s="43"/>
      <c r="G822" s="42"/>
      <c r="H822" s="43"/>
      <c r="I822" s="43"/>
      <c r="J822" s="42"/>
      <c r="K822" s="42"/>
      <c r="L822" s="290"/>
      <c r="M822" s="43"/>
      <c r="N822" s="43"/>
      <c r="O822" s="42"/>
      <c r="P822" s="43"/>
      <c r="Q822" s="43"/>
      <c r="R822" s="42"/>
      <c r="S822" s="42"/>
      <c r="T822" s="42"/>
      <c r="U822" s="42"/>
      <c r="V822" s="44"/>
      <c r="W822" s="44"/>
      <c r="X822" s="44"/>
      <c r="Y822" s="44"/>
      <c r="Z822" s="44"/>
      <c r="AA822" s="44"/>
      <c r="AB822" s="44"/>
      <c r="AC822" s="44"/>
      <c r="AD822" s="44"/>
      <c r="AE822" s="44"/>
      <c r="AF822" s="44"/>
      <c r="AG822" s="44"/>
    </row>
    <row r="823" spans="1:34" ht="16" customHeight="1" thickBot="1">
      <c r="A823" s="7"/>
      <c r="B823" s="19" t="str">
        <f>"FA5 = "&amp;'FIG3'!$W$56&amp;" "&amp;'FIG3'!$X$56</f>
        <v>FA5 = FA5L1 FA5L2</v>
      </c>
      <c r="C823" s="7"/>
      <c r="D823" s="8"/>
      <c r="E823" s="8"/>
      <c r="F823" s="9"/>
      <c r="G823" s="8"/>
      <c r="H823" s="9"/>
      <c r="I823" s="9"/>
      <c r="J823" s="8"/>
      <c r="K823" s="8"/>
      <c r="L823" s="280"/>
      <c r="M823" s="9"/>
      <c r="N823" s="9"/>
      <c r="O823" s="8"/>
      <c r="P823" s="9"/>
      <c r="Q823" s="9"/>
      <c r="R823" s="8"/>
      <c r="S823" s="882"/>
      <c r="T823" s="883" t="str">
        <f>'$REV-DB'!$T$34</f>
        <v>Federal Revenues</v>
      </c>
      <c r="U823" s="883" t="str">
        <f>'$REV-DB'!$U$34</f>
        <v>local Revenues</v>
      </c>
      <c r="V823" s="883" t="str">
        <f>'$REV-DB'!$V$34</f>
        <v>Other Revenues</v>
      </c>
      <c r="W823" s="883" t="str">
        <f>'$REV-DB'!$W$34</f>
        <v>State revenues</v>
      </c>
      <c r="X823" s="883" t="str">
        <f>'$REV-DB'!$X$34</f>
        <v>UD5</v>
      </c>
      <c r="Y823" s="883" t="str">
        <f>'$REV-DB'!$Y$34</f>
        <v>UD6</v>
      </c>
      <c r="Z823" s="883" t="str">
        <f>'$REV-DB'!$Z$34</f>
        <v>UD7</v>
      </c>
      <c r="AA823" s="883" t="str">
        <f>'$REV-DB'!$AA$34</f>
        <v>UD8</v>
      </c>
      <c r="AB823" s="883" t="str">
        <f>'$REV-DB'!$AB$34</f>
        <v>UD9</v>
      </c>
      <c r="AC823" s="883" t="str">
        <f>'$REV-DB'!$AC$34</f>
        <v>UD10</v>
      </c>
      <c r="AD823" s="883" t="str">
        <f>'$REV-DB'!$AD$34</f>
        <v>UD11</v>
      </c>
      <c r="AE823" s="883" t="str">
        <f>'$REV-DB'!$AE$34</f>
        <v>UD12</v>
      </c>
      <c r="AF823" s="883" t="str">
        <f>'$REV-DB'!$AF$34</f>
        <v>UD13</v>
      </c>
      <c r="AG823" s="883" t="str">
        <f>'$REV-DB'!$AG$34</f>
        <v>UD14</v>
      </c>
    </row>
    <row r="824" spans="1:34" ht="16" customHeight="1" thickTop="1" thickBot="1">
      <c r="A824" s="7"/>
      <c r="B824" s="20" t="s">
        <v>1375</v>
      </c>
      <c r="C824" s="15"/>
      <c r="D824" s="105" t="s">
        <v>1386</v>
      </c>
      <c r="E824" s="105" t="s">
        <v>1387</v>
      </c>
      <c r="F824" s="105" t="s">
        <v>1388</v>
      </c>
      <c r="G824" s="105" t="s">
        <v>1389</v>
      </c>
      <c r="H824" s="301" t="s">
        <v>1406</v>
      </c>
      <c r="I824" s="301" t="s">
        <v>1390</v>
      </c>
      <c r="J824" s="301" t="s">
        <v>1391</v>
      </c>
      <c r="K824" s="301" t="s">
        <v>1392</v>
      </c>
      <c r="L824" s="301" t="s">
        <v>1188</v>
      </c>
      <c r="M824" s="301" t="s">
        <v>1437</v>
      </c>
      <c r="N824" s="105" t="s">
        <v>1348</v>
      </c>
      <c r="O824" s="105" t="s">
        <v>1393</v>
      </c>
      <c r="P824" s="105" t="s">
        <v>1342</v>
      </c>
      <c r="Q824" s="105" t="s">
        <v>1394</v>
      </c>
      <c r="R824" s="112" t="s">
        <v>1341</v>
      </c>
      <c r="S824" s="112" t="s">
        <v>846</v>
      </c>
      <c r="T824" s="873" t="s">
        <v>935</v>
      </c>
      <c r="U824" s="873" t="s">
        <v>936</v>
      </c>
      <c r="V824" s="873" t="s">
        <v>937</v>
      </c>
      <c r="W824" s="873" t="s">
        <v>938</v>
      </c>
      <c r="X824" s="873" t="s">
        <v>939</v>
      </c>
      <c r="Y824" s="873" t="s">
        <v>940</v>
      </c>
      <c r="Z824" s="873" t="s">
        <v>941</v>
      </c>
      <c r="AA824" s="873" t="s">
        <v>942</v>
      </c>
      <c r="AB824" s="873" t="s">
        <v>943</v>
      </c>
      <c r="AC824" s="873" t="s">
        <v>944</v>
      </c>
      <c r="AD824" s="873" t="s">
        <v>945</v>
      </c>
      <c r="AE824" s="873" t="s">
        <v>946</v>
      </c>
      <c r="AF824" s="873" t="s">
        <v>947</v>
      </c>
      <c r="AG824" s="873" t="s">
        <v>948</v>
      </c>
      <c r="AH824" s="6"/>
    </row>
    <row r="825" spans="1:34" ht="16" customHeight="1" thickTop="1">
      <c r="A825" s="7"/>
      <c r="B825" s="19" t="s">
        <v>1349</v>
      </c>
      <c r="C825" s="12"/>
      <c r="D825" s="203"/>
      <c r="E825" s="203"/>
      <c r="F825" s="202"/>
      <c r="G825" s="203"/>
      <c r="H825" s="202"/>
      <c r="I825" s="202"/>
      <c r="J825" s="203"/>
      <c r="K825" s="203"/>
      <c r="L825" s="291" t="s">
        <v>1429</v>
      </c>
      <c r="M825" s="202"/>
      <c r="N825" s="45" t="str">
        <f>J$6</f>
        <v>FY2010-11</v>
      </c>
      <c r="O825" s="45" t="s">
        <v>1356</v>
      </c>
      <c r="P825" s="45" t="s">
        <v>1347</v>
      </c>
      <c r="Q825" s="45" t="s">
        <v>1397</v>
      </c>
      <c r="R825" s="203"/>
      <c r="S825" s="203"/>
      <c r="T825" s="203"/>
      <c r="U825" s="203"/>
      <c r="V825" s="204"/>
      <c r="W825" s="204"/>
      <c r="X825" s="204"/>
      <c r="Y825" s="204"/>
      <c r="Z825" s="204"/>
      <c r="AA825" s="204"/>
      <c r="AB825" s="204"/>
      <c r="AC825" s="204"/>
      <c r="AD825" s="204"/>
      <c r="AE825" s="204"/>
      <c r="AF825" s="204"/>
      <c r="AG825" s="204"/>
      <c r="AH825" s="6"/>
    </row>
    <row r="826" spans="1:34" ht="16" customHeight="1">
      <c r="A826" s="7"/>
      <c r="B826" s="16">
        <f>DSUM('$REV-DB'!D35:AG374,"AMOUNT",'$REV-DSUM'!D824:AG831)</f>
        <v>0</v>
      </c>
      <c r="C826" s="12"/>
      <c r="D826" s="203"/>
      <c r="E826" s="203"/>
      <c r="F826" s="202"/>
      <c r="G826" s="203"/>
      <c r="H826" s="202"/>
      <c r="I826" s="202"/>
      <c r="J826" s="203"/>
      <c r="K826" s="203"/>
      <c r="L826" s="291" t="s">
        <v>1429</v>
      </c>
      <c r="M826" s="202"/>
      <c r="N826" s="45" t="str">
        <f t="shared" ref="N826:N831" si="81">J$6</f>
        <v>FY2010-11</v>
      </c>
      <c r="O826" s="45" t="s">
        <v>1356</v>
      </c>
      <c r="P826" s="45" t="s">
        <v>1347</v>
      </c>
      <c r="Q826" s="45" t="s">
        <v>1397</v>
      </c>
      <c r="R826" s="203"/>
      <c r="S826" s="203"/>
      <c r="T826" s="203"/>
      <c r="U826" s="203"/>
      <c r="V826" s="204"/>
      <c r="W826" s="204"/>
      <c r="X826" s="204"/>
      <c r="Y826" s="204"/>
      <c r="Z826" s="204"/>
      <c r="AA826" s="204"/>
      <c r="AB826" s="204"/>
      <c r="AC826" s="204"/>
      <c r="AD826" s="204"/>
      <c r="AE826" s="204"/>
      <c r="AF826" s="204"/>
      <c r="AG826" s="204"/>
      <c r="AH826" s="6"/>
    </row>
    <row r="827" spans="1:34" ht="16" customHeight="1">
      <c r="A827" s="7"/>
      <c r="B827" s="10"/>
      <c r="C827" s="12"/>
      <c r="D827" s="203"/>
      <c r="E827" s="203"/>
      <c r="F827" s="202"/>
      <c r="G827" s="203"/>
      <c r="H827" s="202"/>
      <c r="I827" s="202"/>
      <c r="J827" s="203"/>
      <c r="K827" s="203"/>
      <c r="L827" s="291" t="s">
        <v>1429</v>
      </c>
      <c r="M827" s="202"/>
      <c r="N827" s="45" t="str">
        <f t="shared" si="81"/>
        <v>FY2010-11</v>
      </c>
      <c r="O827" s="45" t="s">
        <v>1356</v>
      </c>
      <c r="P827" s="45" t="s">
        <v>1347</v>
      </c>
      <c r="Q827" s="45" t="s">
        <v>1397</v>
      </c>
      <c r="R827" s="203"/>
      <c r="S827" s="203"/>
      <c r="T827" s="203"/>
      <c r="U827" s="203"/>
      <c r="V827" s="204"/>
      <c r="W827" s="204"/>
      <c r="X827" s="204"/>
      <c r="Y827" s="204"/>
      <c r="Z827" s="204"/>
      <c r="AA827" s="204"/>
      <c r="AB827" s="204"/>
      <c r="AC827" s="204"/>
      <c r="AD827" s="204"/>
      <c r="AE827" s="204"/>
      <c r="AF827" s="204"/>
      <c r="AG827" s="204"/>
    </row>
    <row r="828" spans="1:34" ht="16" customHeight="1">
      <c r="A828" s="7"/>
      <c r="B828" s="10"/>
      <c r="C828" s="12"/>
      <c r="D828" s="203"/>
      <c r="E828" s="203"/>
      <c r="F828" s="202"/>
      <c r="G828" s="203"/>
      <c r="H828" s="202"/>
      <c r="I828" s="202"/>
      <c r="J828" s="203"/>
      <c r="K828" s="203"/>
      <c r="L828" s="291" t="s">
        <v>1429</v>
      </c>
      <c r="M828" s="202"/>
      <c r="N828" s="45" t="str">
        <f t="shared" si="81"/>
        <v>FY2010-11</v>
      </c>
      <c r="O828" s="45" t="s">
        <v>1356</v>
      </c>
      <c r="P828" s="45" t="s">
        <v>1347</v>
      </c>
      <c r="Q828" s="45" t="s">
        <v>1397</v>
      </c>
      <c r="R828" s="203"/>
      <c r="S828" s="203"/>
      <c r="T828" s="203"/>
      <c r="U828" s="203"/>
      <c r="V828" s="204"/>
      <c r="W828" s="204"/>
      <c r="X828" s="204"/>
      <c r="Y828" s="204"/>
      <c r="Z828" s="204"/>
      <c r="AA828" s="204"/>
      <c r="AB828" s="204"/>
      <c r="AC828" s="204"/>
      <c r="AD828" s="204"/>
      <c r="AE828" s="204"/>
      <c r="AF828" s="204"/>
      <c r="AG828" s="204"/>
    </row>
    <row r="829" spans="1:34" ht="16" customHeight="1">
      <c r="A829" s="7"/>
      <c r="B829" s="10"/>
      <c r="C829" s="12"/>
      <c r="D829" s="203"/>
      <c r="E829" s="203"/>
      <c r="F829" s="202"/>
      <c r="G829" s="203"/>
      <c r="H829" s="202"/>
      <c r="I829" s="202"/>
      <c r="J829" s="203"/>
      <c r="K829" s="203"/>
      <c r="L829" s="291" t="s">
        <v>1429</v>
      </c>
      <c r="M829" s="202"/>
      <c r="N829" s="45" t="str">
        <f t="shared" si="81"/>
        <v>FY2010-11</v>
      </c>
      <c r="O829" s="45" t="s">
        <v>1356</v>
      </c>
      <c r="P829" s="45" t="s">
        <v>1347</v>
      </c>
      <c r="Q829" s="45" t="s">
        <v>1397</v>
      </c>
      <c r="R829" s="203"/>
      <c r="S829" s="203"/>
      <c r="T829" s="203"/>
      <c r="U829" s="203"/>
      <c r="V829" s="204"/>
      <c r="W829" s="204"/>
      <c r="X829" s="204"/>
      <c r="Y829" s="204"/>
      <c r="Z829" s="204"/>
      <c r="AA829" s="204"/>
      <c r="AB829" s="204"/>
      <c r="AC829" s="204"/>
      <c r="AD829" s="204"/>
      <c r="AE829" s="204"/>
      <c r="AF829" s="204"/>
      <c r="AG829" s="204"/>
    </row>
    <row r="830" spans="1:34" ht="16" customHeight="1">
      <c r="A830" s="7"/>
      <c r="B830" s="10"/>
      <c r="C830" s="12"/>
      <c r="D830" s="203"/>
      <c r="E830" s="203"/>
      <c r="F830" s="202"/>
      <c r="G830" s="203"/>
      <c r="H830" s="202"/>
      <c r="I830" s="202"/>
      <c r="J830" s="203"/>
      <c r="K830" s="203"/>
      <c r="L830" s="291" t="s">
        <v>1429</v>
      </c>
      <c r="M830" s="202"/>
      <c r="N830" s="45" t="str">
        <f t="shared" si="81"/>
        <v>FY2010-11</v>
      </c>
      <c r="O830" s="45" t="s">
        <v>1356</v>
      </c>
      <c r="P830" s="45" t="s">
        <v>1347</v>
      </c>
      <c r="Q830" s="45" t="s">
        <v>1397</v>
      </c>
      <c r="R830" s="203"/>
      <c r="S830" s="203"/>
      <c r="T830" s="203"/>
      <c r="U830" s="203"/>
      <c r="V830" s="204"/>
      <c r="W830" s="204"/>
      <c r="X830" s="204"/>
      <c r="Y830" s="204"/>
      <c r="Z830" s="204"/>
      <c r="AA830" s="204"/>
      <c r="AB830" s="204"/>
      <c r="AC830" s="204"/>
      <c r="AD830" s="204"/>
      <c r="AE830" s="204"/>
      <c r="AF830" s="204"/>
      <c r="AG830" s="204"/>
    </row>
    <row r="831" spans="1:34" ht="16" customHeight="1">
      <c r="A831" s="7"/>
      <c r="B831" s="10"/>
      <c r="C831" s="12"/>
      <c r="D831" s="203"/>
      <c r="E831" s="203"/>
      <c r="F831" s="202"/>
      <c r="G831" s="203"/>
      <c r="H831" s="202"/>
      <c r="I831" s="202"/>
      <c r="J831" s="203"/>
      <c r="K831" s="203"/>
      <c r="L831" s="291" t="s">
        <v>1429</v>
      </c>
      <c r="M831" s="202"/>
      <c r="N831" s="45" t="str">
        <f t="shared" si="81"/>
        <v>FY2010-11</v>
      </c>
      <c r="O831" s="45" t="s">
        <v>1356</v>
      </c>
      <c r="P831" s="45" t="s">
        <v>1347</v>
      </c>
      <c r="Q831" s="45" t="s">
        <v>1397</v>
      </c>
      <c r="R831" s="203"/>
      <c r="S831" s="203"/>
      <c r="T831" s="203"/>
      <c r="U831" s="203"/>
      <c r="V831" s="204"/>
      <c r="W831" s="204"/>
      <c r="X831" s="204"/>
      <c r="Y831" s="204"/>
      <c r="Z831" s="204"/>
      <c r="AA831" s="204"/>
      <c r="AB831" s="204"/>
      <c r="AC831" s="204"/>
      <c r="AD831" s="204"/>
      <c r="AE831" s="204"/>
      <c r="AF831" s="204"/>
      <c r="AG831" s="204"/>
    </row>
    <row r="832" spans="1:34" ht="16" customHeight="1">
      <c r="A832" s="44"/>
      <c r="B832" s="41"/>
      <c r="C832" s="41"/>
      <c r="D832" s="42"/>
      <c r="E832" s="42"/>
      <c r="F832" s="43"/>
      <c r="G832" s="42"/>
      <c r="H832" s="43"/>
      <c r="I832" s="43"/>
      <c r="J832" s="42"/>
      <c r="K832" s="42"/>
      <c r="L832" s="290"/>
      <c r="M832" s="43"/>
      <c r="N832" s="43"/>
      <c r="O832" s="42"/>
      <c r="P832" s="43"/>
      <c r="Q832" s="43"/>
      <c r="R832" s="42"/>
      <c r="S832" s="42"/>
      <c r="T832" s="42"/>
      <c r="U832" s="42"/>
      <c r="V832" s="44"/>
      <c r="W832" s="44"/>
      <c r="X832" s="44"/>
      <c r="Y832" s="44"/>
      <c r="Z832" s="44"/>
      <c r="AA832" s="44"/>
      <c r="AB832" s="44"/>
      <c r="AC832" s="44"/>
      <c r="AD832" s="44"/>
      <c r="AE832" s="44"/>
      <c r="AF832" s="44"/>
      <c r="AG832" s="44"/>
    </row>
    <row r="833" spans="1:34" ht="16" customHeight="1" thickBot="1">
      <c r="A833" s="7"/>
      <c r="B833" s="19" t="str">
        <f>"FA5 = "&amp;'FIG3'!$W$56&amp;" "&amp;'FIG3'!$X$56</f>
        <v>FA5 = FA5L1 FA5L2</v>
      </c>
      <c r="C833" s="7"/>
      <c r="D833" s="8"/>
      <c r="E833" s="8"/>
      <c r="F833" s="9"/>
      <c r="G833" s="8"/>
      <c r="H833" s="9"/>
      <c r="I833" s="9"/>
      <c r="J833" s="8"/>
      <c r="K833" s="8"/>
      <c r="L833" s="280"/>
      <c r="M833" s="9"/>
      <c r="N833" s="9"/>
      <c r="O833" s="8"/>
      <c r="P833" s="9"/>
      <c r="Q833" s="9"/>
      <c r="R833" s="8"/>
      <c r="S833" s="882"/>
      <c r="T833" s="883" t="str">
        <f>'$REV-DB'!$T$34</f>
        <v>Federal Revenues</v>
      </c>
      <c r="U833" s="883" t="str">
        <f>'$REV-DB'!$U$34</f>
        <v>local Revenues</v>
      </c>
      <c r="V833" s="883" t="str">
        <f>'$REV-DB'!$V$34</f>
        <v>Other Revenues</v>
      </c>
      <c r="W833" s="883" t="str">
        <f>'$REV-DB'!$W$34</f>
        <v>State revenues</v>
      </c>
      <c r="X833" s="883" t="str">
        <f>'$REV-DB'!$X$34</f>
        <v>UD5</v>
      </c>
      <c r="Y833" s="883" t="str">
        <f>'$REV-DB'!$Y$34</f>
        <v>UD6</v>
      </c>
      <c r="Z833" s="883" t="str">
        <f>'$REV-DB'!$Z$34</f>
        <v>UD7</v>
      </c>
      <c r="AA833" s="883" t="str">
        <f>'$REV-DB'!$AA$34</f>
        <v>UD8</v>
      </c>
      <c r="AB833" s="883" t="str">
        <f>'$REV-DB'!$AB$34</f>
        <v>UD9</v>
      </c>
      <c r="AC833" s="883" t="str">
        <f>'$REV-DB'!$AC$34</f>
        <v>UD10</v>
      </c>
      <c r="AD833" s="883" t="str">
        <f>'$REV-DB'!$AD$34</f>
        <v>UD11</v>
      </c>
      <c r="AE833" s="883" t="str">
        <f>'$REV-DB'!$AE$34</f>
        <v>UD12</v>
      </c>
      <c r="AF833" s="883" t="str">
        <f>'$REV-DB'!$AF$34</f>
        <v>UD13</v>
      </c>
      <c r="AG833" s="883" t="str">
        <f>'$REV-DB'!$AG$34</f>
        <v>UD14</v>
      </c>
    </row>
    <row r="834" spans="1:34" ht="16" customHeight="1" thickTop="1" thickBot="1">
      <c r="A834" s="7"/>
      <c r="B834" s="20" t="s">
        <v>1375</v>
      </c>
      <c r="C834" s="15"/>
      <c r="D834" s="276" t="s">
        <v>1386</v>
      </c>
      <c r="E834" s="276" t="s">
        <v>1387</v>
      </c>
      <c r="F834" s="276" t="s">
        <v>1388</v>
      </c>
      <c r="G834" s="276" t="s">
        <v>1389</v>
      </c>
      <c r="H834" s="301" t="s">
        <v>1406</v>
      </c>
      <c r="I834" s="301" t="s">
        <v>1390</v>
      </c>
      <c r="J834" s="301" t="s">
        <v>1391</v>
      </c>
      <c r="K834" s="301" t="s">
        <v>1392</v>
      </c>
      <c r="L834" s="301" t="s">
        <v>1188</v>
      </c>
      <c r="M834" s="301" t="s">
        <v>1437</v>
      </c>
      <c r="N834" s="276" t="s">
        <v>1348</v>
      </c>
      <c r="O834" s="276" t="s">
        <v>1393</v>
      </c>
      <c r="P834" s="276" t="s">
        <v>1342</v>
      </c>
      <c r="Q834" s="276" t="s">
        <v>1394</v>
      </c>
      <c r="R834" s="112" t="s">
        <v>1341</v>
      </c>
      <c r="S834" s="112" t="s">
        <v>846</v>
      </c>
      <c r="T834" s="873" t="s">
        <v>935</v>
      </c>
      <c r="U834" s="873" t="s">
        <v>936</v>
      </c>
      <c r="V834" s="873" t="s">
        <v>937</v>
      </c>
      <c r="W834" s="873" t="s">
        <v>938</v>
      </c>
      <c r="X834" s="873" t="s">
        <v>939</v>
      </c>
      <c r="Y834" s="873" t="s">
        <v>940</v>
      </c>
      <c r="Z834" s="873" t="s">
        <v>941</v>
      </c>
      <c r="AA834" s="873" t="s">
        <v>942</v>
      </c>
      <c r="AB834" s="873" t="s">
        <v>943</v>
      </c>
      <c r="AC834" s="873" t="s">
        <v>944</v>
      </c>
      <c r="AD834" s="873" t="s">
        <v>945</v>
      </c>
      <c r="AE834" s="873" t="s">
        <v>946</v>
      </c>
      <c r="AF834" s="873" t="s">
        <v>947</v>
      </c>
      <c r="AG834" s="873" t="s">
        <v>948</v>
      </c>
      <c r="AH834" s="6"/>
    </row>
    <row r="835" spans="1:34" ht="16" customHeight="1" thickTop="1">
      <c r="A835" s="7"/>
      <c r="B835" s="19" t="s">
        <v>1178</v>
      </c>
      <c r="C835" s="12"/>
      <c r="D835" s="203"/>
      <c r="E835" s="203"/>
      <c r="F835" s="202"/>
      <c r="G835" s="203"/>
      <c r="H835" s="202"/>
      <c r="I835" s="202"/>
      <c r="J835" s="203"/>
      <c r="K835" s="203"/>
      <c r="L835" s="291" t="s">
        <v>1429</v>
      </c>
      <c r="M835" s="202"/>
      <c r="N835" s="45" t="str">
        <f>J$6</f>
        <v>FY2010-11</v>
      </c>
      <c r="O835" s="45" t="s">
        <v>1356</v>
      </c>
      <c r="P835" s="45" t="s">
        <v>1347</v>
      </c>
      <c r="Q835" s="45" t="s">
        <v>1465</v>
      </c>
      <c r="R835" s="203"/>
      <c r="S835" s="203"/>
      <c r="T835" s="203"/>
      <c r="U835" s="203"/>
      <c r="V835" s="204"/>
      <c r="W835" s="204"/>
      <c r="X835" s="204"/>
      <c r="Y835" s="204"/>
      <c r="Z835" s="204"/>
      <c r="AA835" s="204"/>
      <c r="AB835" s="204"/>
      <c r="AC835" s="204"/>
      <c r="AD835" s="204"/>
      <c r="AE835" s="204"/>
      <c r="AF835" s="204"/>
      <c r="AG835" s="204"/>
      <c r="AH835" s="6"/>
    </row>
    <row r="836" spans="1:34" ht="16" customHeight="1">
      <c r="A836" s="7"/>
      <c r="B836" s="16">
        <f>DSUM('$REV-DB'!D35:AG374,"AMOUNT",'$REV-DSUM'!D834:AG841)</f>
        <v>0</v>
      </c>
      <c r="C836" s="12"/>
      <c r="D836" s="203"/>
      <c r="E836" s="203"/>
      <c r="F836" s="202"/>
      <c r="G836" s="203"/>
      <c r="H836" s="202"/>
      <c r="I836" s="202"/>
      <c r="J836" s="203"/>
      <c r="K836" s="203"/>
      <c r="L836" s="291" t="s">
        <v>1429</v>
      </c>
      <c r="M836" s="202"/>
      <c r="N836" s="45" t="str">
        <f t="shared" ref="N836:N841" si="82">J$6</f>
        <v>FY2010-11</v>
      </c>
      <c r="O836" s="45" t="s">
        <v>1356</v>
      </c>
      <c r="P836" s="45" t="s">
        <v>1347</v>
      </c>
      <c r="Q836" s="45" t="s">
        <v>1465</v>
      </c>
      <c r="R836" s="203"/>
      <c r="S836" s="203"/>
      <c r="T836" s="203"/>
      <c r="U836" s="203"/>
      <c r="V836" s="204"/>
      <c r="W836" s="204"/>
      <c r="X836" s="204"/>
      <c r="Y836" s="204"/>
      <c r="Z836" s="204"/>
      <c r="AA836" s="204"/>
      <c r="AB836" s="204"/>
      <c r="AC836" s="204"/>
      <c r="AD836" s="204"/>
      <c r="AE836" s="204"/>
      <c r="AF836" s="204"/>
      <c r="AG836" s="204"/>
      <c r="AH836" s="6"/>
    </row>
    <row r="837" spans="1:34" ht="16" customHeight="1">
      <c r="A837" s="7"/>
      <c r="B837" s="10"/>
      <c r="C837" s="12"/>
      <c r="D837" s="203"/>
      <c r="E837" s="203"/>
      <c r="F837" s="202"/>
      <c r="G837" s="203"/>
      <c r="H837" s="202"/>
      <c r="I837" s="202"/>
      <c r="J837" s="203"/>
      <c r="K837" s="203"/>
      <c r="L837" s="291" t="s">
        <v>1429</v>
      </c>
      <c r="M837" s="202"/>
      <c r="N837" s="45" t="str">
        <f t="shared" si="82"/>
        <v>FY2010-11</v>
      </c>
      <c r="O837" s="45" t="s">
        <v>1356</v>
      </c>
      <c r="P837" s="45" t="s">
        <v>1347</v>
      </c>
      <c r="Q837" s="45" t="s">
        <v>1465</v>
      </c>
      <c r="R837" s="203"/>
      <c r="S837" s="203"/>
      <c r="T837" s="203"/>
      <c r="U837" s="203"/>
      <c r="V837" s="204"/>
      <c r="W837" s="204"/>
      <c r="X837" s="204"/>
      <c r="Y837" s="204"/>
      <c r="Z837" s="204"/>
      <c r="AA837" s="204"/>
      <c r="AB837" s="204"/>
      <c r="AC837" s="204"/>
      <c r="AD837" s="204"/>
      <c r="AE837" s="204"/>
      <c r="AF837" s="204"/>
      <c r="AG837" s="204"/>
    </row>
    <row r="838" spans="1:34" ht="16" customHeight="1">
      <c r="A838" s="7"/>
      <c r="B838" s="10"/>
      <c r="C838" s="12"/>
      <c r="D838" s="203"/>
      <c r="E838" s="203"/>
      <c r="F838" s="202"/>
      <c r="G838" s="203"/>
      <c r="H838" s="202"/>
      <c r="I838" s="202"/>
      <c r="J838" s="203"/>
      <c r="K838" s="203"/>
      <c r="L838" s="291" t="s">
        <v>1429</v>
      </c>
      <c r="M838" s="202"/>
      <c r="N838" s="45" t="str">
        <f t="shared" si="82"/>
        <v>FY2010-11</v>
      </c>
      <c r="O838" s="45" t="s">
        <v>1356</v>
      </c>
      <c r="P838" s="45" t="s">
        <v>1347</v>
      </c>
      <c r="Q838" s="45" t="s">
        <v>1465</v>
      </c>
      <c r="R838" s="203"/>
      <c r="S838" s="203"/>
      <c r="T838" s="203"/>
      <c r="U838" s="203"/>
      <c r="V838" s="204"/>
      <c r="W838" s="204"/>
      <c r="X838" s="204"/>
      <c r="Y838" s="204"/>
      <c r="Z838" s="204"/>
      <c r="AA838" s="204"/>
      <c r="AB838" s="204"/>
      <c r="AC838" s="204"/>
      <c r="AD838" s="204"/>
      <c r="AE838" s="204"/>
      <c r="AF838" s="204"/>
      <c r="AG838" s="204"/>
    </row>
    <row r="839" spans="1:34" ht="16" customHeight="1">
      <c r="A839" s="7"/>
      <c r="B839" s="10"/>
      <c r="C839" s="12"/>
      <c r="D839" s="203"/>
      <c r="E839" s="203"/>
      <c r="F839" s="202"/>
      <c r="G839" s="203"/>
      <c r="H839" s="202"/>
      <c r="I839" s="202"/>
      <c r="J839" s="203"/>
      <c r="K839" s="203"/>
      <c r="L839" s="291" t="s">
        <v>1429</v>
      </c>
      <c r="M839" s="202"/>
      <c r="N839" s="45" t="str">
        <f t="shared" si="82"/>
        <v>FY2010-11</v>
      </c>
      <c r="O839" s="45" t="s">
        <v>1356</v>
      </c>
      <c r="P839" s="45" t="s">
        <v>1347</v>
      </c>
      <c r="Q839" s="45" t="s">
        <v>1465</v>
      </c>
      <c r="R839" s="203"/>
      <c r="S839" s="203"/>
      <c r="T839" s="203"/>
      <c r="U839" s="203"/>
      <c r="V839" s="204"/>
      <c r="W839" s="204"/>
      <c r="X839" s="204"/>
      <c r="Y839" s="204"/>
      <c r="Z839" s="204"/>
      <c r="AA839" s="204"/>
      <c r="AB839" s="204"/>
      <c r="AC839" s="204"/>
      <c r="AD839" s="204"/>
      <c r="AE839" s="204"/>
      <c r="AF839" s="204"/>
      <c r="AG839" s="204"/>
    </row>
    <row r="840" spans="1:34" ht="16" customHeight="1">
      <c r="A840" s="7"/>
      <c r="B840" s="10"/>
      <c r="C840" s="12"/>
      <c r="D840" s="203"/>
      <c r="E840" s="203"/>
      <c r="F840" s="202"/>
      <c r="G840" s="203"/>
      <c r="H840" s="202"/>
      <c r="I840" s="202"/>
      <c r="J840" s="203"/>
      <c r="K840" s="203"/>
      <c r="L840" s="291" t="s">
        <v>1429</v>
      </c>
      <c r="M840" s="202"/>
      <c r="N840" s="45" t="str">
        <f t="shared" si="82"/>
        <v>FY2010-11</v>
      </c>
      <c r="O840" s="45" t="s">
        <v>1356</v>
      </c>
      <c r="P840" s="45" t="s">
        <v>1347</v>
      </c>
      <c r="Q840" s="45" t="s">
        <v>1465</v>
      </c>
      <c r="R840" s="203"/>
      <c r="S840" s="203"/>
      <c r="T840" s="203"/>
      <c r="U840" s="203"/>
      <c r="V840" s="204"/>
      <c r="W840" s="204"/>
      <c r="X840" s="204"/>
      <c r="Y840" s="204"/>
      <c r="Z840" s="204"/>
      <c r="AA840" s="204"/>
      <c r="AB840" s="204"/>
      <c r="AC840" s="204"/>
      <c r="AD840" s="204"/>
      <c r="AE840" s="204"/>
      <c r="AF840" s="204"/>
      <c r="AG840" s="204"/>
    </row>
    <row r="841" spans="1:34" ht="16" customHeight="1">
      <c r="A841" s="7"/>
      <c r="B841" s="10"/>
      <c r="C841" s="12"/>
      <c r="D841" s="203"/>
      <c r="E841" s="203"/>
      <c r="F841" s="202"/>
      <c r="G841" s="203"/>
      <c r="H841" s="202"/>
      <c r="I841" s="202"/>
      <c r="J841" s="203"/>
      <c r="K841" s="203"/>
      <c r="L841" s="291" t="s">
        <v>1429</v>
      </c>
      <c r="M841" s="202"/>
      <c r="N841" s="45" t="str">
        <f t="shared" si="82"/>
        <v>FY2010-11</v>
      </c>
      <c r="O841" s="45" t="s">
        <v>1356</v>
      </c>
      <c r="P841" s="45" t="s">
        <v>1347</v>
      </c>
      <c r="Q841" s="45" t="s">
        <v>1465</v>
      </c>
      <c r="R841" s="203"/>
      <c r="S841" s="203"/>
      <c r="T841" s="203"/>
      <c r="U841" s="203"/>
      <c r="V841" s="204"/>
      <c r="W841" s="204"/>
      <c r="X841" s="204"/>
      <c r="Y841" s="204"/>
      <c r="Z841" s="204"/>
      <c r="AA841" s="204"/>
      <c r="AB841" s="204"/>
      <c r="AC841" s="204"/>
      <c r="AD841" s="204"/>
      <c r="AE841" s="204"/>
      <c r="AF841" s="204"/>
      <c r="AG841" s="204"/>
    </row>
    <row r="842" spans="1:34" ht="16" customHeight="1">
      <c r="A842" s="44"/>
      <c r="B842" s="41"/>
      <c r="C842" s="41"/>
      <c r="D842" s="42"/>
      <c r="E842" s="42"/>
      <c r="F842" s="43"/>
      <c r="G842" s="42"/>
      <c r="H842" s="43"/>
      <c r="I842" s="43"/>
      <c r="J842" s="42"/>
      <c r="K842" s="42"/>
      <c r="L842" s="290"/>
      <c r="M842" s="43"/>
      <c r="N842" s="43"/>
      <c r="O842" s="42"/>
      <c r="P842" s="43"/>
      <c r="Q842" s="43"/>
      <c r="R842" s="42"/>
      <c r="S842" s="42"/>
      <c r="T842" s="42"/>
      <c r="U842" s="42"/>
      <c r="V842" s="44"/>
      <c r="W842" s="44"/>
      <c r="X842" s="44"/>
      <c r="Y842" s="44"/>
      <c r="Z842" s="44"/>
      <c r="AA842" s="44"/>
      <c r="AB842" s="44"/>
      <c r="AC842" s="44"/>
      <c r="AD842" s="44"/>
      <c r="AE842" s="44"/>
      <c r="AF842" s="44"/>
      <c r="AG842" s="44"/>
    </row>
    <row r="843" spans="1:34" ht="16" customHeight="1" thickBot="1">
      <c r="A843" s="7"/>
      <c r="B843" s="19" t="str">
        <f>"FA5 = "&amp;'FIG3'!$W$56&amp;" "&amp;'FIG3'!$X$56</f>
        <v>FA5 = FA5L1 FA5L2</v>
      </c>
      <c r="C843" s="7"/>
      <c r="D843" s="8"/>
      <c r="E843" s="8"/>
      <c r="F843" s="9"/>
      <c r="G843" s="8"/>
      <c r="H843" s="9"/>
      <c r="I843" s="9"/>
      <c r="J843" s="8"/>
      <c r="K843" s="8"/>
      <c r="L843" s="280"/>
      <c r="M843" s="9"/>
      <c r="N843" s="9"/>
      <c r="O843" s="8"/>
      <c r="P843" s="9"/>
      <c r="Q843" s="9"/>
      <c r="R843" s="8"/>
      <c r="S843" s="882"/>
      <c r="T843" s="883" t="str">
        <f>'$REV-DB'!$T$34</f>
        <v>Federal Revenues</v>
      </c>
      <c r="U843" s="883" t="str">
        <f>'$REV-DB'!$U$34</f>
        <v>local Revenues</v>
      </c>
      <c r="V843" s="883" t="str">
        <f>'$REV-DB'!$V$34</f>
        <v>Other Revenues</v>
      </c>
      <c r="W843" s="883" t="str">
        <f>'$REV-DB'!$W$34</f>
        <v>State revenues</v>
      </c>
      <c r="X843" s="883" t="str">
        <f>'$REV-DB'!$X$34</f>
        <v>UD5</v>
      </c>
      <c r="Y843" s="883" t="str">
        <f>'$REV-DB'!$Y$34</f>
        <v>UD6</v>
      </c>
      <c r="Z843" s="883" t="str">
        <f>'$REV-DB'!$Z$34</f>
        <v>UD7</v>
      </c>
      <c r="AA843" s="883" t="str">
        <f>'$REV-DB'!$AA$34</f>
        <v>UD8</v>
      </c>
      <c r="AB843" s="883" t="str">
        <f>'$REV-DB'!$AB$34</f>
        <v>UD9</v>
      </c>
      <c r="AC843" s="883" t="str">
        <f>'$REV-DB'!$AC$34</f>
        <v>UD10</v>
      </c>
      <c r="AD843" s="883" t="str">
        <f>'$REV-DB'!$AD$34</f>
        <v>UD11</v>
      </c>
      <c r="AE843" s="883" t="str">
        <f>'$REV-DB'!$AE$34</f>
        <v>UD12</v>
      </c>
      <c r="AF843" s="883" t="str">
        <f>'$REV-DB'!$AF$34</f>
        <v>UD13</v>
      </c>
      <c r="AG843" s="883" t="str">
        <f>'$REV-DB'!$AG$34</f>
        <v>UD14</v>
      </c>
    </row>
    <row r="844" spans="1:34" ht="16" customHeight="1" thickTop="1" thickBot="1">
      <c r="A844" s="7"/>
      <c r="B844" s="20" t="s">
        <v>1375</v>
      </c>
      <c r="C844" s="15"/>
      <c r="D844" s="105" t="s">
        <v>1386</v>
      </c>
      <c r="E844" s="105" t="s">
        <v>1387</v>
      </c>
      <c r="F844" s="105" t="s">
        <v>1388</v>
      </c>
      <c r="G844" s="105" t="s">
        <v>1389</v>
      </c>
      <c r="H844" s="301" t="s">
        <v>1406</v>
      </c>
      <c r="I844" s="301" t="s">
        <v>1390</v>
      </c>
      <c r="J844" s="301" t="s">
        <v>1391</v>
      </c>
      <c r="K844" s="301" t="s">
        <v>1392</v>
      </c>
      <c r="L844" s="301" t="s">
        <v>1188</v>
      </c>
      <c r="M844" s="301" t="s">
        <v>1437</v>
      </c>
      <c r="N844" s="105" t="s">
        <v>1348</v>
      </c>
      <c r="O844" s="105" t="s">
        <v>1393</v>
      </c>
      <c r="P844" s="105" t="s">
        <v>1342</v>
      </c>
      <c r="Q844" s="105" t="s">
        <v>1394</v>
      </c>
      <c r="R844" s="112" t="s">
        <v>1341</v>
      </c>
      <c r="S844" s="112" t="s">
        <v>846</v>
      </c>
      <c r="T844" s="873" t="s">
        <v>935</v>
      </c>
      <c r="U844" s="873" t="s">
        <v>936</v>
      </c>
      <c r="V844" s="873" t="s">
        <v>937</v>
      </c>
      <c r="W844" s="873" t="s">
        <v>938</v>
      </c>
      <c r="X844" s="873" t="s">
        <v>939</v>
      </c>
      <c r="Y844" s="873" t="s">
        <v>940</v>
      </c>
      <c r="Z844" s="873" t="s">
        <v>941</v>
      </c>
      <c r="AA844" s="873" t="s">
        <v>942</v>
      </c>
      <c r="AB844" s="873" t="s">
        <v>943</v>
      </c>
      <c r="AC844" s="873" t="s">
        <v>944</v>
      </c>
      <c r="AD844" s="873" t="s">
        <v>945</v>
      </c>
      <c r="AE844" s="873" t="s">
        <v>946</v>
      </c>
      <c r="AF844" s="873" t="s">
        <v>947</v>
      </c>
      <c r="AG844" s="873" t="s">
        <v>948</v>
      </c>
      <c r="AH844" s="6"/>
    </row>
    <row r="845" spans="1:34" ht="16" customHeight="1" thickTop="1">
      <c r="A845" s="7"/>
      <c r="B845" s="19" t="s">
        <v>1350</v>
      </c>
      <c r="C845" s="12"/>
      <c r="D845" s="203"/>
      <c r="E845" s="203"/>
      <c r="F845" s="202"/>
      <c r="G845" s="203"/>
      <c r="H845" s="202"/>
      <c r="I845" s="202"/>
      <c r="J845" s="203"/>
      <c r="K845" s="203"/>
      <c r="L845" s="291" t="s">
        <v>1429</v>
      </c>
      <c r="M845" s="202"/>
      <c r="N845" s="45" t="str">
        <f>J$6</f>
        <v>FY2010-11</v>
      </c>
      <c r="O845" s="45" t="s">
        <v>1356</v>
      </c>
      <c r="P845" s="45" t="s">
        <v>1347</v>
      </c>
      <c r="Q845" s="45" t="s">
        <v>1340</v>
      </c>
      <c r="R845" s="203"/>
      <c r="S845" s="203"/>
      <c r="T845" s="203"/>
      <c r="U845" s="203"/>
      <c r="V845" s="204"/>
      <c r="W845" s="204"/>
      <c r="X845" s="204"/>
      <c r="Y845" s="204"/>
      <c r="Z845" s="204"/>
      <c r="AA845" s="204"/>
      <c r="AB845" s="204"/>
      <c r="AC845" s="204"/>
      <c r="AD845" s="204"/>
      <c r="AE845" s="204"/>
      <c r="AF845" s="204"/>
      <c r="AG845" s="204"/>
      <c r="AH845" s="6"/>
    </row>
    <row r="846" spans="1:34" ht="16" customHeight="1">
      <c r="A846" s="7"/>
      <c r="B846" s="16">
        <f>DSUM('$REV-DB'!D35:AG374,"AMOUNT",'$REV-DSUM'!D844:AG851)</f>
        <v>0</v>
      </c>
      <c r="C846" s="12"/>
      <c r="D846" s="203"/>
      <c r="E846" s="203"/>
      <c r="F846" s="202"/>
      <c r="G846" s="203"/>
      <c r="H846" s="202"/>
      <c r="I846" s="202"/>
      <c r="J846" s="203"/>
      <c r="K846" s="203"/>
      <c r="L846" s="291" t="s">
        <v>1429</v>
      </c>
      <c r="M846" s="202"/>
      <c r="N846" s="45" t="str">
        <f t="shared" ref="N846:N851" si="83">J$6</f>
        <v>FY2010-11</v>
      </c>
      <c r="O846" s="45" t="s">
        <v>1356</v>
      </c>
      <c r="P846" s="45" t="s">
        <v>1347</v>
      </c>
      <c r="Q846" s="45" t="s">
        <v>1340</v>
      </c>
      <c r="R846" s="203"/>
      <c r="S846" s="203"/>
      <c r="T846" s="203"/>
      <c r="U846" s="203"/>
      <c r="V846" s="204"/>
      <c r="W846" s="204"/>
      <c r="X846" s="204"/>
      <c r="Y846" s="204"/>
      <c r="Z846" s="204"/>
      <c r="AA846" s="204"/>
      <c r="AB846" s="204"/>
      <c r="AC846" s="204"/>
      <c r="AD846" s="204"/>
      <c r="AE846" s="204"/>
      <c r="AF846" s="204"/>
      <c r="AG846" s="204"/>
      <c r="AH846" s="6"/>
    </row>
    <row r="847" spans="1:34" ht="16" customHeight="1">
      <c r="A847" s="7"/>
      <c r="B847" s="10"/>
      <c r="C847" s="12"/>
      <c r="D847" s="203"/>
      <c r="E847" s="203"/>
      <c r="F847" s="202"/>
      <c r="G847" s="203"/>
      <c r="H847" s="202"/>
      <c r="I847" s="202"/>
      <c r="J847" s="203"/>
      <c r="K847" s="203"/>
      <c r="L847" s="291" t="s">
        <v>1429</v>
      </c>
      <c r="M847" s="202"/>
      <c r="N847" s="45" t="str">
        <f t="shared" si="83"/>
        <v>FY2010-11</v>
      </c>
      <c r="O847" s="45" t="s">
        <v>1356</v>
      </c>
      <c r="P847" s="45" t="s">
        <v>1347</v>
      </c>
      <c r="Q847" s="45" t="s">
        <v>1340</v>
      </c>
      <c r="R847" s="203"/>
      <c r="S847" s="203"/>
      <c r="T847" s="203"/>
      <c r="U847" s="203"/>
      <c r="V847" s="204"/>
      <c r="W847" s="204"/>
      <c r="X847" s="204"/>
      <c r="Y847" s="204"/>
      <c r="Z847" s="204"/>
      <c r="AA847" s="204"/>
      <c r="AB847" s="204"/>
      <c r="AC847" s="204"/>
      <c r="AD847" s="204"/>
      <c r="AE847" s="204"/>
      <c r="AF847" s="204"/>
      <c r="AG847" s="204"/>
    </row>
    <row r="848" spans="1:34" ht="16" customHeight="1">
      <c r="A848" s="7"/>
      <c r="B848" s="10"/>
      <c r="C848" s="12"/>
      <c r="D848" s="203"/>
      <c r="E848" s="203"/>
      <c r="F848" s="202"/>
      <c r="G848" s="203"/>
      <c r="H848" s="202"/>
      <c r="I848" s="202"/>
      <c r="J848" s="203"/>
      <c r="K848" s="203"/>
      <c r="L848" s="291" t="s">
        <v>1429</v>
      </c>
      <c r="M848" s="202"/>
      <c r="N848" s="45" t="str">
        <f t="shared" si="83"/>
        <v>FY2010-11</v>
      </c>
      <c r="O848" s="45" t="s">
        <v>1356</v>
      </c>
      <c r="P848" s="45" t="s">
        <v>1347</v>
      </c>
      <c r="Q848" s="45" t="s">
        <v>1340</v>
      </c>
      <c r="R848" s="203"/>
      <c r="S848" s="203"/>
      <c r="T848" s="203"/>
      <c r="U848" s="203"/>
      <c r="V848" s="204"/>
      <c r="W848" s="204"/>
      <c r="X848" s="204"/>
      <c r="Y848" s="204"/>
      <c r="Z848" s="204"/>
      <c r="AA848" s="204"/>
      <c r="AB848" s="204"/>
      <c r="AC848" s="204"/>
      <c r="AD848" s="204"/>
      <c r="AE848" s="204"/>
      <c r="AF848" s="204"/>
      <c r="AG848" s="204"/>
    </row>
    <row r="849" spans="1:34" ht="16" customHeight="1">
      <c r="A849" s="7"/>
      <c r="B849" s="10"/>
      <c r="C849" s="12"/>
      <c r="D849" s="203"/>
      <c r="E849" s="203"/>
      <c r="F849" s="202"/>
      <c r="G849" s="203"/>
      <c r="H849" s="202"/>
      <c r="I849" s="202"/>
      <c r="J849" s="203"/>
      <c r="K849" s="203"/>
      <c r="L849" s="291" t="s">
        <v>1429</v>
      </c>
      <c r="M849" s="202"/>
      <c r="N849" s="45" t="str">
        <f t="shared" si="83"/>
        <v>FY2010-11</v>
      </c>
      <c r="O849" s="45" t="s">
        <v>1356</v>
      </c>
      <c r="P849" s="45" t="s">
        <v>1347</v>
      </c>
      <c r="Q849" s="45" t="s">
        <v>1340</v>
      </c>
      <c r="R849" s="203"/>
      <c r="S849" s="203"/>
      <c r="T849" s="203"/>
      <c r="U849" s="203"/>
      <c r="V849" s="204"/>
      <c r="W849" s="204"/>
      <c r="X849" s="204"/>
      <c r="Y849" s="204"/>
      <c r="Z849" s="204"/>
      <c r="AA849" s="204"/>
      <c r="AB849" s="204"/>
      <c r="AC849" s="204"/>
      <c r="AD849" s="204"/>
      <c r="AE849" s="204"/>
      <c r="AF849" s="204"/>
      <c r="AG849" s="204"/>
    </row>
    <row r="850" spans="1:34" ht="16" customHeight="1">
      <c r="A850" s="7"/>
      <c r="B850" s="10"/>
      <c r="C850" s="12"/>
      <c r="D850" s="203"/>
      <c r="E850" s="203"/>
      <c r="F850" s="202"/>
      <c r="G850" s="203"/>
      <c r="H850" s="202"/>
      <c r="I850" s="202"/>
      <c r="J850" s="203"/>
      <c r="K850" s="203"/>
      <c r="L850" s="291" t="s">
        <v>1429</v>
      </c>
      <c r="M850" s="202"/>
      <c r="N850" s="45" t="str">
        <f t="shared" si="83"/>
        <v>FY2010-11</v>
      </c>
      <c r="O850" s="45" t="s">
        <v>1356</v>
      </c>
      <c r="P850" s="45" t="s">
        <v>1347</v>
      </c>
      <c r="Q850" s="45" t="s">
        <v>1340</v>
      </c>
      <c r="R850" s="203"/>
      <c r="S850" s="203"/>
      <c r="T850" s="203"/>
      <c r="U850" s="203"/>
      <c r="V850" s="204"/>
      <c r="W850" s="204"/>
      <c r="X850" s="204"/>
      <c r="Y850" s="204"/>
      <c r="Z850" s="204"/>
      <c r="AA850" s="204"/>
      <c r="AB850" s="204"/>
      <c r="AC850" s="204"/>
      <c r="AD850" s="204"/>
      <c r="AE850" s="204"/>
      <c r="AF850" s="204"/>
      <c r="AG850" s="204"/>
    </row>
    <row r="851" spans="1:34" ht="16" customHeight="1">
      <c r="A851" s="7"/>
      <c r="B851" s="10"/>
      <c r="C851" s="12"/>
      <c r="D851" s="203"/>
      <c r="E851" s="203"/>
      <c r="F851" s="202"/>
      <c r="G851" s="203"/>
      <c r="H851" s="202"/>
      <c r="I851" s="202"/>
      <c r="J851" s="203"/>
      <c r="K851" s="203"/>
      <c r="L851" s="291" t="s">
        <v>1429</v>
      </c>
      <c r="M851" s="202"/>
      <c r="N851" s="45" t="str">
        <f t="shared" si="83"/>
        <v>FY2010-11</v>
      </c>
      <c r="O851" s="45" t="s">
        <v>1356</v>
      </c>
      <c r="P851" s="45" t="s">
        <v>1347</v>
      </c>
      <c r="Q851" s="45" t="s">
        <v>1340</v>
      </c>
      <c r="R851" s="203"/>
      <c r="S851" s="203"/>
      <c r="T851" s="203"/>
      <c r="U851" s="203"/>
      <c r="V851" s="204"/>
      <c r="W851" s="204"/>
      <c r="X851" s="204"/>
      <c r="Y851" s="204"/>
      <c r="Z851" s="204"/>
      <c r="AA851" s="204"/>
      <c r="AB851" s="204"/>
      <c r="AC851" s="204"/>
      <c r="AD851" s="204"/>
      <c r="AE851" s="204"/>
      <c r="AF851" s="204"/>
      <c r="AG851" s="204"/>
    </row>
    <row r="852" spans="1:34" ht="16" customHeight="1">
      <c r="A852" s="44"/>
      <c r="B852" s="41"/>
      <c r="C852" s="41"/>
      <c r="D852" s="42"/>
      <c r="E852" s="42"/>
      <c r="F852" s="43"/>
      <c r="G852" s="42"/>
      <c r="H852" s="43"/>
      <c r="I852" s="43"/>
      <c r="J852" s="42"/>
      <c r="K852" s="42"/>
      <c r="L852" s="290"/>
      <c r="M852" s="43"/>
      <c r="N852" s="43"/>
      <c r="O852" s="42"/>
      <c r="P852" s="43"/>
      <c r="Q852" s="43"/>
      <c r="R852" s="42"/>
      <c r="S852" s="42"/>
      <c r="T852" s="42"/>
      <c r="U852" s="42"/>
      <c r="V852" s="44"/>
      <c r="W852" s="44"/>
      <c r="X852" s="44"/>
      <c r="Y852" s="44"/>
      <c r="Z852" s="44"/>
      <c r="AA852" s="44"/>
      <c r="AB852" s="44"/>
      <c r="AC852" s="44"/>
      <c r="AD852" s="44"/>
      <c r="AE852" s="44"/>
      <c r="AF852" s="44"/>
      <c r="AG852" s="44"/>
    </row>
    <row r="853" spans="1:34" ht="16" customHeight="1" thickBot="1">
      <c r="A853" s="317"/>
      <c r="B853" s="318" t="s">
        <v>1093</v>
      </c>
      <c r="C853" s="317"/>
      <c r="D853" s="322"/>
      <c r="E853" s="322"/>
      <c r="F853" s="323"/>
      <c r="G853" s="322"/>
      <c r="H853" s="323"/>
      <c r="I853" s="323"/>
      <c r="J853" s="322"/>
      <c r="K853" s="322"/>
      <c r="L853" s="324"/>
      <c r="M853" s="323"/>
      <c r="N853" s="323"/>
      <c r="O853" s="322"/>
      <c r="P853" s="323"/>
      <c r="Q853" s="323"/>
      <c r="R853" s="322"/>
      <c r="S853" s="882"/>
      <c r="T853" s="883" t="str">
        <f>'$REV-DB'!$T$34</f>
        <v>Federal Revenues</v>
      </c>
      <c r="U853" s="883" t="str">
        <f>'$REV-DB'!$U$34</f>
        <v>local Revenues</v>
      </c>
      <c r="V853" s="883" t="str">
        <f>'$REV-DB'!$V$34</f>
        <v>Other Revenues</v>
      </c>
      <c r="W853" s="883" t="str">
        <f>'$REV-DB'!$W$34</f>
        <v>State revenues</v>
      </c>
      <c r="X853" s="883" t="str">
        <f>'$REV-DB'!$X$34</f>
        <v>UD5</v>
      </c>
      <c r="Y853" s="883" t="str">
        <f>'$REV-DB'!$Y$34</f>
        <v>UD6</v>
      </c>
      <c r="Z853" s="883" t="str">
        <f>'$REV-DB'!$Z$34</f>
        <v>UD7</v>
      </c>
      <c r="AA853" s="883" t="str">
        <f>'$REV-DB'!$AA$34</f>
        <v>UD8</v>
      </c>
      <c r="AB853" s="883" t="str">
        <f>'$REV-DB'!$AB$34</f>
        <v>UD9</v>
      </c>
      <c r="AC853" s="883" t="str">
        <f>'$REV-DB'!$AC$34</f>
        <v>UD10</v>
      </c>
      <c r="AD853" s="883" t="str">
        <f>'$REV-DB'!$AD$34</f>
        <v>UD11</v>
      </c>
      <c r="AE853" s="883" t="str">
        <f>'$REV-DB'!$AE$34</f>
        <v>UD12</v>
      </c>
      <c r="AF853" s="883" t="str">
        <f>'$REV-DB'!$AF$34</f>
        <v>UD13</v>
      </c>
      <c r="AG853" s="883" t="str">
        <f>'$REV-DB'!$AG$34</f>
        <v>UD14</v>
      </c>
    </row>
    <row r="854" spans="1:34" ht="16" customHeight="1" thickTop="1" thickBot="1">
      <c r="A854" s="317"/>
      <c r="B854" s="319" t="s">
        <v>1094</v>
      </c>
      <c r="C854" s="325"/>
      <c r="D854" s="326" t="s">
        <v>1386</v>
      </c>
      <c r="E854" s="326" t="s">
        <v>1387</v>
      </c>
      <c r="F854" s="326" t="s">
        <v>1388</v>
      </c>
      <c r="G854" s="326" t="s">
        <v>1389</v>
      </c>
      <c r="H854" s="326" t="s">
        <v>1406</v>
      </c>
      <c r="I854" s="326" t="s">
        <v>1390</v>
      </c>
      <c r="J854" s="326" t="s">
        <v>1391</v>
      </c>
      <c r="K854" s="326" t="s">
        <v>1392</v>
      </c>
      <c r="L854" s="326" t="s">
        <v>1188</v>
      </c>
      <c r="M854" s="326" t="s">
        <v>1437</v>
      </c>
      <c r="N854" s="326" t="s">
        <v>1348</v>
      </c>
      <c r="O854" s="326" t="s">
        <v>1393</v>
      </c>
      <c r="P854" s="326" t="s">
        <v>1342</v>
      </c>
      <c r="Q854" s="326" t="s">
        <v>1394</v>
      </c>
      <c r="R854" s="327" t="s">
        <v>1341</v>
      </c>
      <c r="S854" s="112" t="s">
        <v>846</v>
      </c>
      <c r="T854" s="873" t="s">
        <v>935</v>
      </c>
      <c r="U854" s="873" t="s">
        <v>936</v>
      </c>
      <c r="V854" s="873" t="s">
        <v>937</v>
      </c>
      <c r="W854" s="873" t="s">
        <v>938</v>
      </c>
      <c r="X854" s="873" t="s">
        <v>939</v>
      </c>
      <c r="Y854" s="873" t="s">
        <v>940</v>
      </c>
      <c r="Z854" s="873" t="s">
        <v>941</v>
      </c>
      <c r="AA854" s="873" t="s">
        <v>942</v>
      </c>
      <c r="AB854" s="873" t="s">
        <v>943</v>
      </c>
      <c r="AC854" s="873" t="s">
        <v>944</v>
      </c>
      <c r="AD854" s="873" t="s">
        <v>945</v>
      </c>
      <c r="AE854" s="873" t="s">
        <v>946</v>
      </c>
      <c r="AF854" s="873" t="s">
        <v>947</v>
      </c>
      <c r="AG854" s="873" t="s">
        <v>948</v>
      </c>
      <c r="AH854" s="6"/>
    </row>
    <row r="855" spans="1:34" ht="16" customHeight="1" thickTop="1">
      <c r="A855" s="317"/>
      <c r="B855" s="318" t="s">
        <v>1098</v>
      </c>
      <c r="C855" s="328"/>
      <c r="D855" s="203"/>
      <c r="E855" s="203"/>
      <c r="F855" s="202"/>
      <c r="G855" s="203"/>
      <c r="H855" s="202"/>
      <c r="I855" s="202"/>
      <c r="J855" s="203"/>
      <c r="K855" s="203"/>
      <c r="L855" s="291" t="s">
        <v>1302</v>
      </c>
      <c r="M855" s="202"/>
      <c r="N855" s="45" t="str">
        <f>J$6</f>
        <v>FY2010-11</v>
      </c>
      <c r="O855" s="45"/>
      <c r="P855" s="45"/>
      <c r="Q855" s="45"/>
      <c r="R855" s="203"/>
      <c r="S855" s="203"/>
      <c r="T855" s="203"/>
      <c r="U855" s="203"/>
      <c r="V855" s="204"/>
      <c r="W855" s="204"/>
      <c r="X855" s="204"/>
      <c r="Y855" s="204"/>
      <c r="Z855" s="204"/>
      <c r="AA855" s="204"/>
      <c r="AB855" s="204"/>
      <c r="AC855" s="204"/>
      <c r="AD855" s="204"/>
      <c r="AE855" s="204"/>
      <c r="AF855" s="204"/>
      <c r="AG855" s="204"/>
      <c r="AH855" s="6"/>
    </row>
    <row r="856" spans="1:34" ht="16" customHeight="1">
      <c r="A856" s="317"/>
      <c r="B856" s="320">
        <f>DSUM('$REV-DB'!D35:AG374,"AMOUNT",'$REV-DSUM'!D854:AG861)</f>
        <v>0</v>
      </c>
      <c r="C856" s="328"/>
      <c r="D856" s="203"/>
      <c r="E856" s="203"/>
      <c r="F856" s="202"/>
      <c r="G856" s="203"/>
      <c r="H856" s="202"/>
      <c r="I856" s="202"/>
      <c r="J856" s="203"/>
      <c r="K856" s="203"/>
      <c r="L856" s="291" t="s">
        <v>1302</v>
      </c>
      <c r="M856" s="202"/>
      <c r="N856" s="45" t="str">
        <f t="shared" ref="N856:N861" si="84">J$6</f>
        <v>FY2010-11</v>
      </c>
      <c r="O856" s="45"/>
      <c r="P856" s="45"/>
      <c r="Q856" s="45"/>
      <c r="R856" s="203"/>
      <c r="S856" s="203"/>
      <c r="T856" s="203"/>
      <c r="U856" s="203"/>
      <c r="V856" s="204"/>
      <c r="W856" s="204"/>
      <c r="X856" s="204"/>
      <c r="Y856" s="204"/>
      <c r="Z856" s="204"/>
      <c r="AA856" s="204"/>
      <c r="AB856" s="204"/>
      <c r="AC856" s="204"/>
      <c r="AD856" s="204"/>
      <c r="AE856" s="204"/>
      <c r="AF856" s="204"/>
      <c r="AG856" s="204"/>
      <c r="AH856" s="6"/>
    </row>
    <row r="857" spans="1:34" ht="16" customHeight="1">
      <c r="A857" s="317"/>
      <c r="B857" s="321"/>
      <c r="C857" s="328"/>
      <c r="D857" s="203"/>
      <c r="E857" s="203"/>
      <c r="F857" s="202"/>
      <c r="G857" s="203"/>
      <c r="H857" s="202"/>
      <c r="I857" s="202"/>
      <c r="J857" s="203"/>
      <c r="K857" s="203"/>
      <c r="L857" s="291" t="s">
        <v>1302</v>
      </c>
      <c r="M857" s="202"/>
      <c r="N857" s="45" t="str">
        <f t="shared" si="84"/>
        <v>FY2010-11</v>
      </c>
      <c r="O857" s="45"/>
      <c r="P857" s="45"/>
      <c r="Q857" s="45"/>
      <c r="R857" s="203"/>
      <c r="S857" s="203"/>
      <c r="T857" s="203"/>
      <c r="U857" s="203"/>
      <c r="V857" s="204"/>
      <c r="W857" s="204"/>
      <c r="X857" s="204"/>
      <c r="Y857" s="204"/>
      <c r="Z857" s="204"/>
      <c r="AA857" s="204"/>
      <c r="AB857" s="204"/>
      <c r="AC857" s="204"/>
      <c r="AD857" s="204"/>
      <c r="AE857" s="204"/>
      <c r="AF857" s="204"/>
      <c r="AG857" s="204"/>
    </row>
    <row r="858" spans="1:34" ht="16" customHeight="1">
      <c r="A858" s="317"/>
      <c r="B858" s="333" t="s">
        <v>1095</v>
      </c>
      <c r="C858" s="328"/>
      <c r="D858" s="203"/>
      <c r="E858" s="203"/>
      <c r="F858" s="202"/>
      <c r="G858" s="203"/>
      <c r="H858" s="202"/>
      <c r="I858" s="202"/>
      <c r="J858" s="203"/>
      <c r="K858" s="203"/>
      <c r="L858" s="291" t="s">
        <v>1302</v>
      </c>
      <c r="M858" s="202"/>
      <c r="N858" s="45" t="str">
        <f t="shared" si="84"/>
        <v>FY2010-11</v>
      </c>
      <c r="O858" s="45"/>
      <c r="P858" s="45"/>
      <c r="Q858" s="45"/>
      <c r="R858" s="203"/>
      <c r="S858" s="203"/>
      <c r="T858" s="203"/>
      <c r="U858" s="203"/>
      <c r="V858" s="204"/>
      <c r="W858" s="204"/>
      <c r="X858" s="204"/>
      <c r="Y858" s="204"/>
      <c r="Z858" s="204"/>
      <c r="AA858" s="204"/>
      <c r="AB858" s="204"/>
      <c r="AC858" s="204"/>
      <c r="AD858" s="204"/>
      <c r="AE858" s="204"/>
      <c r="AF858" s="204"/>
      <c r="AG858" s="204"/>
    </row>
    <row r="859" spans="1:34" ht="16" customHeight="1">
      <c r="A859" s="317"/>
      <c r="B859" s="333" t="s">
        <v>1096</v>
      </c>
      <c r="C859" s="328"/>
      <c r="D859" s="203"/>
      <c r="E859" s="203"/>
      <c r="F859" s="202"/>
      <c r="G859" s="203"/>
      <c r="H859" s="202"/>
      <c r="I859" s="202"/>
      <c r="J859" s="203"/>
      <c r="K859" s="203"/>
      <c r="L859" s="291" t="s">
        <v>1302</v>
      </c>
      <c r="M859" s="202"/>
      <c r="N859" s="45" t="str">
        <f t="shared" si="84"/>
        <v>FY2010-11</v>
      </c>
      <c r="O859" s="45"/>
      <c r="P859" s="45"/>
      <c r="Q859" s="45"/>
      <c r="R859" s="203"/>
      <c r="S859" s="203"/>
      <c r="T859" s="203"/>
      <c r="U859" s="203"/>
      <c r="V859" s="204"/>
      <c r="W859" s="204"/>
      <c r="X859" s="204"/>
      <c r="Y859" s="204"/>
      <c r="Z859" s="204"/>
      <c r="AA859" s="204"/>
      <c r="AB859" s="204"/>
      <c r="AC859" s="204"/>
      <c r="AD859" s="204"/>
      <c r="AE859" s="204"/>
      <c r="AF859" s="204"/>
      <c r="AG859" s="204"/>
    </row>
    <row r="860" spans="1:34" ht="16" customHeight="1">
      <c r="A860" s="317"/>
      <c r="B860" s="333" t="s">
        <v>1097</v>
      </c>
      <c r="C860" s="328"/>
      <c r="D860" s="203"/>
      <c r="E860" s="203"/>
      <c r="F860" s="202"/>
      <c r="G860" s="203"/>
      <c r="H860" s="202"/>
      <c r="I860" s="202"/>
      <c r="J860" s="203"/>
      <c r="K860" s="203"/>
      <c r="L860" s="291" t="s">
        <v>1302</v>
      </c>
      <c r="M860" s="202"/>
      <c r="N860" s="45" t="str">
        <f t="shared" si="84"/>
        <v>FY2010-11</v>
      </c>
      <c r="O860" s="45"/>
      <c r="P860" s="45"/>
      <c r="Q860" s="45"/>
      <c r="R860" s="203"/>
      <c r="S860" s="203"/>
      <c r="T860" s="203"/>
      <c r="U860" s="203"/>
      <c r="V860" s="204"/>
      <c r="W860" s="204"/>
      <c r="X860" s="204"/>
      <c r="Y860" s="204"/>
      <c r="Z860" s="204"/>
      <c r="AA860" s="204"/>
      <c r="AB860" s="204"/>
      <c r="AC860" s="204"/>
      <c r="AD860" s="204"/>
      <c r="AE860" s="204"/>
      <c r="AF860" s="204"/>
      <c r="AG860" s="204"/>
    </row>
    <row r="861" spans="1:34" ht="16" customHeight="1">
      <c r="A861" s="317"/>
      <c r="B861" s="333"/>
      <c r="C861" s="328"/>
      <c r="D861" s="203"/>
      <c r="E861" s="203"/>
      <c r="F861" s="202"/>
      <c r="G861" s="203"/>
      <c r="H861" s="202"/>
      <c r="I861" s="202"/>
      <c r="J861" s="203"/>
      <c r="K861" s="203"/>
      <c r="L861" s="291" t="s">
        <v>1302</v>
      </c>
      <c r="M861" s="202"/>
      <c r="N861" s="45" t="str">
        <f t="shared" si="84"/>
        <v>FY2010-11</v>
      </c>
      <c r="O861" s="45"/>
      <c r="P861" s="45"/>
      <c r="Q861" s="45"/>
      <c r="R861" s="203"/>
      <c r="S861" s="203"/>
      <c r="T861" s="203"/>
      <c r="U861" s="203"/>
      <c r="V861" s="204"/>
      <c r="W861" s="204"/>
      <c r="X861" s="204"/>
      <c r="Y861" s="204"/>
      <c r="Z861" s="204"/>
      <c r="AA861" s="204"/>
      <c r="AB861" s="204"/>
      <c r="AC861" s="204"/>
      <c r="AD861" s="204"/>
      <c r="AE861" s="204"/>
      <c r="AF861" s="204"/>
      <c r="AG861" s="204"/>
    </row>
    <row r="862" spans="1:34" ht="16" customHeight="1">
      <c r="A862" s="329"/>
      <c r="B862" s="328"/>
      <c r="C862" s="328"/>
      <c r="D862" s="330"/>
      <c r="E862" s="330"/>
      <c r="F862" s="331"/>
      <c r="G862" s="330"/>
      <c r="H862" s="331"/>
      <c r="I862" s="331"/>
      <c r="J862" s="330"/>
      <c r="K862" s="330"/>
      <c r="L862" s="332"/>
      <c r="M862" s="331"/>
      <c r="N862" s="331"/>
      <c r="O862" s="330"/>
      <c r="P862" s="331"/>
      <c r="Q862" s="331"/>
      <c r="R862" s="330"/>
      <c r="S862" s="330"/>
      <c r="T862" s="330"/>
      <c r="U862" s="330"/>
      <c r="V862" s="329"/>
      <c r="W862" s="329"/>
      <c r="X862" s="329"/>
      <c r="Y862" s="329"/>
      <c r="Z862" s="329"/>
      <c r="AA862" s="329"/>
      <c r="AB862" s="329"/>
      <c r="AC862" s="329"/>
      <c r="AD862" s="329"/>
      <c r="AE862" s="329"/>
      <c r="AF862" s="329"/>
      <c r="AG862" s="329"/>
    </row>
    <row r="863" spans="1:34" ht="16" customHeight="1" thickBot="1">
      <c r="A863" s="317"/>
      <c r="B863" s="318" t="s">
        <v>1103</v>
      </c>
      <c r="C863" s="317"/>
      <c r="D863" s="322"/>
      <c r="E863" s="322"/>
      <c r="F863" s="323"/>
      <c r="G863" s="322"/>
      <c r="H863" s="323"/>
      <c r="I863" s="323"/>
      <c r="J863" s="322"/>
      <c r="K863" s="322"/>
      <c r="L863" s="324"/>
      <c r="M863" s="323"/>
      <c r="N863" s="323"/>
      <c r="O863" s="322"/>
      <c r="P863" s="323"/>
      <c r="Q863" s="323"/>
      <c r="R863" s="322"/>
      <c r="S863" s="882"/>
      <c r="T863" s="883" t="str">
        <f>'$REV-DB'!$T$34</f>
        <v>Federal Revenues</v>
      </c>
      <c r="U863" s="883" t="str">
        <f>'$REV-DB'!$U$34</f>
        <v>local Revenues</v>
      </c>
      <c r="V863" s="883" t="str">
        <f>'$REV-DB'!$V$34</f>
        <v>Other Revenues</v>
      </c>
      <c r="W863" s="883" t="str">
        <f>'$REV-DB'!$W$34</f>
        <v>State revenues</v>
      </c>
      <c r="X863" s="883" t="str">
        <f>'$REV-DB'!$X$34</f>
        <v>UD5</v>
      </c>
      <c r="Y863" s="883" t="str">
        <f>'$REV-DB'!$Y$34</f>
        <v>UD6</v>
      </c>
      <c r="Z863" s="883" t="str">
        <f>'$REV-DB'!$Z$34</f>
        <v>UD7</v>
      </c>
      <c r="AA863" s="883" t="str">
        <f>'$REV-DB'!$AA$34</f>
        <v>UD8</v>
      </c>
      <c r="AB863" s="883" t="str">
        <f>'$REV-DB'!$AB$34</f>
        <v>UD9</v>
      </c>
      <c r="AC863" s="883" t="str">
        <f>'$REV-DB'!$AC$34</f>
        <v>UD10</v>
      </c>
      <c r="AD863" s="883" t="str">
        <f>'$REV-DB'!$AD$34</f>
        <v>UD11</v>
      </c>
      <c r="AE863" s="883" t="str">
        <f>'$REV-DB'!$AE$34</f>
        <v>UD12</v>
      </c>
      <c r="AF863" s="883" t="str">
        <f>'$REV-DB'!$AF$34</f>
        <v>UD13</v>
      </c>
      <c r="AG863" s="883" t="str">
        <f>'$REV-DB'!$AG$34</f>
        <v>UD14</v>
      </c>
    </row>
    <row r="864" spans="1:34" ht="16" customHeight="1" thickTop="1" thickBot="1">
      <c r="A864" s="317"/>
      <c r="B864" s="319" t="s">
        <v>1102</v>
      </c>
      <c r="C864" s="325"/>
      <c r="D864" s="326" t="s">
        <v>1386</v>
      </c>
      <c r="E864" s="326" t="s">
        <v>1387</v>
      </c>
      <c r="F864" s="326" t="s">
        <v>1388</v>
      </c>
      <c r="G864" s="326" t="s">
        <v>1389</v>
      </c>
      <c r="H864" s="326" t="s">
        <v>1406</v>
      </c>
      <c r="I864" s="326" t="s">
        <v>1390</v>
      </c>
      <c r="J864" s="326" t="s">
        <v>1391</v>
      </c>
      <c r="K864" s="326" t="s">
        <v>1392</v>
      </c>
      <c r="L864" s="326" t="s">
        <v>1188</v>
      </c>
      <c r="M864" s="326" t="s">
        <v>1437</v>
      </c>
      <c r="N864" s="326" t="s">
        <v>1348</v>
      </c>
      <c r="O864" s="326" t="s">
        <v>1393</v>
      </c>
      <c r="P864" s="326" t="s">
        <v>1342</v>
      </c>
      <c r="Q864" s="326" t="s">
        <v>1394</v>
      </c>
      <c r="R864" s="327" t="s">
        <v>1341</v>
      </c>
      <c r="S864" s="112" t="s">
        <v>846</v>
      </c>
      <c r="T864" s="873" t="s">
        <v>935</v>
      </c>
      <c r="U864" s="873" t="s">
        <v>936</v>
      </c>
      <c r="V864" s="873" t="s">
        <v>937</v>
      </c>
      <c r="W864" s="873" t="s">
        <v>938</v>
      </c>
      <c r="X864" s="873" t="s">
        <v>939</v>
      </c>
      <c r="Y864" s="873" t="s">
        <v>940</v>
      </c>
      <c r="Z864" s="873" t="s">
        <v>941</v>
      </c>
      <c r="AA864" s="873" t="s">
        <v>942</v>
      </c>
      <c r="AB864" s="873" t="s">
        <v>943</v>
      </c>
      <c r="AC864" s="873" t="s">
        <v>944</v>
      </c>
      <c r="AD864" s="873" t="s">
        <v>945</v>
      </c>
      <c r="AE864" s="873" t="s">
        <v>946</v>
      </c>
      <c r="AF864" s="873" t="s">
        <v>947</v>
      </c>
      <c r="AG864" s="873" t="s">
        <v>948</v>
      </c>
      <c r="AH864" s="6"/>
    </row>
    <row r="865" spans="1:34" ht="16" customHeight="1" thickTop="1">
      <c r="A865" s="317"/>
      <c r="B865" s="318" t="s">
        <v>1104</v>
      </c>
      <c r="C865" s="328"/>
      <c r="D865" s="203"/>
      <c r="E865" s="203"/>
      <c r="F865" s="202"/>
      <c r="G865" s="203"/>
      <c r="H865" s="202"/>
      <c r="I865" s="202"/>
      <c r="J865" s="203"/>
      <c r="K865" s="203"/>
      <c r="L865" s="291"/>
      <c r="M865" s="202"/>
      <c r="N865" s="45" t="str">
        <f>J$6</f>
        <v>FY2010-11</v>
      </c>
      <c r="O865" s="45"/>
      <c r="P865" s="45"/>
      <c r="Q865" s="45"/>
      <c r="R865" s="203"/>
      <c r="S865" s="203"/>
      <c r="T865" s="203"/>
      <c r="U865" s="203"/>
      <c r="V865" s="204"/>
      <c r="W865" s="204"/>
      <c r="X865" s="204"/>
      <c r="Y865" s="204"/>
      <c r="Z865" s="204"/>
      <c r="AA865" s="204"/>
      <c r="AB865" s="204"/>
      <c r="AC865" s="204"/>
      <c r="AD865" s="204"/>
      <c r="AE865" s="204"/>
      <c r="AF865" s="204"/>
      <c r="AG865" s="204"/>
      <c r="AH865" s="6"/>
    </row>
    <row r="866" spans="1:34" ht="16" customHeight="1">
      <c r="A866" s="317"/>
      <c r="B866" s="320">
        <f>DSUM('$REV-DB'!D35:AG374,"AMOUNT",'$REV-DSUM'!D864:AG871)</f>
        <v>5302399724.54</v>
      </c>
      <c r="C866" s="328"/>
      <c r="D866" s="203"/>
      <c r="E866" s="203"/>
      <c r="F866" s="202"/>
      <c r="G866" s="203"/>
      <c r="H866" s="202"/>
      <c r="I866" s="202"/>
      <c r="J866" s="203"/>
      <c r="K866" s="203"/>
      <c r="L866" s="291"/>
      <c r="M866" s="202"/>
      <c r="N866" s="45" t="str">
        <f t="shared" ref="N866:N871" si="85">J$6</f>
        <v>FY2010-11</v>
      </c>
      <c r="O866" s="45"/>
      <c r="P866" s="45"/>
      <c r="Q866" s="45"/>
      <c r="R866" s="203"/>
      <c r="S866" s="203"/>
      <c r="T866" s="203"/>
      <c r="U866" s="203"/>
      <c r="V866" s="204"/>
      <c r="W866" s="204"/>
      <c r="X866" s="204"/>
      <c r="Y866" s="204"/>
      <c r="Z866" s="204"/>
      <c r="AA866" s="204"/>
      <c r="AB866" s="204"/>
      <c r="AC866" s="204"/>
      <c r="AD866" s="204"/>
      <c r="AE866" s="204"/>
      <c r="AF866" s="204"/>
      <c r="AG866" s="204"/>
      <c r="AH866" s="6"/>
    </row>
    <row r="867" spans="1:34" ht="16" customHeight="1">
      <c r="A867" s="317"/>
      <c r="B867" s="321"/>
      <c r="C867" s="328"/>
      <c r="D867" s="203"/>
      <c r="E867" s="203"/>
      <c r="F867" s="202"/>
      <c r="G867" s="203"/>
      <c r="H867" s="202"/>
      <c r="I867" s="202"/>
      <c r="J867" s="203"/>
      <c r="K867" s="203"/>
      <c r="L867" s="291"/>
      <c r="M867" s="202"/>
      <c r="N867" s="45" t="str">
        <f t="shared" si="85"/>
        <v>FY2010-11</v>
      </c>
      <c r="O867" s="45"/>
      <c r="P867" s="45"/>
      <c r="Q867" s="45"/>
      <c r="R867" s="203"/>
      <c r="S867" s="203"/>
      <c r="T867" s="203"/>
      <c r="U867" s="203"/>
      <c r="V867" s="204"/>
      <c r="W867" s="204"/>
      <c r="X867" s="204"/>
      <c r="Y867" s="204"/>
      <c r="Z867" s="204"/>
      <c r="AA867" s="204"/>
      <c r="AB867" s="204"/>
      <c r="AC867" s="204"/>
      <c r="AD867" s="204"/>
      <c r="AE867" s="204"/>
      <c r="AF867" s="204"/>
      <c r="AG867" s="204"/>
    </row>
    <row r="868" spans="1:34" ht="16" customHeight="1">
      <c r="A868" s="317"/>
      <c r="B868" s="333" t="s">
        <v>1095</v>
      </c>
      <c r="C868" s="328"/>
      <c r="D868" s="203"/>
      <c r="E868" s="203"/>
      <c r="F868" s="202"/>
      <c r="G868" s="203"/>
      <c r="H868" s="202"/>
      <c r="I868" s="202"/>
      <c r="J868" s="203"/>
      <c r="K868" s="203"/>
      <c r="L868" s="291"/>
      <c r="M868" s="202"/>
      <c r="N868" s="45" t="str">
        <f t="shared" si="85"/>
        <v>FY2010-11</v>
      </c>
      <c r="O868" s="45"/>
      <c r="P868" s="45"/>
      <c r="Q868" s="45"/>
      <c r="R868" s="203"/>
      <c r="S868" s="203"/>
      <c r="T868" s="203"/>
      <c r="U868" s="203"/>
      <c r="V868" s="204"/>
      <c r="W868" s="204"/>
      <c r="X868" s="204"/>
      <c r="Y868" s="204"/>
      <c r="Z868" s="204"/>
      <c r="AA868" s="204"/>
      <c r="AB868" s="204"/>
      <c r="AC868" s="204"/>
      <c r="AD868" s="204"/>
      <c r="AE868" s="204"/>
      <c r="AF868" s="204"/>
      <c r="AG868" s="204"/>
    </row>
    <row r="869" spans="1:34" ht="16" customHeight="1">
      <c r="A869" s="317"/>
      <c r="B869" s="333" t="s">
        <v>1096</v>
      </c>
      <c r="C869" s="328"/>
      <c r="D869" s="203"/>
      <c r="E869" s="203"/>
      <c r="F869" s="202"/>
      <c r="G869" s="203"/>
      <c r="H869" s="202"/>
      <c r="I869" s="202"/>
      <c r="J869" s="203"/>
      <c r="K869" s="203"/>
      <c r="L869" s="291"/>
      <c r="M869" s="202"/>
      <c r="N869" s="45" t="str">
        <f t="shared" si="85"/>
        <v>FY2010-11</v>
      </c>
      <c r="O869" s="45"/>
      <c r="P869" s="45"/>
      <c r="Q869" s="45"/>
      <c r="R869" s="203"/>
      <c r="S869" s="203"/>
      <c r="T869" s="203"/>
      <c r="U869" s="203"/>
      <c r="V869" s="204"/>
      <c r="W869" s="204"/>
      <c r="X869" s="204"/>
      <c r="Y869" s="204"/>
      <c r="Z869" s="204"/>
      <c r="AA869" s="204"/>
      <c r="AB869" s="204"/>
      <c r="AC869" s="204"/>
      <c r="AD869" s="204"/>
      <c r="AE869" s="204"/>
      <c r="AF869" s="204"/>
      <c r="AG869" s="204"/>
    </row>
    <row r="870" spans="1:34" ht="16" customHeight="1">
      <c r="A870" s="317"/>
      <c r="B870" s="333" t="s">
        <v>1097</v>
      </c>
      <c r="C870" s="328"/>
      <c r="D870" s="203"/>
      <c r="E870" s="203"/>
      <c r="F870" s="202"/>
      <c r="G870" s="203"/>
      <c r="H870" s="202"/>
      <c r="I870" s="202"/>
      <c r="J870" s="203"/>
      <c r="K870" s="203"/>
      <c r="L870" s="291"/>
      <c r="M870" s="202"/>
      <c r="N870" s="45" t="str">
        <f t="shared" si="85"/>
        <v>FY2010-11</v>
      </c>
      <c r="O870" s="45"/>
      <c r="P870" s="45"/>
      <c r="Q870" s="45"/>
      <c r="R870" s="203"/>
      <c r="S870" s="203"/>
      <c r="T870" s="203"/>
      <c r="U870" s="203"/>
      <c r="V870" s="204"/>
      <c r="W870" s="204"/>
      <c r="X870" s="204"/>
      <c r="Y870" s="204"/>
      <c r="Z870" s="204"/>
      <c r="AA870" s="204"/>
      <c r="AB870" s="204"/>
      <c r="AC870" s="204"/>
      <c r="AD870" s="204"/>
      <c r="AE870" s="204"/>
      <c r="AF870" s="204"/>
      <c r="AG870" s="204"/>
    </row>
    <row r="871" spans="1:34" ht="16" customHeight="1">
      <c r="A871" s="317"/>
      <c r="B871" s="333"/>
      <c r="C871" s="328"/>
      <c r="D871" s="203"/>
      <c r="E871" s="203"/>
      <c r="F871" s="202"/>
      <c r="G871" s="203"/>
      <c r="H871" s="202"/>
      <c r="I871" s="202"/>
      <c r="J871" s="203"/>
      <c r="K871" s="203"/>
      <c r="L871" s="291"/>
      <c r="M871" s="202"/>
      <c r="N871" s="45" t="str">
        <f t="shared" si="85"/>
        <v>FY2010-11</v>
      </c>
      <c r="O871" s="45"/>
      <c r="P871" s="45"/>
      <c r="Q871" s="45"/>
      <c r="R871" s="203"/>
      <c r="S871" s="203"/>
      <c r="T871" s="203"/>
      <c r="U871" s="203"/>
      <c r="V871" s="204"/>
      <c r="W871" s="204"/>
      <c r="X871" s="204"/>
      <c r="Y871" s="204"/>
      <c r="Z871" s="204"/>
      <c r="AA871" s="204"/>
      <c r="AB871" s="204"/>
      <c r="AC871" s="204"/>
      <c r="AD871" s="204"/>
      <c r="AE871" s="204"/>
      <c r="AF871" s="204"/>
      <c r="AG871" s="204"/>
    </row>
    <row r="872" spans="1:34" ht="16" customHeight="1">
      <c r="A872" s="329"/>
      <c r="B872" s="328"/>
      <c r="C872" s="328"/>
      <c r="D872" s="330"/>
      <c r="E872" s="330"/>
      <c r="F872" s="331"/>
      <c r="G872" s="330"/>
      <c r="H872" s="331"/>
      <c r="I872" s="331"/>
      <c r="J872" s="330"/>
      <c r="K872" s="330"/>
      <c r="L872" s="332"/>
      <c r="M872" s="331"/>
      <c r="N872" s="331"/>
      <c r="O872" s="330"/>
      <c r="P872" s="331"/>
      <c r="Q872" s="331"/>
      <c r="R872" s="330"/>
      <c r="S872" s="330"/>
      <c r="T872" s="330"/>
      <c r="U872" s="330"/>
      <c r="V872" s="329"/>
      <c r="W872" s="329"/>
      <c r="X872" s="329"/>
      <c r="Y872" s="329"/>
      <c r="Z872" s="329"/>
      <c r="AA872" s="329"/>
      <c r="AB872" s="329"/>
      <c r="AC872" s="329"/>
      <c r="AD872" s="329"/>
      <c r="AE872" s="329"/>
      <c r="AF872" s="329"/>
      <c r="AG872" s="329"/>
    </row>
  </sheetData>
  <mergeCells count="6">
    <mergeCell ref="P1:Q1"/>
    <mergeCell ref="B18:B21"/>
    <mergeCell ref="I8:L8"/>
    <mergeCell ref="I9:L9"/>
    <mergeCell ref="I10:L10"/>
    <mergeCell ref="I1:L4"/>
  </mergeCells>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A1:AH982"/>
  <sheetViews>
    <sheetView workbookViewId="0"/>
  </sheetViews>
  <sheetFormatPr baseColWidth="10" defaultColWidth="8.83203125" defaultRowHeight="11" x14ac:dyDescent="0"/>
  <cols>
    <col min="1" max="1" width="4.83203125" customWidth="1"/>
    <col min="2" max="2" width="43" customWidth="1"/>
    <col min="3" max="3" width="1.6640625" customWidth="1"/>
    <col min="4" max="4" width="11.1640625" customWidth="1"/>
    <col min="5" max="5" width="18.1640625" customWidth="1"/>
    <col min="6" max="6" width="19.1640625" customWidth="1"/>
    <col min="7" max="7" width="23" customWidth="1"/>
    <col min="8" max="8" width="9.6640625" customWidth="1"/>
    <col min="9" max="9" width="17.5" customWidth="1"/>
    <col min="10" max="10" width="19" customWidth="1"/>
    <col min="11" max="11" width="10.83203125" customWidth="1"/>
    <col min="12" max="12" width="17.5" customWidth="1"/>
    <col min="13" max="13" width="12.5" customWidth="1"/>
    <col min="14" max="14" width="19.33203125" bestFit="1" customWidth="1"/>
    <col min="15" max="15" width="18.5" customWidth="1"/>
    <col min="16" max="16" width="14.6640625" customWidth="1"/>
    <col min="17" max="17" width="10.83203125" customWidth="1"/>
    <col min="18" max="18" width="21.33203125" customWidth="1"/>
    <col min="19" max="19" width="25.5" style="891" customWidth="1"/>
    <col min="20" max="22" width="10.83203125" customWidth="1"/>
    <col min="23" max="23" width="12.6640625" customWidth="1"/>
    <col min="24" max="33" width="10.83203125" customWidth="1"/>
    <col min="35" max="35" width="14.6640625" customWidth="1"/>
  </cols>
  <sheetData>
    <row r="1" spans="1:34" s="3" customFormat="1" ht="16" customHeight="1" thickTop="1">
      <c r="A1" s="993"/>
      <c r="B1" s="994" t="s">
        <v>1400</v>
      </c>
      <c r="C1" s="994"/>
      <c r="D1" s="994"/>
      <c r="E1" s="995" t="s">
        <v>1232</v>
      </c>
      <c r="F1" s="994"/>
      <c r="G1" s="996"/>
      <c r="H1" s="997" t="s">
        <v>1398</v>
      </c>
      <c r="I1" s="1918"/>
      <c r="J1" s="1919"/>
      <c r="K1" s="1919"/>
      <c r="L1" s="1920"/>
      <c r="M1" s="998" t="str">
        <f>B153</f>
        <v>FA1 = Little Rock School District</v>
      </c>
      <c r="N1" s="996"/>
      <c r="O1" s="997" t="s">
        <v>1398</v>
      </c>
      <c r="P1" s="1924" t="str">
        <f>IF(B293="FA2 = FA2 FA2L2","",B293)</f>
        <v>FA2 = FA2L1 FA2L2</v>
      </c>
      <c r="Q1" s="1925"/>
      <c r="R1" s="994"/>
      <c r="S1" s="997" t="s">
        <v>1398</v>
      </c>
      <c r="T1" s="998" t="str">
        <f>IF(B433="FA3 = FA3 FA3L2","",B433)</f>
        <v>FA3 = FA3L1 FA3L2</v>
      </c>
      <c r="U1" s="994"/>
      <c r="V1" s="994"/>
      <c r="W1" s="994"/>
      <c r="X1" s="997" t="s">
        <v>1398</v>
      </c>
      <c r="Y1" s="998" t="str">
        <f>IF(B573="FA4 = FA4 FA4L2","",B573)</f>
        <v>FA4 = FA4L1 FA4L2</v>
      </c>
      <c r="Z1" s="994"/>
      <c r="AA1" s="994"/>
      <c r="AB1" s="997" t="s">
        <v>1398</v>
      </c>
      <c r="AC1" s="998" t="str">
        <f>IF(B713="FA5 = FA5 FA5L2","",B713)</f>
        <v>FA5 = FA5L1 FA5L2</v>
      </c>
      <c r="AD1" s="994"/>
      <c r="AE1" s="994"/>
      <c r="AF1" s="996" t="s">
        <v>1398</v>
      </c>
      <c r="AG1" s="999"/>
    </row>
    <row r="2" spans="1:34" s="3" customFormat="1" ht="16" customHeight="1">
      <c r="A2" s="1000"/>
      <c r="B2" s="905" t="s">
        <v>1099</v>
      </c>
      <c r="C2" s="905"/>
      <c r="D2" s="905"/>
      <c r="E2" s="989"/>
      <c r="F2" s="906">
        <f>B866</f>
        <v>5302399724.54</v>
      </c>
      <c r="G2" s="1001"/>
      <c r="H2" s="1002"/>
      <c r="I2" s="1921"/>
      <c r="J2" s="1922"/>
      <c r="K2" s="1922"/>
      <c r="L2" s="1923"/>
      <c r="M2" s="1003"/>
      <c r="N2" s="1001"/>
      <c r="O2" s="1002"/>
      <c r="P2" s="1004"/>
      <c r="Q2" s="982"/>
      <c r="R2" s="905"/>
      <c r="S2" s="1002"/>
      <c r="T2" s="1003"/>
      <c r="U2" s="905"/>
      <c r="V2" s="905"/>
      <c r="W2" s="905"/>
      <c r="X2" s="1002"/>
      <c r="Y2" s="1003"/>
      <c r="Z2" s="905"/>
      <c r="AA2" s="905"/>
      <c r="AB2" s="1002"/>
      <c r="AC2" s="1003"/>
      <c r="AD2" s="905"/>
      <c r="AE2" s="905"/>
      <c r="AF2" s="1001"/>
      <c r="AG2" s="1005"/>
    </row>
    <row r="3" spans="1:34" s="3" customFormat="1" ht="16" customHeight="1">
      <c r="A3" s="1000"/>
      <c r="B3" s="905" t="s">
        <v>1100</v>
      </c>
      <c r="C3" s="905"/>
      <c r="D3" s="905"/>
      <c r="E3" s="989"/>
      <c r="F3" s="906">
        <f>B856</f>
        <v>0</v>
      </c>
      <c r="G3" s="1001"/>
      <c r="H3" s="1002"/>
      <c r="I3" s="1921"/>
      <c r="J3" s="1922"/>
      <c r="K3" s="1922"/>
      <c r="L3" s="1923"/>
      <c r="M3" s="1003"/>
      <c r="N3" s="1001"/>
      <c r="O3" s="1002"/>
      <c r="P3" s="1004"/>
      <c r="Q3" s="982"/>
      <c r="R3" s="905"/>
      <c r="S3" s="1002"/>
      <c r="T3" s="1003"/>
      <c r="U3" s="905"/>
      <c r="V3" s="905"/>
      <c r="W3" s="905"/>
      <c r="X3" s="1002"/>
      <c r="Y3" s="1003"/>
      <c r="Z3" s="905"/>
      <c r="AA3" s="905"/>
      <c r="AB3" s="1002"/>
      <c r="AC3" s="1003"/>
      <c r="AD3" s="905"/>
      <c r="AE3" s="905"/>
      <c r="AF3" s="1001"/>
      <c r="AG3" s="1005"/>
    </row>
    <row r="4" spans="1:34" s="3" customFormat="1" ht="16" customHeight="1" thickBot="1">
      <c r="A4" s="1000"/>
      <c r="B4" s="905" t="s">
        <v>1101</v>
      </c>
      <c r="C4" s="905"/>
      <c r="D4" s="905"/>
      <c r="E4" s="989"/>
      <c r="F4" s="906">
        <f>F2-F3</f>
        <v>5302399724.54</v>
      </c>
      <c r="G4" s="1001"/>
      <c r="H4" s="1002"/>
      <c r="I4" s="1921"/>
      <c r="J4" s="1922"/>
      <c r="K4" s="1922"/>
      <c r="L4" s="1923"/>
      <c r="M4" s="1003"/>
      <c r="N4" s="1001"/>
      <c r="O4" s="1002"/>
      <c r="P4" s="1004"/>
      <c r="Q4" s="982"/>
      <c r="R4" s="905"/>
      <c r="S4" s="1002"/>
      <c r="T4" s="1003"/>
      <c r="U4" s="905"/>
      <c r="V4" s="905"/>
      <c r="W4" s="905"/>
      <c r="X4" s="1002"/>
      <c r="Y4" s="1003"/>
      <c r="Z4" s="905"/>
      <c r="AA4" s="905"/>
      <c r="AB4" s="1002"/>
      <c r="AC4" s="1003"/>
      <c r="AD4" s="905"/>
      <c r="AE4" s="905"/>
      <c r="AF4" s="1001"/>
      <c r="AG4" s="1005"/>
    </row>
    <row r="5" spans="1:34" s="3" customFormat="1" ht="16" customHeight="1" thickTop="1">
      <c r="A5" s="993"/>
      <c r="B5" s="994" t="s">
        <v>1184</v>
      </c>
      <c r="C5" s="994"/>
      <c r="D5" s="994"/>
      <c r="E5" s="1006"/>
      <c r="F5" s="1007">
        <f>'$REV-DB'!$BE$23</f>
        <v>5249197193.0299997</v>
      </c>
      <c r="G5" s="1008"/>
      <c r="H5" s="1009"/>
      <c r="I5" s="1010"/>
      <c r="J5" s="1011"/>
      <c r="K5" s="1011"/>
      <c r="L5" s="1012"/>
      <c r="M5" s="1013"/>
      <c r="N5" s="1007">
        <f>'$REV-DB'!BE9</f>
        <v>349130780.80000001</v>
      </c>
      <c r="O5" s="1009"/>
      <c r="P5" s="1014"/>
      <c r="Q5" s="1015"/>
      <c r="R5" s="1007">
        <f>'$REV-DB'!BE11</f>
        <v>0</v>
      </c>
      <c r="S5" s="1016"/>
      <c r="T5" s="1014"/>
      <c r="U5" s="1015"/>
      <c r="V5" s="1017"/>
      <c r="W5" s="1007">
        <f>'$REV-DB'!BE13</f>
        <v>0</v>
      </c>
      <c r="X5" s="1016"/>
      <c r="Y5" s="1018"/>
      <c r="Z5" s="1019"/>
      <c r="AA5" s="1007">
        <f>'$REV-DB'!BE15</f>
        <v>0</v>
      </c>
      <c r="AB5" s="1016"/>
      <c r="AC5" s="1018"/>
      <c r="AD5" s="1019"/>
      <c r="AE5" s="1007">
        <f>'$REV-DB'!BE17</f>
        <v>0</v>
      </c>
      <c r="AF5" s="1017"/>
      <c r="AG5" s="1020"/>
    </row>
    <row r="6" spans="1:34" s="3" customFormat="1" ht="16" customHeight="1">
      <c r="A6" s="1000"/>
      <c r="B6" s="905" t="s">
        <v>1463</v>
      </c>
      <c r="C6" s="905"/>
      <c r="D6" s="905"/>
      <c r="E6" s="989" t="str">
        <f>IF(AND(H6&gt;-0.005,H6&lt;0.005),"","ERROR!")</f>
        <v/>
      </c>
      <c r="F6" s="906">
        <f>B16</f>
        <v>5249197193.0299997</v>
      </c>
      <c r="G6" s="1021"/>
      <c r="H6" s="1022">
        <f>F5-F6</f>
        <v>0</v>
      </c>
      <c r="I6" s="1023" t="s">
        <v>1163</v>
      </c>
      <c r="J6" s="1050" t="str">
        <f>'FIG3'!W50</f>
        <v>FY2010-11</v>
      </c>
      <c r="K6" s="1024"/>
      <c r="L6" s="1025"/>
      <c r="M6" s="1026" t="str">
        <f>IF(AND(O6&gt;-0.005,O6&lt;0.005),"","ERROR!")</f>
        <v/>
      </c>
      <c r="N6" s="906">
        <f>B156</f>
        <v>349130780.80000001</v>
      </c>
      <c r="O6" s="1022">
        <f>N5-N6</f>
        <v>0</v>
      </c>
      <c r="P6" s="1026" t="str">
        <f>IF(AND(S6&gt;-0.005,S6&lt;0.005),"","ERROR!")</f>
        <v/>
      </c>
      <c r="Q6" s="1027"/>
      <c r="R6" s="906">
        <f>B296</f>
        <v>0</v>
      </c>
      <c r="S6" s="1022">
        <f>R5-R6</f>
        <v>0</v>
      </c>
      <c r="T6" s="1028"/>
      <c r="U6" s="909" t="str">
        <f>IF(AND(X6&gt;-0.005,X6&lt;0.005),"","ERROR!")</f>
        <v/>
      </c>
      <c r="V6" s="1029" t="str">
        <f>IF(X6=0,"","ERROR!")</f>
        <v/>
      </c>
      <c r="W6" s="906">
        <f>B436</f>
        <v>0</v>
      </c>
      <c r="X6" s="1022">
        <f>W5-W6</f>
        <v>0</v>
      </c>
      <c r="Y6" s="1026" t="str">
        <f>IF(AND(AB6&gt;-0.005,AB6&lt;0.005),"","ERROR!")</f>
        <v/>
      </c>
      <c r="Z6" s="1030"/>
      <c r="AA6" s="906">
        <f>B576</f>
        <v>0</v>
      </c>
      <c r="AB6" s="1022">
        <f>AA5-AA6</f>
        <v>0</v>
      </c>
      <c r="AC6" s="1026" t="str">
        <f>IF(AND(AF6&gt;-0.005,AF6&lt;0.005),"","ERROR!")</f>
        <v/>
      </c>
      <c r="AD6" s="1030"/>
      <c r="AE6" s="906">
        <f>B716</f>
        <v>0</v>
      </c>
      <c r="AF6" s="1029">
        <f>AE5-AE6</f>
        <v>0</v>
      </c>
      <c r="AG6" s="1031"/>
    </row>
    <row r="7" spans="1:34" s="3" customFormat="1" ht="16" customHeight="1" thickBot="1">
      <c r="A7" s="1032"/>
      <c r="B7" s="1033" t="s">
        <v>1179</v>
      </c>
      <c r="C7" s="1033"/>
      <c r="D7" s="1033"/>
      <c r="E7" s="1034" t="str">
        <f>IF(AND(H7&gt;-0.005,H7&lt;0.005),"","ERROR!")</f>
        <v/>
      </c>
      <c r="F7" s="1035">
        <f>B26+B36+B46+B56+B66+B76</f>
        <v>5249197193.0299997</v>
      </c>
      <c r="G7" s="1036"/>
      <c r="H7" s="1037">
        <f>F6-F7</f>
        <v>0</v>
      </c>
      <c r="I7" s="1038"/>
      <c r="J7" s="1039"/>
      <c r="K7" s="1039"/>
      <c r="L7" s="1040"/>
      <c r="M7" s="1041" t="str">
        <f>IF(AND(O7&gt;-0.005,O7&lt;0.005),"","ERROR!")</f>
        <v>ERROR!</v>
      </c>
      <c r="N7" s="1035">
        <f>B166+B176+B186+B196+B216</f>
        <v>349109166.78000003</v>
      </c>
      <c r="O7" s="1037">
        <f>N6-N7</f>
        <v>21614.019999980927</v>
      </c>
      <c r="P7" s="1041" t="str">
        <f>IF(AND(S7&gt;-0.005,S7&lt;0.005),"","ERROR!")</f>
        <v/>
      </c>
      <c r="Q7" s="1042"/>
      <c r="R7" s="1035">
        <f>B306+B316+B326+B336+B356</f>
        <v>0</v>
      </c>
      <c r="S7" s="1037">
        <f>R6-R7</f>
        <v>0</v>
      </c>
      <c r="T7" s="1043"/>
      <c r="U7" s="1044" t="str">
        <f>IF(AND(X7&gt;-0.005,X7&lt;0.005),"","ERROR!")</f>
        <v/>
      </c>
      <c r="V7" s="1045" t="str">
        <f>IF(X7=0,"","ERROR!")</f>
        <v/>
      </c>
      <c r="W7" s="1035">
        <f>B446+B456+B466+B476+B496</f>
        <v>0</v>
      </c>
      <c r="X7" s="1037">
        <f>W6-W7</f>
        <v>0</v>
      </c>
      <c r="Y7" s="1041" t="str">
        <f>IF(AND(AB7&gt;-0.005,AB7&lt;0.005),"","ERROR!")</f>
        <v/>
      </c>
      <c r="Z7" s="1046"/>
      <c r="AA7" s="1035">
        <f>B586+B596+B606+B616+B636</f>
        <v>0</v>
      </c>
      <c r="AB7" s="1037">
        <f>AA6-AA7</f>
        <v>0</v>
      </c>
      <c r="AC7" s="1041" t="str">
        <f>IF(AND(AF7&gt;-0.005,AF7&lt;0.005),"","ERROR!")</f>
        <v/>
      </c>
      <c r="AD7" s="1046"/>
      <c r="AE7" s="1035">
        <f>B726+B736+B746+B756+B776</f>
        <v>0</v>
      </c>
      <c r="AF7" s="1045">
        <f>AE6-AE7</f>
        <v>0</v>
      </c>
      <c r="AG7" s="1047"/>
    </row>
    <row r="8" spans="1:34" s="3" customFormat="1" ht="16" customHeight="1" thickTop="1">
      <c r="A8" s="1000"/>
      <c r="B8" s="905" t="s">
        <v>1183</v>
      </c>
      <c r="C8" s="905"/>
      <c r="D8" s="905"/>
      <c r="E8" s="989"/>
      <c r="F8" s="906">
        <f>'$REV-DB'!$BE$24</f>
        <v>53202531.510000005</v>
      </c>
      <c r="G8" s="1021"/>
      <c r="H8" s="1022"/>
      <c r="I8" s="1926" t="s">
        <v>1164</v>
      </c>
      <c r="J8" s="1927"/>
      <c r="K8" s="1927"/>
      <c r="L8" s="1928"/>
      <c r="M8" s="1026"/>
      <c r="N8" s="906">
        <f>'$REV-DB'!BE10</f>
        <v>21208723.59</v>
      </c>
      <c r="O8" s="1022"/>
      <c r="P8" s="1028"/>
      <c r="Q8" s="901"/>
      <c r="R8" s="906">
        <f>'$REV-DB'!BE12</f>
        <v>0</v>
      </c>
      <c r="S8" s="1022"/>
      <c r="T8" s="1028"/>
      <c r="U8" s="901"/>
      <c r="V8" s="1029"/>
      <c r="W8" s="906">
        <f>'$REV-DB'!BE14</f>
        <v>0</v>
      </c>
      <c r="X8" s="1022"/>
      <c r="Y8" s="1048"/>
      <c r="Z8" s="1049"/>
      <c r="AA8" s="906">
        <f>'$REV-DB'!BE16</f>
        <v>0</v>
      </c>
      <c r="AB8" s="1022"/>
      <c r="AC8" s="1048"/>
      <c r="AD8" s="1049"/>
      <c r="AE8" s="906">
        <f>'$REV-DB'!BE18</f>
        <v>0</v>
      </c>
      <c r="AF8" s="1029"/>
      <c r="AG8" s="1031"/>
    </row>
    <row r="9" spans="1:34" s="3" customFormat="1" ht="16" customHeight="1">
      <c r="A9" s="1000"/>
      <c r="B9" s="905" t="s">
        <v>1464</v>
      </c>
      <c r="C9" s="905"/>
      <c r="D9" s="905"/>
      <c r="E9" s="989" t="str">
        <f>IF(AND(H9&gt;-0.005,H9&lt;0.005),"","ERROR!")</f>
        <v/>
      </c>
      <c r="F9" s="906">
        <f>B86</f>
        <v>53202531.510000013</v>
      </c>
      <c r="G9" s="1021"/>
      <c r="H9" s="1022">
        <f>F8-F9</f>
        <v>0</v>
      </c>
      <c r="I9" s="1926" t="s">
        <v>1062</v>
      </c>
      <c r="J9" s="1927"/>
      <c r="K9" s="1927"/>
      <c r="L9" s="1928"/>
      <c r="M9" s="1026" t="str">
        <f>IF(AND(O9&gt;-0.005,O9&lt;0.005),"","ERROR!")</f>
        <v/>
      </c>
      <c r="N9" s="906">
        <f>B226</f>
        <v>21208723.59</v>
      </c>
      <c r="O9" s="1022">
        <f>N8-N9</f>
        <v>0</v>
      </c>
      <c r="P9" s="1026" t="str">
        <f>IF(AND(S9&gt;-0.005,S9&lt;0.005),"","ERROR!")</f>
        <v/>
      </c>
      <c r="Q9" s="1027"/>
      <c r="R9" s="906">
        <f>B366</f>
        <v>0</v>
      </c>
      <c r="S9" s="1022">
        <f>R8-R9</f>
        <v>0</v>
      </c>
      <c r="T9" s="1028"/>
      <c r="U9" s="909" t="str">
        <f>IF(AND(X9&gt;-0.005,X9&lt;0.005),"","ERROR!")</f>
        <v/>
      </c>
      <c r="V9" s="1029" t="str">
        <f>IF(X9=0,"","ERROR!")</f>
        <v/>
      </c>
      <c r="W9" s="906">
        <f>B506</f>
        <v>0</v>
      </c>
      <c r="X9" s="1022">
        <f>W8-W9</f>
        <v>0</v>
      </c>
      <c r="Y9" s="1026" t="str">
        <f>IF(AND(AB9&gt;-0.005,AB9&lt;0.005),"","ERROR!")</f>
        <v/>
      </c>
      <c r="Z9" s="1030"/>
      <c r="AA9" s="906">
        <f>B646</f>
        <v>0</v>
      </c>
      <c r="AB9" s="1022">
        <f>AA8-AA9</f>
        <v>0</v>
      </c>
      <c r="AC9" s="1026" t="str">
        <f>IF(AND(AF9&gt;-0.005,AF9&lt;0.005),"","ERROR!")</f>
        <v/>
      </c>
      <c r="AD9" s="1030"/>
      <c r="AE9" s="906">
        <f>B786</f>
        <v>0</v>
      </c>
      <c r="AF9" s="1029">
        <f>AE8-AE9</f>
        <v>0</v>
      </c>
      <c r="AG9" s="1031"/>
    </row>
    <row r="10" spans="1:34" s="3" customFormat="1" ht="16" customHeight="1" thickBot="1">
      <c r="A10" s="1000"/>
      <c r="B10" s="905" t="s">
        <v>1180</v>
      </c>
      <c r="C10" s="905"/>
      <c r="D10" s="905"/>
      <c r="E10" s="989" t="str">
        <f>IF(AND(H10&gt;-0.005,H10&lt;0.005),"","ERROR!")</f>
        <v/>
      </c>
      <c r="F10" s="906">
        <f>B96+B106+B116+B126+B136+B146</f>
        <v>53202531.510000005</v>
      </c>
      <c r="G10" s="1021"/>
      <c r="H10" s="1022">
        <f>F8-F10</f>
        <v>0</v>
      </c>
      <c r="I10" s="1926" t="s">
        <v>1165</v>
      </c>
      <c r="J10" s="1927"/>
      <c r="K10" s="1927"/>
      <c r="L10" s="1928"/>
      <c r="M10" s="1026" t="str">
        <f>IF(AND(O10&gt;-0.005,O10&lt;0.005),"","ERROR!")</f>
        <v/>
      </c>
      <c r="N10" s="906">
        <f>B236+B246+B256+B266+B286</f>
        <v>21208723.59</v>
      </c>
      <c r="O10" s="1022">
        <f>N8-N10</f>
        <v>0</v>
      </c>
      <c r="P10" s="1026" t="str">
        <f>IF(AND(S10&gt;-0.005,S10&lt;0.005),"","ERROR!")</f>
        <v/>
      </c>
      <c r="Q10" s="1027"/>
      <c r="R10" s="906">
        <f>B376+B386+B396+B406+B426</f>
        <v>0</v>
      </c>
      <c r="S10" s="1022">
        <f>R8-R10</f>
        <v>0</v>
      </c>
      <c r="T10" s="1028"/>
      <c r="U10" s="909" t="str">
        <f>IF(AND(X10&gt;-0.005,X10&lt;0.005),"","ERROR!")</f>
        <v/>
      </c>
      <c r="V10" s="1029" t="str">
        <f>IF(X10=0,"","ERROR!")</f>
        <v/>
      </c>
      <c r="W10" s="906">
        <f>B516+B526+B536+B546+B566</f>
        <v>0</v>
      </c>
      <c r="X10" s="1022">
        <f>W5-W10</f>
        <v>0</v>
      </c>
      <c r="Y10" s="1026" t="str">
        <f>IF(AND(AB10&gt;-0.005,AB10&lt;0.005),"","ERROR!")</f>
        <v/>
      </c>
      <c r="Z10" s="1030"/>
      <c r="AA10" s="906">
        <f>B656+B666+B676+B686+B706</f>
        <v>0</v>
      </c>
      <c r="AB10" s="1022">
        <f>AA5-AA10</f>
        <v>0</v>
      </c>
      <c r="AC10" s="1026" t="str">
        <f>IF(AND(AF10&gt;-0.005,AF10&lt;0.005),"","ERROR!")</f>
        <v/>
      </c>
      <c r="AD10" s="1030"/>
      <c r="AE10" s="906">
        <f>B796+B806+B816+B826+B846</f>
        <v>0</v>
      </c>
      <c r="AF10" s="1029">
        <f>AE5-AE10</f>
        <v>0</v>
      </c>
      <c r="AG10" s="1031"/>
    </row>
    <row r="11" spans="1:34" s="3" customFormat="1" ht="16" customHeight="1" thickTop="1">
      <c r="A11" s="1935" t="s">
        <v>869</v>
      </c>
      <c r="B11" s="1936"/>
      <c r="C11" s="1936"/>
      <c r="D11" s="1936"/>
      <c r="E11" s="1936"/>
      <c r="F11" s="1936"/>
      <c r="G11" s="1936"/>
      <c r="H11" s="1937"/>
      <c r="I11" s="1929" t="s">
        <v>845</v>
      </c>
      <c r="J11" s="1930"/>
      <c r="K11" s="1930"/>
      <c r="L11" s="1930"/>
      <c r="M11" s="1930"/>
      <c r="N11" s="1930"/>
      <c r="O11" s="1930"/>
      <c r="P11" s="1930"/>
      <c r="Q11" s="1930"/>
      <c r="R11" s="1930"/>
      <c r="S11" s="1930"/>
      <c r="T11" s="1930"/>
      <c r="U11" s="1930"/>
      <c r="V11" s="1930"/>
      <c r="W11" s="1930"/>
      <c r="X11" s="1930"/>
      <c r="Y11" s="1930"/>
      <c r="Z11" s="1930"/>
      <c r="AA11" s="1930"/>
      <c r="AB11" s="1930"/>
      <c r="AC11" s="1930"/>
      <c r="AD11" s="1930"/>
      <c r="AE11" s="1930"/>
      <c r="AF11" s="1930"/>
      <c r="AG11" s="1931"/>
    </row>
    <row r="12" spans="1:34" s="3" customFormat="1" ht="16" customHeight="1" thickBot="1">
      <c r="A12" s="1938"/>
      <c r="B12" s="1939"/>
      <c r="C12" s="1939"/>
      <c r="D12" s="1939"/>
      <c r="E12" s="1939"/>
      <c r="F12" s="1939"/>
      <c r="G12" s="1939"/>
      <c r="H12" s="1940"/>
      <c r="I12" s="1932"/>
      <c r="J12" s="1933"/>
      <c r="K12" s="1933"/>
      <c r="L12" s="1933"/>
      <c r="M12" s="1933"/>
      <c r="N12" s="1933"/>
      <c r="O12" s="1933"/>
      <c r="P12" s="1933"/>
      <c r="Q12" s="1933"/>
      <c r="R12" s="1933"/>
      <c r="S12" s="1933"/>
      <c r="T12" s="1933"/>
      <c r="U12" s="1933"/>
      <c r="V12" s="1933"/>
      <c r="W12" s="1933"/>
      <c r="X12" s="1933"/>
      <c r="Y12" s="1933"/>
      <c r="Z12" s="1933"/>
      <c r="AA12" s="1933"/>
      <c r="AB12" s="1933"/>
      <c r="AC12" s="1933"/>
      <c r="AD12" s="1933"/>
      <c r="AE12" s="1933"/>
      <c r="AF12" s="1933"/>
      <c r="AG12" s="1934"/>
    </row>
    <row r="13" spans="1:34" s="3" customFormat="1" ht="16" customHeight="1" thickTop="1" thickBot="1">
      <c r="A13" s="7"/>
      <c r="B13" s="19" t="s">
        <v>1395</v>
      </c>
      <c r="C13" s="7"/>
      <c r="D13" s="17"/>
      <c r="E13" s="17"/>
      <c r="F13" s="18"/>
      <c r="G13" s="17"/>
      <c r="H13" s="18"/>
      <c r="I13" s="18"/>
      <c r="J13" s="17"/>
      <c r="K13" s="17"/>
      <c r="L13" s="17"/>
      <c r="M13" s="18"/>
      <c r="N13" s="9"/>
      <c r="O13" s="17"/>
      <c r="P13" s="18"/>
      <c r="Q13" s="18"/>
      <c r="R13" s="17"/>
      <c r="S13" s="882"/>
      <c r="T13" s="883" t="str">
        <f>'$REV-DB'!$T$34</f>
        <v>Federal Revenues</v>
      </c>
      <c r="U13" s="883" t="str">
        <f>'$REV-DB'!$U$34</f>
        <v>local Revenues</v>
      </c>
      <c r="V13" s="883" t="str">
        <f>'$REV-DB'!$V$34</f>
        <v>Other Revenues</v>
      </c>
      <c r="W13" s="883" t="str">
        <f>'$REV-DB'!$W$34</f>
        <v>State revenues</v>
      </c>
      <c r="X13" s="883" t="str">
        <f>'$REV-DB'!$X$34</f>
        <v>UD5</v>
      </c>
      <c r="Y13" s="883" t="str">
        <f>'$REV-DB'!$Y$34</f>
        <v>UD6</v>
      </c>
      <c r="Z13" s="883" t="str">
        <f>'$REV-DB'!$Z$34</f>
        <v>UD7</v>
      </c>
      <c r="AA13" s="883" t="str">
        <f>'$REV-DB'!$AA$34</f>
        <v>UD8</v>
      </c>
      <c r="AB13" s="883" t="str">
        <f>'$REV-DB'!$AB$34</f>
        <v>UD9</v>
      </c>
      <c r="AC13" s="883" t="str">
        <f>'$REV-DB'!$AC$34</f>
        <v>UD10</v>
      </c>
      <c r="AD13" s="883" t="str">
        <f>'$REV-DB'!$AD$34</f>
        <v>UD11</v>
      </c>
      <c r="AE13" s="883" t="str">
        <f>'$REV-DB'!$AE$34</f>
        <v>UD12</v>
      </c>
      <c r="AF13" s="883" t="str">
        <f>'$REV-DB'!$AF$34</f>
        <v>UD13</v>
      </c>
      <c r="AG13" s="883" t="str">
        <f>'$REV-DB'!$AG$34</f>
        <v>UD14</v>
      </c>
    </row>
    <row r="14" spans="1:34" s="3" customFormat="1" ht="16" customHeight="1" thickTop="1" thickBot="1">
      <c r="A14" s="7"/>
      <c r="B14" s="20" t="s">
        <v>1399</v>
      </c>
      <c r="C14" s="15"/>
      <c r="D14" s="877" t="s">
        <v>1386</v>
      </c>
      <c r="E14" s="877" t="s">
        <v>1387</v>
      </c>
      <c r="F14" s="877" t="s">
        <v>1388</v>
      </c>
      <c r="G14" s="877" t="s">
        <v>1389</v>
      </c>
      <c r="H14" s="877" t="s">
        <v>1406</v>
      </c>
      <c r="I14" s="877" t="s">
        <v>1390</v>
      </c>
      <c r="J14" s="877" t="s">
        <v>1391</v>
      </c>
      <c r="K14" s="877" t="s">
        <v>1392</v>
      </c>
      <c r="L14" s="877" t="s">
        <v>1188</v>
      </c>
      <c r="M14" s="877" t="s">
        <v>1437</v>
      </c>
      <c r="N14" s="877" t="s">
        <v>1348</v>
      </c>
      <c r="O14" s="877" t="s">
        <v>1393</v>
      </c>
      <c r="P14" s="877" t="s">
        <v>1342</v>
      </c>
      <c r="Q14" s="877" t="s">
        <v>1394</v>
      </c>
      <c r="R14" s="112" t="s">
        <v>1341</v>
      </c>
      <c r="S14" s="112" t="s">
        <v>846</v>
      </c>
      <c r="T14" s="877" t="s">
        <v>935</v>
      </c>
      <c r="U14" s="877" t="s">
        <v>936</v>
      </c>
      <c r="V14" s="877" t="s">
        <v>937</v>
      </c>
      <c r="W14" s="877" t="s">
        <v>938</v>
      </c>
      <c r="X14" s="877" t="s">
        <v>939</v>
      </c>
      <c r="Y14" s="877" t="s">
        <v>940</v>
      </c>
      <c r="Z14" s="877" t="s">
        <v>941</v>
      </c>
      <c r="AA14" s="877" t="s">
        <v>942</v>
      </c>
      <c r="AB14" s="877" t="s">
        <v>943</v>
      </c>
      <c r="AC14" s="877" t="s">
        <v>944</v>
      </c>
      <c r="AD14" s="877" t="s">
        <v>945</v>
      </c>
      <c r="AE14" s="877" t="s">
        <v>946</v>
      </c>
      <c r="AF14" s="877" t="s">
        <v>947</v>
      </c>
      <c r="AG14" s="877" t="s">
        <v>948</v>
      </c>
      <c r="AH14" s="6"/>
    </row>
    <row r="15" spans="1:34" s="3" customFormat="1" ht="16" customHeight="1" thickTop="1">
      <c r="A15" s="7"/>
      <c r="B15" s="19" t="s">
        <v>1346</v>
      </c>
      <c r="C15" s="12"/>
      <c r="D15" s="186"/>
      <c r="E15" s="186"/>
      <c r="F15" s="186"/>
      <c r="G15" s="186"/>
      <c r="H15" s="186"/>
      <c r="I15" s="186"/>
      <c r="J15" s="186"/>
      <c r="K15" s="186"/>
      <c r="L15" s="278" t="s">
        <v>1429</v>
      </c>
      <c r="M15" s="186"/>
      <c r="N15" s="37" t="str">
        <f>J$6</f>
        <v>FY2010-11</v>
      </c>
      <c r="O15" s="186"/>
      <c r="P15" s="37" t="s">
        <v>1338</v>
      </c>
      <c r="Q15" s="186"/>
      <c r="R15" s="186"/>
      <c r="S15" s="186"/>
      <c r="T15" s="187"/>
      <c r="U15" s="187"/>
      <c r="V15" s="188"/>
      <c r="W15" s="188"/>
      <c r="X15" s="188"/>
      <c r="Y15" s="188"/>
      <c r="Z15" s="188"/>
      <c r="AA15" s="188"/>
      <c r="AB15" s="188"/>
      <c r="AC15" s="188"/>
      <c r="AD15" s="188"/>
      <c r="AE15" s="188"/>
      <c r="AF15" s="188"/>
      <c r="AG15" s="188"/>
      <c r="AH15" s="6"/>
    </row>
    <row r="16" spans="1:34" s="3" customFormat="1" ht="16" customHeight="1">
      <c r="A16" s="7"/>
      <c r="B16" s="16">
        <f>DSUM('$REV-DB'!D35:AG374,"AMOUNT",D14:AG16)</f>
        <v>5249197193.0299997</v>
      </c>
      <c r="C16" s="12"/>
      <c r="D16" s="186"/>
      <c r="E16" s="186"/>
      <c r="F16" s="186"/>
      <c r="G16" s="186"/>
      <c r="H16" s="186"/>
      <c r="I16" s="186"/>
      <c r="J16" s="186"/>
      <c r="K16" s="186"/>
      <c r="L16" s="278" t="s">
        <v>1429</v>
      </c>
      <c r="M16" s="186"/>
      <c r="N16" s="37" t="str">
        <f>J$6</f>
        <v>FY2010-11</v>
      </c>
      <c r="O16" s="186"/>
      <c r="P16" s="37" t="s">
        <v>1347</v>
      </c>
      <c r="Q16" s="186"/>
      <c r="R16" s="186"/>
      <c r="S16" s="186" t="s">
        <v>1303</v>
      </c>
      <c r="T16" s="187"/>
      <c r="U16" s="187"/>
      <c r="V16" s="188"/>
      <c r="W16" s="188"/>
      <c r="X16" s="188"/>
      <c r="Y16" s="188"/>
      <c r="Z16" s="188"/>
      <c r="AA16" s="188"/>
      <c r="AB16" s="188"/>
      <c r="AC16" s="188"/>
      <c r="AD16" s="188"/>
      <c r="AE16" s="188"/>
      <c r="AF16" s="188"/>
      <c r="AG16" s="188"/>
      <c r="AH16" s="6"/>
    </row>
    <row r="17" spans="1:34" s="3" customFormat="1" ht="16" customHeight="1">
      <c r="A17" s="7"/>
      <c r="B17" s="10"/>
      <c r="C17" s="12"/>
      <c r="D17" s="896"/>
      <c r="E17" s="896"/>
      <c r="F17" s="896"/>
      <c r="G17" s="896"/>
      <c r="H17" s="896"/>
      <c r="I17" s="896"/>
      <c r="J17" s="896"/>
      <c r="K17" s="896"/>
      <c r="L17" s="897"/>
      <c r="M17" s="896"/>
      <c r="N17" s="889"/>
      <c r="O17" s="896"/>
      <c r="P17" s="889"/>
      <c r="Q17" s="896"/>
      <c r="R17" s="896"/>
      <c r="S17" s="896"/>
      <c r="T17" s="898"/>
      <c r="U17" s="898"/>
      <c r="V17" s="899"/>
      <c r="W17" s="899"/>
      <c r="X17" s="899"/>
      <c r="Y17" s="899"/>
      <c r="Z17" s="899"/>
      <c r="AA17" s="899"/>
      <c r="AB17" s="899"/>
      <c r="AC17" s="899"/>
      <c r="AD17" s="899"/>
      <c r="AE17" s="899"/>
      <c r="AF17" s="899"/>
      <c r="AG17" s="899"/>
    </row>
    <row r="18" spans="1:34" s="3" customFormat="1" ht="16" customHeight="1">
      <c r="A18" s="7"/>
      <c r="B18" s="1905" t="s">
        <v>1105</v>
      </c>
      <c r="C18" s="12"/>
      <c r="D18" s="896"/>
      <c r="E18" s="896"/>
      <c r="F18" s="896"/>
      <c r="G18" s="896"/>
      <c r="H18" s="896"/>
      <c r="I18" s="896"/>
      <c r="J18" s="896"/>
      <c r="K18" s="896"/>
      <c r="L18" s="897"/>
      <c r="M18" s="896"/>
      <c r="N18" s="889"/>
      <c r="O18" s="896"/>
      <c r="P18" s="889"/>
      <c r="Q18" s="896"/>
      <c r="R18" s="896"/>
      <c r="S18" s="896"/>
      <c r="T18" s="898"/>
      <c r="U18" s="898"/>
      <c r="V18" s="899"/>
      <c r="W18" s="899"/>
      <c r="X18" s="899"/>
      <c r="Y18" s="899"/>
      <c r="Z18" s="899"/>
      <c r="AA18" s="899"/>
      <c r="AB18" s="899"/>
      <c r="AC18" s="899"/>
      <c r="AD18" s="899"/>
      <c r="AE18" s="899"/>
      <c r="AF18" s="899"/>
      <c r="AG18" s="899"/>
    </row>
    <row r="19" spans="1:34" s="3" customFormat="1" ht="16" customHeight="1">
      <c r="A19" s="7"/>
      <c r="B19" s="1905"/>
      <c r="C19" s="12"/>
      <c r="D19" s="896"/>
      <c r="E19" s="896"/>
      <c r="F19" s="896"/>
      <c r="G19" s="896"/>
      <c r="H19" s="896"/>
      <c r="I19" s="896"/>
      <c r="J19" s="896"/>
      <c r="K19" s="896"/>
      <c r="L19" s="897"/>
      <c r="M19" s="896"/>
      <c r="N19" s="889"/>
      <c r="O19" s="896"/>
      <c r="P19" s="889"/>
      <c r="Q19" s="896"/>
      <c r="R19" s="896"/>
      <c r="S19" s="896"/>
      <c r="T19" s="898"/>
      <c r="U19" s="898"/>
      <c r="V19" s="899"/>
      <c r="W19" s="899"/>
      <c r="X19" s="899"/>
      <c r="Y19" s="899"/>
      <c r="Z19" s="899"/>
      <c r="AA19" s="899"/>
      <c r="AB19" s="899"/>
      <c r="AC19" s="899"/>
      <c r="AD19" s="899"/>
      <c r="AE19" s="899"/>
      <c r="AF19" s="899"/>
      <c r="AG19" s="899"/>
    </row>
    <row r="20" spans="1:34" s="3" customFormat="1" ht="16" customHeight="1">
      <c r="A20" s="7"/>
      <c r="B20" s="1905"/>
      <c r="C20" s="12"/>
      <c r="D20" s="896"/>
      <c r="E20" s="896"/>
      <c r="F20" s="896"/>
      <c r="G20" s="896"/>
      <c r="H20" s="896"/>
      <c r="I20" s="896"/>
      <c r="J20" s="896"/>
      <c r="K20" s="896"/>
      <c r="L20" s="897"/>
      <c r="M20" s="896"/>
      <c r="N20" s="889"/>
      <c r="O20" s="896"/>
      <c r="P20" s="889"/>
      <c r="Q20" s="896"/>
      <c r="R20" s="896"/>
      <c r="S20" s="896"/>
      <c r="T20" s="898"/>
      <c r="U20" s="898"/>
      <c r="V20" s="899"/>
      <c r="W20" s="899"/>
      <c r="X20" s="899"/>
      <c r="Y20" s="899"/>
      <c r="Z20" s="899"/>
      <c r="AA20" s="899"/>
      <c r="AB20" s="899"/>
      <c r="AC20" s="899"/>
      <c r="AD20" s="899"/>
      <c r="AE20" s="899"/>
      <c r="AF20" s="899"/>
      <c r="AG20" s="899"/>
    </row>
    <row r="21" spans="1:34" s="3" customFormat="1" ht="16" customHeight="1">
      <c r="A21" s="7"/>
      <c r="B21" s="1905"/>
      <c r="C21" s="12"/>
      <c r="D21" s="896"/>
      <c r="E21" s="896"/>
      <c r="F21" s="896"/>
      <c r="G21" s="896"/>
      <c r="H21" s="896"/>
      <c r="I21" s="896"/>
      <c r="J21" s="896"/>
      <c r="K21" s="896"/>
      <c r="L21" s="897"/>
      <c r="M21" s="896"/>
      <c r="N21" s="889"/>
      <c r="O21" s="896"/>
      <c r="P21" s="889"/>
      <c r="Q21" s="896"/>
      <c r="R21" s="896"/>
      <c r="S21" s="896"/>
      <c r="T21" s="898"/>
      <c r="U21" s="898"/>
      <c r="V21" s="899"/>
      <c r="W21" s="899"/>
      <c r="X21" s="899"/>
      <c r="Y21" s="899"/>
      <c r="Z21" s="899"/>
      <c r="AA21" s="899"/>
      <c r="AB21" s="899"/>
      <c r="AC21" s="899"/>
      <c r="AD21" s="899"/>
      <c r="AE21" s="899"/>
      <c r="AF21" s="899"/>
      <c r="AG21" s="899"/>
    </row>
    <row r="22" spans="1:34" s="3" customFormat="1" ht="16" customHeight="1">
      <c r="A22" s="11"/>
      <c r="B22" s="12"/>
      <c r="C22" s="12"/>
      <c r="D22" s="13"/>
      <c r="E22" s="13"/>
      <c r="F22" s="14"/>
      <c r="G22" s="13"/>
      <c r="H22" s="14"/>
      <c r="I22" s="14"/>
      <c r="J22" s="13"/>
      <c r="K22" s="13"/>
      <c r="L22" s="13"/>
      <c r="M22" s="14"/>
      <c r="N22" s="14"/>
      <c r="O22" s="13"/>
      <c r="P22" s="14"/>
      <c r="Q22" s="14"/>
      <c r="R22" s="13"/>
      <c r="S22" s="14"/>
      <c r="T22" s="13"/>
      <c r="U22" s="13"/>
      <c r="V22" s="11"/>
      <c r="W22" s="11"/>
      <c r="X22" s="11"/>
      <c r="Y22" s="11"/>
      <c r="Z22" s="11"/>
      <c r="AA22" s="11"/>
      <c r="AB22" s="11"/>
      <c r="AC22" s="11"/>
      <c r="AD22" s="11"/>
      <c r="AE22" s="11"/>
      <c r="AF22" s="11"/>
      <c r="AG22" s="11"/>
    </row>
    <row r="23" spans="1:34" s="3" customFormat="1" ht="16" customHeight="1" thickBot="1">
      <c r="A23" s="7"/>
      <c r="B23" s="19" t="s">
        <v>1395</v>
      </c>
      <c r="C23" s="7"/>
      <c r="D23" s="8"/>
      <c r="E23" s="8"/>
      <c r="F23" s="9"/>
      <c r="G23" s="8"/>
      <c r="H23" s="9"/>
      <c r="I23" s="9"/>
      <c r="J23" s="8"/>
      <c r="K23" s="8"/>
      <c r="L23" s="8"/>
      <c r="M23" s="9"/>
      <c r="N23" s="9"/>
      <c r="O23" s="8"/>
      <c r="P23" s="9"/>
      <c r="Q23" s="9"/>
      <c r="R23" s="8"/>
      <c r="S23" s="882"/>
      <c r="T23" s="883" t="str">
        <f>'$REV-DB'!$T$34</f>
        <v>Federal Revenues</v>
      </c>
      <c r="U23" s="883" t="str">
        <f>'$REV-DB'!$U$34</f>
        <v>local Revenues</v>
      </c>
      <c r="V23" s="883" t="str">
        <f>'$REV-DB'!$V$34</f>
        <v>Other Revenues</v>
      </c>
      <c r="W23" s="883" t="str">
        <f>'$REV-DB'!$W$34</f>
        <v>State revenues</v>
      </c>
      <c r="X23" s="883" t="str">
        <f>'$REV-DB'!$X$34</f>
        <v>UD5</v>
      </c>
      <c r="Y23" s="883" t="str">
        <f>'$REV-DB'!$Y$34</f>
        <v>UD6</v>
      </c>
      <c r="Z23" s="883" t="str">
        <f>'$REV-DB'!$Z$34</f>
        <v>UD7</v>
      </c>
      <c r="AA23" s="883" t="str">
        <f>'$REV-DB'!$AA$34</f>
        <v>UD8</v>
      </c>
      <c r="AB23" s="883" t="str">
        <f>'$REV-DB'!$AB$34</f>
        <v>UD9</v>
      </c>
      <c r="AC23" s="883" t="str">
        <f>'$REV-DB'!$AC$34</f>
        <v>UD10</v>
      </c>
      <c r="AD23" s="883" t="str">
        <f>'$REV-DB'!$AD$34</f>
        <v>UD11</v>
      </c>
      <c r="AE23" s="883" t="str">
        <f>'$REV-DB'!$AE$34</f>
        <v>UD12</v>
      </c>
      <c r="AF23" s="883" t="str">
        <f>'$REV-DB'!$AF$34</f>
        <v>UD13</v>
      </c>
      <c r="AG23" s="883" t="str">
        <f>'$REV-DB'!$AG$34</f>
        <v>UD14</v>
      </c>
    </row>
    <row r="24" spans="1:34" s="3" customFormat="1" ht="16" customHeight="1" thickTop="1" thickBot="1">
      <c r="A24" s="7"/>
      <c r="B24" s="20" t="s">
        <v>1399</v>
      </c>
      <c r="C24" s="15"/>
      <c r="D24" s="877" t="s">
        <v>1386</v>
      </c>
      <c r="E24" s="877" t="s">
        <v>1387</v>
      </c>
      <c r="F24" s="877" t="s">
        <v>1388</v>
      </c>
      <c r="G24" s="877" t="s">
        <v>1389</v>
      </c>
      <c r="H24" s="877" t="s">
        <v>1406</v>
      </c>
      <c r="I24" s="877" t="s">
        <v>1390</v>
      </c>
      <c r="J24" s="877" t="s">
        <v>1391</v>
      </c>
      <c r="K24" s="877" t="s">
        <v>1392</v>
      </c>
      <c r="L24" s="877" t="s">
        <v>1188</v>
      </c>
      <c r="M24" s="877" t="s">
        <v>1437</v>
      </c>
      <c r="N24" s="877" t="s">
        <v>1348</v>
      </c>
      <c r="O24" s="877" t="s">
        <v>1393</v>
      </c>
      <c r="P24" s="877" t="s">
        <v>1342</v>
      </c>
      <c r="Q24" s="877" t="s">
        <v>1394</v>
      </c>
      <c r="R24" s="112" t="s">
        <v>1341</v>
      </c>
      <c r="S24" s="112" t="s">
        <v>846</v>
      </c>
      <c r="T24" s="877" t="s">
        <v>935</v>
      </c>
      <c r="U24" s="877" t="s">
        <v>936</v>
      </c>
      <c r="V24" s="877" t="s">
        <v>937</v>
      </c>
      <c r="W24" s="877" t="s">
        <v>938</v>
      </c>
      <c r="X24" s="877" t="s">
        <v>939</v>
      </c>
      <c r="Y24" s="877" t="s">
        <v>940</v>
      </c>
      <c r="Z24" s="877" t="s">
        <v>941</v>
      </c>
      <c r="AA24" s="877" t="s">
        <v>942</v>
      </c>
      <c r="AB24" s="877" t="s">
        <v>943</v>
      </c>
      <c r="AC24" s="877" t="s">
        <v>944</v>
      </c>
      <c r="AD24" s="877" t="s">
        <v>945</v>
      </c>
      <c r="AE24" s="877" t="s">
        <v>946</v>
      </c>
      <c r="AF24" s="877" t="s">
        <v>947</v>
      </c>
      <c r="AG24" s="877" t="s">
        <v>948</v>
      </c>
      <c r="AH24" s="6"/>
    </row>
    <row r="25" spans="1:34" s="3" customFormat="1" ht="16" customHeight="1" thickTop="1">
      <c r="A25" s="7"/>
      <c r="B25" s="19" t="s">
        <v>1345</v>
      </c>
      <c r="C25" s="12"/>
      <c r="D25" s="186"/>
      <c r="E25" s="186"/>
      <c r="F25" s="186"/>
      <c r="G25" s="186"/>
      <c r="H25" s="186"/>
      <c r="I25" s="186"/>
      <c r="J25" s="186"/>
      <c r="K25" s="186"/>
      <c r="L25" s="278" t="s">
        <v>1429</v>
      </c>
      <c r="M25" s="186"/>
      <c r="N25" s="37" t="str">
        <f>J$6</f>
        <v>FY2010-11</v>
      </c>
      <c r="O25" s="186"/>
      <c r="P25" s="37" t="s">
        <v>1338</v>
      </c>
      <c r="Q25" s="189" t="s">
        <v>1380</v>
      </c>
      <c r="R25" s="186"/>
      <c r="S25" s="186"/>
      <c r="T25" s="187"/>
      <c r="U25" s="187"/>
      <c r="V25" s="188"/>
      <c r="W25" s="188"/>
      <c r="X25" s="188"/>
      <c r="Y25" s="188"/>
      <c r="Z25" s="188"/>
      <c r="AA25" s="188"/>
      <c r="AB25" s="188"/>
      <c r="AC25" s="188"/>
      <c r="AD25" s="188"/>
      <c r="AE25" s="188"/>
      <c r="AF25" s="188"/>
      <c r="AG25" s="188"/>
      <c r="AH25" s="6"/>
    </row>
    <row r="26" spans="1:34" s="3" customFormat="1" ht="16" customHeight="1">
      <c r="A26" s="7"/>
      <c r="B26" s="16">
        <f>DSUM('$REV-DB'!D35:AG374,"AMOUNT",D24:AG26)</f>
        <v>815268896.76000047</v>
      </c>
      <c r="C26" s="12"/>
      <c r="D26" s="186"/>
      <c r="E26" s="186"/>
      <c r="F26" s="186"/>
      <c r="G26" s="186"/>
      <c r="H26" s="186"/>
      <c r="I26" s="186"/>
      <c r="J26" s="186"/>
      <c r="K26" s="186"/>
      <c r="L26" s="278" t="s">
        <v>1429</v>
      </c>
      <c r="M26" s="186"/>
      <c r="N26" s="37" t="str">
        <f>J$6</f>
        <v>FY2010-11</v>
      </c>
      <c r="O26" s="186"/>
      <c r="P26" s="37" t="s">
        <v>1347</v>
      </c>
      <c r="Q26" s="189" t="s">
        <v>1380</v>
      </c>
      <c r="R26" s="186"/>
      <c r="S26" s="186" t="s">
        <v>1303</v>
      </c>
      <c r="T26" s="187"/>
      <c r="U26" s="187"/>
      <c r="V26" s="188"/>
      <c r="W26" s="188"/>
      <c r="X26" s="188"/>
      <c r="Y26" s="188"/>
      <c r="Z26" s="188"/>
      <c r="AA26" s="188"/>
      <c r="AB26" s="188"/>
      <c r="AC26" s="188"/>
      <c r="AD26" s="188"/>
      <c r="AE26" s="188"/>
      <c r="AF26" s="188"/>
      <c r="AG26" s="188"/>
      <c r="AH26" s="6"/>
    </row>
    <row r="27" spans="1:34" s="3" customFormat="1" ht="16" customHeight="1">
      <c r="A27" s="7"/>
      <c r="B27" s="10"/>
      <c r="C27" s="12"/>
      <c r="D27" s="896"/>
      <c r="E27" s="896"/>
      <c r="F27" s="896"/>
      <c r="G27" s="896"/>
      <c r="H27" s="896"/>
      <c r="I27" s="896"/>
      <c r="J27" s="896"/>
      <c r="K27" s="896"/>
      <c r="L27" s="897"/>
      <c r="M27" s="896"/>
      <c r="N27" s="889"/>
      <c r="O27" s="896"/>
      <c r="P27" s="889"/>
      <c r="Q27" s="900"/>
      <c r="R27" s="896"/>
      <c r="S27" s="896"/>
      <c r="T27" s="898"/>
      <c r="U27" s="898"/>
      <c r="V27" s="899"/>
      <c r="W27" s="899"/>
      <c r="X27" s="899"/>
      <c r="Y27" s="899"/>
      <c r="Z27" s="899"/>
      <c r="AA27" s="899"/>
      <c r="AB27" s="899"/>
      <c r="AC27" s="899"/>
      <c r="AD27" s="899"/>
      <c r="AE27" s="899"/>
      <c r="AF27" s="899"/>
      <c r="AG27" s="899"/>
    </row>
    <row r="28" spans="1:34" s="3" customFormat="1" ht="16" customHeight="1">
      <c r="A28" s="7"/>
      <c r="B28" s="10"/>
      <c r="C28" s="12"/>
      <c r="D28" s="896"/>
      <c r="E28" s="896"/>
      <c r="F28" s="896"/>
      <c r="G28" s="896"/>
      <c r="H28" s="896"/>
      <c r="I28" s="896"/>
      <c r="J28" s="896"/>
      <c r="K28" s="896"/>
      <c r="L28" s="897"/>
      <c r="M28" s="896"/>
      <c r="N28" s="889"/>
      <c r="O28" s="896"/>
      <c r="P28" s="889"/>
      <c r="Q28" s="900"/>
      <c r="R28" s="896"/>
      <c r="S28" s="896"/>
      <c r="T28" s="898"/>
      <c r="U28" s="898"/>
      <c r="V28" s="899"/>
      <c r="W28" s="899"/>
      <c r="X28" s="899"/>
      <c r="Y28" s="899"/>
      <c r="Z28" s="899"/>
      <c r="AA28" s="899"/>
      <c r="AB28" s="899"/>
      <c r="AC28" s="899"/>
      <c r="AD28" s="899"/>
      <c r="AE28" s="899"/>
      <c r="AF28" s="899"/>
      <c r="AG28" s="899"/>
    </row>
    <row r="29" spans="1:34" s="3" customFormat="1" ht="16" customHeight="1">
      <c r="A29" s="7"/>
      <c r="B29" s="10"/>
      <c r="C29" s="12"/>
      <c r="D29" s="896"/>
      <c r="E29" s="896"/>
      <c r="F29" s="896"/>
      <c r="G29" s="896"/>
      <c r="H29" s="896"/>
      <c r="I29" s="896"/>
      <c r="J29" s="896"/>
      <c r="K29" s="896"/>
      <c r="L29" s="897"/>
      <c r="M29" s="896"/>
      <c r="N29" s="889"/>
      <c r="O29" s="896"/>
      <c r="P29" s="889"/>
      <c r="Q29" s="900"/>
      <c r="R29" s="896"/>
      <c r="S29" s="896"/>
      <c r="T29" s="898"/>
      <c r="U29" s="898"/>
      <c r="V29" s="899"/>
      <c r="W29" s="899"/>
      <c r="X29" s="899"/>
      <c r="Y29" s="899"/>
      <c r="Z29" s="899"/>
      <c r="AA29" s="899"/>
      <c r="AB29" s="899"/>
      <c r="AC29" s="899"/>
      <c r="AD29" s="899"/>
      <c r="AE29" s="899"/>
      <c r="AF29" s="899"/>
      <c r="AG29" s="899"/>
    </row>
    <row r="30" spans="1:34" s="3" customFormat="1" ht="16" customHeight="1">
      <c r="A30" s="7"/>
      <c r="B30" s="10"/>
      <c r="C30" s="12"/>
      <c r="D30" s="896"/>
      <c r="E30" s="896"/>
      <c r="F30" s="896"/>
      <c r="G30" s="896"/>
      <c r="H30" s="896"/>
      <c r="I30" s="896"/>
      <c r="J30" s="896"/>
      <c r="K30" s="896"/>
      <c r="L30" s="897"/>
      <c r="M30" s="896"/>
      <c r="N30" s="889"/>
      <c r="O30" s="896"/>
      <c r="P30" s="889"/>
      <c r="Q30" s="900"/>
      <c r="R30" s="896"/>
      <c r="S30" s="896"/>
      <c r="T30" s="898"/>
      <c r="U30" s="898"/>
      <c r="V30" s="899"/>
      <c r="W30" s="899"/>
      <c r="X30" s="899"/>
      <c r="Y30" s="899"/>
      <c r="Z30" s="899"/>
      <c r="AA30" s="899"/>
      <c r="AB30" s="899"/>
      <c r="AC30" s="899"/>
      <c r="AD30" s="899"/>
      <c r="AE30" s="899"/>
      <c r="AF30" s="899"/>
      <c r="AG30" s="899"/>
    </row>
    <row r="31" spans="1:34" s="3" customFormat="1" ht="16" customHeight="1">
      <c r="A31" s="7"/>
      <c r="B31" s="10"/>
      <c r="C31" s="12"/>
      <c r="D31" s="896"/>
      <c r="E31" s="896"/>
      <c r="F31" s="896"/>
      <c r="G31" s="896"/>
      <c r="H31" s="896"/>
      <c r="I31" s="896"/>
      <c r="J31" s="896"/>
      <c r="K31" s="896"/>
      <c r="L31" s="897"/>
      <c r="M31" s="896"/>
      <c r="N31" s="889"/>
      <c r="O31" s="896"/>
      <c r="P31" s="889"/>
      <c r="Q31" s="900"/>
      <c r="R31" s="896"/>
      <c r="S31" s="896"/>
      <c r="T31" s="898"/>
      <c r="U31" s="898"/>
      <c r="V31" s="899"/>
      <c r="W31" s="899"/>
      <c r="X31" s="899"/>
      <c r="Y31" s="899"/>
      <c r="Z31" s="899"/>
      <c r="AA31" s="899"/>
      <c r="AB31" s="899"/>
      <c r="AC31" s="899"/>
      <c r="AD31" s="899"/>
      <c r="AE31" s="899"/>
      <c r="AF31" s="899"/>
      <c r="AG31" s="899"/>
    </row>
    <row r="32" spans="1:34" s="3" customFormat="1" ht="16" customHeight="1">
      <c r="A32" s="11"/>
      <c r="B32" s="12"/>
      <c r="C32" s="12"/>
      <c r="D32" s="13"/>
      <c r="E32" s="13"/>
      <c r="F32" s="14"/>
      <c r="G32" s="13"/>
      <c r="H32" s="14"/>
      <c r="I32" s="14"/>
      <c r="J32" s="13"/>
      <c r="K32" s="13"/>
      <c r="L32" s="13"/>
      <c r="M32" s="14"/>
      <c r="N32" s="14"/>
      <c r="O32" s="13"/>
      <c r="P32" s="14"/>
      <c r="Q32" s="14"/>
      <c r="R32" s="13"/>
      <c r="S32" s="14"/>
      <c r="T32" s="13"/>
      <c r="U32" s="13"/>
      <c r="V32" s="11"/>
      <c r="W32" s="11"/>
      <c r="X32" s="11"/>
      <c r="Y32" s="11"/>
      <c r="Z32" s="11"/>
      <c r="AA32" s="11"/>
      <c r="AB32" s="11"/>
      <c r="AC32" s="11"/>
      <c r="AD32" s="11"/>
      <c r="AE32" s="11"/>
      <c r="AF32" s="11"/>
      <c r="AG32" s="11"/>
    </row>
    <row r="33" spans="1:34" s="3" customFormat="1" ht="16" customHeight="1" thickBot="1">
      <c r="A33" s="7"/>
      <c r="B33" s="19" t="s">
        <v>1395</v>
      </c>
      <c r="C33" s="7"/>
      <c r="D33" s="8"/>
      <c r="E33" s="8"/>
      <c r="F33" s="9"/>
      <c r="G33" s="8"/>
      <c r="H33" s="9"/>
      <c r="I33" s="9"/>
      <c r="J33" s="8"/>
      <c r="K33" s="8"/>
      <c r="L33" s="8"/>
      <c r="M33" s="9"/>
      <c r="N33" s="9"/>
      <c r="O33" s="8"/>
      <c r="P33" s="9"/>
      <c r="Q33" s="9"/>
      <c r="R33" s="8"/>
      <c r="S33" s="882"/>
      <c r="T33" s="883" t="str">
        <f>'$REV-DB'!$T$34</f>
        <v>Federal Revenues</v>
      </c>
      <c r="U33" s="883" t="str">
        <f>'$REV-DB'!$U$34</f>
        <v>local Revenues</v>
      </c>
      <c r="V33" s="883" t="str">
        <f>'$REV-DB'!$V$34</f>
        <v>Other Revenues</v>
      </c>
      <c r="W33" s="883" t="str">
        <f>'$REV-DB'!$W$34</f>
        <v>State revenues</v>
      </c>
      <c r="X33" s="883" t="str">
        <f>'$REV-DB'!$X$34</f>
        <v>UD5</v>
      </c>
      <c r="Y33" s="883" t="str">
        <f>'$REV-DB'!$Y$34</f>
        <v>UD6</v>
      </c>
      <c r="Z33" s="883" t="str">
        <f>'$REV-DB'!$Z$34</f>
        <v>UD7</v>
      </c>
      <c r="AA33" s="883" t="str">
        <f>'$REV-DB'!$AA$34</f>
        <v>UD8</v>
      </c>
      <c r="AB33" s="883" t="str">
        <f>'$REV-DB'!$AB$34</f>
        <v>UD9</v>
      </c>
      <c r="AC33" s="883" t="str">
        <f>'$REV-DB'!$AC$34</f>
        <v>UD10</v>
      </c>
      <c r="AD33" s="883" t="str">
        <f>'$REV-DB'!$AD$34</f>
        <v>UD11</v>
      </c>
      <c r="AE33" s="883" t="str">
        <f>'$REV-DB'!$AE$34</f>
        <v>UD12</v>
      </c>
      <c r="AF33" s="883" t="str">
        <f>'$REV-DB'!$AF$34</f>
        <v>UD13</v>
      </c>
      <c r="AG33" s="883" t="str">
        <f>'$REV-DB'!$AG$34</f>
        <v>UD14</v>
      </c>
    </row>
    <row r="34" spans="1:34" s="3" customFormat="1" ht="16" customHeight="1" thickTop="1" thickBot="1">
      <c r="A34" s="7"/>
      <c r="B34" s="20" t="s">
        <v>1399</v>
      </c>
      <c r="C34" s="15"/>
      <c r="D34" s="877" t="s">
        <v>1386</v>
      </c>
      <c r="E34" s="877" t="s">
        <v>1387</v>
      </c>
      <c r="F34" s="877" t="s">
        <v>1388</v>
      </c>
      <c r="G34" s="877" t="s">
        <v>1389</v>
      </c>
      <c r="H34" s="877" t="s">
        <v>1406</v>
      </c>
      <c r="I34" s="877" t="s">
        <v>1390</v>
      </c>
      <c r="J34" s="877" t="s">
        <v>1391</v>
      </c>
      <c r="K34" s="877" t="s">
        <v>1392</v>
      </c>
      <c r="L34" s="877" t="s">
        <v>1188</v>
      </c>
      <c r="M34" s="877" t="s">
        <v>1437</v>
      </c>
      <c r="N34" s="877" t="s">
        <v>1348</v>
      </c>
      <c r="O34" s="877" t="s">
        <v>1393</v>
      </c>
      <c r="P34" s="877" t="s">
        <v>1342</v>
      </c>
      <c r="Q34" s="877" t="s">
        <v>1394</v>
      </c>
      <c r="R34" s="112" t="s">
        <v>1341</v>
      </c>
      <c r="S34" s="112" t="s">
        <v>846</v>
      </c>
      <c r="T34" s="877" t="s">
        <v>935</v>
      </c>
      <c r="U34" s="877" t="s">
        <v>936</v>
      </c>
      <c r="V34" s="877" t="s">
        <v>937</v>
      </c>
      <c r="W34" s="877" t="s">
        <v>938</v>
      </c>
      <c r="X34" s="877" t="s">
        <v>939</v>
      </c>
      <c r="Y34" s="877" t="s">
        <v>940</v>
      </c>
      <c r="Z34" s="877" t="s">
        <v>941</v>
      </c>
      <c r="AA34" s="877" t="s">
        <v>942</v>
      </c>
      <c r="AB34" s="877" t="s">
        <v>943</v>
      </c>
      <c r="AC34" s="877" t="s">
        <v>944</v>
      </c>
      <c r="AD34" s="877" t="s">
        <v>945</v>
      </c>
      <c r="AE34" s="877" t="s">
        <v>946</v>
      </c>
      <c r="AF34" s="877" t="s">
        <v>947</v>
      </c>
      <c r="AG34" s="877" t="s">
        <v>948</v>
      </c>
      <c r="AH34" s="6"/>
    </row>
    <row r="35" spans="1:34" s="3" customFormat="1" ht="16" customHeight="1" thickTop="1">
      <c r="A35" s="7"/>
      <c r="B35" s="19" t="s">
        <v>1344</v>
      </c>
      <c r="C35" s="12"/>
      <c r="D35" s="186"/>
      <c r="E35" s="186"/>
      <c r="F35" s="186"/>
      <c r="G35" s="186"/>
      <c r="H35" s="186"/>
      <c r="I35" s="186"/>
      <c r="J35" s="186"/>
      <c r="K35" s="186"/>
      <c r="L35" s="278" t="s">
        <v>1429</v>
      </c>
      <c r="M35" s="186"/>
      <c r="N35" s="37" t="str">
        <f>J$6</f>
        <v>FY2010-11</v>
      </c>
      <c r="O35" s="186"/>
      <c r="P35" s="37" t="s">
        <v>1338</v>
      </c>
      <c r="Q35" s="189" t="s">
        <v>1339</v>
      </c>
      <c r="R35" s="186"/>
      <c r="S35" s="186"/>
      <c r="T35" s="187"/>
      <c r="U35" s="187"/>
      <c r="V35" s="188"/>
      <c r="W35" s="188"/>
      <c r="X35" s="188"/>
      <c r="Y35" s="188"/>
      <c r="Z35" s="188"/>
      <c r="AA35" s="188"/>
      <c r="AB35" s="188"/>
      <c r="AC35" s="188"/>
      <c r="AD35" s="188"/>
      <c r="AE35" s="188"/>
      <c r="AF35" s="188"/>
      <c r="AG35" s="188"/>
      <c r="AH35" s="6"/>
    </row>
    <row r="36" spans="1:34" s="3" customFormat="1" ht="16" customHeight="1">
      <c r="A36" s="7"/>
      <c r="B36" s="16">
        <f>DSUM('$REV-DB'!D35:AG374,"AMOUNT",D34:AG36)</f>
        <v>2372611931.1099997</v>
      </c>
      <c r="C36" s="12"/>
      <c r="D36" s="186"/>
      <c r="E36" s="186"/>
      <c r="F36" s="186"/>
      <c r="G36" s="186"/>
      <c r="H36" s="186"/>
      <c r="I36" s="186"/>
      <c r="J36" s="186"/>
      <c r="K36" s="186"/>
      <c r="L36" s="278" t="s">
        <v>1429</v>
      </c>
      <c r="M36" s="186"/>
      <c r="N36" s="37" t="str">
        <f>J$6</f>
        <v>FY2010-11</v>
      </c>
      <c r="O36" s="186"/>
      <c r="P36" s="37" t="s">
        <v>1347</v>
      </c>
      <c r="Q36" s="189" t="s">
        <v>1339</v>
      </c>
      <c r="R36" s="186"/>
      <c r="S36" s="186" t="s">
        <v>1303</v>
      </c>
      <c r="T36" s="187"/>
      <c r="U36" s="187"/>
      <c r="V36" s="188"/>
      <c r="W36" s="188"/>
      <c r="X36" s="188"/>
      <c r="Y36" s="188"/>
      <c r="Z36" s="188"/>
      <c r="AA36" s="188"/>
      <c r="AB36" s="188"/>
      <c r="AC36" s="188"/>
      <c r="AD36" s="188"/>
      <c r="AE36" s="188"/>
      <c r="AF36" s="188"/>
      <c r="AG36" s="188"/>
      <c r="AH36" s="6"/>
    </row>
    <row r="37" spans="1:34" s="3" customFormat="1" ht="16" customHeight="1">
      <c r="A37" s="7"/>
      <c r="B37" s="10"/>
      <c r="C37" s="12"/>
      <c r="D37" s="896"/>
      <c r="E37" s="896"/>
      <c r="F37" s="896"/>
      <c r="G37" s="896"/>
      <c r="H37" s="896"/>
      <c r="I37" s="896"/>
      <c r="J37" s="896"/>
      <c r="K37" s="896"/>
      <c r="L37" s="897"/>
      <c r="M37" s="896"/>
      <c r="N37" s="889"/>
      <c r="O37" s="896"/>
      <c r="P37" s="889"/>
      <c r="Q37" s="900"/>
      <c r="R37" s="896"/>
      <c r="S37" s="896"/>
      <c r="T37" s="898"/>
      <c r="U37" s="898"/>
      <c r="V37" s="899"/>
      <c r="W37" s="899"/>
      <c r="X37" s="899"/>
      <c r="Y37" s="899"/>
      <c r="Z37" s="899"/>
      <c r="AA37" s="899"/>
      <c r="AB37" s="899"/>
      <c r="AC37" s="899"/>
      <c r="AD37" s="899"/>
      <c r="AE37" s="899"/>
      <c r="AF37" s="899"/>
      <c r="AG37" s="899"/>
    </row>
    <row r="38" spans="1:34" s="3" customFormat="1" ht="16" customHeight="1">
      <c r="A38" s="7"/>
      <c r="B38" s="10"/>
      <c r="C38" s="12"/>
      <c r="D38" s="896"/>
      <c r="E38" s="896"/>
      <c r="F38" s="896"/>
      <c r="G38" s="896"/>
      <c r="H38" s="896"/>
      <c r="I38" s="896"/>
      <c r="J38" s="896"/>
      <c r="K38" s="896"/>
      <c r="L38" s="897"/>
      <c r="M38" s="896"/>
      <c r="N38" s="889"/>
      <c r="O38" s="896"/>
      <c r="P38" s="889"/>
      <c r="Q38" s="900"/>
      <c r="R38" s="896"/>
      <c r="S38" s="896"/>
      <c r="T38" s="898"/>
      <c r="U38" s="898"/>
      <c r="V38" s="899"/>
      <c r="W38" s="899"/>
      <c r="X38" s="899"/>
      <c r="Y38" s="899"/>
      <c r="Z38" s="899"/>
      <c r="AA38" s="899"/>
      <c r="AB38" s="899"/>
      <c r="AC38" s="899"/>
      <c r="AD38" s="899"/>
      <c r="AE38" s="899"/>
      <c r="AF38" s="899"/>
      <c r="AG38" s="899"/>
    </row>
    <row r="39" spans="1:34" s="3" customFormat="1" ht="16" customHeight="1">
      <c r="A39" s="7"/>
      <c r="B39" s="10"/>
      <c r="C39" s="12"/>
      <c r="D39" s="896"/>
      <c r="E39" s="896"/>
      <c r="F39" s="896"/>
      <c r="G39" s="896"/>
      <c r="H39" s="896"/>
      <c r="I39" s="896"/>
      <c r="J39" s="896"/>
      <c r="K39" s="896"/>
      <c r="L39" s="897"/>
      <c r="M39" s="896"/>
      <c r="N39" s="889"/>
      <c r="O39" s="896"/>
      <c r="P39" s="889"/>
      <c r="Q39" s="900"/>
      <c r="R39" s="896"/>
      <c r="S39" s="896"/>
      <c r="T39" s="898"/>
      <c r="U39" s="898"/>
      <c r="V39" s="899"/>
      <c r="W39" s="899"/>
      <c r="X39" s="899"/>
      <c r="Y39" s="899"/>
      <c r="Z39" s="899"/>
      <c r="AA39" s="899"/>
      <c r="AB39" s="899"/>
      <c r="AC39" s="899"/>
      <c r="AD39" s="899"/>
      <c r="AE39" s="899"/>
      <c r="AF39" s="899"/>
      <c r="AG39" s="899"/>
    </row>
    <row r="40" spans="1:34" s="3" customFormat="1" ht="16" customHeight="1">
      <c r="A40" s="7"/>
      <c r="B40" s="10"/>
      <c r="C40" s="12"/>
      <c r="D40" s="896"/>
      <c r="E40" s="896"/>
      <c r="F40" s="896"/>
      <c r="G40" s="896"/>
      <c r="H40" s="896"/>
      <c r="I40" s="896"/>
      <c r="J40" s="896"/>
      <c r="K40" s="896"/>
      <c r="L40" s="897"/>
      <c r="M40" s="896"/>
      <c r="N40" s="889"/>
      <c r="O40" s="896"/>
      <c r="P40" s="889"/>
      <c r="Q40" s="900"/>
      <c r="R40" s="896"/>
      <c r="S40" s="896"/>
      <c r="T40" s="898"/>
      <c r="U40" s="898"/>
      <c r="V40" s="899"/>
      <c r="W40" s="899"/>
      <c r="X40" s="899"/>
      <c r="Y40" s="899"/>
      <c r="Z40" s="899"/>
      <c r="AA40" s="899"/>
      <c r="AB40" s="899"/>
      <c r="AC40" s="899"/>
      <c r="AD40" s="899"/>
      <c r="AE40" s="899"/>
      <c r="AF40" s="899"/>
      <c r="AG40" s="899"/>
    </row>
    <row r="41" spans="1:34" s="3" customFormat="1" ht="16" customHeight="1">
      <c r="A41" s="7"/>
      <c r="B41" s="10"/>
      <c r="C41" s="12"/>
      <c r="D41" s="896"/>
      <c r="E41" s="896"/>
      <c r="F41" s="896"/>
      <c r="G41" s="896"/>
      <c r="H41" s="896"/>
      <c r="I41" s="896"/>
      <c r="J41" s="896"/>
      <c r="K41" s="896"/>
      <c r="L41" s="897"/>
      <c r="M41" s="896"/>
      <c r="N41" s="889"/>
      <c r="O41" s="896"/>
      <c r="P41" s="889"/>
      <c r="Q41" s="900"/>
      <c r="R41" s="896"/>
      <c r="S41" s="896"/>
      <c r="T41" s="898"/>
      <c r="U41" s="898"/>
      <c r="V41" s="899"/>
      <c r="W41" s="899"/>
      <c r="X41" s="899"/>
      <c r="Y41" s="899"/>
      <c r="Z41" s="899"/>
      <c r="AA41" s="899"/>
      <c r="AB41" s="899"/>
      <c r="AC41" s="899"/>
      <c r="AD41" s="899"/>
      <c r="AE41" s="899"/>
      <c r="AF41" s="899"/>
      <c r="AG41" s="899"/>
    </row>
    <row r="42" spans="1:34" s="3" customFormat="1" ht="16" customHeight="1">
      <c r="A42" s="11"/>
      <c r="B42" s="12"/>
      <c r="C42" s="12"/>
      <c r="D42" s="13"/>
      <c r="E42" s="13"/>
      <c r="F42" s="14"/>
      <c r="G42" s="13"/>
      <c r="H42" s="14"/>
      <c r="I42" s="14"/>
      <c r="J42" s="13"/>
      <c r="K42" s="13"/>
      <c r="L42" s="279"/>
      <c r="M42" s="14"/>
      <c r="N42" s="14"/>
      <c r="O42" s="13"/>
      <c r="P42" s="14"/>
      <c r="Q42" s="14"/>
      <c r="R42" s="13"/>
      <c r="S42" s="14"/>
      <c r="T42" s="13"/>
      <c r="U42" s="13"/>
      <c r="V42" s="11"/>
      <c r="W42" s="11"/>
      <c r="X42" s="11"/>
      <c r="Y42" s="11"/>
      <c r="Z42" s="11"/>
      <c r="AA42" s="11"/>
      <c r="AB42" s="11"/>
      <c r="AC42" s="11"/>
      <c r="AD42" s="11"/>
      <c r="AE42" s="11"/>
      <c r="AF42" s="11"/>
      <c r="AG42" s="11"/>
    </row>
    <row r="43" spans="1:34" s="3" customFormat="1" ht="16" customHeight="1" thickBot="1">
      <c r="A43" s="7"/>
      <c r="B43" s="19" t="s">
        <v>1395</v>
      </c>
      <c r="C43" s="7"/>
      <c r="D43" s="8"/>
      <c r="E43" s="8"/>
      <c r="F43" s="9"/>
      <c r="G43" s="8"/>
      <c r="H43" s="9"/>
      <c r="I43" s="9"/>
      <c r="J43" s="8"/>
      <c r="K43" s="8"/>
      <c r="L43" s="280"/>
      <c r="M43" s="9"/>
      <c r="N43" s="9"/>
      <c r="O43" s="8"/>
      <c r="P43" s="9"/>
      <c r="Q43" s="9"/>
      <c r="R43" s="8"/>
      <c r="S43" s="882"/>
      <c r="T43" s="883" t="str">
        <f>'$REV-DB'!$T$34</f>
        <v>Federal Revenues</v>
      </c>
      <c r="U43" s="883" t="str">
        <f>'$REV-DB'!$U$34</f>
        <v>local Revenues</v>
      </c>
      <c r="V43" s="883" t="str">
        <f>'$REV-DB'!$V$34</f>
        <v>Other Revenues</v>
      </c>
      <c r="W43" s="883" t="str">
        <f>'$REV-DB'!$W$34</f>
        <v>State revenues</v>
      </c>
      <c r="X43" s="883" t="str">
        <f>'$REV-DB'!$X$34</f>
        <v>UD5</v>
      </c>
      <c r="Y43" s="883" t="str">
        <f>'$REV-DB'!$Y$34</f>
        <v>UD6</v>
      </c>
      <c r="Z43" s="883" t="str">
        <f>'$REV-DB'!$Z$34</f>
        <v>UD7</v>
      </c>
      <c r="AA43" s="883" t="str">
        <f>'$REV-DB'!$AA$34</f>
        <v>UD8</v>
      </c>
      <c r="AB43" s="883" t="str">
        <f>'$REV-DB'!$AB$34</f>
        <v>UD9</v>
      </c>
      <c r="AC43" s="883" t="str">
        <f>'$REV-DB'!$AC$34</f>
        <v>UD10</v>
      </c>
      <c r="AD43" s="883" t="str">
        <f>'$REV-DB'!$AD$34</f>
        <v>UD11</v>
      </c>
      <c r="AE43" s="883" t="str">
        <f>'$REV-DB'!$AE$34</f>
        <v>UD12</v>
      </c>
      <c r="AF43" s="883" t="str">
        <f>'$REV-DB'!$AF$34</f>
        <v>UD13</v>
      </c>
      <c r="AG43" s="883" t="str">
        <f>'$REV-DB'!$AG$34</f>
        <v>UD14</v>
      </c>
    </row>
    <row r="44" spans="1:34" s="3" customFormat="1" ht="16" customHeight="1" thickTop="1" thickBot="1">
      <c r="A44" s="7"/>
      <c r="B44" s="20" t="s">
        <v>1399</v>
      </c>
      <c r="C44" s="15"/>
      <c r="D44" s="877" t="s">
        <v>1386</v>
      </c>
      <c r="E44" s="877" t="s">
        <v>1387</v>
      </c>
      <c r="F44" s="877" t="s">
        <v>1388</v>
      </c>
      <c r="G44" s="877" t="s">
        <v>1389</v>
      </c>
      <c r="H44" s="877" t="s">
        <v>1406</v>
      </c>
      <c r="I44" s="877" t="s">
        <v>1390</v>
      </c>
      <c r="J44" s="877" t="s">
        <v>1391</v>
      </c>
      <c r="K44" s="877" t="s">
        <v>1392</v>
      </c>
      <c r="L44" s="877" t="s">
        <v>1188</v>
      </c>
      <c r="M44" s="877" t="s">
        <v>1437</v>
      </c>
      <c r="N44" s="877" t="s">
        <v>1348</v>
      </c>
      <c r="O44" s="877" t="s">
        <v>1393</v>
      </c>
      <c r="P44" s="877" t="s">
        <v>1342</v>
      </c>
      <c r="Q44" s="877" t="s">
        <v>1394</v>
      </c>
      <c r="R44" s="112" t="s">
        <v>1341</v>
      </c>
      <c r="S44" s="112" t="s">
        <v>846</v>
      </c>
      <c r="T44" s="877" t="s">
        <v>935</v>
      </c>
      <c r="U44" s="877" t="s">
        <v>936</v>
      </c>
      <c r="V44" s="877" t="s">
        <v>937</v>
      </c>
      <c r="W44" s="877" t="s">
        <v>938</v>
      </c>
      <c r="X44" s="877" t="s">
        <v>939</v>
      </c>
      <c r="Y44" s="877" t="s">
        <v>940</v>
      </c>
      <c r="Z44" s="877" t="s">
        <v>941</v>
      </c>
      <c r="AA44" s="877" t="s">
        <v>942</v>
      </c>
      <c r="AB44" s="877" t="s">
        <v>943</v>
      </c>
      <c r="AC44" s="877" t="s">
        <v>944</v>
      </c>
      <c r="AD44" s="877" t="s">
        <v>945</v>
      </c>
      <c r="AE44" s="877" t="s">
        <v>946</v>
      </c>
      <c r="AF44" s="877" t="s">
        <v>947</v>
      </c>
      <c r="AG44" s="877" t="s">
        <v>948</v>
      </c>
      <c r="AH44" s="6"/>
    </row>
    <row r="45" spans="1:34" s="3" customFormat="1" ht="16" customHeight="1" thickTop="1">
      <c r="A45" s="7"/>
      <c r="B45" s="19" t="s">
        <v>1343</v>
      </c>
      <c r="C45" s="12"/>
      <c r="D45" s="186"/>
      <c r="E45" s="186"/>
      <c r="F45" s="186"/>
      <c r="G45" s="186"/>
      <c r="H45" s="186"/>
      <c r="I45" s="186"/>
      <c r="J45" s="186"/>
      <c r="K45" s="186"/>
      <c r="L45" s="278" t="s">
        <v>1429</v>
      </c>
      <c r="M45" s="186"/>
      <c r="N45" s="37" t="str">
        <f>J$6</f>
        <v>FY2010-11</v>
      </c>
      <c r="O45" s="186"/>
      <c r="P45" s="37" t="s">
        <v>1338</v>
      </c>
      <c r="Q45" s="189" t="s">
        <v>1379</v>
      </c>
      <c r="R45" s="186"/>
      <c r="S45" s="186"/>
      <c r="T45" s="187"/>
      <c r="U45" s="187"/>
      <c r="V45" s="188"/>
      <c r="W45" s="188"/>
      <c r="X45" s="188"/>
      <c r="Y45" s="188"/>
      <c r="Z45" s="188"/>
      <c r="AA45" s="188"/>
      <c r="AB45" s="188"/>
      <c r="AC45" s="188"/>
      <c r="AD45" s="188"/>
      <c r="AE45" s="188"/>
      <c r="AF45" s="188"/>
      <c r="AG45" s="188"/>
      <c r="AH45" s="6"/>
    </row>
    <row r="46" spans="1:34" s="3" customFormat="1" ht="16" customHeight="1">
      <c r="A46" s="7"/>
      <c r="B46" s="16">
        <f>DSUM('$REV-DB'!D35:AG374,"AMOUNT",D44:AG46)</f>
        <v>1449262988.8400004</v>
      </c>
      <c r="C46" s="12"/>
      <c r="D46" s="186"/>
      <c r="E46" s="186"/>
      <c r="F46" s="186"/>
      <c r="G46" s="186"/>
      <c r="H46" s="186"/>
      <c r="I46" s="186"/>
      <c r="J46" s="186"/>
      <c r="K46" s="186"/>
      <c r="L46" s="278" t="s">
        <v>1429</v>
      </c>
      <c r="M46" s="186"/>
      <c r="N46" s="37" t="str">
        <f>J$6</f>
        <v>FY2010-11</v>
      </c>
      <c r="O46" s="186"/>
      <c r="P46" s="37" t="s">
        <v>1347</v>
      </c>
      <c r="Q46" s="189" t="s">
        <v>1379</v>
      </c>
      <c r="R46" s="186"/>
      <c r="S46" s="186" t="s">
        <v>1303</v>
      </c>
      <c r="T46" s="187"/>
      <c r="U46" s="187"/>
      <c r="V46" s="188"/>
      <c r="W46" s="188"/>
      <c r="X46" s="188"/>
      <c r="Y46" s="188"/>
      <c r="Z46" s="188"/>
      <c r="AA46" s="188"/>
      <c r="AB46" s="188"/>
      <c r="AC46" s="188"/>
      <c r="AD46" s="188"/>
      <c r="AE46" s="188"/>
      <c r="AF46" s="188"/>
      <c r="AG46" s="188"/>
      <c r="AH46" s="6"/>
    </row>
    <row r="47" spans="1:34" s="3" customFormat="1" ht="16" customHeight="1">
      <c r="A47" s="7"/>
      <c r="B47" s="10"/>
      <c r="C47" s="12"/>
      <c r="D47" s="896"/>
      <c r="E47" s="896"/>
      <c r="F47" s="896"/>
      <c r="G47" s="896"/>
      <c r="H47" s="896"/>
      <c r="I47" s="896"/>
      <c r="J47" s="896"/>
      <c r="K47" s="896"/>
      <c r="L47" s="897"/>
      <c r="M47" s="896"/>
      <c r="N47" s="889"/>
      <c r="O47" s="896"/>
      <c r="P47" s="889"/>
      <c r="Q47" s="900"/>
      <c r="R47" s="896"/>
      <c r="S47" s="896"/>
      <c r="T47" s="898"/>
      <c r="U47" s="898"/>
      <c r="V47" s="899"/>
      <c r="W47" s="899"/>
      <c r="X47" s="899"/>
      <c r="Y47" s="899"/>
      <c r="Z47" s="899"/>
      <c r="AA47" s="899"/>
      <c r="AB47" s="899"/>
      <c r="AC47" s="899"/>
      <c r="AD47" s="899"/>
      <c r="AE47" s="899"/>
      <c r="AF47" s="899"/>
      <c r="AG47" s="899"/>
    </row>
    <row r="48" spans="1:34" s="3" customFormat="1" ht="16" customHeight="1">
      <c r="A48" s="7"/>
      <c r="B48" s="10"/>
      <c r="C48" s="12"/>
      <c r="D48" s="896"/>
      <c r="E48" s="896"/>
      <c r="F48" s="896"/>
      <c r="G48" s="896"/>
      <c r="H48" s="896"/>
      <c r="I48" s="896"/>
      <c r="J48" s="896"/>
      <c r="K48" s="896"/>
      <c r="L48" s="897"/>
      <c r="M48" s="896"/>
      <c r="N48" s="889"/>
      <c r="O48" s="896"/>
      <c r="P48" s="889"/>
      <c r="Q48" s="900"/>
      <c r="R48" s="896"/>
      <c r="S48" s="896"/>
      <c r="T48" s="898"/>
      <c r="U48" s="898"/>
      <c r="V48" s="899"/>
      <c r="W48" s="899"/>
      <c r="X48" s="899"/>
      <c r="Y48" s="899"/>
      <c r="Z48" s="899"/>
      <c r="AA48" s="899"/>
      <c r="AB48" s="899"/>
      <c r="AC48" s="899"/>
      <c r="AD48" s="899"/>
      <c r="AE48" s="899"/>
      <c r="AF48" s="899"/>
      <c r="AG48" s="899"/>
    </row>
    <row r="49" spans="1:34" s="3" customFormat="1" ht="16" customHeight="1">
      <c r="A49" s="7"/>
      <c r="B49" s="10"/>
      <c r="C49" s="12"/>
      <c r="D49" s="896"/>
      <c r="E49" s="896"/>
      <c r="F49" s="896"/>
      <c r="G49" s="896"/>
      <c r="H49" s="896"/>
      <c r="I49" s="896"/>
      <c r="J49" s="896"/>
      <c r="K49" s="896"/>
      <c r="L49" s="897"/>
      <c r="M49" s="896"/>
      <c r="N49" s="889"/>
      <c r="O49" s="896"/>
      <c r="P49" s="889"/>
      <c r="Q49" s="900"/>
      <c r="R49" s="896"/>
      <c r="S49" s="896"/>
      <c r="T49" s="898"/>
      <c r="U49" s="898"/>
      <c r="V49" s="899"/>
      <c r="W49" s="899"/>
      <c r="X49" s="899"/>
      <c r="Y49" s="899"/>
      <c r="Z49" s="899"/>
      <c r="AA49" s="899"/>
      <c r="AB49" s="899"/>
      <c r="AC49" s="899"/>
      <c r="AD49" s="899"/>
      <c r="AE49" s="899"/>
      <c r="AF49" s="899"/>
      <c r="AG49" s="899"/>
    </row>
    <row r="50" spans="1:34" s="3" customFormat="1" ht="16" customHeight="1">
      <c r="A50" s="7"/>
      <c r="B50" s="10"/>
      <c r="C50" s="12"/>
      <c r="D50" s="896"/>
      <c r="E50" s="896"/>
      <c r="F50" s="896"/>
      <c r="G50" s="896"/>
      <c r="H50" s="896"/>
      <c r="I50" s="896"/>
      <c r="J50" s="896"/>
      <c r="K50" s="896"/>
      <c r="L50" s="897"/>
      <c r="M50" s="896"/>
      <c r="N50" s="889"/>
      <c r="O50" s="896"/>
      <c r="P50" s="889"/>
      <c r="Q50" s="900"/>
      <c r="R50" s="896"/>
      <c r="S50" s="896"/>
      <c r="T50" s="898"/>
      <c r="U50" s="898"/>
      <c r="V50" s="899"/>
      <c r="W50" s="899"/>
      <c r="X50" s="899"/>
      <c r="Y50" s="899"/>
      <c r="Z50" s="899"/>
      <c r="AA50" s="899"/>
      <c r="AB50" s="899"/>
      <c r="AC50" s="899"/>
      <c r="AD50" s="899"/>
      <c r="AE50" s="899"/>
      <c r="AF50" s="899"/>
      <c r="AG50" s="899"/>
    </row>
    <row r="51" spans="1:34" s="3" customFormat="1" ht="16" customHeight="1">
      <c r="A51" s="7"/>
      <c r="B51" s="10"/>
      <c r="C51" s="12"/>
      <c r="D51" s="896"/>
      <c r="E51" s="896"/>
      <c r="F51" s="896"/>
      <c r="G51" s="896"/>
      <c r="H51" s="896"/>
      <c r="I51" s="896"/>
      <c r="J51" s="896"/>
      <c r="K51" s="896"/>
      <c r="L51" s="897"/>
      <c r="M51" s="896"/>
      <c r="N51" s="889"/>
      <c r="O51" s="896"/>
      <c r="P51" s="889"/>
      <c r="Q51" s="900"/>
      <c r="R51" s="896"/>
      <c r="S51" s="896"/>
      <c r="T51" s="898"/>
      <c r="U51" s="898"/>
      <c r="V51" s="899"/>
      <c r="W51" s="899"/>
      <c r="X51" s="899"/>
      <c r="Y51" s="899"/>
      <c r="Z51" s="899"/>
      <c r="AA51" s="899"/>
      <c r="AB51" s="899"/>
      <c r="AC51" s="899"/>
      <c r="AD51" s="899"/>
      <c r="AE51" s="899"/>
      <c r="AF51" s="899"/>
      <c r="AG51" s="899"/>
    </row>
    <row r="52" spans="1:34" s="3" customFormat="1" ht="16" customHeight="1">
      <c r="A52" s="11"/>
      <c r="B52" s="12"/>
      <c r="C52" s="12"/>
      <c r="D52" s="13"/>
      <c r="E52" s="13"/>
      <c r="F52" s="14"/>
      <c r="G52" s="13"/>
      <c r="H52" s="14"/>
      <c r="I52" s="14"/>
      <c r="J52" s="13"/>
      <c r="K52" s="13"/>
      <c r="L52" s="279"/>
      <c r="M52" s="14"/>
      <c r="N52" s="14"/>
      <c r="O52" s="13"/>
      <c r="P52" s="14"/>
      <c r="Q52" s="14"/>
      <c r="R52" s="13"/>
      <c r="S52" s="14"/>
      <c r="T52" s="13"/>
      <c r="U52" s="13"/>
      <c r="V52" s="11"/>
      <c r="W52" s="11"/>
      <c r="X52" s="11"/>
      <c r="Y52" s="11"/>
      <c r="Z52" s="11"/>
      <c r="AA52" s="11"/>
      <c r="AB52" s="11"/>
      <c r="AC52" s="11"/>
      <c r="AD52" s="11"/>
      <c r="AE52" s="11"/>
      <c r="AF52" s="11"/>
      <c r="AG52" s="11"/>
    </row>
    <row r="53" spans="1:34" s="3" customFormat="1" ht="16" customHeight="1" thickBot="1">
      <c r="A53" s="7"/>
      <c r="B53" s="19" t="s">
        <v>1395</v>
      </c>
      <c r="C53" s="7"/>
      <c r="D53" s="8"/>
      <c r="E53" s="8"/>
      <c r="F53" s="9"/>
      <c r="G53" s="8"/>
      <c r="H53" s="9"/>
      <c r="I53" s="9"/>
      <c r="J53" s="8"/>
      <c r="K53" s="8"/>
      <c r="L53" s="280"/>
      <c r="M53" s="9"/>
      <c r="N53" s="9"/>
      <c r="O53" s="8"/>
      <c r="P53" s="9"/>
      <c r="Q53" s="9"/>
      <c r="R53" s="8"/>
      <c r="S53" s="882"/>
      <c r="T53" s="883" t="str">
        <f>'$REV-DB'!$T$34</f>
        <v>Federal Revenues</v>
      </c>
      <c r="U53" s="883" t="str">
        <f>'$REV-DB'!$U$34</f>
        <v>local Revenues</v>
      </c>
      <c r="V53" s="883" t="str">
        <f>'$REV-DB'!$V$34</f>
        <v>Other Revenues</v>
      </c>
      <c r="W53" s="883" t="str">
        <f>'$REV-DB'!$W$34</f>
        <v>State revenues</v>
      </c>
      <c r="X53" s="883" t="str">
        <f>'$REV-DB'!$X$34</f>
        <v>UD5</v>
      </c>
      <c r="Y53" s="883" t="str">
        <f>'$REV-DB'!$Y$34</f>
        <v>UD6</v>
      </c>
      <c r="Z53" s="883" t="str">
        <f>'$REV-DB'!$Z$34</f>
        <v>UD7</v>
      </c>
      <c r="AA53" s="883" t="str">
        <f>'$REV-DB'!$AA$34</f>
        <v>UD8</v>
      </c>
      <c r="AB53" s="883" t="str">
        <f>'$REV-DB'!$AB$34</f>
        <v>UD9</v>
      </c>
      <c r="AC53" s="883" t="str">
        <f>'$REV-DB'!$AC$34</f>
        <v>UD10</v>
      </c>
      <c r="AD53" s="883" t="str">
        <f>'$REV-DB'!$AD$34</f>
        <v>UD11</v>
      </c>
      <c r="AE53" s="883" t="str">
        <f>'$REV-DB'!$AE$34</f>
        <v>UD12</v>
      </c>
      <c r="AF53" s="883" t="str">
        <f>'$REV-DB'!$AF$34</f>
        <v>UD13</v>
      </c>
      <c r="AG53" s="883" t="str">
        <f>'$REV-DB'!$AG$34</f>
        <v>UD14</v>
      </c>
    </row>
    <row r="54" spans="1:34" s="3" customFormat="1" ht="16" customHeight="1" thickTop="1" thickBot="1">
      <c r="A54" s="7"/>
      <c r="B54" s="20" t="s">
        <v>1399</v>
      </c>
      <c r="C54" s="15"/>
      <c r="D54" s="877" t="s">
        <v>1386</v>
      </c>
      <c r="E54" s="877" t="s">
        <v>1387</v>
      </c>
      <c r="F54" s="877" t="s">
        <v>1388</v>
      </c>
      <c r="G54" s="877" t="s">
        <v>1389</v>
      </c>
      <c r="H54" s="877" t="s">
        <v>1406</v>
      </c>
      <c r="I54" s="877" t="s">
        <v>1390</v>
      </c>
      <c r="J54" s="877" t="s">
        <v>1391</v>
      </c>
      <c r="K54" s="877" t="s">
        <v>1392</v>
      </c>
      <c r="L54" s="877" t="s">
        <v>1188</v>
      </c>
      <c r="M54" s="877" t="s">
        <v>1437</v>
      </c>
      <c r="N54" s="877" t="s">
        <v>1348</v>
      </c>
      <c r="O54" s="877" t="s">
        <v>1393</v>
      </c>
      <c r="P54" s="877" t="s">
        <v>1342</v>
      </c>
      <c r="Q54" s="877" t="s">
        <v>1394</v>
      </c>
      <c r="R54" s="112" t="s">
        <v>1341</v>
      </c>
      <c r="S54" s="112" t="s">
        <v>846</v>
      </c>
      <c r="T54" s="877" t="s">
        <v>935</v>
      </c>
      <c r="U54" s="877" t="s">
        <v>936</v>
      </c>
      <c r="V54" s="877" t="s">
        <v>937</v>
      </c>
      <c r="W54" s="877" t="s">
        <v>938</v>
      </c>
      <c r="X54" s="877" t="s">
        <v>939</v>
      </c>
      <c r="Y54" s="877" t="s">
        <v>940</v>
      </c>
      <c r="Z54" s="877" t="s">
        <v>941</v>
      </c>
      <c r="AA54" s="877" t="s">
        <v>942</v>
      </c>
      <c r="AB54" s="877" t="s">
        <v>943</v>
      </c>
      <c r="AC54" s="877" t="s">
        <v>944</v>
      </c>
      <c r="AD54" s="877" t="s">
        <v>945</v>
      </c>
      <c r="AE54" s="877" t="s">
        <v>946</v>
      </c>
      <c r="AF54" s="877" t="s">
        <v>947</v>
      </c>
      <c r="AG54" s="877" t="s">
        <v>948</v>
      </c>
      <c r="AH54" s="6"/>
    </row>
    <row r="55" spans="1:34" s="3" customFormat="1" ht="16" customHeight="1" thickTop="1">
      <c r="A55" s="7"/>
      <c r="B55" s="19" t="s">
        <v>1349</v>
      </c>
      <c r="C55" s="12"/>
      <c r="D55" s="186"/>
      <c r="E55" s="186"/>
      <c r="F55" s="186"/>
      <c r="G55" s="186"/>
      <c r="H55" s="186"/>
      <c r="I55" s="186"/>
      <c r="J55" s="186"/>
      <c r="K55" s="186"/>
      <c r="L55" s="278" t="s">
        <v>1429</v>
      </c>
      <c r="M55" s="186"/>
      <c r="N55" s="37" t="str">
        <f>J$6</f>
        <v>FY2010-11</v>
      </c>
      <c r="O55" s="186"/>
      <c r="P55" s="37" t="s">
        <v>1338</v>
      </c>
      <c r="Q55" s="189" t="s">
        <v>1397</v>
      </c>
      <c r="R55" s="186"/>
      <c r="S55" s="186"/>
      <c r="T55" s="187"/>
      <c r="U55" s="187"/>
      <c r="V55" s="188"/>
      <c r="W55" s="188"/>
      <c r="X55" s="188"/>
      <c r="Y55" s="188"/>
      <c r="Z55" s="188"/>
      <c r="AA55" s="188"/>
      <c r="AB55" s="188"/>
      <c r="AC55" s="188"/>
      <c r="AD55" s="188"/>
      <c r="AE55" s="188"/>
      <c r="AF55" s="188"/>
      <c r="AG55" s="188"/>
      <c r="AH55" s="6"/>
    </row>
    <row r="56" spans="1:34" s="3" customFormat="1" ht="16" customHeight="1">
      <c r="A56" s="7"/>
      <c r="B56" s="16">
        <f>DSUM('$REV-DB'!D35:AG374,"AMOUNT",D54:AG56)</f>
        <v>608915488.74999976</v>
      </c>
      <c r="C56" s="12"/>
      <c r="D56" s="186"/>
      <c r="E56" s="186"/>
      <c r="F56" s="186"/>
      <c r="G56" s="186"/>
      <c r="H56" s="186"/>
      <c r="I56" s="186"/>
      <c r="J56" s="186"/>
      <c r="K56" s="186"/>
      <c r="L56" s="278" t="s">
        <v>1429</v>
      </c>
      <c r="M56" s="186"/>
      <c r="N56" s="37" t="str">
        <f>J$6</f>
        <v>FY2010-11</v>
      </c>
      <c r="O56" s="186"/>
      <c r="P56" s="37" t="s">
        <v>1347</v>
      </c>
      <c r="Q56" s="189" t="s">
        <v>1397</v>
      </c>
      <c r="R56" s="186"/>
      <c r="S56" s="186" t="s">
        <v>1303</v>
      </c>
      <c r="T56" s="187"/>
      <c r="U56" s="187"/>
      <c r="V56" s="188"/>
      <c r="W56" s="188"/>
      <c r="X56" s="188"/>
      <c r="Y56" s="188"/>
      <c r="Z56" s="188"/>
      <c r="AA56" s="188"/>
      <c r="AB56" s="188"/>
      <c r="AC56" s="188"/>
      <c r="AD56" s="188"/>
      <c r="AE56" s="188"/>
      <c r="AF56" s="188"/>
      <c r="AG56" s="188"/>
      <c r="AH56" s="6"/>
    </row>
    <row r="57" spans="1:34" s="3" customFormat="1" ht="16" customHeight="1">
      <c r="A57" s="7"/>
      <c r="B57" s="10"/>
      <c r="C57" s="12"/>
      <c r="D57" s="896"/>
      <c r="E57" s="896"/>
      <c r="F57" s="896"/>
      <c r="G57" s="896"/>
      <c r="H57" s="896"/>
      <c r="I57" s="896"/>
      <c r="J57" s="896"/>
      <c r="K57" s="896"/>
      <c r="L57" s="897"/>
      <c r="M57" s="896"/>
      <c r="N57" s="889"/>
      <c r="O57" s="896"/>
      <c r="P57" s="889"/>
      <c r="Q57" s="900"/>
      <c r="R57" s="896"/>
      <c r="S57" s="896"/>
      <c r="T57" s="898"/>
      <c r="U57" s="898"/>
      <c r="V57" s="899"/>
      <c r="W57" s="899"/>
      <c r="X57" s="899"/>
      <c r="Y57" s="899"/>
      <c r="Z57" s="899"/>
      <c r="AA57" s="899"/>
      <c r="AB57" s="899"/>
      <c r="AC57" s="899"/>
      <c r="AD57" s="899"/>
      <c r="AE57" s="899"/>
      <c r="AF57" s="899"/>
      <c r="AG57" s="899"/>
    </row>
    <row r="58" spans="1:34" s="3" customFormat="1" ht="16" customHeight="1">
      <c r="A58" s="7"/>
      <c r="B58" s="10"/>
      <c r="C58" s="12"/>
      <c r="D58" s="896"/>
      <c r="E58" s="896"/>
      <c r="F58" s="896"/>
      <c r="G58" s="896"/>
      <c r="H58" s="896"/>
      <c r="I58" s="896"/>
      <c r="J58" s="896"/>
      <c r="K58" s="896"/>
      <c r="L58" s="897"/>
      <c r="M58" s="896"/>
      <c r="N58" s="889"/>
      <c r="O58" s="896"/>
      <c r="P58" s="889"/>
      <c r="Q58" s="900"/>
      <c r="R58" s="896"/>
      <c r="S58" s="896"/>
      <c r="T58" s="898"/>
      <c r="U58" s="898"/>
      <c r="V58" s="899"/>
      <c r="W58" s="899"/>
      <c r="X58" s="899"/>
      <c r="Y58" s="899"/>
      <c r="Z58" s="899"/>
      <c r="AA58" s="899"/>
      <c r="AB58" s="899"/>
      <c r="AC58" s="899"/>
      <c r="AD58" s="899"/>
      <c r="AE58" s="899"/>
      <c r="AF58" s="899"/>
      <c r="AG58" s="899"/>
    </row>
    <row r="59" spans="1:34" s="3" customFormat="1" ht="16" customHeight="1">
      <c r="A59" s="7"/>
      <c r="B59" s="10"/>
      <c r="C59" s="12"/>
      <c r="D59" s="896"/>
      <c r="E59" s="896"/>
      <c r="F59" s="896"/>
      <c r="G59" s="896"/>
      <c r="H59" s="896"/>
      <c r="I59" s="896"/>
      <c r="J59" s="896"/>
      <c r="K59" s="896"/>
      <c r="L59" s="897"/>
      <c r="M59" s="896"/>
      <c r="N59" s="889"/>
      <c r="O59" s="896"/>
      <c r="P59" s="889"/>
      <c r="Q59" s="900"/>
      <c r="R59" s="896"/>
      <c r="S59" s="896"/>
      <c r="T59" s="898"/>
      <c r="U59" s="898"/>
      <c r="V59" s="899"/>
      <c r="W59" s="899"/>
      <c r="X59" s="899"/>
      <c r="Y59" s="899"/>
      <c r="Z59" s="899"/>
      <c r="AA59" s="899"/>
      <c r="AB59" s="899"/>
      <c r="AC59" s="899"/>
      <c r="AD59" s="899"/>
      <c r="AE59" s="899"/>
      <c r="AF59" s="899"/>
      <c r="AG59" s="899"/>
    </row>
    <row r="60" spans="1:34" s="3" customFormat="1" ht="16" customHeight="1">
      <c r="A60" s="7"/>
      <c r="B60" s="10"/>
      <c r="C60" s="12"/>
      <c r="D60" s="896"/>
      <c r="E60" s="896"/>
      <c r="F60" s="896"/>
      <c r="G60" s="896"/>
      <c r="H60" s="896"/>
      <c r="I60" s="896"/>
      <c r="J60" s="896"/>
      <c r="K60" s="896"/>
      <c r="L60" s="897"/>
      <c r="M60" s="896"/>
      <c r="N60" s="889"/>
      <c r="O60" s="896"/>
      <c r="P60" s="889"/>
      <c r="Q60" s="900"/>
      <c r="R60" s="896"/>
      <c r="S60" s="896"/>
      <c r="T60" s="898"/>
      <c r="U60" s="898"/>
      <c r="V60" s="899"/>
      <c r="W60" s="899"/>
      <c r="X60" s="899"/>
      <c r="Y60" s="899"/>
      <c r="Z60" s="899"/>
      <c r="AA60" s="899"/>
      <c r="AB60" s="899"/>
      <c r="AC60" s="899"/>
      <c r="AD60" s="899"/>
      <c r="AE60" s="899"/>
      <c r="AF60" s="899"/>
      <c r="AG60" s="899"/>
    </row>
    <row r="61" spans="1:34" s="3" customFormat="1" ht="16" customHeight="1">
      <c r="A61" s="7"/>
      <c r="B61" s="10"/>
      <c r="C61" s="12"/>
      <c r="D61" s="896"/>
      <c r="E61" s="896"/>
      <c r="F61" s="896"/>
      <c r="G61" s="896"/>
      <c r="H61" s="896"/>
      <c r="I61" s="896"/>
      <c r="J61" s="896"/>
      <c r="K61" s="896"/>
      <c r="L61" s="897"/>
      <c r="M61" s="896"/>
      <c r="N61" s="889"/>
      <c r="O61" s="896"/>
      <c r="P61" s="889"/>
      <c r="Q61" s="900"/>
      <c r="R61" s="896"/>
      <c r="S61" s="896"/>
      <c r="T61" s="898"/>
      <c r="U61" s="898"/>
      <c r="V61" s="899"/>
      <c r="W61" s="899"/>
      <c r="X61" s="899"/>
      <c r="Y61" s="899"/>
      <c r="Z61" s="899"/>
      <c r="AA61" s="899"/>
      <c r="AB61" s="899"/>
      <c r="AC61" s="899"/>
      <c r="AD61" s="899"/>
      <c r="AE61" s="899"/>
      <c r="AF61" s="899"/>
      <c r="AG61" s="899"/>
    </row>
    <row r="62" spans="1:34" s="3" customFormat="1" ht="16" customHeight="1">
      <c r="A62" s="11"/>
      <c r="B62" s="12"/>
      <c r="C62" s="12"/>
      <c r="D62" s="13"/>
      <c r="E62" s="13"/>
      <c r="F62" s="14"/>
      <c r="G62" s="13"/>
      <c r="H62" s="14"/>
      <c r="I62" s="14"/>
      <c r="J62" s="13"/>
      <c r="K62" s="13"/>
      <c r="L62" s="279"/>
      <c r="M62" s="14"/>
      <c r="N62" s="14"/>
      <c r="O62" s="13"/>
      <c r="P62" s="14"/>
      <c r="Q62" s="14"/>
      <c r="R62" s="13"/>
      <c r="S62" s="14"/>
      <c r="T62" s="13"/>
      <c r="U62" s="13"/>
      <c r="V62" s="11"/>
      <c r="W62" s="11"/>
      <c r="X62" s="11"/>
      <c r="Y62" s="11"/>
      <c r="Z62" s="11"/>
      <c r="AA62" s="11"/>
      <c r="AB62" s="11"/>
      <c r="AC62" s="11"/>
      <c r="AD62" s="11"/>
      <c r="AE62" s="11"/>
      <c r="AF62" s="11"/>
      <c r="AG62" s="11"/>
    </row>
    <row r="63" spans="1:34" s="3" customFormat="1" ht="16" customHeight="1" thickBot="1">
      <c r="A63" s="7"/>
      <c r="B63" s="19" t="s">
        <v>1395</v>
      </c>
      <c r="C63" s="7"/>
      <c r="D63" s="8"/>
      <c r="E63" s="8"/>
      <c r="F63" s="9"/>
      <c r="G63" s="8"/>
      <c r="H63" s="9"/>
      <c r="I63" s="9"/>
      <c r="J63" s="8"/>
      <c r="K63" s="8"/>
      <c r="L63" s="280"/>
      <c r="M63" s="9"/>
      <c r="N63" s="9"/>
      <c r="O63" s="8"/>
      <c r="P63" s="9"/>
      <c r="Q63" s="9"/>
      <c r="R63" s="8"/>
      <c r="S63" s="882"/>
      <c r="T63" s="883" t="str">
        <f>'$REV-DB'!$T$34</f>
        <v>Federal Revenues</v>
      </c>
      <c r="U63" s="883" t="str">
        <f>'$REV-DB'!$U$34</f>
        <v>local Revenues</v>
      </c>
      <c r="V63" s="883" t="str">
        <f>'$REV-DB'!$V$34</f>
        <v>Other Revenues</v>
      </c>
      <c r="W63" s="883" t="str">
        <f>'$REV-DB'!$W$34</f>
        <v>State revenues</v>
      </c>
      <c r="X63" s="883" t="str">
        <f>'$REV-DB'!$X$34</f>
        <v>UD5</v>
      </c>
      <c r="Y63" s="883" t="str">
        <f>'$REV-DB'!$Y$34</f>
        <v>UD6</v>
      </c>
      <c r="Z63" s="883" t="str">
        <f>'$REV-DB'!$Z$34</f>
        <v>UD7</v>
      </c>
      <c r="AA63" s="883" t="str">
        <f>'$REV-DB'!$AA$34</f>
        <v>UD8</v>
      </c>
      <c r="AB63" s="883" t="str">
        <f>'$REV-DB'!$AB$34</f>
        <v>UD9</v>
      </c>
      <c r="AC63" s="883" t="str">
        <f>'$REV-DB'!$AC$34</f>
        <v>UD10</v>
      </c>
      <c r="AD63" s="883" t="str">
        <f>'$REV-DB'!$AD$34</f>
        <v>UD11</v>
      </c>
      <c r="AE63" s="883" t="str">
        <f>'$REV-DB'!$AE$34</f>
        <v>UD12</v>
      </c>
      <c r="AF63" s="883" t="str">
        <f>'$REV-DB'!$AF$34</f>
        <v>UD13</v>
      </c>
      <c r="AG63" s="883" t="str">
        <f>'$REV-DB'!$AG$34</f>
        <v>UD14</v>
      </c>
    </row>
    <row r="64" spans="1:34" s="3" customFormat="1" ht="16" customHeight="1" thickTop="1" thickBot="1">
      <c r="A64" s="7"/>
      <c r="B64" s="20" t="s">
        <v>1399</v>
      </c>
      <c r="C64" s="15"/>
      <c r="D64" s="877" t="s">
        <v>1386</v>
      </c>
      <c r="E64" s="877" t="s">
        <v>1387</v>
      </c>
      <c r="F64" s="877" t="s">
        <v>1388</v>
      </c>
      <c r="G64" s="877" t="s">
        <v>1389</v>
      </c>
      <c r="H64" s="877" t="s">
        <v>1406</v>
      </c>
      <c r="I64" s="877" t="s">
        <v>1390</v>
      </c>
      <c r="J64" s="877" t="s">
        <v>1391</v>
      </c>
      <c r="K64" s="877" t="s">
        <v>1392</v>
      </c>
      <c r="L64" s="877" t="s">
        <v>1188</v>
      </c>
      <c r="M64" s="877" t="s">
        <v>1437</v>
      </c>
      <c r="N64" s="877" t="s">
        <v>1348</v>
      </c>
      <c r="O64" s="877" t="s">
        <v>1393</v>
      </c>
      <c r="P64" s="877" t="s">
        <v>1342</v>
      </c>
      <c r="Q64" s="877" t="s">
        <v>1394</v>
      </c>
      <c r="R64" s="112" t="s">
        <v>1341</v>
      </c>
      <c r="S64" s="112" t="s">
        <v>846</v>
      </c>
      <c r="T64" s="877" t="s">
        <v>935</v>
      </c>
      <c r="U64" s="877" t="s">
        <v>936</v>
      </c>
      <c r="V64" s="877" t="s">
        <v>937</v>
      </c>
      <c r="W64" s="877" t="s">
        <v>938</v>
      </c>
      <c r="X64" s="877" t="s">
        <v>939</v>
      </c>
      <c r="Y64" s="877" t="s">
        <v>940</v>
      </c>
      <c r="Z64" s="877" t="s">
        <v>941</v>
      </c>
      <c r="AA64" s="877" t="s">
        <v>942</v>
      </c>
      <c r="AB64" s="877" t="s">
        <v>943</v>
      </c>
      <c r="AC64" s="877" t="s">
        <v>944</v>
      </c>
      <c r="AD64" s="877" t="s">
        <v>945</v>
      </c>
      <c r="AE64" s="877" t="s">
        <v>946</v>
      </c>
      <c r="AF64" s="877" t="s">
        <v>947</v>
      </c>
      <c r="AG64" s="877" t="s">
        <v>948</v>
      </c>
      <c r="AH64" s="6"/>
    </row>
    <row r="65" spans="1:34" s="3" customFormat="1" ht="16" customHeight="1" thickTop="1">
      <c r="A65" s="7"/>
      <c r="B65" s="19" t="s">
        <v>1178</v>
      </c>
      <c r="C65" s="12"/>
      <c r="D65" s="186"/>
      <c r="E65" s="186"/>
      <c r="F65" s="186"/>
      <c r="G65" s="186"/>
      <c r="H65" s="186"/>
      <c r="I65" s="186"/>
      <c r="J65" s="186"/>
      <c r="K65" s="186"/>
      <c r="L65" s="278" t="s">
        <v>1429</v>
      </c>
      <c r="M65" s="186"/>
      <c r="N65" s="37" t="str">
        <f>J$6</f>
        <v>FY2010-11</v>
      </c>
      <c r="O65" s="186"/>
      <c r="P65" s="37" t="s">
        <v>1338</v>
      </c>
      <c r="Q65" s="189" t="s">
        <v>1465</v>
      </c>
      <c r="R65" s="186"/>
      <c r="S65" s="186"/>
      <c r="T65" s="187"/>
      <c r="U65" s="187"/>
      <c r="V65" s="188"/>
      <c r="W65" s="188"/>
      <c r="X65" s="188"/>
      <c r="Y65" s="188"/>
      <c r="Z65" s="188"/>
      <c r="AA65" s="188"/>
      <c r="AB65" s="188"/>
      <c r="AC65" s="188"/>
      <c r="AD65" s="188"/>
      <c r="AE65" s="188"/>
      <c r="AF65" s="188"/>
      <c r="AG65" s="188"/>
      <c r="AH65" s="6"/>
    </row>
    <row r="66" spans="1:34" s="3" customFormat="1" ht="16" customHeight="1">
      <c r="A66" s="7"/>
      <c r="B66" s="16">
        <f>DSUM('$REV-DB'!D35:AG374,"AMOUNT",D64:AG66)</f>
        <v>3137887.5700000008</v>
      </c>
      <c r="C66" s="12"/>
      <c r="D66" s="186"/>
      <c r="E66" s="186"/>
      <c r="F66" s="186"/>
      <c r="G66" s="186"/>
      <c r="H66" s="186"/>
      <c r="I66" s="186"/>
      <c r="J66" s="186"/>
      <c r="K66" s="186"/>
      <c r="L66" s="278" t="s">
        <v>1429</v>
      </c>
      <c r="M66" s="186"/>
      <c r="N66" s="37" t="str">
        <f>J$6</f>
        <v>FY2010-11</v>
      </c>
      <c r="O66" s="186"/>
      <c r="P66" s="37" t="s">
        <v>1347</v>
      </c>
      <c r="Q66" s="189" t="s">
        <v>1465</v>
      </c>
      <c r="R66" s="186"/>
      <c r="S66" s="186" t="s">
        <v>1303</v>
      </c>
      <c r="T66" s="187"/>
      <c r="U66" s="187"/>
      <c r="V66" s="188"/>
      <c r="W66" s="188"/>
      <c r="X66" s="188"/>
      <c r="Y66" s="188"/>
      <c r="Z66" s="188"/>
      <c r="AA66" s="188"/>
      <c r="AB66" s="188"/>
      <c r="AC66" s="188"/>
      <c r="AD66" s="188"/>
      <c r="AE66" s="188"/>
      <c r="AF66" s="188"/>
      <c r="AG66" s="188"/>
      <c r="AH66" s="6"/>
    </row>
    <row r="67" spans="1:34" s="3" customFormat="1" ht="16" customHeight="1">
      <c r="A67" s="7"/>
      <c r="B67" s="10"/>
      <c r="C67" s="12"/>
      <c r="D67" s="896"/>
      <c r="E67" s="896"/>
      <c r="F67" s="896"/>
      <c r="G67" s="896"/>
      <c r="H67" s="896"/>
      <c r="I67" s="896"/>
      <c r="J67" s="896"/>
      <c r="K67" s="896"/>
      <c r="L67" s="897"/>
      <c r="M67" s="896"/>
      <c r="N67" s="889"/>
      <c r="O67" s="896"/>
      <c r="P67" s="889"/>
      <c r="Q67" s="900"/>
      <c r="R67" s="896"/>
      <c r="S67" s="896"/>
      <c r="T67" s="898"/>
      <c r="U67" s="898"/>
      <c r="V67" s="899"/>
      <c r="W67" s="899"/>
      <c r="X67" s="899"/>
      <c r="Y67" s="899"/>
      <c r="Z67" s="899"/>
      <c r="AA67" s="899"/>
      <c r="AB67" s="899"/>
      <c r="AC67" s="899"/>
      <c r="AD67" s="899"/>
      <c r="AE67" s="899"/>
      <c r="AF67" s="899"/>
      <c r="AG67" s="899"/>
    </row>
    <row r="68" spans="1:34" s="3" customFormat="1" ht="16" customHeight="1">
      <c r="A68" s="7"/>
      <c r="B68" s="10"/>
      <c r="C68" s="12"/>
      <c r="D68" s="896"/>
      <c r="E68" s="896"/>
      <c r="F68" s="896"/>
      <c r="G68" s="896"/>
      <c r="H68" s="896"/>
      <c r="I68" s="896"/>
      <c r="J68" s="896"/>
      <c r="K68" s="896"/>
      <c r="L68" s="897"/>
      <c r="M68" s="896"/>
      <c r="N68" s="889"/>
      <c r="O68" s="896"/>
      <c r="P68" s="889"/>
      <c r="Q68" s="900"/>
      <c r="R68" s="896"/>
      <c r="S68" s="896"/>
      <c r="T68" s="898"/>
      <c r="U68" s="898"/>
      <c r="V68" s="899"/>
      <c r="W68" s="899"/>
      <c r="X68" s="899"/>
      <c r="Y68" s="899"/>
      <c r="Z68" s="899"/>
      <c r="AA68" s="899"/>
      <c r="AB68" s="899"/>
      <c r="AC68" s="899"/>
      <c r="AD68" s="899"/>
      <c r="AE68" s="899"/>
      <c r="AF68" s="899"/>
      <c r="AG68" s="899"/>
    </row>
    <row r="69" spans="1:34" s="3" customFormat="1" ht="16" customHeight="1">
      <c r="A69" s="7"/>
      <c r="B69" s="10"/>
      <c r="C69" s="12"/>
      <c r="D69" s="896"/>
      <c r="E69" s="896"/>
      <c r="F69" s="896"/>
      <c r="G69" s="896"/>
      <c r="H69" s="896"/>
      <c r="I69" s="896"/>
      <c r="J69" s="896"/>
      <c r="K69" s="896"/>
      <c r="L69" s="897"/>
      <c r="M69" s="896"/>
      <c r="N69" s="889"/>
      <c r="O69" s="896"/>
      <c r="P69" s="889"/>
      <c r="Q69" s="900"/>
      <c r="R69" s="896"/>
      <c r="S69" s="896"/>
      <c r="T69" s="898"/>
      <c r="U69" s="898"/>
      <c r="V69" s="899"/>
      <c r="W69" s="899"/>
      <c r="X69" s="899"/>
      <c r="Y69" s="899"/>
      <c r="Z69" s="899"/>
      <c r="AA69" s="899"/>
      <c r="AB69" s="899"/>
      <c r="AC69" s="899"/>
      <c r="AD69" s="899"/>
      <c r="AE69" s="899"/>
      <c r="AF69" s="899"/>
      <c r="AG69" s="899"/>
    </row>
    <row r="70" spans="1:34" s="3" customFormat="1" ht="16" customHeight="1">
      <c r="A70" s="7"/>
      <c r="B70" s="10"/>
      <c r="C70" s="12"/>
      <c r="D70" s="896"/>
      <c r="E70" s="896"/>
      <c r="F70" s="896"/>
      <c r="G70" s="896"/>
      <c r="H70" s="896"/>
      <c r="I70" s="896"/>
      <c r="J70" s="896"/>
      <c r="K70" s="896"/>
      <c r="L70" s="897"/>
      <c r="M70" s="896"/>
      <c r="N70" s="889"/>
      <c r="O70" s="896"/>
      <c r="P70" s="889"/>
      <c r="Q70" s="900"/>
      <c r="R70" s="896"/>
      <c r="S70" s="896"/>
      <c r="T70" s="898"/>
      <c r="U70" s="898"/>
      <c r="V70" s="899"/>
      <c r="W70" s="899"/>
      <c r="X70" s="899"/>
      <c r="Y70" s="899"/>
      <c r="Z70" s="899"/>
      <c r="AA70" s="899"/>
      <c r="AB70" s="899"/>
      <c r="AC70" s="899"/>
      <c r="AD70" s="899"/>
      <c r="AE70" s="899"/>
      <c r="AF70" s="899"/>
      <c r="AG70" s="899"/>
    </row>
    <row r="71" spans="1:34" s="3" customFormat="1" ht="16" customHeight="1">
      <c r="A71" s="7"/>
      <c r="B71" s="10"/>
      <c r="C71" s="12"/>
      <c r="D71" s="896"/>
      <c r="E71" s="896"/>
      <c r="F71" s="896"/>
      <c r="G71" s="896"/>
      <c r="H71" s="896"/>
      <c r="I71" s="896"/>
      <c r="J71" s="896"/>
      <c r="K71" s="896"/>
      <c r="L71" s="897"/>
      <c r="M71" s="896"/>
      <c r="N71" s="889"/>
      <c r="O71" s="896"/>
      <c r="P71" s="889"/>
      <c r="Q71" s="900"/>
      <c r="R71" s="896"/>
      <c r="S71" s="896"/>
      <c r="T71" s="898"/>
      <c r="U71" s="898"/>
      <c r="V71" s="899"/>
      <c r="W71" s="899"/>
      <c r="X71" s="899"/>
      <c r="Y71" s="899"/>
      <c r="Z71" s="899"/>
      <c r="AA71" s="899"/>
      <c r="AB71" s="899"/>
      <c r="AC71" s="899"/>
      <c r="AD71" s="899"/>
      <c r="AE71" s="899"/>
      <c r="AF71" s="899"/>
      <c r="AG71" s="899"/>
    </row>
    <row r="72" spans="1:34" s="3" customFormat="1" ht="16" customHeight="1">
      <c r="A72" s="11"/>
      <c r="B72" s="12"/>
      <c r="C72" s="12"/>
      <c r="D72" s="13"/>
      <c r="E72" s="13"/>
      <c r="F72" s="14"/>
      <c r="G72" s="13"/>
      <c r="H72" s="14"/>
      <c r="I72" s="14"/>
      <c r="J72" s="13"/>
      <c r="K72" s="13"/>
      <c r="L72" s="279"/>
      <c r="M72" s="14"/>
      <c r="N72" s="14"/>
      <c r="O72" s="13"/>
      <c r="P72" s="14"/>
      <c r="Q72" s="14"/>
      <c r="R72" s="13"/>
      <c r="S72" s="14"/>
      <c r="T72" s="13"/>
      <c r="U72" s="13"/>
      <c r="V72" s="11"/>
      <c r="W72" s="11"/>
      <c r="X72" s="11"/>
      <c r="Y72" s="11"/>
      <c r="Z72" s="11"/>
      <c r="AA72" s="11"/>
      <c r="AB72" s="11"/>
      <c r="AC72" s="11"/>
      <c r="AD72" s="11"/>
      <c r="AE72" s="11"/>
      <c r="AF72" s="11"/>
      <c r="AG72" s="11"/>
    </row>
    <row r="73" spans="1:34" s="3" customFormat="1" ht="16" customHeight="1" thickBot="1">
      <c r="A73" s="7"/>
      <c r="B73" s="19" t="s">
        <v>1395</v>
      </c>
      <c r="C73" s="7"/>
      <c r="D73" s="8"/>
      <c r="E73" s="8"/>
      <c r="F73" s="9"/>
      <c r="G73" s="8"/>
      <c r="H73" s="9"/>
      <c r="I73" s="9"/>
      <c r="J73" s="8"/>
      <c r="K73" s="8"/>
      <c r="L73" s="280"/>
      <c r="M73" s="9"/>
      <c r="N73" s="9"/>
      <c r="O73" s="8"/>
      <c r="P73" s="9"/>
      <c r="Q73" s="9"/>
      <c r="R73" s="8"/>
      <c r="S73" s="882"/>
      <c r="T73" s="883" t="str">
        <f>'$REV-DB'!$T$34</f>
        <v>Federal Revenues</v>
      </c>
      <c r="U73" s="883" t="str">
        <f>'$REV-DB'!$U$34</f>
        <v>local Revenues</v>
      </c>
      <c r="V73" s="883" t="str">
        <f>'$REV-DB'!$V$34</f>
        <v>Other Revenues</v>
      </c>
      <c r="W73" s="883" t="str">
        <f>'$REV-DB'!$W$34</f>
        <v>State revenues</v>
      </c>
      <c r="X73" s="883" t="str">
        <f>'$REV-DB'!$X$34</f>
        <v>UD5</v>
      </c>
      <c r="Y73" s="883" t="str">
        <f>'$REV-DB'!$Y$34</f>
        <v>UD6</v>
      </c>
      <c r="Z73" s="883" t="str">
        <f>'$REV-DB'!$Z$34</f>
        <v>UD7</v>
      </c>
      <c r="AA73" s="883" t="str">
        <f>'$REV-DB'!$AA$34</f>
        <v>UD8</v>
      </c>
      <c r="AB73" s="883" t="str">
        <f>'$REV-DB'!$AB$34</f>
        <v>UD9</v>
      </c>
      <c r="AC73" s="883" t="str">
        <f>'$REV-DB'!$AC$34</f>
        <v>UD10</v>
      </c>
      <c r="AD73" s="883" t="str">
        <f>'$REV-DB'!$AD$34</f>
        <v>UD11</v>
      </c>
      <c r="AE73" s="883" t="str">
        <f>'$REV-DB'!$AE$34</f>
        <v>UD12</v>
      </c>
      <c r="AF73" s="883" t="str">
        <f>'$REV-DB'!$AF$34</f>
        <v>UD13</v>
      </c>
      <c r="AG73" s="883" t="str">
        <f>'$REV-DB'!$AG$34</f>
        <v>UD14</v>
      </c>
    </row>
    <row r="74" spans="1:34" s="3" customFormat="1" ht="16" customHeight="1" thickTop="1" thickBot="1">
      <c r="A74" s="7"/>
      <c r="B74" s="20" t="s">
        <v>1399</v>
      </c>
      <c r="C74" s="15"/>
      <c r="D74" s="877" t="s">
        <v>1386</v>
      </c>
      <c r="E74" s="877" t="s">
        <v>1387</v>
      </c>
      <c r="F74" s="877" t="s">
        <v>1388</v>
      </c>
      <c r="G74" s="877" t="s">
        <v>1389</v>
      </c>
      <c r="H74" s="877" t="s">
        <v>1406</v>
      </c>
      <c r="I74" s="877" t="s">
        <v>1390</v>
      </c>
      <c r="J74" s="877" t="s">
        <v>1391</v>
      </c>
      <c r="K74" s="877" t="s">
        <v>1392</v>
      </c>
      <c r="L74" s="877" t="s">
        <v>1188</v>
      </c>
      <c r="M74" s="877" t="s">
        <v>1437</v>
      </c>
      <c r="N74" s="877" t="s">
        <v>1348</v>
      </c>
      <c r="O74" s="877" t="s">
        <v>1393</v>
      </c>
      <c r="P74" s="877" t="s">
        <v>1342</v>
      </c>
      <c r="Q74" s="877" t="s">
        <v>1394</v>
      </c>
      <c r="R74" s="112" t="s">
        <v>1341</v>
      </c>
      <c r="S74" s="112" t="s">
        <v>846</v>
      </c>
      <c r="T74" s="877" t="s">
        <v>935</v>
      </c>
      <c r="U74" s="877" t="s">
        <v>936</v>
      </c>
      <c r="V74" s="877" t="s">
        <v>937</v>
      </c>
      <c r="W74" s="877" t="s">
        <v>938</v>
      </c>
      <c r="X74" s="877" t="s">
        <v>939</v>
      </c>
      <c r="Y74" s="877" t="s">
        <v>940</v>
      </c>
      <c r="Z74" s="877" t="s">
        <v>941</v>
      </c>
      <c r="AA74" s="877" t="s">
        <v>942</v>
      </c>
      <c r="AB74" s="877" t="s">
        <v>943</v>
      </c>
      <c r="AC74" s="877" t="s">
        <v>944</v>
      </c>
      <c r="AD74" s="877" t="s">
        <v>945</v>
      </c>
      <c r="AE74" s="877" t="s">
        <v>946</v>
      </c>
      <c r="AF74" s="877" t="s">
        <v>947</v>
      </c>
      <c r="AG74" s="877" t="s">
        <v>948</v>
      </c>
      <c r="AH74" s="6"/>
    </row>
    <row r="75" spans="1:34" s="3" customFormat="1" ht="16" customHeight="1" thickTop="1">
      <c r="A75" s="7"/>
      <c r="B75" s="19" t="s">
        <v>1350</v>
      </c>
      <c r="C75" s="12"/>
      <c r="D75" s="186"/>
      <c r="E75" s="186"/>
      <c r="F75" s="186"/>
      <c r="G75" s="186"/>
      <c r="H75" s="186"/>
      <c r="I75" s="186"/>
      <c r="J75" s="186"/>
      <c r="K75" s="186"/>
      <c r="L75" s="278" t="s">
        <v>1429</v>
      </c>
      <c r="M75" s="186"/>
      <c r="N75" s="37" t="str">
        <f>J$6</f>
        <v>FY2010-11</v>
      </c>
      <c r="O75" s="186"/>
      <c r="P75" s="37" t="s">
        <v>1338</v>
      </c>
      <c r="Q75" s="189" t="s">
        <v>1340</v>
      </c>
      <c r="R75" s="186"/>
      <c r="S75" s="186"/>
      <c r="T75" s="187"/>
      <c r="U75" s="187"/>
      <c r="V75" s="188"/>
      <c r="W75" s="188"/>
      <c r="X75" s="188"/>
      <c r="Y75" s="188"/>
      <c r="Z75" s="188"/>
      <c r="AA75" s="188"/>
      <c r="AB75" s="188"/>
      <c r="AC75" s="188"/>
      <c r="AD75" s="188"/>
      <c r="AE75" s="188"/>
      <c r="AF75" s="188"/>
      <c r="AG75" s="188"/>
      <c r="AH75" s="6"/>
    </row>
    <row r="76" spans="1:34" s="3" customFormat="1" ht="16" customHeight="1">
      <c r="A76" s="7"/>
      <c r="B76" s="16">
        <f>DSUM('$REV-DB'!D35:AG374,"AMOUNT",D74:AG76)</f>
        <v>0</v>
      </c>
      <c r="C76" s="12"/>
      <c r="D76" s="186"/>
      <c r="E76" s="186"/>
      <c r="F76" s="186"/>
      <c r="G76" s="186"/>
      <c r="H76" s="186"/>
      <c r="I76" s="186"/>
      <c r="J76" s="186"/>
      <c r="K76" s="186"/>
      <c r="L76" s="278" t="s">
        <v>1429</v>
      </c>
      <c r="M76" s="186"/>
      <c r="N76" s="37" t="str">
        <f>J$6</f>
        <v>FY2010-11</v>
      </c>
      <c r="O76" s="186"/>
      <c r="P76" s="37" t="s">
        <v>1347</v>
      </c>
      <c r="Q76" s="189" t="s">
        <v>1340</v>
      </c>
      <c r="R76" s="186"/>
      <c r="S76" s="186" t="s">
        <v>1303</v>
      </c>
      <c r="T76" s="187"/>
      <c r="U76" s="187"/>
      <c r="V76" s="188"/>
      <c r="W76" s="188"/>
      <c r="X76" s="188"/>
      <c r="Y76" s="188"/>
      <c r="Z76" s="188"/>
      <c r="AA76" s="188"/>
      <c r="AB76" s="188"/>
      <c r="AC76" s="188"/>
      <c r="AD76" s="188"/>
      <c r="AE76" s="188"/>
      <c r="AF76" s="188"/>
      <c r="AG76" s="188"/>
      <c r="AH76" s="6"/>
    </row>
    <row r="77" spans="1:34" s="3" customFormat="1" ht="16" customHeight="1">
      <c r="A77" s="7"/>
      <c r="B77" s="10"/>
      <c r="C77" s="12"/>
      <c r="D77" s="896"/>
      <c r="E77" s="896"/>
      <c r="F77" s="896"/>
      <c r="G77" s="896"/>
      <c r="H77" s="896"/>
      <c r="I77" s="896"/>
      <c r="J77" s="896"/>
      <c r="K77" s="896"/>
      <c r="L77" s="897"/>
      <c r="M77" s="896"/>
      <c r="N77" s="889"/>
      <c r="O77" s="896"/>
      <c r="P77" s="889"/>
      <c r="Q77" s="900"/>
      <c r="R77" s="896"/>
      <c r="S77" s="896"/>
      <c r="T77" s="898"/>
      <c r="U77" s="898"/>
      <c r="V77" s="899"/>
      <c r="W77" s="899"/>
      <c r="X77" s="899"/>
      <c r="Y77" s="899"/>
      <c r="Z77" s="899"/>
      <c r="AA77" s="899"/>
      <c r="AB77" s="899"/>
      <c r="AC77" s="899"/>
      <c r="AD77" s="899"/>
      <c r="AE77" s="899"/>
      <c r="AF77" s="899"/>
      <c r="AG77" s="899"/>
    </row>
    <row r="78" spans="1:34" s="3" customFormat="1" ht="16" customHeight="1">
      <c r="A78" s="7"/>
      <c r="B78" s="10"/>
      <c r="C78" s="12"/>
      <c r="D78" s="896"/>
      <c r="E78" s="896"/>
      <c r="F78" s="896"/>
      <c r="G78" s="896"/>
      <c r="H78" s="896"/>
      <c r="I78" s="896"/>
      <c r="J78" s="896"/>
      <c r="K78" s="896"/>
      <c r="L78" s="897"/>
      <c r="M78" s="896"/>
      <c r="N78" s="889"/>
      <c r="O78" s="896"/>
      <c r="P78" s="889"/>
      <c r="Q78" s="900"/>
      <c r="R78" s="896"/>
      <c r="S78" s="896"/>
      <c r="T78" s="898"/>
      <c r="U78" s="898"/>
      <c r="V78" s="899"/>
      <c r="W78" s="899"/>
      <c r="X78" s="899"/>
      <c r="Y78" s="899"/>
      <c r="Z78" s="899"/>
      <c r="AA78" s="899"/>
      <c r="AB78" s="899"/>
      <c r="AC78" s="899"/>
      <c r="AD78" s="899"/>
      <c r="AE78" s="899"/>
      <c r="AF78" s="899"/>
      <c r="AG78" s="899"/>
    </row>
    <row r="79" spans="1:34" s="3" customFormat="1" ht="16" customHeight="1">
      <c r="A79" s="7"/>
      <c r="B79" s="10"/>
      <c r="C79" s="12"/>
      <c r="D79" s="896"/>
      <c r="E79" s="896"/>
      <c r="F79" s="896"/>
      <c r="G79" s="896"/>
      <c r="H79" s="896"/>
      <c r="I79" s="896"/>
      <c r="J79" s="896"/>
      <c r="K79" s="896"/>
      <c r="L79" s="897"/>
      <c r="M79" s="896"/>
      <c r="N79" s="889"/>
      <c r="O79" s="896"/>
      <c r="P79" s="889"/>
      <c r="Q79" s="900"/>
      <c r="R79" s="896"/>
      <c r="S79" s="896"/>
      <c r="T79" s="898"/>
      <c r="U79" s="898"/>
      <c r="V79" s="899"/>
      <c r="W79" s="899"/>
      <c r="X79" s="899"/>
      <c r="Y79" s="899"/>
      <c r="Z79" s="899"/>
      <c r="AA79" s="899"/>
      <c r="AB79" s="899"/>
      <c r="AC79" s="899"/>
      <c r="AD79" s="899"/>
      <c r="AE79" s="899"/>
      <c r="AF79" s="899"/>
      <c r="AG79" s="899"/>
    </row>
    <row r="80" spans="1:34" s="3" customFormat="1" ht="16" customHeight="1">
      <c r="A80" s="7"/>
      <c r="B80" s="10"/>
      <c r="C80" s="12"/>
      <c r="D80" s="896"/>
      <c r="E80" s="896"/>
      <c r="F80" s="896"/>
      <c r="G80" s="896"/>
      <c r="H80" s="896"/>
      <c r="I80" s="896"/>
      <c r="J80" s="896"/>
      <c r="K80" s="896"/>
      <c r="L80" s="897"/>
      <c r="M80" s="896"/>
      <c r="N80" s="889"/>
      <c r="O80" s="896"/>
      <c r="P80" s="889"/>
      <c r="Q80" s="900"/>
      <c r="R80" s="896"/>
      <c r="S80" s="896"/>
      <c r="T80" s="898"/>
      <c r="U80" s="898"/>
      <c r="V80" s="899"/>
      <c r="W80" s="899"/>
      <c r="X80" s="899"/>
      <c r="Y80" s="899"/>
      <c r="Z80" s="899"/>
      <c r="AA80" s="899"/>
      <c r="AB80" s="899"/>
      <c r="AC80" s="899"/>
      <c r="AD80" s="899"/>
      <c r="AE80" s="899"/>
      <c r="AF80" s="899"/>
      <c r="AG80" s="899"/>
    </row>
    <row r="81" spans="1:34" s="3" customFormat="1" ht="16" customHeight="1">
      <c r="A81" s="7"/>
      <c r="B81" s="10"/>
      <c r="C81" s="12"/>
      <c r="D81" s="896"/>
      <c r="E81" s="896"/>
      <c r="F81" s="896"/>
      <c r="G81" s="896"/>
      <c r="H81" s="896"/>
      <c r="I81" s="896"/>
      <c r="J81" s="896"/>
      <c r="K81" s="896"/>
      <c r="L81" s="897"/>
      <c r="M81" s="896"/>
      <c r="N81" s="889"/>
      <c r="O81" s="896"/>
      <c r="P81" s="889"/>
      <c r="Q81" s="900"/>
      <c r="R81" s="896"/>
      <c r="S81" s="896"/>
      <c r="T81" s="898"/>
      <c r="U81" s="898"/>
      <c r="V81" s="899"/>
      <c r="W81" s="899"/>
      <c r="X81" s="899"/>
      <c r="Y81" s="899"/>
      <c r="Z81" s="899"/>
      <c r="AA81" s="899"/>
      <c r="AB81" s="899"/>
      <c r="AC81" s="899"/>
      <c r="AD81" s="899"/>
      <c r="AE81" s="899"/>
      <c r="AF81" s="899"/>
      <c r="AG81" s="899"/>
    </row>
    <row r="82" spans="1:34" s="3" customFormat="1" ht="16" customHeight="1">
      <c r="A82" s="11"/>
      <c r="B82" s="12"/>
      <c r="C82" s="12"/>
      <c r="D82" s="13"/>
      <c r="E82" s="13"/>
      <c r="F82" s="14"/>
      <c r="G82" s="13"/>
      <c r="H82" s="14"/>
      <c r="I82" s="14"/>
      <c r="J82" s="13"/>
      <c r="K82" s="13"/>
      <c r="L82" s="279"/>
      <c r="M82" s="14"/>
      <c r="N82" s="14"/>
      <c r="O82" s="13"/>
      <c r="P82" s="14"/>
      <c r="Q82" s="14"/>
      <c r="R82" s="13"/>
      <c r="S82" s="14"/>
      <c r="T82" s="13"/>
      <c r="U82" s="13"/>
      <c r="V82" s="11"/>
      <c r="W82" s="11"/>
      <c r="X82" s="11"/>
      <c r="Y82" s="11"/>
      <c r="Z82" s="11"/>
      <c r="AA82" s="11"/>
      <c r="AB82" s="11"/>
      <c r="AC82" s="11"/>
      <c r="AD82" s="11"/>
      <c r="AE82" s="11"/>
      <c r="AF82" s="11"/>
      <c r="AG82" s="11"/>
    </row>
    <row r="83" spans="1:34" s="3" customFormat="1" ht="16" customHeight="1" thickBot="1">
      <c r="A83" s="7"/>
      <c r="B83" s="19" t="s">
        <v>1395</v>
      </c>
      <c r="C83" s="7"/>
      <c r="D83" s="17"/>
      <c r="E83" s="17"/>
      <c r="F83" s="18"/>
      <c r="G83" s="17"/>
      <c r="H83" s="18"/>
      <c r="I83" s="18"/>
      <c r="J83" s="17"/>
      <c r="K83" s="17"/>
      <c r="L83" s="281"/>
      <c r="M83" s="18"/>
      <c r="N83" s="9"/>
      <c r="O83" s="17"/>
      <c r="P83" s="18"/>
      <c r="Q83" s="18"/>
      <c r="R83" s="17"/>
      <c r="S83" s="882"/>
      <c r="T83" s="883" t="str">
        <f>'$REV-DB'!$T$34</f>
        <v>Federal Revenues</v>
      </c>
      <c r="U83" s="883" t="str">
        <f>'$REV-DB'!$U$34</f>
        <v>local Revenues</v>
      </c>
      <c r="V83" s="883" t="str">
        <f>'$REV-DB'!$V$34</f>
        <v>Other Revenues</v>
      </c>
      <c r="W83" s="883" t="str">
        <f>'$REV-DB'!$W$34</f>
        <v>State revenues</v>
      </c>
      <c r="X83" s="883" t="str">
        <f>'$REV-DB'!$X$34</f>
        <v>UD5</v>
      </c>
      <c r="Y83" s="883" t="str">
        <f>'$REV-DB'!$Y$34</f>
        <v>UD6</v>
      </c>
      <c r="Z83" s="883" t="str">
        <f>'$REV-DB'!$Z$34</f>
        <v>UD7</v>
      </c>
      <c r="AA83" s="883" t="str">
        <f>'$REV-DB'!$AA$34</f>
        <v>UD8</v>
      </c>
      <c r="AB83" s="883" t="str">
        <f>'$REV-DB'!$AB$34</f>
        <v>UD9</v>
      </c>
      <c r="AC83" s="883" t="str">
        <f>'$REV-DB'!$AC$34</f>
        <v>UD10</v>
      </c>
      <c r="AD83" s="883" t="str">
        <f>'$REV-DB'!$AD$34</f>
        <v>UD11</v>
      </c>
      <c r="AE83" s="883" t="str">
        <f>'$REV-DB'!$AE$34</f>
        <v>UD12</v>
      </c>
      <c r="AF83" s="883" t="str">
        <f>'$REV-DB'!$AF$34</f>
        <v>UD13</v>
      </c>
      <c r="AG83" s="883" t="str">
        <f>'$REV-DB'!$AG$34</f>
        <v>UD14</v>
      </c>
    </row>
    <row r="84" spans="1:34" s="3" customFormat="1" ht="16" customHeight="1" thickTop="1" thickBot="1">
      <c r="A84" s="7"/>
      <c r="B84" s="20" t="s">
        <v>1375</v>
      </c>
      <c r="C84" s="15"/>
      <c r="D84" s="877" t="s">
        <v>1386</v>
      </c>
      <c r="E84" s="877" t="s">
        <v>1387</v>
      </c>
      <c r="F84" s="877" t="s">
        <v>1388</v>
      </c>
      <c r="G84" s="877" t="s">
        <v>1389</v>
      </c>
      <c r="H84" s="877" t="s">
        <v>1406</v>
      </c>
      <c r="I84" s="877" t="s">
        <v>1390</v>
      </c>
      <c r="J84" s="877" t="s">
        <v>1391</v>
      </c>
      <c r="K84" s="877" t="s">
        <v>1392</v>
      </c>
      <c r="L84" s="877" t="s">
        <v>1188</v>
      </c>
      <c r="M84" s="877" t="s">
        <v>1437</v>
      </c>
      <c r="N84" s="877" t="s">
        <v>1348</v>
      </c>
      <c r="O84" s="877" t="s">
        <v>1393</v>
      </c>
      <c r="P84" s="877" t="s">
        <v>1342</v>
      </c>
      <c r="Q84" s="877" t="s">
        <v>1394</v>
      </c>
      <c r="R84" s="112" t="s">
        <v>1341</v>
      </c>
      <c r="S84" s="112" t="s">
        <v>846</v>
      </c>
      <c r="T84" s="877" t="s">
        <v>935</v>
      </c>
      <c r="U84" s="877" t="s">
        <v>936</v>
      </c>
      <c r="V84" s="877" t="s">
        <v>937</v>
      </c>
      <c r="W84" s="877" t="s">
        <v>938</v>
      </c>
      <c r="X84" s="877" t="s">
        <v>939</v>
      </c>
      <c r="Y84" s="877" t="s">
        <v>940</v>
      </c>
      <c r="Z84" s="877" t="s">
        <v>941</v>
      </c>
      <c r="AA84" s="877" t="s">
        <v>942</v>
      </c>
      <c r="AB84" s="877" t="s">
        <v>943</v>
      </c>
      <c r="AC84" s="877" t="s">
        <v>944</v>
      </c>
      <c r="AD84" s="877" t="s">
        <v>945</v>
      </c>
      <c r="AE84" s="877" t="s">
        <v>946</v>
      </c>
      <c r="AF84" s="877" t="s">
        <v>947</v>
      </c>
      <c r="AG84" s="877" t="s">
        <v>948</v>
      </c>
      <c r="AH84" s="6"/>
    </row>
    <row r="85" spans="1:34" s="3" customFormat="1" ht="16" customHeight="1" thickTop="1">
      <c r="A85" s="7"/>
      <c r="B85" s="19" t="s">
        <v>1346</v>
      </c>
      <c r="C85" s="12"/>
      <c r="D85" s="186"/>
      <c r="E85" s="186"/>
      <c r="F85" s="186"/>
      <c r="G85" s="186"/>
      <c r="H85" s="186"/>
      <c r="I85" s="186"/>
      <c r="J85" s="186"/>
      <c r="K85" s="186"/>
      <c r="L85" s="278" t="s">
        <v>1429</v>
      </c>
      <c r="M85" s="186"/>
      <c r="N85" s="37" t="str">
        <f>J$6</f>
        <v>FY2010-11</v>
      </c>
      <c r="O85" s="186"/>
      <c r="P85" s="37" t="s">
        <v>1347</v>
      </c>
      <c r="Q85" s="189"/>
      <c r="R85" s="186"/>
      <c r="S85" s="186" t="s">
        <v>871</v>
      </c>
      <c r="T85" s="187"/>
      <c r="U85" s="187"/>
      <c r="V85" s="188"/>
      <c r="W85" s="188"/>
      <c r="X85" s="188"/>
      <c r="Y85" s="188"/>
      <c r="Z85" s="188"/>
      <c r="AA85" s="188"/>
      <c r="AB85" s="188"/>
      <c r="AC85" s="188"/>
      <c r="AD85" s="188"/>
      <c r="AE85" s="188"/>
      <c r="AF85" s="188"/>
      <c r="AG85" s="188"/>
      <c r="AH85" s="6"/>
    </row>
    <row r="86" spans="1:34" s="3" customFormat="1" ht="16" customHeight="1">
      <c r="A86" s="7"/>
      <c r="B86" s="16">
        <f>DSUM('$REV-DB'!D35:AG374,"AMOUNT",D84:AG85)</f>
        <v>53202531.510000013</v>
      </c>
      <c r="C86" s="12"/>
      <c r="D86" s="896"/>
      <c r="E86" s="896"/>
      <c r="F86" s="896"/>
      <c r="G86" s="896"/>
      <c r="H86" s="896"/>
      <c r="I86" s="896"/>
      <c r="J86" s="896"/>
      <c r="K86" s="896"/>
      <c r="L86" s="897"/>
      <c r="M86" s="896"/>
      <c r="N86" s="889"/>
      <c r="O86" s="896"/>
      <c r="P86" s="889"/>
      <c r="Q86" s="900"/>
      <c r="R86" s="896"/>
      <c r="S86" s="896"/>
      <c r="T86" s="898"/>
      <c r="U86" s="898"/>
      <c r="V86" s="899"/>
      <c r="W86" s="899"/>
      <c r="X86" s="899"/>
      <c r="Y86" s="899"/>
      <c r="Z86" s="899"/>
      <c r="AA86" s="899"/>
      <c r="AB86" s="899"/>
      <c r="AC86" s="899"/>
      <c r="AD86" s="899"/>
      <c r="AE86" s="899"/>
      <c r="AF86" s="899"/>
      <c r="AG86" s="899"/>
      <c r="AH86" s="6"/>
    </row>
    <row r="87" spans="1:34" s="3" customFormat="1" ht="16" customHeight="1">
      <c r="A87" s="7"/>
      <c r="B87" s="10"/>
      <c r="C87" s="12"/>
      <c r="D87" s="896"/>
      <c r="E87" s="896"/>
      <c r="F87" s="896"/>
      <c r="G87" s="896"/>
      <c r="H87" s="896"/>
      <c r="I87" s="896"/>
      <c r="J87" s="896"/>
      <c r="K87" s="896"/>
      <c r="L87" s="897"/>
      <c r="M87" s="896"/>
      <c r="N87" s="889"/>
      <c r="O87" s="896"/>
      <c r="P87" s="889"/>
      <c r="Q87" s="900"/>
      <c r="R87" s="896"/>
      <c r="S87" s="896"/>
      <c r="T87" s="898"/>
      <c r="U87" s="898"/>
      <c r="V87" s="899"/>
      <c r="W87" s="899"/>
      <c r="X87" s="899"/>
      <c r="Y87" s="899"/>
      <c r="Z87" s="899"/>
      <c r="AA87" s="899"/>
      <c r="AB87" s="899"/>
      <c r="AC87" s="899"/>
      <c r="AD87" s="899"/>
      <c r="AE87" s="899"/>
      <c r="AF87" s="899"/>
      <c r="AG87" s="899"/>
    </row>
    <row r="88" spans="1:34" s="3" customFormat="1" ht="16" customHeight="1">
      <c r="A88" s="7"/>
      <c r="B88" s="10"/>
      <c r="C88" s="12"/>
      <c r="D88" s="896"/>
      <c r="E88" s="896"/>
      <c r="F88" s="896"/>
      <c r="G88" s="896"/>
      <c r="H88" s="896"/>
      <c r="I88" s="896"/>
      <c r="J88" s="896"/>
      <c r="K88" s="896"/>
      <c r="L88" s="897"/>
      <c r="M88" s="896"/>
      <c r="N88" s="889"/>
      <c r="O88" s="896"/>
      <c r="P88" s="889"/>
      <c r="Q88" s="900"/>
      <c r="R88" s="896"/>
      <c r="S88" s="896"/>
      <c r="T88" s="898"/>
      <c r="U88" s="898"/>
      <c r="V88" s="899"/>
      <c r="W88" s="899"/>
      <c r="X88" s="899"/>
      <c r="Y88" s="899"/>
      <c r="Z88" s="899"/>
      <c r="AA88" s="899"/>
      <c r="AB88" s="899"/>
      <c r="AC88" s="899"/>
      <c r="AD88" s="899"/>
      <c r="AE88" s="899"/>
      <c r="AF88" s="899"/>
      <c r="AG88" s="899"/>
    </row>
    <row r="89" spans="1:34" s="3" customFormat="1" ht="16" customHeight="1">
      <c r="A89" s="7"/>
      <c r="B89" s="10"/>
      <c r="C89" s="12"/>
      <c r="D89" s="896"/>
      <c r="E89" s="896"/>
      <c r="F89" s="896"/>
      <c r="G89" s="896"/>
      <c r="H89" s="896"/>
      <c r="I89" s="896"/>
      <c r="J89" s="896"/>
      <c r="K89" s="896"/>
      <c r="L89" s="897"/>
      <c r="M89" s="896"/>
      <c r="N89" s="889"/>
      <c r="O89" s="896"/>
      <c r="P89" s="889"/>
      <c r="Q89" s="900"/>
      <c r="R89" s="896"/>
      <c r="S89" s="896"/>
      <c r="T89" s="898"/>
      <c r="U89" s="898"/>
      <c r="V89" s="899"/>
      <c r="W89" s="899"/>
      <c r="X89" s="899"/>
      <c r="Y89" s="899"/>
      <c r="Z89" s="899"/>
      <c r="AA89" s="899"/>
      <c r="AB89" s="899"/>
      <c r="AC89" s="899"/>
      <c r="AD89" s="899"/>
      <c r="AE89" s="899"/>
      <c r="AF89" s="899"/>
      <c r="AG89" s="899"/>
    </row>
    <row r="90" spans="1:34" s="3" customFormat="1" ht="16" customHeight="1">
      <c r="A90" s="7"/>
      <c r="B90" s="10"/>
      <c r="C90" s="12"/>
      <c r="D90" s="896"/>
      <c r="E90" s="896"/>
      <c r="F90" s="896"/>
      <c r="G90" s="896"/>
      <c r="H90" s="896"/>
      <c r="I90" s="896"/>
      <c r="J90" s="896"/>
      <c r="K90" s="896"/>
      <c r="L90" s="897"/>
      <c r="M90" s="896"/>
      <c r="N90" s="889"/>
      <c r="O90" s="896"/>
      <c r="P90" s="889"/>
      <c r="Q90" s="900"/>
      <c r="R90" s="896"/>
      <c r="S90" s="896"/>
      <c r="T90" s="898"/>
      <c r="U90" s="898"/>
      <c r="V90" s="899"/>
      <c r="W90" s="899"/>
      <c r="X90" s="899"/>
      <c r="Y90" s="899"/>
      <c r="Z90" s="899"/>
      <c r="AA90" s="899"/>
      <c r="AB90" s="899"/>
      <c r="AC90" s="899"/>
      <c r="AD90" s="899"/>
      <c r="AE90" s="899"/>
      <c r="AF90" s="899"/>
      <c r="AG90" s="899"/>
    </row>
    <row r="91" spans="1:34" s="3" customFormat="1" ht="16" customHeight="1">
      <c r="A91" s="7"/>
      <c r="B91" s="10"/>
      <c r="C91" s="12"/>
      <c r="D91" s="896"/>
      <c r="E91" s="896"/>
      <c r="F91" s="896"/>
      <c r="G91" s="896"/>
      <c r="H91" s="896"/>
      <c r="I91" s="896"/>
      <c r="J91" s="896"/>
      <c r="K91" s="896"/>
      <c r="L91" s="897"/>
      <c r="M91" s="896"/>
      <c r="N91" s="889"/>
      <c r="O91" s="896"/>
      <c r="P91" s="889"/>
      <c r="Q91" s="900"/>
      <c r="R91" s="896"/>
      <c r="S91" s="896"/>
      <c r="T91" s="898"/>
      <c r="U91" s="898"/>
      <c r="V91" s="899"/>
      <c r="W91" s="899"/>
      <c r="X91" s="899"/>
      <c r="Y91" s="899"/>
      <c r="Z91" s="899"/>
      <c r="AA91" s="899"/>
      <c r="AB91" s="899"/>
      <c r="AC91" s="899"/>
      <c r="AD91" s="899"/>
      <c r="AE91" s="899"/>
      <c r="AF91" s="899"/>
      <c r="AG91" s="899"/>
    </row>
    <row r="92" spans="1:34" s="3" customFormat="1" ht="16" customHeight="1">
      <c r="A92" s="11"/>
      <c r="B92" s="12"/>
      <c r="C92" s="12"/>
      <c r="D92" s="13"/>
      <c r="E92" s="13"/>
      <c r="F92" s="14"/>
      <c r="G92" s="13"/>
      <c r="H92" s="14"/>
      <c r="I92" s="14"/>
      <c r="J92" s="13"/>
      <c r="K92" s="13"/>
      <c r="L92" s="279"/>
      <c r="M92" s="14"/>
      <c r="N92" s="14"/>
      <c r="O92" s="13"/>
      <c r="P92" s="14"/>
      <c r="Q92" s="14"/>
      <c r="R92" s="13"/>
      <c r="S92" s="14"/>
      <c r="T92" s="13"/>
      <c r="U92" s="13"/>
      <c r="V92" s="11"/>
      <c r="W92" s="11"/>
      <c r="X92" s="11"/>
      <c r="Y92" s="11"/>
      <c r="Z92" s="11"/>
      <c r="AA92" s="11"/>
      <c r="AB92" s="11"/>
      <c r="AC92" s="11"/>
      <c r="AD92" s="11"/>
      <c r="AE92" s="11"/>
      <c r="AF92" s="11"/>
      <c r="AG92" s="11"/>
    </row>
    <row r="93" spans="1:34" s="3" customFormat="1" ht="16" customHeight="1" thickBot="1">
      <c r="A93" s="7"/>
      <c r="B93" s="19" t="s">
        <v>1395</v>
      </c>
      <c r="C93" s="7"/>
      <c r="D93" s="8"/>
      <c r="E93" s="8"/>
      <c r="F93" s="9"/>
      <c r="G93" s="8"/>
      <c r="H93" s="9"/>
      <c r="I93" s="9"/>
      <c r="J93" s="8"/>
      <c r="K93" s="8"/>
      <c r="L93" s="280"/>
      <c r="M93" s="9"/>
      <c r="N93" s="9"/>
      <c r="O93" s="8"/>
      <c r="P93" s="9"/>
      <c r="Q93" s="9"/>
      <c r="R93" s="8"/>
      <c r="S93" s="882"/>
      <c r="T93" s="883" t="str">
        <f>'$REV-DB'!$T$34</f>
        <v>Federal Revenues</v>
      </c>
      <c r="U93" s="883" t="str">
        <f>'$REV-DB'!$U$34</f>
        <v>local Revenues</v>
      </c>
      <c r="V93" s="883" t="str">
        <f>'$REV-DB'!$V$34</f>
        <v>Other Revenues</v>
      </c>
      <c r="W93" s="883" t="str">
        <f>'$REV-DB'!$W$34</f>
        <v>State revenues</v>
      </c>
      <c r="X93" s="883" t="str">
        <f>'$REV-DB'!$X$34</f>
        <v>UD5</v>
      </c>
      <c r="Y93" s="883" t="str">
        <f>'$REV-DB'!$Y$34</f>
        <v>UD6</v>
      </c>
      <c r="Z93" s="883" t="str">
        <f>'$REV-DB'!$Z$34</f>
        <v>UD7</v>
      </c>
      <c r="AA93" s="883" t="str">
        <f>'$REV-DB'!$AA$34</f>
        <v>UD8</v>
      </c>
      <c r="AB93" s="883" t="str">
        <f>'$REV-DB'!$AB$34</f>
        <v>UD9</v>
      </c>
      <c r="AC93" s="883" t="str">
        <f>'$REV-DB'!$AC$34</f>
        <v>UD10</v>
      </c>
      <c r="AD93" s="883" t="str">
        <f>'$REV-DB'!$AD$34</f>
        <v>UD11</v>
      </c>
      <c r="AE93" s="883" t="str">
        <f>'$REV-DB'!$AE$34</f>
        <v>UD12</v>
      </c>
      <c r="AF93" s="883" t="str">
        <f>'$REV-DB'!$AF$34</f>
        <v>UD13</v>
      </c>
      <c r="AG93" s="883" t="str">
        <f>'$REV-DB'!$AG$34</f>
        <v>UD14</v>
      </c>
    </row>
    <row r="94" spans="1:34" s="3" customFormat="1" ht="16" customHeight="1" thickTop="1" thickBot="1">
      <c r="A94" s="7"/>
      <c r="B94" s="20" t="s">
        <v>1375</v>
      </c>
      <c r="C94" s="15"/>
      <c r="D94" s="877" t="s">
        <v>1386</v>
      </c>
      <c r="E94" s="877" t="s">
        <v>1387</v>
      </c>
      <c r="F94" s="877" t="s">
        <v>1388</v>
      </c>
      <c r="G94" s="877" t="s">
        <v>1389</v>
      </c>
      <c r="H94" s="877" t="s">
        <v>1406</v>
      </c>
      <c r="I94" s="877" t="s">
        <v>1390</v>
      </c>
      <c r="J94" s="877" t="s">
        <v>1391</v>
      </c>
      <c r="K94" s="877" t="s">
        <v>1392</v>
      </c>
      <c r="L94" s="877" t="s">
        <v>1188</v>
      </c>
      <c r="M94" s="877" t="s">
        <v>1437</v>
      </c>
      <c r="N94" s="877" t="s">
        <v>1348</v>
      </c>
      <c r="O94" s="877" t="s">
        <v>1393</v>
      </c>
      <c r="P94" s="877" t="s">
        <v>1342</v>
      </c>
      <c r="Q94" s="877" t="s">
        <v>1394</v>
      </c>
      <c r="R94" s="112" t="s">
        <v>1341</v>
      </c>
      <c r="S94" s="112" t="s">
        <v>846</v>
      </c>
      <c r="T94" s="877" t="s">
        <v>935</v>
      </c>
      <c r="U94" s="877" t="s">
        <v>936</v>
      </c>
      <c r="V94" s="877" t="s">
        <v>937</v>
      </c>
      <c r="W94" s="877" t="s">
        <v>938</v>
      </c>
      <c r="X94" s="877" t="s">
        <v>939</v>
      </c>
      <c r="Y94" s="877" t="s">
        <v>940</v>
      </c>
      <c r="Z94" s="877" t="s">
        <v>941</v>
      </c>
      <c r="AA94" s="877" t="s">
        <v>942</v>
      </c>
      <c r="AB94" s="877" t="s">
        <v>943</v>
      </c>
      <c r="AC94" s="877" t="s">
        <v>944</v>
      </c>
      <c r="AD94" s="877" t="s">
        <v>945</v>
      </c>
      <c r="AE94" s="877" t="s">
        <v>946</v>
      </c>
      <c r="AF94" s="877" t="s">
        <v>947</v>
      </c>
      <c r="AG94" s="877" t="s">
        <v>948</v>
      </c>
      <c r="AH94" s="6"/>
    </row>
    <row r="95" spans="1:34" s="3" customFormat="1" ht="16" customHeight="1" thickTop="1">
      <c r="A95" s="7"/>
      <c r="B95" s="19" t="s">
        <v>1345</v>
      </c>
      <c r="C95" s="12"/>
      <c r="D95" s="186"/>
      <c r="E95" s="186"/>
      <c r="F95" s="186"/>
      <c r="G95" s="186"/>
      <c r="H95" s="186"/>
      <c r="I95" s="186"/>
      <c r="J95" s="186"/>
      <c r="K95" s="186"/>
      <c r="L95" s="278" t="s">
        <v>1429</v>
      </c>
      <c r="M95" s="186"/>
      <c r="N95" s="37" t="str">
        <f>J$6</f>
        <v>FY2010-11</v>
      </c>
      <c r="O95" s="186"/>
      <c r="P95" s="37" t="s">
        <v>1347</v>
      </c>
      <c r="Q95" s="189" t="s">
        <v>1380</v>
      </c>
      <c r="R95" s="186"/>
      <c r="S95" s="186" t="s">
        <v>871</v>
      </c>
      <c r="T95" s="187"/>
      <c r="U95" s="187"/>
      <c r="V95" s="188"/>
      <c r="W95" s="188"/>
      <c r="X95" s="188"/>
      <c r="Y95" s="188"/>
      <c r="Z95" s="188"/>
      <c r="AA95" s="188"/>
      <c r="AB95" s="188"/>
      <c r="AC95" s="188"/>
      <c r="AD95" s="188"/>
      <c r="AE95" s="188"/>
      <c r="AF95" s="188"/>
      <c r="AG95" s="188"/>
      <c r="AH95" s="6"/>
    </row>
    <row r="96" spans="1:34" s="3" customFormat="1" ht="16" customHeight="1">
      <c r="A96" s="7"/>
      <c r="B96" s="16">
        <f>DSUM('$REV-DB'!D35:AG374,"AMOUNT",D94:AG95)</f>
        <v>7677790.1400000015</v>
      </c>
      <c r="C96" s="12"/>
      <c r="D96" s="896"/>
      <c r="E96" s="896"/>
      <c r="F96" s="896"/>
      <c r="G96" s="896"/>
      <c r="H96" s="896"/>
      <c r="I96" s="896"/>
      <c r="J96" s="896"/>
      <c r="K96" s="896"/>
      <c r="L96" s="897"/>
      <c r="M96" s="896"/>
      <c r="N96" s="889"/>
      <c r="O96" s="896"/>
      <c r="P96" s="889"/>
      <c r="Q96" s="900"/>
      <c r="R96" s="896"/>
      <c r="S96" s="896"/>
      <c r="T96" s="898"/>
      <c r="U96" s="898"/>
      <c r="V96" s="899"/>
      <c r="W96" s="899"/>
      <c r="X96" s="899"/>
      <c r="Y96" s="899"/>
      <c r="Z96" s="899"/>
      <c r="AA96" s="899"/>
      <c r="AB96" s="899"/>
      <c r="AC96" s="899"/>
      <c r="AD96" s="899"/>
      <c r="AE96" s="899"/>
      <c r="AF96" s="899"/>
      <c r="AG96" s="899"/>
      <c r="AH96" s="6"/>
    </row>
    <row r="97" spans="1:34" s="3" customFormat="1" ht="16" customHeight="1">
      <c r="A97" s="7"/>
      <c r="B97" s="10"/>
      <c r="C97" s="12"/>
      <c r="D97" s="896"/>
      <c r="E97" s="896"/>
      <c r="F97" s="896"/>
      <c r="G97" s="896"/>
      <c r="H97" s="896"/>
      <c r="I97" s="896"/>
      <c r="J97" s="896"/>
      <c r="K97" s="896"/>
      <c r="L97" s="897"/>
      <c r="M97" s="896"/>
      <c r="N97" s="889"/>
      <c r="O97" s="896"/>
      <c r="P97" s="889"/>
      <c r="Q97" s="900"/>
      <c r="R97" s="896"/>
      <c r="S97" s="896"/>
      <c r="T97" s="898"/>
      <c r="U97" s="898"/>
      <c r="V97" s="899"/>
      <c r="W97" s="899"/>
      <c r="X97" s="899"/>
      <c r="Y97" s="899"/>
      <c r="Z97" s="899"/>
      <c r="AA97" s="899"/>
      <c r="AB97" s="899"/>
      <c r="AC97" s="899"/>
      <c r="AD97" s="899"/>
      <c r="AE97" s="899"/>
      <c r="AF97" s="899"/>
      <c r="AG97" s="899"/>
    </row>
    <row r="98" spans="1:34" s="3" customFormat="1" ht="16" customHeight="1">
      <c r="A98" s="7"/>
      <c r="B98" s="10"/>
      <c r="C98" s="12"/>
      <c r="D98" s="896"/>
      <c r="E98" s="896"/>
      <c r="F98" s="896"/>
      <c r="G98" s="896"/>
      <c r="H98" s="896"/>
      <c r="I98" s="896"/>
      <c r="J98" s="896"/>
      <c r="K98" s="896"/>
      <c r="L98" s="897"/>
      <c r="M98" s="896"/>
      <c r="N98" s="889"/>
      <c r="O98" s="896"/>
      <c r="P98" s="889"/>
      <c r="Q98" s="900"/>
      <c r="R98" s="896"/>
      <c r="S98" s="896"/>
      <c r="T98" s="898"/>
      <c r="U98" s="898"/>
      <c r="V98" s="899"/>
      <c r="W98" s="899"/>
      <c r="X98" s="899"/>
      <c r="Y98" s="899"/>
      <c r="Z98" s="899"/>
      <c r="AA98" s="899"/>
      <c r="AB98" s="899"/>
      <c r="AC98" s="899"/>
      <c r="AD98" s="899"/>
      <c r="AE98" s="899"/>
      <c r="AF98" s="899"/>
      <c r="AG98" s="899"/>
    </row>
    <row r="99" spans="1:34" s="3" customFormat="1" ht="16" customHeight="1">
      <c r="A99" s="7"/>
      <c r="B99" s="10"/>
      <c r="C99" s="12"/>
      <c r="D99" s="896"/>
      <c r="E99" s="896"/>
      <c r="F99" s="896"/>
      <c r="G99" s="896"/>
      <c r="H99" s="896"/>
      <c r="I99" s="896"/>
      <c r="J99" s="896"/>
      <c r="K99" s="896"/>
      <c r="L99" s="897"/>
      <c r="M99" s="896"/>
      <c r="N99" s="889"/>
      <c r="O99" s="896"/>
      <c r="P99" s="889"/>
      <c r="Q99" s="900"/>
      <c r="R99" s="896"/>
      <c r="S99" s="896"/>
      <c r="T99" s="898"/>
      <c r="U99" s="898"/>
      <c r="V99" s="899"/>
      <c r="W99" s="899"/>
      <c r="X99" s="899"/>
      <c r="Y99" s="899"/>
      <c r="Z99" s="899"/>
      <c r="AA99" s="899"/>
      <c r="AB99" s="899"/>
      <c r="AC99" s="899"/>
      <c r="AD99" s="899"/>
      <c r="AE99" s="899"/>
      <c r="AF99" s="899"/>
      <c r="AG99" s="899"/>
    </row>
    <row r="100" spans="1:34" s="3" customFormat="1" ht="16" customHeight="1">
      <c r="A100" s="7"/>
      <c r="B100" s="10"/>
      <c r="C100" s="12"/>
      <c r="D100" s="896"/>
      <c r="E100" s="896"/>
      <c r="F100" s="896"/>
      <c r="G100" s="896"/>
      <c r="H100" s="896"/>
      <c r="I100" s="896"/>
      <c r="J100" s="896"/>
      <c r="K100" s="896"/>
      <c r="L100" s="897"/>
      <c r="M100" s="896"/>
      <c r="N100" s="889"/>
      <c r="O100" s="896"/>
      <c r="P100" s="889"/>
      <c r="Q100" s="900"/>
      <c r="R100" s="896"/>
      <c r="S100" s="896"/>
      <c r="T100" s="898"/>
      <c r="U100" s="898"/>
      <c r="V100" s="899"/>
      <c r="W100" s="899"/>
      <c r="X100" s="899"/>
      <c r="Y100" s="899"/>
      <c r="Z100" s="899"/>
      <c r="AA100" s="899"/>
      <c r="AB100" s="899"/>
      <c r="AC100" s="899"/>
      <c r="AD100" s="899"/>
      <c r="AE100" s="899"/>
      <c r="AF100" s="899"/>
      <c r="AG100" s="899"/>
    </row>
    <row r="101" spans="1:34" s="3" customFormat="1" ht="16" customHeight="1">
      <c r="A101" s="7"/>
      <c r="B101" s="10"/>
      <c r="C101" s="12"/>
      <c r="D101" s="896"/>
      <c r="E101" s="896"/>
      <c r="F101" s="896"/>
      <c r="G101" s="896"/>
      <c r="H101" s="896"/>
      <c r="I101" s="896"/>
      <c r="J101" s="896"/>
      <c r="K101" s="896"/>
      <c r="L101" s="897"/>
      <c r="M101" s="896"/>
      <c r="N101" s="889"/>
      <c r="O101" s="896"/>
      <c r="P101" s="889"/>
      <c r="Q101" s="900"/>
      <c r="R101" s="896"/>
      <c r="S101" s="896"/>
      <c r="T101" s="898"/>
      <c r="U101" s="898"/>
      <c r="V101" s="899"/>
      <c r="W101" s="899"/>
      <c r="X101" s="899"/>
      <c r="Y101" s="899"/>
      <c r="Z101" s="899"/>
      <c r="AA101" s="899"/>
      <c r="AB101" s="899"/>
      <c r="AC101" s="899"/>
      <c r="AD101" s="899"/>
      <c r="AE101" s="899"/>
      <c r="AF101" s="899"/>
      <c r="AG101" s="899"/>
    </row>
    <row r="102" spans="1:34" s="3" customFormat="1" ht="16" customHeight="1">
      <c r="A102" s="11"/>
      <c r="B102" s="12"/>
      <c r="C102" s="12"/>
      <c r="D102" s="13"/>
      <c r="E102" s="13"/>
      <c r="F102" s="14"/>
      <c r="G102" s="13"/>
      <c r="H102" s="14"/>
      <c r="I102" s="14"/>
      <c r="J102" s="13"/>
      <c r="K102" s="13"/>
      <c r="L102" s="279"/>
      <c r="M102" s="14"/>
      <c r="N102" s="14"/>
      <c r="O102" s="13"/>
      <c r="P102" s="14"/>
      <c r="Q102" s="14"/>
      <c r="R102" s="13"/>
      <c r="S102" s="14"/>
      <c r="T102" s="13"/>
      <c r="U102" s="13"/>
      <c r="V102" s="11"/>
      <c r="W102" s="11"/>
      <c r="X102" s="11"/>
      <c r="Y102" s="11"/>
      <c r="Z102" s="11"/>
      <c r="AA102" s="11"/>
      <c r="AB102" s="11"/>
      <c r="AC102" s="11"/>
      <c r="AD102" s="11"/>
      <c r="AE102" s="11"/>
      <c r="AF102" s="11"/>
      <c r="AG102" s="11"/>
    </row>
    <row r="103" spans="1:34" s="3" customFormat="1" ht="16" customHeight="1" thickBot="1">
      <c r="A103" s="7"/>
      <c r="B103" s="19" t="s">
        <v>1395</v>
      </c>
      <c r="C103" s="7"/>
      <c r="D103" s="8"/>
      <c r="E103" s="8"/>
      <c r="F103" s="9"/>
      <c r="G103" s="8"/>
      <c r="H103" s="9"/>
      <c r="I103" s="9"/>
      <c r="J103" s="8"/>
      <c r="K103" s="8"/>
      <c r="L103" s="280"/>
      <c r="M103" s="9"/>
      <c r="N103" s="9"/>
      <c r="O103" s="8"/>
      <c r="P103" s="9"/>
      <c r="Q103" s="9"/>
      <c r="R103" s="8"/>
      <c r="S103" s="882"/>
      <c r="T103" s="883" t="str">
        <f>'$REV-DB'!$T$34</f>
        <v>Federal Revenues</v>
      </c>
      <c r="U103" s="883" t="str">
        <f>'$REV-DB'!$U$34</f>
        <v>local Revenues</v>
      </c>
      <c r="V103" s="883" t="str">
        <f>'$REV-DB'!$V$34</f>
        <v>Other Revenues</v>
      </c>
      <c r="W103" s="883" t="str">
        <f>'$REV-DB'!$W$34</f>
        <v>State revenues</v>
      </c>
      <c r="X103" s="883" t="str">
        <f>'$REV-DB'!$X$34</f>
        <v>UD5</v>
      </c>
      <c r="Y103" s="883" t="str">
        <f>'$REV-DB'!$Y$34</f>
        <v>UD6</v>
      </c>
      <c r="Z103" s="883" t="str">
        <f>'$REV-DB'!$Z$34</f>
        <v>UD7</v>
      </c>
      <c r="AA103" s="883" t="str">
        <f>'$REV-DB'!$AA$34</f>
        <v>UD8</v>
      </c>
      <c r="AB103" s="883" t="str">
        <f>'$REV-DB'!$AB$34</f>
        <v>UD9</v>
      </c>
      <c r="AC103" s="883" t="str">
        <f>'$REV-DB'!$AC$34</f>
        <v>UD10</v>
      </c>
      <c r="AD103" s="883" t="str">
        <f>'$REV-DB'!$AD$34</f>
        <v>UD11</v>
      </c>
      <c r="AE103" s="883" t="str">
        <f>'$REV-DB'!$AE$34</f>
        <v>UD12</v>
      </c>
      <c r="AF103" s="883" t="str">
        <f>'$REV-DB'!$AF$34</f>
        <v>UD13</v>
      </c>
      <c r="AG103" s="883" t="str">
        <f>'$REV-DB'!$AG$34</f>
        <v>UD14</v>
      </c>
    </row>
    <row r="104" spans="1:34" s="3" customFormat="1" ht="16" customHeight="1" thickTop="1" thickBot="1">
      <c r="A104" s="7"/>
      <c r="B104" s="20" t="s">
        <v>1375</v>
      </c>
      <c r="C104" s="15"/>
      <c r="D104" s="877" t="s">
        <v>1386</v>
      </c>
      <c r="E104" s="877" t="s">
        <v>1387</v>
      </c>
      <c r="F104" s="877" t="s">
        <v>1388</v>
      </c>
      <c r="G104" s="877" t="s">
        <v>1389</v>
      </c>
      <c r="H104" s="877" t="s">
        <v>1406</v>
      </c>
      <c r="I104" s="877" t="s">
        <v>1390</v>
      </c>
      <c r="J104" s="877" t="s">
        <v>1391</v>
      </c>
      <c r="K104" s="877" t="s">
        <v>1392</v>
      </c>
      <c r="L104" s="877" t="s">
        <v>1188</v>
      </c>
      <c r="M104" s="877" t="s">
        <v>1437</v>
      </c>
      <c r="N104" s="877" t="s">
        <v>1348</v>
      </c>
      <c r="O104" s="877" t="s">
        <v>1393</v>
      </c>
      <c r="P104" s="877" t="s">
        <v>1342</v>
      </c>
      <c r="Q104" s="877" t="s">
        <v>1394</v>
      </c>
      <c r="R104" s="112" t="s">
        <v>1341</v>
      </c>
      <c r="S104" s="112" t="s">
        <v>846</v>
      </c>
      <c r="T104" s="877" t="s">
        <v>935</v>
      </c>
      <c r="U104" s="877" t="s">
        <v>936</v>
      </c>
      <c r="V104" s="877" t="s">
        <v>937</v>
      </c>
      <c r="W104" s="877" t="s">
        <v>938</v>
      </c>
      <c r="X104" s="877" t="s">
        <v>939</v>
      </c>
      <c r="Y104" s="877" t="s">
        <v>940</v>
      </c>
      <c r="Z104" s="877" t="s">
        <v>941</v>
      </c>
      <c r="AA104" s="877" t="s">
        <v>942</v>
      </c>
      <c r="AB104" s="877" t="s">
        <v>943</v>
      </c>
      <c r="AC104" s="877" t="s">
        <v>944</v>
      </c>
      <c r="AD104" s="877" t="s">
        <v>945</v>
      </c>
      <c r="AE104" s="877" t="s">
        <v>946</v>
      </c>
      <c r="AF104" s="877" t="s">
        <v>947</v>
      </c>
      <c r="AG104" s="877" t="s">
        <v>948</v>
      </c>
      <c r="AH104" s="6"/>
    </row>
    <row r="105" spans="1:34" s="3" customFormat="1" ht="16" customHeight="1" thickTop="1">
      <c r="A105" s="7"/>
      <c r="B105" s="19" t="s">
        <v>1344</v>
      </c>
      <c r="C105" s="12"/>
      <c r="D105" s="186"/>
      <c r="E105" s="186"/>
      <c r="F105" s="186"/>
      <c r="G105" s="186"/>
      <c r="H105" s="186"/>
      <c r="I105" s="186"/>
      <c r="J105" s="186"/>
      <c r="K105" s="186"/>
      <c r="L105" s="278" t="s">
        <v>1429</v>
      </c>
      <c r="M105" s="186"/>
      <c r="N105" s="37" t="str">
        <f>J$6</f>
        <v>FY2010-11</v>
      </c>
      <c r="O105" s="186"/>
      <c r="P105" s="37" t="s">
        <v>1347</v>
      </c>
      <c r="Q105" s="189" t="s">
        <v>1339</v>
      </c>
      <c r="R105" s="186"/>
      <c r="S105" s="186" t="s">
        <v>871</v>
      </c>
      <c r="T105" s="187"/>
      <c r="U105" s="187"/>
      <c r="V105" s="188"/>
      <c r="W105" s="188"/>
      <c r="X105" s="188"/>
      <c r="Y105" s="188"/>
      <c r="Z105" s="188"/>
      <c r="AA105" s="188"/>
      <c r="AB105" s="188"/>
      <c r="AC105" s="188"/>
      <c r="AD105" s="188"/>
      <c r="AE105" s="188"/>
      <c r="AF105" s="188"/>
      <c r="AG105" s="188"/>
      <c r="AH105" s="6"/>
    </row>
    <row r="106" spans="1:34" s="3" customFormat="1" ht="16" customHeight="1">
      <c r="A106" s="7"/>
      <c r="B106" s="16">
        <f>DSUM('$REV-DB'!D35:AG374,"AMOUNT",D104:AG105)</f>
        <v>39558360.810000002</v>
      </c>
      <c r="C106" s="12"/>
      <c r="D106" s="896"/>
      <c r="E106" s="896"/>
      <c r="F106" s="896"/>
      <c r="G106" s="896"/>
      <c r="H106" s="896"/>
      <c r="I106" s="896"/>
      <c r="J106" s="896"/>
      <c r="K106" s="896"/>
      <c r="L106" s="897"/>
      <c r="M106" s="896"/>
      <c r="N106" s="889"/>
      <c r="O106" s="896"/>
      <c r="P106" s="889"/>
      <c r="Q106" s="900"/>
      <c r="R106" s="896"/>
      <c r="S106" s="896"/>
      <c r="T106" s="898"/>
      <c r="U106" s="898"/>
      <c r="V106" s="899"/>
      <c r="W106" s="899"/>
      <c r="X106" s="899"/>
      <c r="Y106" s="899"/>
      <c r="Z106" s="899"/>
      <c r="AA106" s="899"/>
      <c r="AB106" s="899"/>
      <c r="AC106" s="899"/>
      <c r="AD106" s="899"/>
      <c r="AE106" s="899"/>
      <c r="AF106" s="899"/>
      <c r="AG106" s="899"/>
      <c r="AH106" s="6"/>
    </row>
    <row r="107" spans="1:34" s="3" customFormat="1" ht="16" customHeight="1">
      <c r="A107" s="7"/>
      <c r="B107" s="10"/>
      <c r="C107" s="12"/>
      <c r="D107" s="896"/>
      <c r="E107" s="896"/>
      <c r="F107" s="896"/>
      <c r="G107" s="896"/>
      <c r="H107" s="896"/>
      <c r="I107" s="896"/>
      <c r="J107" s="896"/>
      <c r="K107" s="896"/>
      <c r="L107" s="897"/>
      <c r="M107" s="896"/>
      <c r="N107" s="889"/>
      <c r="O107" s="896"/>
      <c r="P107" s="889"/>
      <c r="Q107" s="900"/>
      <c r="R107" s="896"/>
      <c r="S107" s="896"/>
      <c r="T107" s="898"/>
      <c r="U107" s="898"/>
      <c r="V107" s="899"/>
      <c r="W107" s="899"/>
      <c r="X107" s="899"/>
      <c r="Y107" s="899"/>
      <c r="Z107" s="899"/>
      <c r="AA107" s="899"/>
      <c r="AB107" s="899"/>
      <c r="AC107" s="899"/>
      <c r="AD107" s="899"/>
      <c r="AE107" s="899"/>
      <c r="AF107" s="899"/>
      <c r="AG107" s="899"/>
    </row>
    <row r="108" spans="1:34" s="3" customFormat="1" ht="16" customHeight="1">
      <c r="A108" s="7"/>
      <c r="B108" s="10"/>
      <c r="C108" s="12"/>
      <c r="D108" s="896"/>
      <c r="E108" s="896"/>
      <c r="F108" s="896"/>
      <c r="G108" s="896"/>
      <c r="H108" s="896"/>
      <c r="I108" s="896"/>
      <c r="J108" s="896"/>
      <c r="K108" s="896"/>
      <c r="L108" s="897"/>
      <c r="M108" s="896"/>
      <c r="N108" s="889"/>
      <c r="O108" s="896"/>
      <c r="P108" s="889"/>
      <c r="Q108" s="900"/>
      <c r="R108" s="896"/>
      <c r="S108" s="896"/>
      <c r="T108" s="898"/>
      <c r="U108" s="898"/>
      <c r="V108" s="899"/>
      <c r="W108" s="899"/>
      <c r="X108" s="899"/>
      <c r="Y108" s="899"/>
      <c r="Z108" s="899"/>
      <c r="AA108" s="899"/>
      <c r="AB108" s="899"/>
      <c r="AC108" s="899"/>
      <c r="AD108" s="899"/>
      <c r="AE108" s="899"/>
      <c r="AF108" s="899"/>
      <c r="AG108" s="899"/>
    </row>
    <row r="109" spans="1:34" s="3" customFormat="1" ht="16" customHeight="1">
      <c r="A109" s="7"/>
      <c r="B109" s="10"/>
      <c r="C109" s="12"/>
      <c r="D109" s="896"/>
      <c r="E109" s="896"/>
      <c r="F109" s="896"/>
      <c r="G109" s="896"/>
      <c r="H109" s="896"/>
      <c r="I109" s="896"/>
      <c r="J109" s="896"/>
      <c r="K109" s="896"/>
      <c r="L109" s="897"/>
      <c r="M109" s="896"/>
      <c r="N109" s="889"/>
      <c r="O109" s="896"/>
      <c r="P109" s="889"/>
      <c r="Q109" s="900"/>
      <c r="R109" s="896"/>
      <c r="S109" s="896"/>
      <c r="T109" s="898"/>
      <c r="U109" s="898"/>
      <c r="V109" s="899"/>
      <c r="W109" s="899"/>
      <c r="X109" s="899"/>
      <c r="Y109" s="899"/>
      <c r="Z109" s="899"/>
      <c r="AA109" s="899"/>
      <c r="AB109" s="899"/>
      <c r="AC109" s="899"/>
      <c r="AD109" s="899"/>
      <c r="AE109" s="899"/>
      <c r="AF109" s="899"/>
      <c r="AG109" s="899"/>
    </row>
    <row r="110" spans="1:34" s="3" customFormat="1" ht="16" customHeight="1">
      <c r="A110" s="7"/>
      <c r="B110" s="10"/>
      <c r="C110" s="12"/>
      <c r="D110" s="896"/>
      <c r="E110" s="896"/>
      <c r="F110" s="896"/>
      <c r="G110" s="896"/>
      <c r="H110" s="896"/>
      <c r="I110" s="896"/>
      <c r="J110" s="896"/>
      <c r="K110" s="896"/>
      <c r="L110" s="897"/>
      <c r="M110" s="896"/>
      <c r="N110" s="889"/>
      <c r="O110" s="896"/>
      <c r="P110" s="889"/>
      <c r="Q110" s="900"/>
      <c r="R110" s="896"/>
      <c r="S110" s="896"/>
      <c r="T110" s="898"/>
      <c r="U110" s="898"/>
      <c r="V110" s="899"/>
      <c r="W110" s="899"/>
      <c r="X110" s="899"/>
      <c r="Y110" s="899"/>
      <c r="Z110" s="899"/>
      <c r="AA110" s="899"/>
      <c r="AB110" s="899"/>
      <c r="AC110" s="899"/>
      <c r="AD110" s="899"/>
      <c r="AE110" s="899"/>
      <c r="AF110" s="899"/>
      <c r="AG110" s="899"/>
    </row>
    <row r="111" spans="1:34" s="3" customFormat="1" ht="16" customHeight="1">
      <c r="A111" s="7"/>
      <c r="B111" s="10"/>
      <c r="C111" s="12"/>
      <c r="D111" s="896"/>
      <c r="E111" s="896"/>
      <c r="F111" s="896"/>
      <c r="G111" s="896"/>
      <c r="H111" s="896"/>
      <c r="I111" s="896"/>
      <c r="J111" s="896"/>
      <c r="K111" s="896"/>
      <c r="L111" s="897"/>
      <c r="M111" s="896"/>
      <c r="N111" s="889"/>
      <c r="O111" s="896"/>
      <c r="P111" s="889"/>
      <c r="Q111" s="900"/>
      <c r="R111" s="896"/>
      <c r="S111" s="896"/>
      <c r="T111" s="898"/>
      <c r="U111" s="898"/>
      <c r="V111" s="899"/>
      <c r="W111" s="899"/>
      <c r="X111" s="899"/>
      <c r="Y111" s="899"/>
      <c r="Z111" s="899"/>
      <c r="AA111" s="899"/>
      <c r="AB111" s="899"/>
      <c r="AC111" s="899"/>
      <c r="AD111" s="899"/>
      <c r="AE111" s="899"/>
      <c r="AF111" s="899"/>
      <c r="AG111" s="899"/>
    </row>
    <row r="112" spans="1:34" s="3" customFormat="1" ht="16" customHeight="1">
      <c r="A112" s="11"/>
      <c r="B112" s="12"/>
      <c r="C112" s="12"/>
      <c r="D112" s="13"/>
      <c r="E112" s="13"/>
      <c r="F112" s="14"/>
      <c r="G112" s="13"/>
      <c r="H112" s="14"/>
      <c r="I112" s="14"/>
      <c r="J112" s="13"/>
      <c r="K112" s="13"/>
      <c r="L112" s="279"/>
      <c r="M112" s="14"/>
      <c r="N112" s="14"/>
      <c r="O112" s="13"/>
      <c r="P112" s="14"/>
      <c r="Q112" s="14"/>
      <c r="R112" s="13"/>
      <c r="S112" s="14"/>
      <c r="T112" s="13"/>
      <c r="U112" s="13"/>
      <c r="V112" s="11"/>
      <c r="W112" s="11"/>
      <c r="X112" s="11"/>
      <c r="Y112" s="11"/>
      <c r="Z112" s="11"/>
      <c r="AA112" s="11"/>
      <c r="AB112" s="11"/>
      <c r="AC112" s="11"/>
      <c r="AD112" s="11"/>
      <c r="AE112" s="11"/>
      <c r="AF112" s="11"/>
      <c r="AG112" s="11"/>
    </row>
    <row r="113" spans="1:34" s="3" customFormat="1" ht="16" customHeight="1" thickBot="1">
      <c r="A113" s="7"/>
      <c r="B113" s="19" t="s">
        <v>1395</v>
      </c>
      <c r="C113" s="7"/>
      <c r="D113" s="8"/>
      <c r="E113" s="8"/>
      <c r="F113" s="9"/>
      <c r="G113" s="8"/>
      <c r="H113" s="9"/>
      <c r="I113" s="9"/>
      <c r="J113" s="8"/>
      <c r="K113" s="8"/>
      <c r="L113" s="280"/>
      <c r="M113" s="9"/>
      <c r="N113" s="9"/>
      <c r="O113" s="8"/>
      <c r="P113" s="9"/>
      <c r="Q113" s="9"/>
      <c r="R113" s="8"/>
      <c r="S113" s="882"/>
      <c r="T113" s="883" t="str">
        <f>'$REV-DB'!$T$34</f>
        <v>Federal Revenues</v>
      </c>
      <c r="U113" s="883" t="str">
        <f>'$REV-DB'!$U$34</f>
        <v>local Revenues</v>
      </c>
      <c r="V113" s="883" t="str">
        <f>'$REV-DB'!$V$34</f>
        <v>Other Revenues</v>
      </c>
      <c r="W113" s="883" t="str">
        <f>'$REV-DB'!$W$34</f>
        <v>State revenues</v>
      </c>
      <c r="X113" s="883" t="str">
        <f>'$REV-DB'!$X$34</f>
        <v>UD5</v>
      </c>
      <c r="Y113" s="883" t="str">
        <f>'$REV-DB'!$Y$34</f>
        <v>UD6</v>
      </c>
      <c r="Z113" s="883" t="str">
        <f>'$REV-DB'!$Z$34</f>
        <v>UD7</v>
      </c>
      <c r="AA113" s="883" t="str">
        <f>'$REV-DB'!$AA$34</f>
        <v>UD8</v>
      </c>
      <c r="AB113" s="883" t="str">
        <f>'$REV-DB'!$AB$34</f>
        <v>UD9</v>
      </c>
      <c r="AC113" s="883" t="str">
        <f>'$REV-DB'!$AC$34</f>
        <v>UD10</v>
      </c>
      <c r="AD113" s="883" t="str">
        <f>'$REV-DB'!$AD$34</f>
        <v>UD11</v>
      </c>
      <c r="AE113" s="883" t="str">
        <f>'$REV-DB'!$AE$34</f>
        <v>UD12</v>
      </c>
      <c r="AF113" s="883" t="str">
        <f>'$REV-DB'!$AF$34</f>
        <v>UD13</v>
      </c>
      <c r="AG113" s="883" t="str">
        <f>'$REV-DB'!$AG$34</f>
        <v>UD14</v>
      </c>
    </row>
    <row r="114" spans="1:34" s="3" customFormat="1" ht="16" customHeight="1" thickTop="1" thickBot="1">
      <c r="A114" s="7"/>
      <c r="B114" s="20" t="s">
        <v>1375</v>
      </c>
      <c r="C114" s="15"/>
      <c r="D114" s="877" t="s">
        <v>1386</v>
      </c>
      <c r="E114" s="877" t="s">
        <v>1387</v>
      </c>
      <c r="F114" s="877" t="s">
        <v>1388</v>
      </c>
      <c r="G114" s="877" t="s">
        <v>1389</v>
      </c>
      <c r="H114" s="877" t="s">
        <v>1406</v>
      </c>
      <c r="I114" s="877" t="s">
        <v>1390</v>
      </c>
      <c r="J114" s="877" t="s">
        <v>1391</v>
      </c>
      <c r="K114" s="877" t="s">
        <v>1392</v>
      </c>
      <c r="L114" s="877" t="s">
        <v>1188</v>
      </c>
      <c r="M114" s="877" t="s">
        <v>1437</v>
      </c>
      <c r="N114" s="877" t="s">
        <v>1348</v>
      </c>
      <c r="O114" s="877" t="s">
        <v>1393</v>
      </c>
      <c r="P114" s="877" t="s">
        <v>1342</v>
      </c>
      <c r="Q114" s="877" t="s">
        <v>1394</v>
      </c>
      <c r="R114" s="112" t="s">
        <v>1341</v>
      </c>
      <c r="S114" s="112" t="s">
        <v>846</v>
      </c>
      <c r="T114" s="877" t="s">
        <v>935</v>
      </c>
      <c r="U114" s="877" t="s">
        <v>936</v>
      </c>
      <c r="V114" s="877" t="s">
        <v>937</v>
      </c>
      <c r="W114" s="877" t="s">
        <v>938</v>
      </c>
      <c r="X114" s="877" t="s">
        <v>939</v>
      </c>
      <c r="Y114" s="877" t="s">
        <v>940</v>
      </c>
      <c r="Z114" s="877" t="s">
        <v>941</v>
      </c>
      <c r="AA114" s="877" t="s">
        <v>942</v>
      </c>
      <c r="AB114" s="877" t="s">
        <v>943</v>
      </c>
      <c r="AC114" s="877" t="s">
        <v>944</v>
      </c>
      <c r="AD114" s="877" t="s">
        <v>945</v>
      </c>
      <c r="AE114" s="877" t="s">
        <v>946</v>
      </c>
      <c r="AF114" s="877" t="s">
        <v>947</v>
      </c>
      <c r="AG114" s="877" t="s">
        <v>948</v>
      </c>
      <c r="AH114" s="6"/>
    </row>
    <row r="115" spans="1:34" s="3" customFormat="1" ht="16" customHeight="1" thickTop="1">
      <c r="A115" s="7"/>
      <c r="B115" s="19" t="s">
        <v>1343</v>
      </c>
      <c r="C115" s="12"/>
      <c r="D115" s="186"/>
      <c r="E115" s="186"/>
      <c r="F115" s="186"/>
      <c r="G115" s="186"/>
      <c r="H115" s="186"/>
      <c r="I115" s="186"/>
      <c r="J115" s="186"/>
      <c r="K115" s="186"/>
      <c r="L115" s="278" t="s">
        <v>1429</v>
      </c>
      <c r="M115" s="186"/>
      <c r="N115" s="37" t="str">
        <f>J$6</f>
        <v>FY2010-11</v>
      </c>
      <c r="O115" s="186"/>
      <c r="P115" s="37" t="s">
        <v>1347</v>
      </c>
      <c r="Q115" s="189" t="s">
        <v>1379</v>
      </c>
      <c r="R115" s="186"/>
      <c r="S115" s="186" t="s">
        <v>871</v>
      </c>
      <c r="T115" s="187"/>
      <c r="U115" s="187"/>
      <c r="V115" s="188"/>
      <c r="W115" s="188"/>
      <c r="X115" s="188"/>
      <c r="Y115" s="188"/>
      <c r="Z115" s="188"/>
      <c r="AA115" s="188"/>
      <c r="AB115" s="188"/>
      <c r="AC115" s="188"/>
      <c r="AD115" s="188"/>
      <c r="AE115" s="188"/>
      <c r="AF115" s="188"/>
      <c r="AG115" s="188"/>
      <c r="AH115" s="6"/>
    </row>
    <row r="116" spans="1:34" s="3" customFormat="1" ht="16" customHeight="1">
      <c r="A116" s="7"/>
      <c r="B116" s="16">
        <f>DSUM('$REV-DB'!D35:AG374,"AMOUNT",D114:AG115)</f>
        <v>0</v>
      </c>
      <c r="C116" s="12"/>
      <c r="D116" s="896"/>
      <c r="E116" s="896"/>
      <c r="F116" s="896"/>
      <c r="G116" s="896"/>
      <c r="H116" s="896"/>
      <c r="I116" s="896"/>
      <c r="J116" s="896"/>
      <c r="K116" s="896"/>
      <c r="L116" s="897"/>
      <c r="M116" s="896"/>
      <c r="N116" s="889"/>
      <c r="O116" s="896"/>
      <c r="P116" s="889"/>
      <c r="Q116" s="900"/>
      <c r="R116" s="896"/>
      <c r="S116" s="896"/>
      <c r="T116" s="898"/>
      <c r="U116" s="898"/>
      <c r="V116" s="899"/>
      <c r="W116" s="899"/>
      <c r="X116" s="899"/>
      <c r="Y116" s="899"/>
      <c r="Z116" s="899"/>
      <c r="AA116" s="899"/>
      <c r="AB116" s="899"/>
      <c r="AC116" s="899"/>
      <c r="AD116" s="899"/>
      <c r="AE116" s="899"/>
      <c r="AF116" s="899"/>
      <c r="AG116" s="899"/>
      <c r="AH116" s="6"/>
    </row>
    <row r="117" spans="1:34" s="3" customFormat="1" ht="16" customHeight="1">
      <c r="A117" s="7"/>
      <c r="B117" s="10"/>
      <c r="C117" s="12"/>
      <c r="D117" s="896"/>
      <c r="E117" s="896"/>
      <c r="F117" s="896"/>
      <c r="G117" s="896"/>
      <c r="H117" s="896"/>
      <c r="I117" s="896"/>
      <c r="J117" s="896"/>
      <c r="K117" s="896"/>
      <c r="L117" s="897"/>
      <c r="M117" s="896"/>
      <c r="N117" s="889"/>
      <c r="O117" s="896"/>
      <c r="P117" s="889"/>
      <c r="Q117" s="900"/>
      <c r="R117" s="896"/>
      <c r="S117" s="896"/>
      <c r="T117" s="898"/>
      <c r="U117" s="898"/>
      <c r="V117" s="899"/>
      <c r="W117" s="899"/>
      <c r="X117" s="899"/>
      <c r="Y117" s="899"/>
      <c r="Z117" s="899"/>
      <c r="AA117" s="899"/>
      <c r="AB117" s="899"/>
      <c r="AC117" s="899"/>
      <c r="AD117" s="899"/>
      <c r="AE117" s="899"/>
      <c r="AF117" s="899"/>
      <c r="AG117" s="899"/>
    </row>
    <row r="118" spans="1:34" s="3" customFormat="1" ht="16" customHeight="1">
      <c r="A118" s="7"/>
      <c r="B118" s="10"/>
      <c r="C118" s="12"/>
      <c r="D118" s="896"/>
      <c r="E118" s="896"/>
      <c r="F118" s="896"/>
      <c r="G118" s="896"/>
      <c r="H118" s="896"/>
      <c r="I118" s="896"/>
      <c r="J118" s="896"/>
      <c r="K118" s="896"/>
      <c r="L118" s="897"/>
      <c r="M118" s="896"/>
      <c r="N118" s="889"/>
      <c r="O118" s="896"/>
      <c r="P118" s="889"/>
      <c r="Q118" s="900"/>
      <c r="R118" s="896"/>
      <c r="S118" s="896"/>
      <c r="T118" s="898"/>
      <c r="U118" s="898"/>
      <c r="V118" s="899"/>
      <c r="W118" s="899"/>
      <c r="X118" s="899"/>
      <c r="Y118" s="899"/>
      <c r="Z118" s="899"/>
      <c r="AA118" s="899"/>
      <c r="AB118" s="899"/>
      <c r="AC118" s="899"/>
      <c r="AD118" s="899"/>
      <c r="AE118" s="899"/>
      <c r="AF118" s="899"/>
      <c r="AG118" s="899"/>
    </row>
    <row r="119" spans="1:34" s="3" customFormat="1" ht="16" customHeight="1">
      <c r="A119" s="7"/>
      <c r="B119" s="10"/>
      <c r="C119" s="12"/>
      <c r="D119" s="896"/>
      <c r="E119" s="896"/>
      <c r="F119" s="896"/>
      <c r="G119" s="896"/>
      <c r="H119" s="896"/>
      <c r="I119" s="896"/>
      <c r="J119" s="896"/>
      <c r="K119" s="896"/>
      <c r="L119" s="897"/>
      <c r="M119" s="896"/>
      <c r="N119" s="889"/>
      <c r="O119" s="896"/>
      <c r="P119" s="889"/>
      <c r="Q119" s="900"/>
      <c r="R119" s="896"/>
      <c r="S119" s="896"/>
      <c r="T119" s="898"/>
      <c r="U119" s="898"/>
      <c r="V119" s="899"/>
      <c r="W119" s="899"/>
      <c r="X119" s="899"/>
      <c r="Y119" s="899"/>
      <c r="Z119" s="899"/>
      <c r="AA119" s="899"/>
      <c r="AB119" s="899"/>
      <c r="AC119" s="899"/>
      <c r="AD119" s="899"/>
      <c r="AE119" s="899"/>
      <c r="AF119" s="899"/>
      <c r="AG119" s="899"/>
    </row>
    <row r="120" spans="1:34" s="3" customFormat="1" ht="16" customHeight="1">
      <c r="A120" s="7"/>
      <c r="B120" s="10"/>
      <c r="C120" s="12"/>
      <c r="D120" s="896"/>
      <c r="E120" s="896"/>
      <c r="F120" s="896"/>
      <c r="G120" s="896"/>
      <c r="H120" s="896"/>
      <c r="I120" s="896"/>
      <c r="J120" s="896"/>
      <c r="K120" s="896"/>
      <c r="L120" s="897"/>
      <c r="M120" s="896"/>
      <c r="N120" s="889"/>
      <c r="O120" s="896"/>
      <c r="P120" s="889"/>
      <c r="Q120" s="900"/>
      <c r="R120" s="896"/>
      <c r="S120" s="896"/>
      <c r="T120" s="898"/>
      <c r="U120" s="898"/>
      <c r="V120" s="899"/>
      <c r="W120" s="899"/>
      <c r="X120" s="899"/>
      <c r="Y120" s="899"/>
      <c r="Z120" s="899"/>
      <c r="AA120" s="899"/>
      <c r="AB120" s="899"/>
      <c r="AC120" s="899"/>
      <c r="AD120" s="899"/>
      <c r="AE120" s="899"/>
      <c r="AF120" s="899"/>
      <c r="AG120" s="899"/>
    </row>
    <row r="121" spans="1:34" s="3" customFormat="1" ht="16" customHeight="1">
      <c r="A121" s="7"/>
      <c r="B121" s="10"/>
      <c r="C121" s="12"/>
      <c r="D121" s="896"/>
      <c r="E121" s="896"/>
      <c r="F121" s="896"/>
      <c r="G121" s="896"/>
      <c r="H121" s="896"/>
      <c r="I121" s="896"/>
      <c r="J121" s="896"/>
      <c r="K121" s="896"/>
      <c r="L121" s="897"/>
      <c r="M121" s="896"/>
      <c r="N121" s="889"/>
      <c r="O121" s="896"/>
      <c r="P121" s="889"/>
      <c r="Q121" s="900"/>
      <c r="R121" s="896"/>
      <c r="S121" s="896"/>
      <c r="T121" s="898"/>
      <c r="U121" s="898"/>
      <c r="V121" s="899"/>
      <c r="W121" s="899"/>
      <c r="X121" s="899"/>
      <c r="Y121" s="899"/>
      <c r="Z121" s="899"/>
      <c r="AA121" s="899"/>
      <c r="AB121" s="899"/>
      <c r="AC121" s="899"/>
      <c r="AD121" s="899"/>
      <c r="AE121" s="899"/>
      <c r="AF121" s="899"/>
      <c r="AG121" s="899"/>
    </row>
    <row r="122" spans="1:34" s="3" customFormat="1" ht="16" customHeight="1">
      <c r="A122" s="11"/>
      <c r="B122" s="12"/>
      <c r="C122" s="12"/>
      <c r="D122" s="13"/>
      <c r="E122" s="13"/>
      <c r="F122" s="14"/>
      <c r="G122" s="13"/>
      <c r="H122" s="14"/>
      <c r="I122" s="14"/>
      <c r="J122" s="13"/>
      <c r="K122" s="13"/>
      <c r="L122" s="279"/>
      <c r="M122" s="14"/>
      <c r="N122" s="14"/>
      <c r="O122" s="13"/>
      <c r="P122" s="14"/>
      <c r="Q122" s="14"/>
      <c r="R122" s="13"/>
      <c r="S122" s="14"/>
      <c r="T122" s="13"/>
      <c r="U122" s="13"/>
      <c r="V122" s="11"/>
      <c r="W122" s="11"/>
      <c r="X122" s="11"/>
      <c r="Y122" s="11"/>
      <c r="Z122" s="11"/>
      <c r="AA122" s="11"/>
      <c r="AB122" s="11"/>
      <c r="AC122" s="11"/>
      <c r="AD122" s="11"/>
      <c r="AE122" s="11"/>
      <c r="AF122" s="11"/>
      <c r="AG122" s="11"/>
    </row>
    <row r="123" spans="1:34" s="3" customFormat="1" ht="16" customHeight="1" thickBot="1">
      <c r="A123" s="7"/>
      <c r="B123" s="19" t="s">
        <v>1395</v>
      </c>
      <c r="C123" s="7"/>
      <c r="D123" s="8"/>
      <c r="E123" s="8"/>
      <c r="F123" s="9"/>
      <c r="G123" s="8"/>
      <c r="H123" s="9"/>
      <c r="I123" s="9"/>
      <c r="J123" s="8"/>
      <c r="K123" s="8"/>
      <c r="L123" s="280"/>
      <c r="M123" s="9"/>
      <c r="N123" s="9"/>
      <c r="O123" s="8"/>
      <c r="P123" s="9"/>
      <c r="Q123" s="9"/>
      <c r="R123" s="8"/>
      <c r="S123" s="882"/>
      <c r="T123" s="883" t="str">
        <f>'$REV-DB'!$T$34</f>
        <v>Federal Revenues</v>
      </c>
      <c r="U123" s="883" t="str">
        <f>'$REV-DB'!$U$34</f>
        <v>local Revenues</v>
      </c>
      <c r="V123" s="883" t="str">
        <f>'$REV-DB'!$V$34</f>
        <v>Other Revenues</v>
      </c>
      <c r="W123" s="883" t="str">
        <f>'$REV-DB'!$W$34</f>
        <v>State revenues</v>
      </c>
      <c r="X123" s="883" t="str">
        <f>'$REV-DB'!$X$34</f>
        <v>UD5</v>
      </c>
      <c r="Y123" s="883" t="str">
        <f>'$REV-DB'!$Y$34</f>
        <v>UD6</v>
      </c>
      <c r="Z123" s="883" t="str">
        <f>'$REV-DB'!$Z$34</f>
        <v>UD7</v>
      </c>
      <c r="AA123" s="883" t="str">
        <f>'$REV-DB'!$AA$34</f>
        <v>UD8</v>
      </c>
      <c r="AB123" s="883" t="str">
        <f>'$REV-DB'!$AB$34</f>
        <v>UD9</v>
      </c>
      <c r="AC123" s="883" t="str">
        <f>'$REV-DB'!$AC$34</f>
        <v>UD10</v>
      </c>
      <c r="AD123" s="883" t="str">
        <f>'$REV-DB'!$AD$34</f>
        <v>UD11</v>
      </c>
      <c r="AE123" s="883" t="str">
        <f>'$REV-DB'!$AE$34</f>
        <v>UD12</v>
      </c>
      <c r="AF123" s="883" t="str">
        <f>'$REV-DB'!$AF$34</f>
        <v>UD13</v>
      </c>
      <c r="AG123" s="883" t="str">
        <f>'$REV-DB'!$AG$34</f>
        <v>UD14</v>
      </c>
    </row>
    <row r="124" spans="1:34" s="3" customFormat="1" ht="16" customHeight="1" thickTop="1" thickBot="1">
      <c r="A124" s="7"/>
      <c r="B124" s="20" t="s">
        <v>1375</v>
      </c>
      <c r="C124" s="15"/>
      <c r="D124" s="877" t="s">
        <v>1386</v>
      </c>
      <c r="E124" s="877" t="s">
        <v>1387</v>
      </c>
      <c r="F124" s="877" t="s">
        <v>1388</v>
      </c>
      <c r="G124" s="877" t="s">
        <v>1389</v>
      </c>
      <c r="H124" s="877" t="s">
        <v>1406</v>
      </c>
      <c r="I124" s="877" t="s">
        <v>1390</v>
      </c>
      <c r="J124" s="877" t="s">
        <v>1391</v>
      </c>
      <c r="K124" s="877" t="s">
        <v>1392</v>
      </c>
      <c r="L124" s="877" t="s">
        <v>1188</v>
      </c>
      <c r="M124" s="877" t="s">
        <v>1437</v>
      </c>
      <c r="N124" s="877" t="s">
        <v>1348</v>
      </c>
      <c r="O124" s="877" t="s">
        <v>1393</v>
      </c>
      <c r="P124" s="877" t="s">
        <v>1342</v>
      </c>
      <c r="Q124" s="877" t="s">
        <v>1394</v>
      </c>
      <c r="R124" s="112" t="s">
        <v>1341</v>
      </c>
      <c r="S124" s="112" t="s">
        <v>846</v>
      </c>
      <c r="T124" s="877" t="s">
        <v>935</v>
      </c>
      <c r="U124" s="877" t="s">
        <v>936</v>
      </c>
      <c r="V124" s="877" t="s">
        <v>937</v>
      </c>
      <c r="W124" s="877" t="s">
        <v>938</v>
      </c>
      <c r="X124" s="877" t="s">
        <v>939</v>
      </c>
      <c r="Y124" s="877" t="s">
        <v>940</v>
      </c>
      <c r="Z124" s="877" t="s">
        <v>941</v>
      </c>
      <c r="AA124" s="877" t="s">
        <v>942</v>
      </c>
      <c r="AB124" s="877" t="s">
        <v>943</v>
      </c>
      <c r="AC124" s="877" t="s">
        <v>944</v>
      </c>
      <c r="AD124" s="877" t="s">
        <v>945</v>
      </c>
      <c r="AE124" s="877" t="s">
        <v>946</v>
      </c>
      <c r="AF124" s="877" t="s">
        <v>947</v>
      </c>
      <c r="AG124" s="877" t="s">
        <v>948</v>
      </c>
      <c r="AH124" s="6"/>
    </row>
    <row r="125" spans="1:34" s="3" customFormat="1" ht="16" customHeight="1" thickTop="1">
      <c r="A125" s="7"/>
      <c r="B125" s="19" t="s">
        <v>1349</v>
      </c>
      <c r="C125" s="12"/>
      <c r="D125" s="186"/>
      <c r="E125" s="186"/>
      <c r="F125" s="186"/>
      <c r="G125" s="186"/>
      <c r="H125" s="186"/>
      <c r="I125" s="186"/>
      <c r="J125" s="186"/>
      <c r="K125" s="186"/>
      <c r="L125" s="278" t="s">
        <v>1429</v>
      </c>
      <c r="M125" s="186"/>
      <c r="N125" s="37" t="str">
        <f>J$6</f>
        <v>FY2010-11</v>
      </c>
      <c r="O125" s="186"/>
      <c r="P125" s="37" t="s">
        <v>1347</v>
      </c>
      <c r="Q125" s="189" t="s">
        <v>1397</v>
      </c>
      <c r="R125" s="186"/>
      <c r="S125" s="186" t="s">
        <v>871</v>
      </c>
      <c r="T125" s="187"/>
      <c r="U125" s="187"/>
      <c r="V125" s="188"/>
      <c r="W125" s="188"/>
      <c r="X125" s="188"/>
      <c r="Y125" s="188"/>
      <c r="Z125" s="188"/>
      <c r="AA125" s="188"/>
      <c r="AB125" s="188"/>
      <c r="AC125" s="188"/>
      <c r="AD125" s="188"/>
      <c r="AE125" s="188"/>
      <c r="AF125" s="188"/>
      <c r="AG125" s="188"/>
      <c r="AH125" s="6"/>
    </row>
    <row r="126" spans="1:34" s="3" customFormat="1" ht="16" customHeight="1">
      <c r="A126" s="7"/>
      <c r="B126" s="16">
        <f>DSUM('$REV-DB'!D35:AG374,"AMOUNT",D124:AG125)</f>
        <v>5966380.5599999996</v>
      </c>
      <c r="C126" s="12"/>
      <c r="D126" s="896"/>
      <c r="E126" s="896"/>
      <c r="F126" s="896"/>
      <c r="G126" s="896"/>
      <c r="H126" s="896"/>
      <c r="I126" s="896"/>
      <c r="J126" s="896"/>
      <c r="K126" s="896"/>
      <c r="L126" s="897"/>
      <c r="M126" s="896"/>
      <c r="N126" s="889"/>
      <c r="O126" s="896"/>
      <c r="P126" s="889"/>
      <c r="Q126" s="900"/>
      <c r="R126" s="896"/>
      <c r="S126" s="896"/>
      <c r="T126" s="898"/>
      <c r="U126" s="898"/>
      <c r="V126" s="899"/>
      <c r="W126" s="899"/>
      <c r="X126" s="899"/>
      <c r="Y126" s="899"/>
      <c r="Z126" s="899"/>
      <c r="AA126" s="899"/>
      <c r="AB126" s="899"/>
      <c r="AC126" s="899"/>
      <c r="AD126" s="899"/>
      <c r="AE126" s="899"/>
      <c r="AF126" s="899"/>
      <c r="AG126" s="899"/>
      <c r="AH126" s="6"/>
    </row>
    <row r="127" spans="1:34" s="3" customFormat="1" ht="16" customHeight="1">
      <c r="A127" s="7"/>
      <c r="B127" s="10"/>
      <c r="C127" s="12"/>
      <c r="D127" s="896"/>
      <c r="E127" s="896"/>
      <c r="F127" s="896"/>
      <c r="G127" s="896"/>
      <c r="H127" s="896"/>
      <c r="I127" s="896"/>
      <c r="J127" s="896"/>
      <c r="K127" s="896"/>
      <c r="L127" s="897"/>
      <c r="M127" s="896"/>
      <c r="N127" s="889"/>
      <c r="O127" s="896"/>
      <c r="P127" s="889"/>
      <c r="Q127" s="900"/>
      <c r="R127" s="896"/>
      <c r="S127" s="896"/>
      <c r="T127" s="898"/>
      <c r="U127" s="898"/>
      <c r="V127" s="899"/>
      <c r="W127" s="899"/>
      <c r="X127" s="899"/>
      <c r="Y127" s="899"/>
      <c r="Z127" s="899"/>
      <c r="AA127" s="899"/>
      <c r="AB127" s="899"/>
      <c r="AC127" s="899"/>
      <c r="AD127" s="899"/>
      <c r="AE127" s="899"/>
      <c r="AF127" s="899"/>
      <c r="AG127" s="899"/>
    </row>
    <row r="128" spans="1:34" s="3" customFormat="1" ht="16" customHeight="1">
      <c r="A128" s="7"/>
      <c r="B128" s="10"/>
      <c r="C128" s="12"/>
      <c r="D128" s="896"/>
      <c r="E128" s="896"/>
      <c r="F128" s="896"/>
      <c r="G128" s="896"/>
      <c r="H128" s="896"/>
      <c r="I128" s="896"/>
      <c r="J128" s="896"/>
      <c r="K128" s="896"/>
      <c r="L128" s="897"/>
      <c r="M128" s="896"/>
      <c r="N128" s="889"/>
      <c r="O128" s="896"/>
      <c r="P128" s="889"/>
      <c r="Q128" s="900"/>
      <c r="R128" s="896"/>
      <c r="S128" s="896"/>
      <c r="T128" s="898"/>
      <c r="U128" s="898"/>
      <c r="V128" s="899"/>
      <c r="W128" s="899"/>
      <c r="X128" s="899"/>
      <c r="Y128" s="899"/>
      <c r="Z128" s="899"/>
      <c r="AA128" s="899"/>
      <c r="AB128" s="899"/>
      <c r="AC128" s="899"/>
      <c r="AD128" s="899"/>
      <c r="AE128" s="899"/>
      <c r="AF128" s="899"/>
      <c r="AG128" s="899"/>
    </row>
    <row r="129" spans="1:34" s="3" customFormat="1" ht="16" customHeight="1">
      <c r="A129" s="7"/>
      <c r="B129" s="10"/>
      <c r="C129" s="12"/>
      <c r="D129" s="896"/>
      <c r="E129" s="896"/>
      <c r="F129" s="896"/>
      <c r="G129" s="896"/>
      <c r="H129" s="896"/>
      <c r="I129" s="896"/>
      <c r="J129" s="896"/>
      <c r="K129" s="896"/>
      <c r="L129" s="897"/>
      <c r="M129" s="896"/>
      <c r="N129" s="889"/>
      <c r="O129" s="896"/>
      <c r="P129" s="889"/>
      <c r="Q129" s="900"/>
      <c r="R129" s="896"/>
      <c r="S129" s="896"/>
      <c r="T129" s="898"/>
      <c r="U129" s="898"/>
      <c r="V129" s="899"/>
      <c r="W129" s="899"/>
      <c r="X129" s="899"/>
      <c r="Y129" s="899"/>
      <c r="Z129" s="899"/>
      <c r="AA129" s="899"/>
      <c r="AB129" s="899"/>
      <c r="AC129" s="899"/>
      <c r="AD129" s="899"/>
      <c r="AE129" s="899"/>
      <c r="AF129" s="899"/>
      <c r="AG129" s="899"/>
    </row>
    <row r="130" spans="1:34" s="3" customFormat="1" ht="16" customHeight="1">
      <c r="A130" s="7"/>
      <c r="B130" s="10"/>
      <c r="C130" s="12"/>
      <c r="D130" s="896"/>
      <c r="E130" s="896"/>
      <c r="F130" s="896"/>
      <c r="G130" s="896"/>
      <c r="H130" s="896"/>
      <c r="I130" s="896"/>
      <c r="J130" s="896"/>
      <c r="K130" s="896"/>
      <c r="L130" s="897"/>
      <c r="M130" s="896"/>
      <c r="N130" s="889"/>
      <c r="O130" s="896"/>
      <c r="P130" s="889"/>
      <c r="Q130" s="900"/>
      <c r="R130" s="896"/>
      <c r="S130" s="896"/>
      <c r="T130" s="898"/>
      <c r="U130" s="898"/>
      <c r="V130" s="899"/>
      <c r="W130" s="899"/>
      <c r="X130" s="899"/>
      <c r="Y130" s="899"/>
      <c r="Z130" s="899"/>
      <c r="AA130" s="899"/>
      <c r="AB130" s="899"/>
      <c r="AC130" s="899"/>
      <c r="AD130" s="899"/>
      <c r="AE130" s="899"/>
      <c r="AF130" s="899"/>
      <c r="AG130" s="899"/>
    </row>
    <row r="131" spans="1:34" s="3" customFormat="1" ht="16" customHeight="1">
      <c r="A131" s="7"/>
      <c r="B131" s="10"/>
      <c r="C131" s="12"/>
      <c r="D131" s="896"/>
      <c r="E131" s="896"/>
      <c r="F131" s="896"/>
      <c r="G131" s="896"/>
      <c r="H131" s="896"/>
      <c r="I131" s="896"/>
      <c r="J131" s="896"/>
      <c r="K131" s="896"/>
      <c r="L131" s="897"/>
      <c r="M131" s="896"/>
      <c r="N131" s="889"/>
      <c r="O131" s="896"/>
      <c r="P131" s="889"/>
      <c r="Q131" s="900"/>
      <c r="R131" s="896"/>
      <c r="S131" s="896"/>
      <c r="T131" s="898"/>
      <c r="U131" s="898"/>
      <c r="V131" s="899"/>
      <c r="W131" s="899"/>
      <c r="X131" s="899"/>
      <c r="Y131" s="899"/>
      <c r="Z131" s="899"/>
      <c r="AA131" s="899"/>
      <c r="AB131" s="899"/>
      <c r="AC131" s="899"/>
      <c r="AD131" s="899"/>
      <c r="AE131" s="899"/>
      <c r="AF131" s="899"/>
      <c r="AG131" s="899"/>
    </row>
    <row r="132" spans="1:34" s="3" customFormat="1" ht="16" customHeight="1">
      <c r="A132" s="11"/>
      <c r="B132" s="12"/>
      <c r="C132" s="12"/>
      <c r="D132" s="13"/>
      <c r="E132" s="13"/>
      <c r="F132" s="14"/>
      <c r="G132" s="13"/>
      <c r="H132" s="14"/>
      <c r="I132" s="14"/>
      <c r="J132" s="13"/>
      <c r="K132" s="13"/>
      <c r="L132" s="279"/>
      <c r="M132" s="14"/>
      <c r="N132" s="14"/>
      <c r="O132" s="13"/>
      <c r="P132" s="14"/>
      <c r="Q132" s="14"/>
      <c r="R132" s="13"/>
      <c r="S132" s="14"/>
      <c r="T132" s="13"/>
      <c r="U132" s="13"/>
      <c r="V132" s="11"/>
      <c r="W132" s="11"/>
      <c r="X132" s="11"/>
      <c r="Y132" s="11"/>
      <c r="Z132" s="11"/>
      <c r="AA132" s="11"/>
      <c r="AB132" s="11"/>
      <c r="AC132" s="11"/>
      <c r="AD132" s="11"/>
      <c r="AE132" s="11"/>
      <c r="AF132" s="11"/>
      <c r="AG132" s="11"/>
    </row>
    <row r="133" spans="1:34" s="3" customFormat="1" ht="16" customHeight="1" thickBot="1">
      <c r="A133" s="7"/>
      <c r="B133" s="19" t="s">
        <v>1395</v>
      </c>
      <c r="C133" s="7"/>
      <c r="D133" s="8"/>
      <c r="E133" s="8"/>
      <c r="F133" s="9"/>
      <c r="G133" s="8"/>
      <c r="H133" s="9"/>
      <c r="I133" s="9"/>
      <c r="J133" s="8"/>
      <c r="K133" s="8"/>
      <c r="L133" s="280"/>
      <c r="M133" s="9"/>
      <c r="N133" s="9"/>
      <c r="O133" s="8"/>
      <c r="P133" s="9"/>
      <c r="Q133" s="9"/>
      <c r="R133" s="8"/>
      <c r="S133" s="882"/>
      <c r="T133" s="883" t="str">
        <f>'$REV-DB'!$T$34</f>
        <v>Federal Revenues</v>
      </c>
      <c r="U133" s="883" t="str">
        <f>'$REV-DB'!$U$34</f>
        <v>local Revenues</v>
      </c>
      <c r="V133" s="883" t="str">
        <f>'$REV-DB'!$V$34</f>
        <v>Other Revenues</v>
      </c>
      <c r="W133" s="883" t="str">
        <f>'$REV-DB'!$W$34</f>
        <v>State revenues</v>
      </c>
      <c r="X133" s="883" t="str">
        <f>'$REV-DB'!$X$34</f>
        <v>UD5</v>
      </c>
      <c r="Y133" s="883" t="str">
        <f>'$REV-DB'!$Y$34</f>
        <v>UD6</v>
      </c>
      <c r="Z133" s="883" t="str">
        <f>'$REV-DB'!$Z$34</f>
        <v>UD7</v>
      </c>
      <c r="AA133" s="883" t="str">
        <f>'$REV-DB'!$AA$34</f>
        <v>UD8</v>
      </c>
      <c r="AB133" s="883" t="str">
        <f>'$REV-DB'!$AB$34</f>
        <v>UD9</v>
      </c>
      <c r="AC133" s="883" t="str">
        <f>'$REV-DB'!$AC$34</f>
        <v>UD10</v>
      </c>
      <c r="AD133" s="883" t="str">
        <f>'$REV-DB'!$AD$34</f>
        <v>UD11</v>
      </c>
      <c r="AE133" s="883" t="str">
        <f>'$REV-DB'!$AE$34</f>
        <v>UD12</v>
      </c>
      <c r="AF133" s="883" t="str">
        <f>'$REV-DB'!$AF$34</f>
        <v>UD13</v>
      </c>
      <c r="AG133" s="883" t="str">
        <f>'$REV-DB'!$AG$34</f>
        <v>UD14</v>
      </c>
    </row>
    <row r="134" spans="1:34" s="3" customFormat="1" ht="16" customHeight="1" thickTop="1" thickBot="1">
      <c r="A134" s="7"/>
      <c r="B134" s="20" t="s">
        <v>1375</v>
      </c>
      <c r="C134" s="15"/>
      <c r="D134" s="877" t="s">
        <v>1386</v>
      </c>
      <c r="E134" s="877" t="s">
        <v>1387</v>
      </c>
      <c r="F134" s="877" t="s">
        <v>1388</v>
      </c>
      <c r="G134" s="877" t="s">
        <v>1389</v>
      </c>
      <c r="H134" s="877" t="s">
        <v>1406</v>
      </c>
      <c r="I134" s="877" t="s">
        <v>1390</v>
      </c>
      <c r="J134" s="877" t="s">
        <v>1391</v>
      </c>
      <c r="K134" s="877" t="s">
        <v>1392</v>
      </c>
      <c r="L134" s="877" t="s">
        <v>1188</v>
      </c>
      <c r="M134" s="877" t="s">
        <v>1437</v>
      </c>
      <c r="N134" s="877" t="s">
        <v>1348</v>
      </c>
      <c r="O134" s="877" t="s">
        <v>1393</v>
      </c>
      <c r="P134" s="877" t="s">
        <v>1342</v>
      </c>
      <c r="Q134" s="877" t="s">
        <v>1394</v>
      </c>
      <c r="R134" s="112" t="s">
        <v>1341</v>
      </c>
      <c r="S134" s="112" t="s">
        <v>846</v>
      </c>
      <c r="T134" s="877" t="s">
        <v>935</v>
      </c>
      <c r="U134" s="877" t="s">
        <v>936</v>
      </c>
      <c r="V134" s="877" t="s">
        <v>937</v>
      </c>
      <c r="W134" s="877" t="s">
        <v>938</v>
      </c>
      <c r="X134" s="877" t="s">
        <v>939</v>
      </c>
      <c r="Y134" s="877" t="s">
        <v>940</v>
      </c>
      <c r="Z134" s="877" t="s">
        <v>941</v>
      </c>
      <c r="AA134" s="877" t="s">
        <v>942</v>
      </c>
      <c r="AB134" s="877" t="s">
        <v>943</v>
      </c>
      <c r="AC134" s="877" t="s">
        <v>944</v>
      </c>
      <c r="AD134" s="877" t="s">
        <v>945</v>
      </c>
      <c r="AE134" s="877" t="s">
        <v>946</v>
      </c>
      <c r="AF134" s="877" t="s">
        <v>947</v>
      </c>
      <c r="AG134" s="877" t="s">
        <v>948</v>
      </c>
      <c r="AH134" s="6"/>
    </row>
    <row r="135" spans="1:34" s="3" customFormat="1" ht="16" customHeight="1" thickTop="1">
      <c r="A135" s="7"/>
      <c r="B135" s="19" t="s">
        <v>1178</v>
      </c>
      <c r="C135" s="12"/>
      <c r="D135" s="186"/>
      <c r="E135" s="186"/>
      <c r="F135" s="186"/>
      <c r="G135" s="186"/>
      <c r="H135" s="186"/>
      <c r="I135" s="186"/>
      <c r="J135" s="186"/>
      <c r="K135" s="186"/>
      <c r="L135" s="278" t="s">
        <v>1429</v>
      </c>
      <c r="M135" s="186"/>
      <c r="N135" s="37" t="str">
        <f>J$6</f>
        <v>FY2010-11</v>
      </c>
      <c r="O135" s="186"/>
      <c r="P135" s="37" t="s">
        <v>1347</v>
      </c>
      <c r="Q135" s="189" t="s">
        <v>1465</v>
      </c>
      <c r="R135" s="186"/>
      <c r="S135" s="186" t="s">
        <v>871</v>
      </c>
      <c r="T135" s="187"/>
      <c r="U135" s="187"/>
      <c r="V135" s="188"/>
      <c r="W135" s="188"/>
      <c r="X135" s="188"/>
      <c r="Y135" s="188"/>
      <c r="Z135" s="188"/>
      <c r="AA135" s="188"/>
      <c r="AB135" s="188"/>
      <c r="AC135" s="188"/>
      <c r="AD135" s="188"/>
      <c r="AE135" s="188"/>
      <c r="AF135" s="188"/>
      <c r="AG135" s="188"/>
      <c r="AH135" s="6"/>
    </row>
    <row r="136" spans="1:34" s="3" customFormat="1" ht="16" customHeight="1">
      <c r="A136" s="7"/>
      <c r="B136" s="16">
        <f>DSUM('$REV-DB'!D35:AG374,"AMOUNT",D134:AG135)</f>
        <v>0</v>
      </c>
      <c r="C136" s="12"/>
      <c r="D136" s="896"/>
      <c r="E136" s="896"/>
      <c r="F136" s="896"/>
      <c r="G136" s="896"/>
      <c r="H136" s="896"/>
      <c r="I136" s="896"/>
      <c r="J136" s="896"/>
      <c r="K136" s="896"/>
      <c r="L136" s="897"/>
      <c r="M136" s="896"/>
      <c r="N136" s="889"/>
      <c r="O136" s="896"/>
      <c r="P136" s="889"/>
      <c r="Q136" s="900"/>
      <c r="R136" s="896"/>
      <c r="S136" s="896"/>
      <c r="T136" s="898"/>
      <c r="U136" s="898"/>
      <c r="V136" s="899"/>
      <c r="W136" s="899"/>
      <c r="X136" s="899"/>
      <c r="Y136" s="899"/>
      <c r="Z136" s="899"/>
      <c r="AA136" s="899"/>
      <c r="AB136" s="899"/>
      <c r="AC136" s="899"/>
      <c r="AD136" s="899"/>
      <c r="AE136" s="899"/>
      <c r="AF136" s="899"/>
      <c r="AG136" s="899"/>
      <c r="AH136" s="6"/>
    </row>
    <row r="137" spans="1:34" s="3" customFormat="1" ht="16" customHeight="1">
      <c r="A137" s="7"/>
      <c r="B137" s="10"/>
      <c r="C137" s="12"/>
      <c r="D137" s="896"/>
      <c r="E137" s="896"/>
      <c r="F137" s="896"/>
      <c r="G137" s="896"/>
      <c r="H137" s="896"/>
      <c r="I137" s="896"/>
      <c r="J137" s="896"/>
      <c r="K137" s="896"/>
      <c r="L137" s="897"/>
      <c r="M137" s="896"/>
      <c r="N137" s="889"/>
      <c r="O137" s="896"/>
      <c r="P137" s="889"/>
      <c r="Q137" s="900"/>
      <c r="R137" s="896"/>
      <c r="S137" s="896"/>
      <c r="T137" s="898"/>
      <c r="U137" s="898"/>
      <c r="V137" s="899"/>
      <c r="W137" s="899"/>
      <c r="X137" s="899"/>
      <c r="Y137" s="899"/>
      <c r="Z137" s="899"/>
      <c r="AA137" s="899"/>
      <c r="AB137" s="899"/>
      <c r="AC137" s="899"/>
      <c r="AD137" s="899"/>
      <c r="AE137" s="899"/>
      <c r="AF137" s="899"/>
      <c r="AG137" s="899"/>
    </row>
    <row r="138" spans="1:34" s="3" customFormat="1" ht="16" customHeight="1">
      <c r="A138" s="7"/>
      <c r="B138" s="10"/>
      <c r="C138" s="12"/>
      <c r="D138" s="896"/>
      <c r="E138" s="896"/>
      <c r="F138" s="896"/>
      <c r="G138" s="896"/>
      <c r="H138" s="896"/>
      <c r="I138" s="896"/>
      <c r="J138" s="896"/>
      <c r="K138" s="896"/>
      <c r="L138" s="897"/>
      <c r="M138" s="896"/>
      <c r="N138" s="889"/>
      <c r="O138" s="896"/>
      <c r="P138" s="889"/>
      <c r="Q138" s="900"/>
      <c r="R138" s="896"/>
      <c r="S138" s="896"/>
      <c r="T138" s="898"/>
      <c r="U138" s="898"/>
      <c r="V138" s="899"/>
      <c r="W138" s="899"/>
      <c r="X138" s="899"/>
      <c r="Y138" s="899"/>
      <c r="Z138" s="899"/>
      <c r="AA138" s="899"/>
      <c r="AB138" s="899"/>
      <c r="AC138" s="899"/>
      <c r="AD138" s="899"/>
      <c r="AE138" s="899"/>
      <c r="AF138" s="899"/>
      <c r="AG138" s="899"/>
    </row>
    <row r="139" spans="1:34" s="3" customFormat="1" ht="16" customHeight="1">
      <c r="A139" s="7"/>
      <c r="B139" s="10"/>
      <c r="C139" s="12"/>
      <c r="D139" s="896"/>
      <c r="E139" s="896"/>
      <c r="F139" s="896"/>
      <c r="G139" s="896"/>
      <c r="H139" s="896"/>
      <c r="I139" s="896"/>
      <c r="J139" s="896"/>
      <c r="K139" s="896"/>
      <c r="L139" s="897"/>
      <c r="M139" s="896"/>
      <c r="N139" s="889"/>
      <c r="O139" s="896"/>
      <c r="P139" s="889"/>
      <c r="Q139" s="900"/>
      <c r="R139" s="896"/>
      <c r="S139" s="896"/>
      <c r="T139" s="898"/>
      <c r="U139" s="898"/>
      <c r="V139" s="899"/>
      <c r="W139" s="899"/>
      <c r="X139" s="899"/>
      <c r="Y139" s="899"/>
      <c r="Z139" s="899"/>
      <c r="AA139" s="899"/>
      <c r="AB139" s="899"/>
      <c r="AC139" s="899"/>
      <c r="AD139" s="899"/>
      <c r="AE139" s="899"/>
      <c r="AF139" s="899"/>
      <c r="AG139" s="899"/>
    </row>
    <row r="140" spans="1:34" s="3" customFormat="1" ht="16" customHeight="1">
      <c r="A140" s="7"/>
      <c r="B140" s="10"/>
      <c r="C140" s="12"/>
      <c r="D140" s="896"/>
      <c r="E140" s="896"/>
      <c r="F140" s="896"/>
      <c r="G140" s="896"/>
      <c r="H140" s="896"/>
      <c r="I140" s="896"/>
      <c r="J140" s="896"/>
      <c r="K140" s="896"/>
      <c r="L140" s="897"/>
      <c r="M140" s="896"/>
      <c r="N140" s="889"/>
      <c r="O140" s="896"/>
      <c r="P140" s="889"/>
      <c r="Q140" s="900"/>
      <c r="R140" s="896"/>
      <c r="S140" s="896"/>
      <c r="T140" s="898"/>
      <c r="U140" s="898"/>
      <c r="V140" s="899"/>
      <c r="W140" s="899"/>
      <c r="X140" s="899"/>
      <c r="Y140" s="899"/>
      <c r="Z140" s="899"/>
      <c r="AA140" s="899"/>
      <c r="AB140" s="899"/>
      <c r="AC140" s="899"/>
      <c r="AD140" s="899"/>
      <c r="AE140" s="899"/>
      <c r="AF140" s="899"/>
      <c r="AG140" s="899"/>
    </row>
    <row r="141" spans="1:34" s="3" customFormat="1" ht="16" customHeight="1">
      <c r="A141" s="7"/>
      <c r="B141" s="10"/>
      <c r="C141" s="12"/>
      <c r="D141" s="896"/>
      <c r="E141" s="896"/>
      <c r="F141" s="896"/>
      <c r="G141" s="896"/>
      <c r="H141" s="896"/>
      <c r="I141" s="896"/>
      <c r="J141" s="896"/>
      <c r="K141" s="896"/>
      <c r="L141" s="897"/>
      <c r="M141" s="896"/>
      <c r="N141" s="889"/>
      <c r="O141" s="896"/>
      <c r="P141" s="889"/>
      <c r="Q141" s="900"/>
      <c r="R141" s="896"/>
      <c r="S141" s="896"/>
      <c r="T141" s="898"/>
      <c r="U141" s="898"/>
      <c r="V141" s="899"/>
      <c r="W141" s="899"/>
      <c r="X141" s="899"/>
      <c r="Y141" s="899"/>
      <c r="Z141" s="899"/>
      <c r="AA141" s="899"/>
      <c r="AB141" s="899"/>
      <c r="AC141" s="899"/>
      <c r="AD141" s="899"/>
      <c r="AE141" s="899"/>
      <c r="AF141" s="899"/>
      <c r="AG141" s="899"/>
    </row>
    <row r="142" spans="1:34" s="3" customFormat="1" ht="16" customHeight="1">
      <c r="A142" s="11"/>
      <c r="B142" s="12"/>
      <c r="C142" s="12"/>
      <c r="D142" s="13"/>
      <c r="E142" s="13"/>
      <c r="F142" s="14"/>
      <c r="G142" s="13"/>
      <c r="H142" s="14"/>
      <c r="I142" s="14"/>
      <c r="J142" s="13"/>
      <c r="K142" s="13"/>
      <c r="L142" s="279"/>
      <c r="M142" s="14"/>
      <c r="N142" s="14"/>
      <c r="O142" s="13"/>
      <c r="P142" s="14"/>
      <c r="Q142" s="14"/>
      <c r="R142" s="13"/>
      <c r="S142" s="14"/>
      <c r="T142" s="13"/>
      <c r="U142" s="13"/>
      <c r="V142" s="11"/>
      <c r="W142" s="11"/>
      <c r="X142" s="11"/>
      <c r="Y142" s="11"/>
      <c r="Z142" s="11"/>
      <c r="AA142" s="11"/>
      <c r="AB142" s="11"/>
      <c r="AC142" s="11"/>
      <c r="AD142" s="11"/>
      <c r="AE142" s="11"/>
      <c r="AF142" s="11"/>
      <c r="AG142" s="11"/>
    </row>
    <row r="143" spans="1:34" s="3" customFormat="1" ht="16" customHeight="1" thickBot="1">
      <c r="A143" s="7"/>
      <c r="B143" s="19" t="s">
        <v>1395</v>
      </c>
      <c r="C143" s="7"/>
      <c r="D143" s="8"/>
      <c r="E143" s="8"/>
      <c r="F143" s="9"/>
      <c r="G143" s="8"/>
      <c r="H143" s="9"/>
      <c r="I143" s="9"/>
      <c r="J143" s="8"/>
      <c r="K143" s="8"/>
      <c r="L143" s="280"/>
      <c r="M143" s="9"/>
      <c r="N143" s="9"/>
      <c r="O143" s="8"/>
      <c r="P143" s="9"/>
      <c r="Q143" s="9"/>
      <c r="R143" s="8"/>
      <c r="S143" s="882"/>
      <c r="T143" s="883" t="str">
        <f>'$REV-DB'!$T$34</f>
        <v>Federal Revenues</v>
      </c>
      <c r="U143" s="883" t="str">
        <f>'$REV-DB'!$U$34</f>
        <v>local Revenues</v>
      </c>
      <c r="V143" s="883" t="str">
        <f>'$REV-DB'!$V$34</f>
        <v>Other Revenues</v>
      </c>
      <c r="W143" s="883" t="str">
        <f>'$REV-DB'!$W$34</f>
        <v>State revenues</v>
      </c>
      <c r="X143" s="883" t="str">
        <f>'$REV-DB'!$X$34</f>
        <v>UD5</v>
      </c>
      <c r="Y143" s="883" t="str">
        <f>'$REV-DB'!$Y$34</f>
        <v>UD6</v>
      </c>
      <c r="Z143" s="883" t="str">
        <f>'$REV-DB'!$Z$34</f>
        <v>UD7</v>
      </c>
      <c r="AA143" s="883" t="str">
        <f>'$REV-DB'!$AA$34</f>
        <v>UD8</v>
      </c>
      <c r="AB143" s="883" t="str">
        <f>'$REV-DB'!$AB$34</f>
        <v>UD9</v>
      </c>
      <c r="AC143" s="883" t="str">
        <f>'$REV-DB'!$AC$34</f>
        <v>UD10</v>
      </c>
      <c r="AD143" s="883" t="str">
        <f>'$REV-DB'!$AD$34</f>
        <v>UD11</v>
      </c>
      <c r="AE143" s="883" t="str">
        <f>'$REV-DB'!$AE$34</f>
        <v>UD12</v>
      </c>
      <c r="AF143" s="883" t="str">
        <f>'$REV-DB'!$AF$34</f>
        <v>UD13</v>
      </c>
      <c r="AG143" s="883" t="str">
        <f>'$REV-DB'!$AG$34</f>
        <v>UD14</v>
      </c>
    </row>
    <row r="144" spans="1:34" s="3" customFormat="1" ht="16" customHeight="1" thickTop="1" thickBot="1">
      <c r="A144" s="7"/>
      <c r="B144" s="20" t="s">
        <v>1375</v>
      </c>
      <c r="C144" s="15"/>
      <c r="D144" s="877" t="s">
        <v>1386</v>
      </c>
      <c r="E144" s="877" t="s">
        <v>1387</v>
      </c>
      <c r="F144" s="877" t="s">
        <v>1388</v>
      </c>
      <c r="G144" s="877" t="s">
        <v>1389</v>
      </c>
      <c r="H144" s="877" t="s">
        <v>1406</v>
      </c>
      <c r="I144" s="877" t="s">
        <v>1390</v>
      </c>
      <c r="J144" s="877" t="s">
        <v>1391</v>
      </c>
      <c r="K144" s="877" t="s">
        <v>1392</v>
      </c>
      <c r="L144" s="877" t="s">
        <v>1188</v>
      </c>
      <c r="M144" s="877" t="s">
        <v>1437</v>
      </c>
      <c r="N144" s="877" t="s">
        <v>1348</v>
      </c>
      <c r="O144" s="877" t="s">
        <v>1393</v>
      </c>
      <c r="P144" s="877" t="s">
        <v>1342</v>
      </c>
      <c r="Q144" s="877" t="s">
        <v>1394</v>
      </c>
      <c r="R144" s="112" t="s">
        <v>1341</v>
      </c>
      <c r="S144" s="112" t="s">
        <v>846</v>
      </c>
      <c r="T144" s="877" t="s">
        <v>935</v>
      </c>
      <c r="U144" s="877" t="s">
        <v>936</v>
      </c>
      <c r="V144" s="877" t="s">
        <v>937</v>
      </c>
      <c r="W144" s="877" t="s">
        <v>938</v>
      </c>
      <c r="X144" s="877" t="s">
        <v>939</v>
      </c>
      <c r="Y144" s="877" t="s">
        <v>940</v>
      </c>
      <c r="Z144" s="877" t="s">
        <v>941</v>
      </c>
      <c r="AA144" s="877" t="s">
        <v>942</v>
      </c>
      <c r="AB144" s="877" t="s">
        <v>943</v>
      </c>
      <c r="AC144" s="877" t="s">
        <v>944</v>
      </c>
      <c r="AD144" s="877" t="s">
        <v>945</v>
      </c>
      <c r="AE144" s="877" t="s">
        <v>946</v>
      </c>
      <c r="AF144" s="877" t="s">
        <v>947</v>
      </c>
      <c r="AG144" s="877" t="s">
        <v>948</v>
      </c>
      <c r="AH144" s="6"/>
    </row>
    <row r="145" spans="1:34" s="3" customFormat="1" ht="16" customHeight="1" thickTop="1">
      <c r="A145" s="7"/>
      <c r="B145" s="19" t="s">
        <v>1350</v>
      </c>
      <c r="C145" s="12"/>
      <c r="D145" s="186"/>
      <c r="E145" s="186"/>
      <c r="F145" s="186"/>
      <c r="G145" s="186"/>
      <c r="H145" s="186"/>
      <c r="I145" s="186"/>
      <c r="J145" s="186"/>
      <c r="K145" s="186"/>
      <c r="L145" s="278" t="s">
        <v>1429</v>
      </c>
      <c r="M145" s="186"/>
      <c r="N145" s="37" t="str">
        <f>J$6</f>
        <v>FY2010-11</v>
      </c>
      <c r="O145" s="186"/>
      <c r="P145" s="37" t="s">
        <v>1347</v>
      </c>
      <c r="Q145" s="189" t="s">
        <v>1340</v>
      </c>
      <c r="R145" s="186"/>
      <c r="S145" s="186" t="s">
        <v>871</v>
      </c>
      <c r="T145" s="187"/>
      <c r="U145" s="187"/>
      <c r="V145" s="188"/>
      <c r="W145" s="188"/>
      <c r="X145" s="188"/>
      <c r="Y145" s="188"/>
      <c r="Z145" s="188"/>
      <c r="AA145" s="188"/>
      <c r="AB145" s="188"/>
      <c r="AC145" s="188"/>
      <c r="AD145" s="188"/>
      <c r="AE145" s="188"/>
      <c r="AF145" s="188"/>
      <c r="AG145" s="188"/>
      <c r="AH145" s="6"/>
    </row>
    <row r="146" spans="1:34" s="3" customFormat="1" ht="16" customHeight="1">
      <c r="A146" s="7"/>
      <c r="B146" s="16">
        <f>DSUM('$REV-DB'!D35:AG374,"AMOUNT",D144:AG145)</f>
        <v>0</v>
      </c>
      <c r="C146" s="12"/>
      <c r="D146" s="896"/>
      <c r="E146" s="896"/>
      <c r="F146" s="896"/>
      <c r="G146" s="896"/>
      <c r="H146" s="896"/>
      <c r="I146" s="896"/>
      <c r="J146" s="896"/>
      <c r="K146" s="896"/>
      <c r="L146" s="897"/>
      <c r="M146" s="896"/>
      <c r="N146" s="889"/>
      <c r="O146" s="896"/>
      <c r="P146" s="889"/>
      <c r="Q146" s="900"/>
      <c r="R146" s="896"/>
      <c r="S146" s="896"/>
      <c r="T146" s="898"/>
      <c r="U146" s="898"/>
      <c r="V146" s="899"/>
      <c r="W146" s="899"/>
      <c r="X146" s="899"/>
      <c r="Y146" s="899"/>
      <c r="Z146" s="899"/>
      <c r="AA146" s="899"/>
      <c r="AB146" s="899"/>
      <c r="AC146" s="899"/>
      <c r="AD146" s="899"/>
      <c r="AE146" s="899"/>
      <c r="AF146" s="899"/>
      <c r="AG146" s="899"/>
      <c r="AH146" s="6"/>
    </row>
    <row r="147" spans="1:34" s="3" customFormat="1" ht="16" customHeight="1">
      <c r="A147" s="7"/>
      <c r="B147" s="10"/>
      <c r="C147" s="12"/>
      <c r="D147" s="896"/>
      <c r="E147" s="896"/>
      <c r="F147" s="896"/>
      <c r="G147" s="896"/>
      <c r="H147" s="896"/>
      <c r="I147" s="896"/>
      <c r="J147" s="896"/>
      <c r="K147" s="896"/>
      <c r="L147" s="897"/>
      <c r="M147" s="896"/>
      <c r="N147" s="889"/>
      <c r="O147" s="896"/>
      <c r="P147" s="889"/>
      <c r="Q147" s="900"/>
      <c r="R147" s="896"/>
      <c r="S147" s="896"/>
      <c r="T147" s="898"/>
      <c r="U147" s="898"/>
      <c r="V147" s="899"/>
      <c r="W147" s="899"/>
      <c r="X147" s="899"/>
      <c r="Y147" s="899"/>
      <c r="Z147" s="899"/>
      <c r="AA147" s="899"/>
      <c r="AB147" s="899"/>
      <c r="AC147" s="899"/>
      <c r="AD147" s="899"/>
      <c r="AE147" s="899"/>
      <c r="AF147" s="899"/>
      <c r="AG147" s="899"/>
    </row>
    <row r="148" spans="1:34" s="3" customFormat="1" ht="16" customHeight="1">
      <c r="A148" s="7"/>
      <c r="B148" s="10"/>
      <c r="C148" s="12"/>
      <c r="D148" s="896"/>
      <c r="E148" s="896"/>
      <c r="F148" s="896"/>
      <c r="G148" s="896"/>
      <c r="H148" s="896"/>
      <c r="I148" s="896"/>
      <c r="J148" s="896"/>
      <c r="K148" s="896"/>
      <c r="L148" s="897"/>
      <c r="M148" s="896"/>
      <c r="N148" s="889"/>
      <c r="O148" s="896"/>
      <c r="P148" s="889"/>
      <c r="Q148" s="900"/>
      <c r="R148" s="896"/>
      <c r="S148" s="896"/>
      <c r="T148" s="898"/>
      <c r="U148" s="898"/>
      <c r="V148" s="899"/>
      <c r="W148" s="899"/>
      <c r="X148" s="899"/>
      <c r="Y148" s="899"/>
      <c r="Z148" s="899"/>
      <c r="AA148" s="899"/>
      <c r="AB148" s="899"/>
      <c r="AC148" s="899"/>
      <c r="AD148" s="899"/>
      <c r="AE148" s="899"/>
      <c r="AF148" s="899"/>
      <c r="AG148" s="899"/>
    </row>
    <row r="149" spans="1:34" s="3" customFormat="1" ht="16" customHeight="1">
      <c r="A149" s="7"/>
      <c r="B149" s="10"/>
      <c r="C149" s="12"/>
      <c r="D149" s="896"/>
      <c r="E149" s="896"/>
      <c r="F149" s="896"/>
      <c r="G149" s="896"/>
      <c r="H149" s="896"/>
      <c r="I149" s="896"/>
      <c r="J149" s="896"/>
      <c r="K149" s="896"/>
      <c r="L149" s="897"/>
      <c r="M149" s="896"/>
      <c r="N149" s="889"/>
      <c r="O149" s="896"/>
      <c r="P149" s="889"/>
      <c r="Q149" s="900"/>
      <c r="R149" s="896"/>
      <c r="S149" s="896"/>
      <c r="T149" s="898"/>
      <c r="U149" s="898"/>
      <c r="V149" s="899"/>
      <c r="W149" s="899"/>
      <c r="X149" s="899"/>
      <c r="Y149" s="899"/>
      <c r="Z149" s="899"/>
      <c r="AA149" s="899"/>
      <c r="AB149" s="899"/>
      <c r="AC149" s="899"/>
      <c r="AD149" s="899"/>
      <c r="AE149" s="899"/>
      <c r="AF149" s="899"/>
      <c r="AG149" s="899"/>
    </row>
    <row r="150" spans="1:34" s="3" customFormat="1" ht="16" customHeight="1">
      <c r="A150" s="7"/>
      <c r="B150" s="10"/>
      <c r="C150" s="12"/>
      <c r="D150" s="896"/>
      <c r="E150" s="896"/>
      <c r="F150" s="896"/>
      <c r="G150" s="896"/>
      <c r="H150" s="896"/>
      <c r="I150" s="896"/>
      <c r="J150" s="896"/>
      <c r="K150" s="896"/>
      <c r="L150" s="897"/>
      <c r="M150" s="896"/>
      <c r="N150" s="889"/>
      <c r="O150" s="896"/>
      <c r="P150" s="889"/>
      <c r="Q150" s="900"/>
      <c r="R150" s="896"/>
      <c r="S150" s="896"/>
      <c r="T150" s="898"/>
      <c r="U150" s="898"/>
      <c r="V150" s="899"/>
      <c r="W150" s="899"/>
      <c r="X150" s="899"/>
      <c r="Y150" s="899"/>
      <c r="Z150" s="899"/>
      <c r="AA150" s="899"/>
      <c r="AB150" s="899"/>
      <c r="AC150" s="899"/>
      <c r="AD150" s="899"/>
      <c r="AE150" s="899"/>
      <c r="AF150" s="899"/>
      <c r="AG150" s="899"/>
    </row>
    <row r="151" spans="1:34" s="3" customFormat="1" ht="16" customHeight="1">
      <c r="A151" s="7"/>
      <c r="B151" s="10"/>
      <c r="C151" s="12"/>
      <c r="D151" s="896"/>
      <c r="E151" s="896"/>
      <c r="F151" s="896"/>
      <c r="G151" s="896"/>
      <c r="H151" s="896"/>
      <c r="I151" s="896"/>
      <c r="J151" s="896"/>
      <c r="K151" s="896"/>
      <c r="L151" s="897"/>
      <c r="M151" s="896"/>
      <c r="N151" s="889"/>
      <c r="O151" s="896"/>
      <c r="P151" s="889"/>
      <c r="Q151" s="900"/>
      <c r="R151" s="896"/>
      <c r="S151" s="896"/>
      <c r="T151" s="898"/>
      <c r="U151" s="898"/>
      <c r="V151" s="899"/>
      <c r="W151" s="899"/>
      <c r="X151" s="899"/>
      <c r="Y151" s="899"/>
      <c r="Z151" s="899"/>
      <c r="AA151" s="899"/>
      <c r="AB151" s="899"/>
      <c r="AC151" s="899"/>
      <c r="AD151" s="899"/>
      <c r="AE151" s="899"/>
      <c r="AF151" s="899"/>
      <c r="AG151" s="899"/>
    </row>
    <row r="152" spans="1:34" s="3" customFormat="1" ht="16" customHeight="1">
      <c r="A152" s="25"/>
      <c r="B152" s="26"/>
      <c r="C152" s="26"/>
      <c r="D152" s="27"/>
      <c r="E152" s="27"/>
      <c r="F152" s="28"/>
      <c r="G152" s="27"/>
      <c r="H152" s="28"/>
      <c r="I152" s="28"/>
      <c r="J152" s="27"/>
      <c r="K152" s="27"/>
      <c r="L152" s="282"/>
      <c r="M152" s="28"/>
      <c r="N152" s="28"/>
      <c r="O152" s="27"/>
      <c r="P152" s="28"/>
      <c r="Q152" s="28"/>
      <c r="R152" s="27"/>
      <c r="S152" s="28"/>
      <c r="T152" s="27"/>
      <c r="U152" s="27"/>
      <c r="V152" s="25"/>
      <c r="W152" s="25"/>
      <c r="X152" s="25"/>
      <c r="Y152" s="25"/>
      <c r="Z152" s="25"/>
      <c r="AA152" s="25"/>
      <c r="AB152" s="25"/>
      <c r="AC152" s="25"/>
      <c r="AD152" s="25"/>
      <c r="AE152" s="25"/>
      <c r="AF152" s="25"/>
      <c r="AG152" s="25"/>
    </row>
    <row r="153" spans="1:34" s="3" customFormat="1" ht="16" customHeight="1" thickBot="1">
      <c r="A153" s="7"/>
      <c r="B153" s="19" t="str">
        <f>"FA1 = "&amp;'FIG3'!$W$52&amp;" "&amp;'FIG3'!$X$52</f>
        <v>FA1 = Little Rock School District</v>
      </c>
      <c r="C153" s="7"/>
      <c r="D153" s="17"/>
      <c r="E153" s="17"/>
      <c r="F153" s="18"/>
      <c r="G153" s="17"/>
      <c r="H153" s="18"/>
      <c r="I153" s="18"/>
      <c r="J153" s="17"/>
      <c r="K153" s="17"/>
      <c r="L153" s="281"/>
      <c r="M153" s="18"/>
      <c r="N153" s="9"/>
      <c r="O153" s="17"/>
      <c r="P153" s="18"/>
      <c r="Q153" s="18"/>
      <c r="R153" s="17"/>
      <c r="S153" s="882"/>
      <c r="T153" s="883" t="str">
        <f>'$REV-DB'!$T$34</f>
        <v>Federal Revenues</v>
      </c>
      <c r="U153" s="883" t="str">
        <f>'$REV-DB'!$U$34</f>
        <v>local Revenues</v>
      </c>
      <c r="V153" s="883" t="str">
        <f>'$REV-DB'!$V$34</f>
        <v>Other Revenues</v>
      </c>
      <c r="W153" s="883" t="str">
        <f>'$REV-DB'!$W$34</f>
        <v>State revenues</v>
      </c>
      <c r="X153" s="883" t="str">
        <f>'$REV-DB'!$X$34</f>
        <v>UD5</v>
      </c>
      <c r="Y153" s="883" t="str">
        <f>'$REV-DB'!$Y$34</f>
        <v>UD6</v>
      </c>
      <c r="Z153" s="883" t="str">
        <f>'$REV-DB'!$Z$34</f>
        <v>UD7</v>
      </c>
      <c r="AA153" s="883" t="str">
        <f>'$REV-DB'!$AA$34</f>
        <v>UD8</v>
      </c>
      <c r="AB153" s="883" t="str">
        <f>'$REV-DB'!$AB$34</f>
        <v>UD9</v>
      </c>
      <c r="AC153" s="883" t="str">
        <f>'$REV-DB'!$AC$34</f>
        <v>UD10</v>
      </c>
      <c r="AD153" s="883" t="str">
        <f>'$REV-DB'!$AD$34</f>
        <v>UD11</v>
      </c>
      <c r="AE153" s="883" t="str">
        <f>'$REV-DB'!$AE$34</f>
        <v>UD12</v>
      </c>
      <c r="AF153" s="883" t="str">
        <f>'$REV-DB'!$AF$34</f>
        <v>UD13</v>
      </c>
      <c r="AG153" s="883" t="str">
        <f>'$REV-DB'!$AG$34</f>
        <v>UD14</v>
      </c>
    </row>
    <row r="154" spans="1:34" s="3" customFormat="1" ht="16" customHeight="1" thickTop="1" thickBot="1">
      <c r="A154" s="7"/>
      <c r="B154" s="20" t="s">
        <v>1399</v>
      </c>
      <c r="C154" s="15"/>
      <c r="D154" s="877" t="s">
        <v>1386</v>
      </c>
      <c r="E154" s="877" t="s">
        <v>1387</v>
      </c>
      <c r="F154" s="877" t="s">
        <v>1388</v>
      </c>
      <c r="G154" s="877" t="s">
        <v>1389</v>
      </c>
      <c r="H154" s="877" t="s">
        <v>1406</v>
      </c>
      <c r="I154" s="877" t="s">
        <v>1390</v>
      </c>
      <c r="J154" s="877" t="s">
        <v>1391</v>
      </c>
      <c r="K154" s="877" t="s">
        <v>1392</v>
      </c>
      <c r="L154" s="877" t="s">
        <v>1188</v>
      </c>
      <c r="M154" s="877" t="s">
        <v>1437</v>
      </c>
      <c r="N154" s="877" t="s">
        <v>1348</v>
      </c>
      <c r="O154" s="877" t="s">
        <v>1393</v>
      </c>
      <c r="P154" s="877" t="s">
        <v>1342</v>
      </c>
      <c r="Q154" s="877" t="s">
        <v>1394</v>
      </c>
      <c r="R154" s="112" t="s">
        <v>1341</v>
      </c>
      <c r="S154" s="112" t="s">
        <v>846</v>
      </c>
      <c r="T154" s="877" t="s">
        <v>935</v>
      </c>
      <c r="U154" s="877" t="s">
        <v>936</v>
      </c>
      <c r="V154" s="877" t="s">
        <v>937</v>
      </c>
      <c r="W154" s="877" t="s">
        <v>938</v>
      </c>
      <c r="X154" s="877" t="s">
        <v>939</v>
      </c>
      <c r="Y154" s="877" t="s">
        <v>940</v>
      </c>
      <c r="Z154" s="877" t="s">
        <v>941</v>
      </c>
      <c r="AA154" s="877" t="s">
        <v>942</v>
      </c>
      <c r="AB154" s="877" t="s">
        <v>943</v>
      </c>
      <c r="AC154" s="877" t="s">
        <v>944</v>
      </c>
      <c r="AD154" s="877" t="s">
        <v>945</v>
      </c>
      <c r="AE154" s="877" t="s">
        <v>946</v>
      </c>
      <c r="AF154" s="877" t="s">
        <v>947</v>
      </c>
      <c r="AG154" s="877" t="s">
        <v>948</v>
      </c>
      <c r="AH154" s="6"/>
    </row>
    <row r="155" spans="1:34" s="3" customFormat="1" ht="16" customHeight="1" thickTop="1">
      <c r="A155" s="7"/>
      <c r="B155" s="19" t="s">
        <v>1346</v>
      </c>
      <c r="C155" s="12"/>
      <c r="D155" s="190"/>
      <c r="E155" s="190"/>
      <c r="F155" s="190"/>
      <c r="G155" s="190"/>
      <c r="H155" s="190"/>
      <c r="I155" s="190"/>
      <c r="J155" s="190"/>
      <c r="K155" s="190"/>
      <c r="L155" s="283" t="s">
        <v>1429</v>
      </c>
      <c r="M155" s="190"/>
      <c r="N155" s="38" t="str">
        <f>J$6</f>
        <v>FY2010-11</v>
      </c>
      <c r="O155" s="38" t="s">
        <v>1352</v>
      </c>
      <c r="P155" s="38" t="s">
        <v>1338</v>
      </c>
      <c r="Q155" s="190"/>
      <c r="R155" s="190"/>
      <c r="S155" s="190"/>
      <c r="T155" s="191"/>
      <c r="U155" s="191"/>
      <c r="V155" s="192"/>
      <c r="W155" s="192"/>
      <c r="X155" s="192"/>
      <c r="Y155" s="192"/>
      <c r="Z155" s="192"/>
      <c r="AA155" s="192"/>
      <c r="AB155" s="192"/>
      <c r="AC155" s="192"/>
      <c r="AD155" s="192"/>
      <c r="AE155" s="192"/>
      <c r="AF155" s="192"/>
      <c r="AG155" s="192"/>
      <c r="AH155" s="6"/>
    </row>
    <row r="156" spans="1:34" s="3" customFormat="1" ht="16" customHeight="1">
      <c r="A156" s="7"/>
      <c r="B156" s="16">
        <f>DSUM('$REV-DB'!D35:AG374,"AMOUNT",D154:AG156)</f>
        <v>349130780.80000001</v>
      </c>
      <c r="C156" s="12"/>
      <c r="D156" s="190"/>
      <c r="E156" s="190"/>
      <c r="F156" s="190"/>
      <c r="G156" s="190"/>
      <c r="H156" s="190"/>
      <c r="I156" s="190"/>
      <c r="J156" s="190"/>
      <c r="K156" s="190"/>
      <c r="L156" s="283" t="s">
        <v>1429</v>
      </c>
      <c r="M156" s="190"/>
      <c r="N156" s="38" t="str">
        <f>J$6</f>
        <v>FY2010-11</v>
      </c>
      <c r="O156" s="38" t="s">
        <v>1352</v>
      </c>
      <c r="P156" s="38" t="s">
        <v>1347</v>
      </c>
      <c r="Q156" s="190"/>
      <c r="R156" s="190"/>
      <c r="S156" s="190" t="s">
        <v>1303</v>
      </c>
      <c r="T156" s="191"/>
      <c r="U156" s="191"/>
      <c r="V156" s="192"/>
      <c r="W156" s="192"/>
      <c r="X156" s="192"/>
      <c r="Y156" s="192"/>
      <c r="Z156" s="192"/>
      <c r="AA156" s="192"/>
      <c r="AB156" s="192"/>
      <c r="AC156" s="192"/>
      <c r="AD156" s="192"/>
      <c r="AE156" s="192"/>
      <c r="AF156" s="192"/>
      <c r="AG156" s="192"/>
      <c r="AH156" s="6"/>
    </row>
    <row r="157" spans="1:34" s="3" customFormat="1" ht="16" customHeight="1">
      <c r="A157" s="7"/>
      <c r="B157" s="10"/>
      <c r="C157" s="12"/>
      <c r="D157" s="896"/>
      <c r="E157" s="896"/>
      <c r="F157" s="896"/>
      <c r="G157" s="896"/>
      <c r="H157" s="896"/>
      <c r="I157" s="896"/>
      <c r="J157" s="896"/>
      <c r="K157" s="896"/>
      <c r="L157" s="897"/>
      <c r="M157" s="896"/>
      <c r="N157" s="889"/>
      <c r="O157" s="889"/>
      <c r="P157" s="889"/>
      <c r="Q157" s="896"/>
      <c r="R157" s="896"/>
      <c r="S157" s="896"/>
      <c r="T157" s="898"/>
      <c r="U157" s="898"/>
      <c r="V157" s="899"/>
      <c r="W157" s="899"/>
      <c r="X157" s="899"/>
      <c r="Y157" s="899"/>
      <c r="Z157" s="899"/>
      <c r="AA157" s="899"/>
      <c r="AB157" s="899"/>
      <c r="AC157" s="899"/>
      <c r="AD157" s="899"/>
      <c r="AE157" s="899"/>
      <c r="AF157" s="899"/>
      <c r="AG157" s="899"/>
    </row>
    <row r="158" spans="1:34" s="3" customFormat="1" ht="16" customHeight="1">
      <c r="A158" s="7"/>
      <c r="B158" s="10"/>
      <c r="C158" s="12"/>
      <c r="D158" s="896"/>
      <c r="E158" s="896"/>
      <c r="F158" s="896"/>
      <c r="G158" s="896"/>
      <c r="H158" s="896"/>
      <c r="I158" s="896"/>
      <c r="J158" s="896"/>
      <c r="K158" s="896"/>
      <c r="L158" s="897"/>
      <c r="M158" s="896"/>
      <c r="N158" s="889"/>
      <c r="O158" s="889"/>
      <c r="P158" s="889"/>
      <c r="Q158" s="896"/>
      <c r="R158" s="896"/>
      <c r="S158" s="896"/>
      <c r="T158" s="898"/>
      <c r="U158" s="898"/>
      <c r="V158" s="899"/>
      <c r="W158" s="899"/>
      <c r="X158" s="899"/>
      <c r="Y158" s="899"/>
      <c r="Z158" s="899"/>
      <c r="AA158" s="899"/>
      <c r="AB158" s="899"/>
      <c r="AC158" s="899"/>
      <c r="AD158" s="899"/>
      <c r="AE158" s="899"/>
      <c r="AF158" s="899"/>
      <c r="AG158" s="899"/>
    </row>
    <row r="159" spans="1:34" s="3" customFormat="1" ht="16" customHeight="1">
      <c r="A159" s="7"/>
      <c r="B159" s="10"/>
      <c r="C159" s="12"/>
      <c r="D159" s="896"/>
      <c r="E159" s="896"/>
      <c r="F159" s="896"/>
      <c r="G159" s="896"/>
      <c r="H159" s="896"/>
      <c r="I159" s="896"/>
      <c r="J159" s="896"/>
      <c r="K159" s="896"/>
      <c r="L159" s="897"/>
      <c r="M159" s="896"/>
      <c r="N159" s="889"/>
      <c r="O159" s="889"/>
      <c r="P159" s="889"/>
      <c r="Q159" s="896"/>
      <c r="R159" s="896"/>
      <c r="S159" s="896"/>
      <c r="T159" s="898"/>
      <c r="U159" s="898"/>
      <c r="V159" s="899"/>
      <c r="W159" s="899"/>
      <c r="X159" s="899"/>
      <c r="Y159" s="899"/>
      <c r="Z159" s="899"/>
      <c r="AA159" s="899"/>
      <c r="AB159" s="899"/>
      <c r="AC159" s="899"/>
      <c r="AD159" s="899"/>
      <c r="AE159" s="899"/>
      <c r="AF159" s="899"/>
      <c r="AG159" s="899"/>
    </row>
    <row r="160" spans="1:34" s="3" customFormat="1" ht="16" customHeight="1">
      <c r="A160" s="7"/>
      <c r="B160" s="10"/>
      <c r="C160" s="12"/>
      <c r="D160" s="896"/>
      <c r="E160" s="896"/>
      <c r="F160" s="896"/>
      <c r="G160" s="896"/>
      <c r="H160" s="896"/>
      <c r="I160" s="896"/>
      <c r="J160" s="896"/>
      <c r="K160" s="896"/>
      <c r="L160" s="897"/>
      <c r="M160" s="896"/>
      <c r="N160" s="889"/>
      <c r="O160" s="889"/>
      <c r="P160" s="889"/>
      <c r="Q160" s="896"/>
      <c r="R160" s="896"/>
      <c r="S160" s="896"/>
      <c r="T160" s="898"/>
      <c r="U160" s="898"/>
      <c r="V160" s="899"/>
      <c r="W160" s="899"/>
      <c r="X160" s="899"/>
      <c r="Y160" s="899"/>
      <c r="Z160" s="899"/>
      <c r="AA160" s="899"/>
      <c r="AB160" s="899"/>
      <c r="AC160" s="899"/>
      <c r="AD160" s="899"/>
      <c r="AE160" s="899"/>
      <c r="AF160" s="899"/>
      <c r="AG160" s="899"/>
    </row>
    <row r="161" spans="1:34" s="3" customFormat="1" ht="16" customHeight="1">
      <c r="A161" s="7"/>
      <c r="B161" s="10"/>
      <c r="C161" s="12"/>
      <c r="D161" s="896"/>
      <c r="E161" s="896"/>
      <c r="F161" s="896"/>
      <c r="G161" s="896"/>
      <c r="H161" s="896"/>
      <c r="I161" s="896"/>
      <c r="J161" s="896"/>
      <c r="K161" s="896"/>
      <c r="L161" s="897"/>
      <c r="M161" s="896"/>
      <c r="N161" s="889"/>
      <c r="O161" s="889"/>
      <c r="P161" s="889"/>
      <c r="Q161" s="896"/>
      <c r="R161" s="896"/>
      <c r="S161" s="896"/>
      <c r="T161" s="898"/>
      <c r="U161" s="898"/>
      <c r="V161" s="899"/>
      <c r="W161" s="899"/>
      <c r="X161" s="899"/>
      <c r="Y161" s="899"/>
      <c r="Z161" s="899"/>
      <c r="AA161" s="899"/>
      <c r="AB161" s="899"/>
      <c r="AC161" s="899"/>
      <c r="AD161" s="899"/>
      <c r="AE161" s="899"/>
      <c r="AF161" s="899"/>
      <c r="AG161" s="899"/>
    </row>
    <row r="162" spans="1:34" s="3" customFormat="1" ht="16" customHeight="1">
      <c r="A162" s="25"/>
      <c r="B162" s="26"/>
      <c r="C162" s="26"/>
      <c r="D162" s="27"/>
      <c r="E162" s="27"/>
      <c r="F162" s="28"/>
      <c r="G162" s="27"/>
      <c r="H162" s="28"/>
      <c r="I162" s="28"/>
      <c r="J162" s="27"/>
      <c r="K162" s="27"/>
      <c r="L162" s="282"/>
      <c r="M162" s="28"/>
      <c r="N162" s="28"/>
      <c r="O162" s="27"/>
      <c r="P162" s="28"/>
      <c r="Q162" s="28"/>
      <c r="R162" s="27"/>
      <c r="S162" s="28"/>
      <c r="T162" s="27"/>
      <c r="U162" s="27"/>
      <c r="V162" s="25"/>
      <c r="W162" s="25"/>
      <c r="X162" s="25"/>
      <c r="Y162" s="25"/>
      <c r="Z162" s="25"/>
      <c r="AA162" s="25"/>
      <c r="AB162" s="25"/>
      <c r="AC162" s="25"/>
      <c r="AD162" s="25"/>
      <c r="AE162" s="25"/>
      <c r="AF162" s="25"/>
      <c r="AG162" s="25"/>
    </row>
    <row r="163" spans="1:34" s="3" customFormat="1" ht="16" customHeight="1" thickBot="1">
      <c r="A163" s="7"/>
      <c r="B163" s="19" t="str">
        <f>"FA1 = "&amp;'FIG3'!$W$52&amp;" "&amp;'FIG3'!$X$52</f>
        <v>FA1 = Little Rock School District</v>
      </c>
      <c r="C163" s="7"/>
      <c r="D163" s="8"/>
      <c r="E163" s="8"/>
      <c r="F163" s="9"/>
      <c r="G163" s="8"/>
      <c r="H163" s="9"/>
      <c r="I163" s="9"/>
      <c r="J163" s="8"/>
      <c r="K163" s="8"/>
      <c r="L163" s="280"/>
      <c r="M163" s="9"/>
      <c r="N163" s="9"/>
      <c r="O163" s="8"/>
      <c r="P163" s="9"/>
      <c r="Q163" s="9"/>
      <c r="R163" s="8"/>
      <c r="S163" s="882"/>
      <c r="T163" s="883" t="str">
        <f>'$REV-DB'!$T$34</f>
        <v>Federal Revenues</v>
      </c>
      <c r="U163" s="883" t="str">
        <f>'$REV-DB'!$U$34</f>
        <v>local Revenues</v>
      </c>
      <c r="V163" s="883" t="str">
        <f>'$REV-DB'!$V$34</f>
        <v>Other Revenues</v>
      </c>
      <c r="W163" s="883" t="str">
        <f>'$REV-DB'!$W$34</f>
        <v>State revenues</v>
      </c>
      <c r="X163" s="883" t="str">
        <f>'$REV-DB'!$X$34</f>
        <v>UD5</v>
      </c>
      <c r="Y163" s="883" t="str">
        <f>'$REV-DB'!$Y$34</f>
        <v>UD6</v>
      </c>
      <c r="Z163" s="883" t="str">
        <f>'$REV-DB'!$Z$34</f>
        <v>UD7</v>
      </c>
      <c r="AA163" s="883" t="str">
        <f>'$REV-DB'!$AA$34</f>
        <v>UD8</v>
      </c>
      <c r="AB163" s="883" t="str">
        <f>'$REV-DB'!$AB$34</f>
        <v>UD9</v>
      </c>
      <c r="AC163" s="883" t="str">
        <f>'$REV-DB'!$AC$34</f>
        <v>UD10</v>
      </c>
      <c r="AD163" s="883" t="str">
        <f>'$REV-DB'!$AD$34</f>
        <v>UD11</v>
      </c>
      <c r="AE163" s="883" t="str">
        <f>'$REV-DB'!$AE$34</f>
        <v>UD12</v>
      </c>
      <c r="AF163" s="883" t="str">
        <f>'$REV-DB'!$AF$34</f>
        <v>UD13</v>
      </c>
      <c r="AG163" s="883" t="str">
        <f>'$REV-DB'!$AG$34</f>
        <v>UD14</v>
      </c>
    </row>
    <row r="164" spans="1:34" s="3" customFormat="1" ht="16" customHeight="1" thickTop="1" thickBot="1">
      <c r="A164" s="7"/>
      <c r="B164" s="20" t="s">
        <v>1399</v>
      </c>
      <c r="C164" s="15"/>
      <c r="D164" s="877" t="s">
        <v>1386</v>
      </c>
      <c r="E164" s="877" t="s">
        <v>1387</v>
      </c>
      <c r="F164" s="877" t="s">
        <v>1388</v>
      </c>
      <c r="G164" s="877" t="s">
        <v>1389</v>
      </c>
      <c r="H164" s="877" t="s">
        <v>1406</v>
      </c>
      <c r="I164" s="877" t="s">
        <v>1390</v>
      </c>
      <c r="J164" s="877" t="s">
        <v>1391</v>
      </c>
      <c r="K164" s="877" t="s">
        <v>1392</v>
      </c>
      <c r="L164" s="877" t="s">
        <v>1188</v>
      </c>
      <c r="M164" s="877" t="s">
        <v>1437</v>
      </c>
      <c r="N164" s="877" t="s">
        <v>1348</v>
      </c>
      <c r="O164" s="877" t="s">
        <v>1393</v>
      </c>
      <c r="P164" s="877" t="s">
        <v>1342</v>
      </c>
      <c r="Q164" s="877" t="s">
        <v>1394</v>
      </c>
      <c r="R164" s="112" t="s">
        <v>1341</v>
      </c>
      <c r="S164" s="112" t="s">
        <v>846</v>
      </c>
      <c r="T164" s="877" t="s">
        <v>935</v>
      </c>
      <c r="U164" s="877" t="s">
        <v>936</v>
      </c>
      <c r="V164" s="877" t="s">
        <v>937</v>
      </c>
      <c r="W164" s="877" t="s">
        <v>938</v>
      </c>
      <c r="X164" s="877" t="s">
        <v>939</v>
      </c>
      <c r="Y164" s="877" t="s">
        <v>940</v>
      </c>
      <c r="Z164" s="877" t="s">
        <v>941</v>
      </c>
      <c r="AA164" s="877" t="s">
        <v>942</v>
      </c>
      <c r="AB164" s="877" t="s">
        <v>943</v>
      </c>
      <c r="AC164" s="877" t="s">
        <v>944</v>
      </c>
      <c r="AD164" s="877" t="s">
        <v>945</v>
      </c>
      <c r="AE164" s="877" t="s">
        <v>946</v>
      </c>
      <c r="AF164" s="877" t="s">
        <v>947</v>
      </c>
      <c r="AG164" s="877" t="s">
        <v>948</v>
      </c>
      <c r="AH164" s="6"/>
    </row>
    <row r="165" spans="1:34" s="3" customFormat="1" ht="16" customHeight="1" thickTop="1">
      <c r="A165" s="7"/>
      <c r="B165" s="19" t="s">
        <v>1345</v>
      </c>
      <c r="C165" s="12"/>
      <c r="D165" s="191"/>
      <c r="E165" s="191"/>
      <c r="F165" s="190"/>
      <c r="G165" s="191"/>
      <c r="H165" s="190"/>
      <c r="I165" s="190"/>
      <c r="J165" s="191"/>
      <c r="K165" s="191"/>
      <c r="L165" s="283" t="s">
        <v>1429</v>
      </c>
      <c r="M165" s="190"/>
      <c r="N165" s="38" t="str">
        <f>J$6</f>
        <v>FY2010-11</v>
      </c>
      <c r="O165" s="38" t="s">
        <v>1352</v>
      </c>
      <c r="P165" s="38" t="s">
        <v>1338</v>
      </c>
      <c r="Q165" s="38" t="s">
        <v>1380</v>
      </c>
      <c r="R165" s="191"/>
      <c r="S165" s="190"/>
      <c r="T165" s="191"/>
      <c r="U165" s="191"/>
      <c r="V165" s="192"/>
      <c r="W165" s="192"/>
      <c r="X165" s="192"/>
      <c r="Y165" s="192"/>
      <c r="Z165" s="192"/>
      <c r="AA165" s="192"/>
      <c r="AB165" s="192"/>
      <c r="AC165" s="192"/>
      <c r="AD165" s="192"/>
      <c r="AE165" s="192"/>
      <c r="AF165" s="192"/>
      <c r="AG165" s="192"/>
      <c r="AH165" s="6"/>
    </row>
    <row r="166" spans="1:34" s="3" customFormat="1" ht="16" customHeight="1">
      <c r="A166" s="7"/>
      <c r="B166" s="16">
        <f>DSUM('$REV-DB'!D35:AG374,"AMOUNT",D164:AG166)</f>
        <v>56665217.240000002</v>
      </c>
      <c r="C166" s="12"/>
      <c r="D166" s="191"/>
      <c r="E166" s="191"/>
      <c r="F166" s="190"/>
      <c r="G166" s="191"/>
      <c r="H166" s="190"/>
      <c r="I166" s="190"/>
      <c r="J166" s="191"/>
      <c r="K166" s="191"/>
      <c r="L166" s="283" t="s">
        <v>1429</v>
      </c>
      <c r="M166" s="190"/>
      <c r="N166" s="38" t="str">
        <f>J$6</f>
        <v>FY2010-11</v>
      </c>
      <c r="O166" s="38" t="s">
        <v>1352</v>
      </c>
      <c r="P166" s="38" t="s">
        <v>1347</v>
      </c>
      <c r="Q166" s="38" t="s">
        <v>1380</v>
      </c>
      <c r="R166" s="191"/>
      <c r="S166" s="190" t="s">
        <v>1303</v>
      </c>
      <c r="T166" s="191"/>
      <c r="U166" s="191"/>
      <c r="V166" s="192"/>
      <c r="W166" s="192"/>
      <c r="X166" s="192"/>
      <c r="Y166" s="192"/>
      <c r="Z166" s="192"/>
      <c r="AA166" s="192"/>
      <c r="AB166" s="192"/>
      <c r="AC166" s="192"/>
      <c r="AD166" s="192"/>
      <c r="AE166" s="192"/>
      <c r="AF166" s="192"/>
      <c r="AG166" s="192"/>
      <c r="AH166" s="6"/>
    </row>
    <row r="167" spans="1:34" s="3" customFormat="1" ht="16" customHeight="1">
      <c r="A167" s="7"/>
      <c r="B167" s="10"/>
      <c r="C167" s="12"/>
      <c r="D167" s="896"/>
      <c r="E167" s="896"/>
      <c r="F167" s="896"/>
      <c r="G167" s="896"/>
      <c r="H167" s="896"/>
      <c r="I167" s="896"/>
      <c r="J167" s="896"/>
      <c r="K167" s="896"/>
      <c r="L167" s="897"/>
      <c r="M167" s="896"/>
      <c r="N167" s="889"/>
      <c r="O167" s="889"/>
      <c r="P167" s="889"/>
      <c r="Q167" s="896"/>
      <c r="R167" s="896"/>
      <c r="S167" s="896"/>
      <c r="T167" s="898"/>
      <c r="U167" s="898"/>
      <c r="V167" s="899"/>
      <c r="W167" s="899"/>
      <c r="X167" s="899"/>
      <c r="Y167" s="899"/>
      <c r="Z167" s="899"/>
      <c r="AA167" s="899"/>
      <c r="AB167" s="899"/>
      <c r="AC167" s="899"/>
      <c r="AD167" s="899"/>
      <c r="AE167" s="899"/>
      <c r="AF167" s="899"/>
      <c r="AG167" s="899"/>
    </row>
    <row r="168" spans="1:34" s="3" customFormat="1" ht="16" customHeight="1">
      <c r="A168" s="7"/>
      <c r="B168" s="10"/>
      <c r="C168" s="12"/>
      <c r="D168" s="896"/>
      <c r="E168" s="896"/>
      <c r="F168" s="896"/>
      <c r="G168" s="896"/>
      <c r="H168" s="896"/>
      <c r="I168" s="896"/>
      <c r="J168" s="896"/>
      <c r="K168" s="896"/>
      <c r="L168" s="897"/>
      <c r="M168" s="896"/>
      <c r="N168" s="889"/>
      <c r="O168" s="889"/>
      <c r="P168" s="889"/>
      <c r="Q168" s="896"/>
      <c r="R168" s="896"/>
      <c r="S168" s="896"/>
      <c r="T168" s="898"/>
      <c r="U168" s="898"/>
      <c r="V168" s="899"/>
      <c r="W168" s="899"/>
      <c r="X168" s="899"/>
      <c r="Y168" s="899"/>
      <c r="Z168" s="899"/>
      <c r="AA168" s="899"/>
      <c r="AB168" s="899"/>
      <c r="AC168" s="899"/>
      <c r="AD168" s="899"/>
      <c r="AE168" s="899"/>
      <c r="AF168" s="899"/>
      <c r="AG168" s="899"/>
    </row>
    <row r="169" spans="1:34" s="3" customFormat="1" ht="16" customHeight="1">
      <c r="A169" s="7"/>
      <c r="B169" s="10"/>
      <c r="C169" s="12"/>
      <c r="D169" s="896"/>
      <c r="E169" s="896"/>
      <c r="F169" s="896"/>
      <c r="G169" s="896"/>
      <c r="H169" s="896"/>
      <c r="I169" s="896"/>
      <c r="J169" s="896"/>
      <c r="K169" s="896"/>
      <c r="L169" s="897"/>
      <c r="M169" s="896"/>
      <c r="N169" s="889"/>
      <c r="O169" s="889"/>
      <c r="P169" s="889"/>
      <c r="Q169" s="896"/>
      <c r="R169" s="896"/>
      <c r="S169" s="896"/>
      <c r="T169" s="898"/>
      <c r="U169" s="898"/>
      <c r="V169" s="899"/>
      <c r="W169" s="899"/>
      <c r="X169" s="899"/>
      <c r="Y169" s="899"/>
      <c r="Z169" s="899"/>
      <c r="AA169" s="899"/>
      <c r="AB169" s="899"/>
      <c r="AC169" s="899"/>
      <c r="AD169" s="899"/>
      <c r="AE169" s="899"/>
      <c r="AF169" s="899"/>
      <c r="AG169" s="899"/>
    </row>
    <row r="170" spans="1:34" s="3" customFormat="1" ht="16" customHeight="1">
      <c r="A170" s="7"/>
      <c r="B170" s="10"/>
      <c r="C170" s="12"/>
      <c r="D170" s="896"/>
      <c r="E170" s="896"/>
      <c r="F170" s="896"/>
      <c r="G170" s="896"/>
      <c r="H170" s="896"/>
      <c r="I170" s="896"/>
      <c r="J170" s="896"/>
      <c r="K170" s="896"/>
      <c r="L170" s="897"/>
      <c r="M170" s="896"/>
      <c r="N170" s="889"/>
      <c r="O170" s="889"/>
      <c r="P170" s="889"/>
      <c r="Q170" s="896"/>
      <c r="R170" s="896"/>
      <c r="S170" s="896"/>
      <c r="T170" s="898"/>
      <c r="U170" s="898"/>
      <c r="V170" s="899"/>
      <c r="W170" s="899"/>
      <c r="X170" s="899"/>
      <c r="Y170" s="899"/>
      <c r="Z170" s="899"/>
      <c r="AA170" s="899"/>
      <c r="AB170" s="899"/>
      <c r="AC170" s="899"/>
      <c r="AD170" s="899"/>
      <c r="AE170" s="899"/>
      <c r="AF170" s="899"/>
      <c r="AG170" s="899"/>
    </row>
    <row r="171" spans="1:34" s="3" customFormat="1" ht="16" customHeight="1">
      <c r="A171" s="7"/>
      <c r="B171" s="10"/>
      <c r="C171" s="12"/>
      <c r="D171" s="896"/>
      <c r="E171" s="896"/>
      <c r="F171" s="896"/>
      <c r="G171" s="896"/>
      <c r="H171" s="896"/>
      <c r="I171" s="896"/>
      <c r="J171" s="896"/>
      <c r="K171" s="896"/>
      <c r="L171" s="897"/>
      <c r="M171" s="896"/>
      <c r="N171" s="889"/>
      <c r="O171" s="889"/>
      <c r="P171" s="889"/>
      <c r="Q171" s="896"/>
      <c r="R171" s="896"/>
      <c r="S171" s="896"/>
      <c r="T171" s="898"/>
      <c r="U171" s="898"/>
      <c r="V171" s="899"/>
      <c r="W171" s="899"/>
      <c r="X171" s="899"/>
      <c r="Y171" s="899"/>
      <c r="Z171" s="899"/>
      <c r="AA171" s="899"/>
      <c r="AB171" s="899"/>
      <c r="AC171" s="899"/>
      <c r="AD171" s="899"/>
      <c r="AE171" s="899"/>
      <c r="AF171" s="899"/>
      <c r="AG171" s="899"/>
    </row>
    <row r="172" spans="1:34" s="3" customFormat="1" ht="16" customHeight="1">
      <c r="A172" s="25"/>
      <c r="B172" s="26"/>
      <c r="C172" s="26"/>
      <c r="D172" s="27"/>
      <c r="E172" s="27"/>
      <c r="F172" s="28"/>
      <c r="G172" s="27"/>
      <c r="H172" s="28"/>
      <c r="I172" s="28"/>
      <c r="J172" s="27"/>
      <c r="K172" s="27"/>
      <c r="L172" s="282"/>
      <c r="M172" s="28"/>
      <c r="N172" s="28"/>
      <c r="O172" s="27"/>
      <c r="P172" s="28"/>
      <c r="Q172" s="28"/>
      <c r="R172" s="27"/>
      <c r="S172" s="28"/>
      <c r="T172" s="27"/>
      <c r="U172" s="27"/>
      <c r="V172" s="25"/>
      <c r="W172" s="25"/>
      <c r="X172" s="25"/>
      <c r="Y172" s="25"/>
      <c r="Z172" s="25"/>
      <c r="AA172" s="25"/>
      <c r="AB172" s="25"/>
      <c r="AC172" s="25"/>
      <c r="AD172" s="25"/>
      <c r="AE172" s="25"/>
      <c r="AF172" s="25"/>
      <c r="AG172" s="25"/>
    </row>
    <row r="173" spans="1:34" s="3" customFormat="1" ht="16" customHeight="1" thickBot="1">
      <c r="A173" s="7"/>
      <c r="B173" s="19" t="str">
        <f>"FA1 = "&amp;'FIG3'!$W$52&amp;" "&amp;'FIG3'!$X$52</f>
        <v>FA1 = Little Rock School District</v>
      </c>
      <c r="C173" s="7"/>
      <c r="D173" s="8"/>
      <c r="E173" s="8"/>
      <c r="F173" s="9"/>
      <c r="G173" s="8"/>
      <c r="H173" s="9"/>
      <c r="I173" s="9"/>
      <c r="J173" s="8"/>
      <c r="K173" s="8"/>
      <c r="L173" s="280"/>
      <c r="M173" s="9"/>
      <c r="N173" s="9"/>
      <c r="O173" s="8"/>
      <c r="P173" s="9"/>
      <c r="Q173" s="9"/>
      <c r="R173" s="8"/>
      <c r="S173" s="882"/>
      <c r="T173" s="883" t="str">
        <f>'$REV-DB'!$T$34</f>
        <v>Federal Revenues</v>
      </c>
      <c r="U173" s="883" t="str">
        <f>'$REV-DB'!$U$34</f>
        <v>local Revenues</v>
      </c>
      <c r="V173" s="883" t="str">
        <f>'$REV-DB'!$V$34</f>
        <v>Other Revenues</v>
      </c>
      <c r="W173" s="883" t="str">
        <f>'$REV-DB'!$W$34</f>
        <v>State revenues</v>
      </c>
      <c r="X173" s="883" t="str">
        <f>'$REV-DB'!$X$34</f>
        <v>UD5</v>
      </c>
      <c r="Y173" s="883" t="str">
        <f>'$REV-DB'!$Y$34</f>
        <v>UD6</v>
      </c>
      <c r="Z173" s="883" t="str">
        <f>'$REV-DB'!$Z$34</f>
        <v>UD7</v>
      </c>
      <c r="AA173" s="883" t="str">
        <f>'$REV-DB'!$AA$34</f>
        <v>UD8</v>
      </c>
      <c r="AB173" s="883" t="str">
        <f>'$REV-DB'!$AB$34</f>
        <v>UD9</v>
      </c>
      <c r="AC173" s="883" t="str">
        <f>'$REV-DB'!$AC$34</f>
        <v>UD10</v>
      </c>
      <c r="AD173" s="883" t="str">
        <f>'$REV-DB'!$AD$34</f>
        <v>UD11</v>
      </c>
      <c r="AE173" s="883" t="str">
        <f>'$REV-DB'!$AE$34</f>
        <v>UD12</v>
      </c>
      <c r="AF173" s="883" t="str">
        <f>'$REV-DB'!$AF$34</f>
        <v>UD13</v>
      </c>
      <c r="AG173" s="883" t="str">
        <f>'$REV-DB'!$AG$34</f>
        <v>UD14</v>
      </c>
    </row>
    <row r="174" spans="1:34" s="3" customFormat="1" ht="16" customHeight="1" thickTop="1" thickBot="1">
      <c r="A174" s="7"/>
      <c r="B174" s="20" t="s">
        <v>1399</v>
      </c>
      <c r="C174" s="15"/>
      <c r="D174" s="877" t="s">
        <v>1386</v>
      </c>
      <c r="E174" s="877" t="s">
        <v>1387</v>
      </c>
      <c r="F174" s="877" t="s">
        <v>1388</v>
      </c>
      <c r="G174" s="877" t="s">
        <v>1389</v>
      </c>
      <c r="H174" s="877" t="s">
        <v>1406</v>
      </c>
      <c r="I174" s="877" t="s">
        <v>1390</v>
      </c>
      <c r="J174" s="877" t="s">
        <v>1391</v>
      </c>
      <c r="K174" s="877" t="s">
        <v>1392</v>
      </c>
      <c r="L174" s="877" t="s">
        <v>1188</v>
      </c>
      <c r="M174" s="877" t="s">
        <v>1437</v>
      </c>
      <c r="N174" s="877" t="s">
        <v>1348</v>
      </c>
      <c r="O174" s="877" t="s">
        <v>1393</v>
      </c>
      <c r="P174" s="877" t="s">
        <v>1342</v>
      </c>
      <c r="Q174" s="877" t="s">
        <v>1394</v>
      </c>
      <c r="R174" s="112" t="s">
        <v>1341</v>
      </c>
      <c r="S174" s="112" t="s">
        <v>846</v>
      </c>
      <c r="T174" s="877" t="s">
        <v>935</v>
      </c>
      <c r="U174" s="877" t="s">
        <v>936</v>
      </c>
      <c r="V174" s="877" t="s">
        <v>937</v>
      </c>
      <c r="W174" s="877" t="s">
        <v>938</v>
      </c>
      <c r="X174" s="877" t="s">
        <v>939</v>
      </c>
      <c r="Y174" s="877" t="s">
        <v>940</v>
      </c>
      <c r="Z174" s="877" t="s">
        <v>941</v>
      </c>
      <c r="AA174" s="877" t="s">
        <v>942</v>
      </c>
      <c r="AB174" s="877" t="s">
        <v>943</v>
      </c>
      <c r="AC174" s="877" t="s">
        <v>944</v>
      </c>
      <c r="AD174" s="877" t="s">
        <v>945</v>
      </c>
      <c r="AE174" s="877" t="s">
        <v>946</v>
      </c>
      <c r="AF174" s="877" t="s">
        <v>947</v>
      </c>
      <c r="AG174" s="877" t="s">
        <v>948</v>
      </c>
      <c r="AH174" s="6"/>
    </row>
    <row r="175" spans="1:34" s="3" customFormat="1" ht="16" customHeight="1" thickTop="1">
      <c r="A175" s="7"/>
      <c r="B175" s="19" t="s">
        <v>1344</v>
      </c>
      <c r="C175" s="12"/>
      <c r="D175" s="191"/>
      <c r="E175" s="191"/>
      <c r="F175" s="190"/>
      <c r="G175" s="191"/>
      <c r="H175" s="190"/>
      <c r="I175" s="190"/>
      <c r="J175" s="191"/>
      <c r="K175" s="191"/>
      <c r="L175" s="283" t="s">
        <v>1429</v>
      </c>
      <c r="M175" s="190"/>
      <c r="N175" s="38" t="str">
        <f>J$6</f>
        <v>FY2010-11</v>
      </c>
      <c r="O175" s="38" t="s">
        <v>1352</v>
      </c>
      <c r="P175" s="38" t="s">
        <v>1338</v>
      </c>
      <c r="Q175" s="38" t="s">
        <v>1339</v>
      </c>
      <c r="R175" s="191"/>
      <c r="S175" s="190"/>
      <c r="T175" s="191"/>
      <c r="U175" s="191"/>
      <c r="V175" s="192"/>
      <c r="W175" s="192"/>
      <c r="X175" s="192"/>
      <c r="Y175" s="192"/>
      <c r="Z175" s="192"/>
      <c r="AA175" s="192"/>
      <c r="AB175" s="192"/>
      <c r="AC175" s="192"/>
      <c r="AD175" s="192"/>
      <c r="AE175" s="192"/>
      <c r="AF175" s="192"/>
      <c r="AG175" s="192"/>
      <c r="AH175" s="6"/>
    </row>
    <row r="176" spans="1:34" s="3" customFormat="1" ht="16" customHeight="1">
      <c r="A176" s="7"/>
      <c r="B176" s="16">
        <f>DSUM('$REV-DB'!D35:AG374,"AMOUNT",D174:AG176)</f>
        <v>136201749.15000001</v>
      </c>
      <c r="C176" s="12"/>
      <c r="D176" s="191"/>
      <c r="E176" s="191"/>
      <c r="F176" s="190"/>
      <c r="G176" s="191"/>
      <c r="H176" s="190"/>
      <c r="I176" s="190"/>
      <c r="J176" s="191"/>
      <c r="K176" s="191"/>
      <c r="L176" s="283" t="s">
        <v>1429</v>
      </c>
      <c r="M176" s="190"/>
      <c r="N176" s="38" t="str">
        <f>J$6</f>
        <v>FY2010-11</v>
      </c>
      <c r="O176" s="38" t="s">
        <v>1352</v>
      </c>
      <c r="P176" s="38" t="s">
        <v>1347</v>
      </c>
      <c r="Q176" s="38" t="s">
        <v>1339</v>
      </c>
      <c r="R176" s="191"/>
      <c r="S176" s="190" t="s">
        <v>1303</v>
      </c>
      <c r="T176" s="191"/>
      <c r="U176" s="191"/>
      <c r="V176" s="192"/>
      <c r="W176" s="192"/>
      <c r="X176" s="192"/>
      <c r="Y176" s="192"/>
      <c r="Z176" s="192"/>
      <c r="AA176" s="192"/>
      <c r="AB176" s="192"/>
      <c r="AC176" s="192"/>
      <c r="AD176" s="192"/>
      <c r="AE176" s="192"/>
      <c r="AF176" s="192"/>
      <c r="AG176" s="192"/>
      <c r="AH176" s="6"/>
    </row>
    <row r="177" spans="1:34" s="3" customFormat="1" ht="16" customHeight="1">
      <c r="A177" s="7"/>
      <c r="B177" s="10"/>
      <c r="C177" s="12"/>
      <c r="D177" s="896"/>
      <c r="E177" s="896"/>
      <c r="F177" s="896"/>
      <c r="G177" s="896"/>
      <c r="H177" s="896"/>
      <c r="I177" s="896"/>
      <c r="J177" s="896"/>
      <c r="K177" s="896"/>
      <c r="L177" s="897"/>
      <c r="M177" s="896"/>
      <c r="N177" s="889"/>
      <c r="O177" s="889"/>
      <c r="P177" s="889"/>
      <c r="Q177" s="896"/>
      <c r="R177" s="896"/>
      <c r="S177" s="896"/>
      <c r="T177" s="898"/>
      <c r="U177" s="898"/>
      <c r="V177" s="899"/>
      <c r="W177" s="899"/>
      <c r="X177" s="899"/>
      <c r="Y177" s="899"/>
      <c r="Z177" s="899"/>
      <c r="AA177" s="899"/>
      <c r="AB177" s="899"/>
      <c r="AC177" s="899"/>
      <c r="AD177" s="899"/>
      <c r="AE177" s="899"/>
      <c r="AF177" s="899"/>
      <c r="AG177" s="899"/>
    </row>
    <row r="178" spans="1:34" s="3" customFormat="1" ht="16" customHeight="1">
      <c r="A178" s="7"/>
      <c r="B178" s="10"/>
      <c r="C178" s="12"/>
      <c r="D178" s="896"/>
      <c r="E178" s="896"/>
      <c r="F178" s="896"/>
      <c r="G178" s="896"/>
      <c r="H178" s="896"/>
      <c r="I178" s="896"/>
      <c r="J178" s="896"/>
      <c r="K178" s="896"/>
      <c r="L178" s="897"/>
      <c r="M178" s="896"/>
      <c r="N178" s="889"/>
      <c r="O178" s="889"/>
      <c r="P178" s="889"/>
      <c r="Q178" s="896"/>
      <c r="R178" s="896"/>
      <c r="S178" s="896"/>
      <c r="T178" s="898"/>
      <c r="U178" s="898"/>
      <c r="V178" s="899"/>
      <c r="W178" s="899"/>
      <c r="X178" s="899"/>
      <c r="Y178" s="899"/>
      <c r="Z178" s="899"/>
      <c r="AA178" s="899"/>
      <c r="AB178" s="899"/>
      <c r="AC178" s="899"/>
      <c r="AD178" s="899"/>
      <c r="AE178" s="899"/>
      <c r="AF178" s="899"/>
      <c r="AG178" s="899"/>
    </row>
    <row r="179" spans="1:34" s="3" customFormat="1" ht="16" customHeight="1">
      <c r="A179" s="7"/>
      <c r="B179" s="10"/>
      <c r="C179" s="12"/>
      <c r="D179" s="896"/>
      <c r="E179" s="896"/>
      <c r="F179" s="896"/>
      <c r="G179" s="896"/>
      <c r="H179" s="896"/>
      <c r="I179" s="896"/>
      <c r="J179" s="896"/>
      <c r="K179" s="896"/>
      <c r="L179" s="897"/>
      <c r="M179" s="896"/>
      <c r="N179" s="889"/>
      <c r="O179" s="889"/>
      <c r="P179" s="889"/>
      <c r="Q179" s="896"/>
      <c r="R179" s="896"/>
      <c r="S179" s="896"/>
      <c r="T179" s="898"/>
      <c r="U179" s="898"/>
      <c r="V179" s="899"/>
      <c r="W179" s="899"/>
      <c r="X179" s="899"/>
      <c r="Y179" s="899"/>
      <c r="Z179" s="899"/>
      <c r="AA179" s="899"/>
      <c r="AB179" s="899"/>
      <c r="AC179" s="899"/>
      <c r="AD179" s="899"/>
      <c r="AE179" s="899"/>
      <c r="AF179" s="899"/>
      <c r="AG179" s="899"/>
    </row>
    <row r="180" spans="1:34" s="3" customFormat="1" ht="16" customHeight="1">
      <c r="A180" s="7"/>
      <c r="B180" s="10"/>
      <c r="C180" s="12"/>
      <c r="D180" s="896"/>
      <c r="E180" s="896"/>
      <c r="F180" s="896"/>
      <c r="G180" s="896"/>
      <c r="H180" s="896"/>
      <c r="I180" s="896"/>
      <c r="J180" s="896"/>
      <c r="K180" s="896"/>
      <c r="L180" s="897"/>
      <c r="M180" s="896"/>
      <c r="N180" s="889"/>
      <c r="O180" s="889"/>
      <c r="P180" s="889"/>
      <c r="Q180" s="896"/>
      <c r="R180" s="896"/>
      <c r="S180" s="896"/>
      <c r="T180" s="898"/>
      <c r="U180" s="898"/>
      <c r="V180" s="899"/>
      <c r="W180" s="899"/>
      <c r="X180" s="899"/>
      <c r="Y180" s="899"/>
      <c r="Z180" s="899"/>
      <c r="AA180" s="899"/>
      <c r="AB180" s="899"/>
      <c r="AC180" s="899"/>
      <c r="AD180" s="899"/>
      <c r="AE180" s="899"/>
      <c r="AF180" s="899"/>
      <c r="AG180" s="899"/>
    </row>
    <row r="181" spans="1:34" s="3" customFormat="1" ht="16" customHeight="1">
      <c r="A181" s="7"/>
      <c r="B181" s="10"/>
      <c r="C181" s="12"/>
      <c r="D181" s="896"/>
      <c r="E181" s="896"/>
      <c r="F181" s="896"/>
      <c r="G181" s="896"/>
      <c r="H181" s="896"/>
      <c r="I181" s="896"/>
      <c r="J181" s="896"/>
      <c r="K181" s="896"/>
      <c r="L181" s="897"/>
      <c r="M181" s="896"/>
      <c r="N181" s="889"/>
      <c r="O181" s="889"/>
      <c r="P181" s="889"/>
      <c r="Q181" s="896"/>
      <c r="R181" s="896"/>
      <c r="S181" s="896"/>
      <c r="T181" s="898"/>
      <c r="U181" s="898"/>
      <c r="V181" s="899"/>
      <c r="W181" s="899"/>
      <c r="X181" s="899"/>
      <c r="Y181" s="899"/>
      <c r="Z181" s="899"/>
      <c r="AA181" s="899"/>
      <c r="AB181" s="899"/>
      <c r="AC181" s="899"/>
      <c r="AD181" s="899"/>
      <c r="AE181" s="899"/>
      <c r="AF181" s="899"/>
      <c r="AG181" s="899"/>
    </row>
    <row r="182" spans="1:34" s="3" customFormat="1" ht="16" customHeight="1">
      <c r="A182" s="25"/>
      <c r="B182" s="26"/>
      <c r="C182" s="26"/>
      <c r="D182" s="27"/>
      <c r="E182" s="27"/>
      <c r="F182" s="28"/>
      <c r="G182" s="27"/>
      <c r="H182" s="28"/>
      <c r="I182" s="28"/>
      <c r="J182" s="27"/>
      <c r="K182" s="27"/>
      <c r="L182" s="282"/>
      <c r="M182" s="28"/>
      <c r="N182" s="28"/>
      <c r="O182" s="27"/>
      <c r="P182" s="28"/>
      <c r="Q182" s="28"/>
      <c r="R182" s="27"/>
      <c r="S182" s="28"/>
      <c r="T182" s="27"/>
      <c r="U182" s="27"/>
      <c r="V182" s="25"/>
      <c r="W182" s="25"/>
      <c r="X182" s="25"/>
      <c r="Y182" s="25"/>
      <c r="Z182" s="25"/>
      <c r="AA182" s="25"/>
      <c r="AB182" s="25"/>
      <c r="AC182" s="25"/>
      <c r="AD182" s="25"/>
      <c r="AE182" s="25"/>
      <c r="AF182" s="25"/>
      <c r="AG182" s="25"/>
    </row>
    <row r="183" spans="1:34" s="3" customFormat="1" ht="16" customHeight="1" thickBot="1">
      <c r="A183" s="7"/>
      <c r="B183" s="19" t="str">
        <f>"FA1 = "&amp;'FIG3'!$W$52&amp;" "&amp;'FIG3'!$X$52</f>
        <v>FA1 = Little Rock School District</v>
      </c>
      <c r="C183" s="7"/>
      <c r="D183" s="8"/>
      <c r="E183" s="8"/>
      <c r="F183" s="9"/>
      <c r="G183" s="8"/>
      <c r="H183" s="9"/>
      <c r="I183" s="9"/>
      <c r="J183" s="8"/>
      <c r="K183" s="8"/>
      <c r="L183" s="280"/>
      <c r="M183" s="9"/>
      <c r="N183" s="9"/>
      <c r="O183" s="8"/>
      <c r="P183" s="9"/>
      <c r="Q183" s="9"/>
      <c r="R183" s="8"/>
      <c r="S183" s="882"/>
      <c r="T183" s="883" t="str">
        <f>'$REV-DB'!$T$34</f>
        <v>Federal Revenues</v>
      </c>
      <c r="U183" s="883" t="str">
        <f>'$REV-DB'!$U$34</f>
        <v>local Revenues</v>
      </c>
      <c r="V183" s="883" t="str">
        <f>'$REV-DB'!$V$34</f>
        <v>Other Revenues</v>
      </c>
      <c r="W183" s="883" t="str">
        <f>'$REV-DB'!$W$34</f>
        <v>State revenues</v>
      </c>
      <c r="X183" s="883" t="str">
        <f>'$REV-DB'!$X$34</f>
        <v>UD5</v>
      </c>
      <c r="Y183" s="883" t="str">
        <f>'$REV-DB'!$Y$34</f>
        <v>UD6</v>
      </c>
      <c r="Z183" s="883" t="str">
        <f>'$REV-DB'!$Z$34</f>
        <v>UD7</v>
      </c>
      <c r="AA183" s="883" t="str">
        <f>'$REV-DB'!$AA$34</f>
        <v>UD8</v>
      </c>
      <c r="AB183" s="883" t="str">
        <f>'$REV-DB'!$AB$34</f>
        <v>UD9</v>
      </c>
      <c r="AC183" s="883" t="str">
        <f>'$REV-DB'!$AC$34</f>
        <v>UD10</v>
      </c>
      <c r="AD183" s="883" t="str">
        <f>'$REV-DB'!$AD$34</f>
        <v>UD11</v>
      </c>
      <c r="AE183" s="883" t="str">
        <f>'$REV-DB'!$AE$34</f>
        <v>UD12</v>
      </c>
      <c r="AF183" s="883" t="str">
        <f>'$REV-DB'!$AF$34</f>
        <v>UD13</v>
      </c>
      <c r="AG183" s="883" t="str">
        <f>'$REV-DB'!$AG$34</f>
        <v>UD14</v>
      </c>
    </row>
    <row r="184" spans="1:34" s="3" customFormat="1" ht="16" customHeight="1" thickTop="1" thickBot="1">
      <c r="A184" s="7"/>
      <c r="B184" s="20" t="s">
        <v>1399</v>
      </c>
      <c r="C184" s="15"/>
      <c r="D184" s="877" t="s">
        <v>1386</v>
      </c>
      <c r="E184" s="877" t="s">
        <v>1387</v>
      </c>
      <c r="F184" s="877" t="s">
        <v>1388</v>
      </c>
      <c r="G184" s="877" t="s">
        <v>1389</v>
      </c>
      <c r="H184" s="877" t="s">
        <v>1406</v>
      </c>
      <c r="I184" s="877" t="s">
        <v>1390</v>
      </c>
      <c r="J184" s="877" t="s">
        <v>1391</v>
      </c>
      <c r="K184" s="877" t="s">
        <v>1392</v>
      </c>
      <c r="L184" s="877" t="s">
        <v>1188</v>
      </c>
      <c r="M184" s="877" t="s">
        <v>1437</v>
      </c>
      <c r="N184" s="877" t="s">
        <v>1348</v>
      </c>
      <c r="O184" s="877" t="s">
        <v>1393</v>
      </c>
      <c r="P184" s="877" t="s">
        <v>1342</v>
      </c>
      <c r="Q184" s="877" t="s">
        <v>1394</v>
      </c>
      <c r="R184" s="112" t="s">
        <v>1341</v>
      </c>
      <c r="S184" s="112" t="s">
        <v>846</v>
      </c>
      <c r="T184" s="877" t="s">
        <v>935</v>
      </c>
      <c r="U184" s="877" t="s">
        <v>936</v>
      </c>
      <c r="V184" s="877" t="s">
        <v>937</v>
      </c>
      <c r="W184" s="877" t="s">
        <v>938</v>
      </c>
      <c r="X184" s="877" t="s">
        <v>939</v>
      </c>
      <c r="Y184" s="877" t="s">
        <v>940</v>
      </c>
      <c r="Z184" s="877" t="s">
        <v>941</v>
      </c>
      <c r="AA184" s="877" t="s">
        <v>942</v>
      </c>
      <c r="AB184" s="877" t="s">
        <v>943</v>
      </c>
      <c r="AC184" s="877" t="s">
        <v>944</v>
      </c>
      <c r="AD184" s="877" t="s">
        <v>945</v>
      </c>
      <c r="AE184" s="877" t="s">
        <v>946</v>
      </c>
      <c r="AF184" s="877" t="s">
        <v>947</v>
      </c>
      <c r="AG184" s="877" t="s">
        <v>948</v>
      </c>
      <c r="AH184" s="6"/>
    </row>
    <row r="185" spans="1:34" s="3" customFormat="1" ht="16" customHeight="1" thickTop="1">
      <c r="A185" s="7"/>
      <c r="B185" s="19" t="s">
        <v>1343</v>
      </c>
      <c r="C185" s="12"/>
      <c r="D185" s="191"/>
      <c r="E185" s="191"/>
      <c r="F185" s="190"/>
      <c r="G185" s="191"/>
      <c r="H185" s="190"/>
      <c r="I185" s="190"/>
      <c r="J185" s="191"/>
      <c r="K185" s="191"/>
      <c r="L185" s="283" t="s">
        <v>1429</v>
      </c>
      <c r="M185" s="190"/>
      <c r="N185" s="38" t="str">
        <f>J$6</f>
        <v>FY2010-11</v>
      </c>
      <c r="O185" s="38" t="s">
        <v>1352</v>
      </c>
      <c r="P185" s="38" t="s">
        <v>1338</v>
      </c>
      <c r="Q185" s="38" t="s">
        <v>1379</v>
      </c>
      <c r="R185" s="191"/>
      <c r="S185" s="190"/>
      <c r="T185" s="191"/>
      <c r="U185" s="191"/>
      <c r="V185" s="192"/>
      <c r="W185" s="192"/>
      <c r="X185" s="192"/>
      <c r="Y185" s="192"/>
      <c r="Z185" s="192"/>
      <c r="AA185" s="192"/>
      <c r="AB185" s="192"/>
      <c r="AC185" s="192"/>
      <c r="AD185" s="192"/>
      <c r="AE185" s="192"/>
      <c r="AF185" s="192"/>
      <c r="AG185" s="192"/>
      <c r="AH185" s="6"/>
    </row>
    <row r="186" spans="1:34" s="3" customFormat="1" ht="16" customHeight="1">
      <c r="A186" s="7"/>
      <c r="B186" s="16">
        <f>DSUM('$REV-DB'!D35:AG374,"AMOUNT",D184:AG186)</f>
        <v>139616052.41</v>
      </c>
      <c r="C186" s="12"/>
      <c r="D186" s="191"/>
      <c r="E186" s="191"/>
      <c r="F186" s="190"/>
      <c r="G186" s="191"/>
      <c r="H186" s="190"/>
      <c r="I186" s="190"/>
      <c r="J186" s="191"/>
      <c r="K186" s="191"/>
      <c r="L186" s="283" t="s">
        <v>1429</v>
      </c>
      <c r="M186" s="190"/>
      <c r="N186" s="38" t="str">
        <f>J$6</f>
        <v>FY2010-11</v>
      </c>
      <c r="O186" s="38" t="s">
        <v>1352</v>
      </c>
      <c r="P186" s="38" t="s">
        <v>1347</v>
      </c>
      <c r="Q186" s="38" t="s">
        <v>1379</v>
      </c>
      <c r="R186" s="191"/>
      <c r="S186" s="190" t="s">
        <v>1303</v>
      </c>
      <c r="T186" s="191"/>
      <c r="U186" s="191"/>
      <c r="V186" s="192"/>
      <c r="W186" s="192"/>
      <c r="X186" s="192"/>
      <c r="Y186" s="192"/>
      <c r="Z186" s="192"/>
      <c r="AA186" s="192"/>
      <c r="AB186" s="192"/>
      <c r="AC186" s="192"/>
      <c r="AD186" s="192"/>
      <c r="AE186" s="192"/>
      <c r="AF186" s="192"/>
      <c r="AG186" s="192"/>
      <c r="AH186" s="6"/>
    </row>
    <row r="187" spans="1:34" s="3" customFormat="1" ht="16" customHeight="1">
      <c r="A187" s="7"/>
      <c r="B187" s="10"/>
      <c r="C187" s="12"/>
      <c r="D187" s="896"/>
      <c r="E187" s="896"/>
      <c r="F187" s="896"/>
      <c r="G187" s="896"/>
      <c r="H187" s="896"/>
      <c r="I187" s="896"/>
      <c r="J187" s="896"/>
      <c r="K187" s="896"/>
      <c r="L187" s="897"/>
      <c r="M187" s="896"/>
      <c r="N187" s="889"/>
      <c r="O187" s="889"/>
      <c r="P187" s="889"/>
      <c r="Q187" s="896"/>
      <c r="R187" s="896"/>
      <c r="S187" s="896"/>
      <c r="T187" s="898"/>
      <c r="U187" s="898"/>
      <c r="V187" s="899"/>
      <c r="W187" s="899"/>
      <c r="X187" s="899"/>
      <c r="Y187" s="899"/>
      <c r="Z187" s="899"/>
      <c r="AA187" s="899"/>
      <c r="AB187" s="899"/>
      <c r="AC187" s="899"/>
      <c r="AD187" s="899"/>
      <c r="AE187" s="899"/>
      <c r="AF187" s="899"/>
      <c r="AG187" s="899"/>
    </row>
    <row r="188" spans="1:34" s="3" customFormat="1" ht="16" customHeight="1">
      <c r="A188" s="7"/>
      <c r="B188" s="10"/>
      <c r="C188" s="12"/>
      <c r="D188" s="896"/>
      <c r="E188" s="896"/>
      <c r="F188" s="896"/>
      <c r="G188" s="896"/>
      <c r="H188" s="896"/>
      <c r="I188" s="896"/>
      <c r="J188" s="896"/>
      <c r="K188" s="896"/>
      <c r="L188" s="897"/>
      <c r="M188" s="896"/>
      <c r="N188" s="889"/>
      <c r="O188" s="889"/>
      <c r="P188" s="889"/>
      <c r="Q188" s="896"/>
      <c r="R188" s="896"/>
      <c r="S188" s="896"/>
      <c r="T188" s="898"/>
      <c r="U188" s="898"/>
      <c r="V188" s="899"/>
      <c r="W188" s="899"/>
      <c r="X188" s="899"/>
      <c r="Y188" s="899"/>
      <c r="Z188" s="899"/>
      <c r="AA188" s="899"/>
      <c r="AB188" s="899"/>
      <c r="AC188" s="899"/>
      <c r="AD188" s="899"/>
      <c r="AE188" s="899"/>
      <c r="AF188" s="899"/>
      <c r="AG188" s="899"/>
    </row>
    <row r="189" spans="1:34" s="3" customFormat="1" ht="16" customHeight="1">
      <c r="A189" s="7"/>
      <c r="B189" s="10"/>
      <c r="C189" s="12"/>
      <c r="D189" s="896"/>
      <c r="E189" s="896"/>
      <c r="F189" s="896"/>
      <c r="G189" s="896"/>
      <c r="H189" s="896"/>
      <c r="I189" s="896"/>
      <c r="J189" s="896"/>
      <c r="K189" s="896"/>
      <c r="L189" s="897"/>
      <c r="M189" s="896"/>
      <c r="N189" s="889"/>
      <c r="O189" s="889"/>
      <c r="P189" s="889"/>
      <c r="Q189" s="896"/>
      <c r="R189" s="896"/>
      <c r="S189" s="896"/>
      <c r="T189" s="898"/>
      <c r="U189" s="898"/>
      <c r="V189" s="899"/>
      <c r="W189" s="899"/>
      <c r="X189" s="899"/>
      <c r="Y189" s="899"/>
      <c r="Z189" s="899"/>
      <c r="AA189" s="899"/>
      <c r="AB189" s="899"/>
      <c r="AC189" s="899"/>
      <c r="AD189" s="899"/>
      <c r="AE189" s="899"/>
      <c r="AF189" s="899"/>
      <c r="AG189" s="899"/>
    </row>
    <row r="190" spans="1:34" s="3" customFormat="1" ht="16" customHeight="1">
      <c r="A190" s="7"/>
      <c r="B190" s="10"/>
      <c r="C190" s="12"/>
      <c r="D190" s="896"/>
      <c r="E190" s="896"/>
      <c r="F190" s="896"/>
      <c r="G190" s="896"/>
      <c r="H190" s="896"/>
      <c r="I190" s="896"/>
      <c r="J190" s="896"/>
      <c r="K190" s="896"/>
      <c r="L190" s="897"/>
      <c r="M190" s="896"/>
      <c r="N190" s="889"/>
      <c r="O190" s="889"/>
      <c r="P190" s="889"/>
      <c r="Q190" s="896"/>
      <c r="R190" s="896"/>
      <c r="S190" s="896"/>
      <c r="T190" s="898"/>
      <c r="U190" s="898"/>
      <c r="V190" s="899"/>
      <c r="W190" s="899"/>
      <c r="X190" s="899"/>
      <c r="Y190" s="899"/>
      <c r="Z190" s="899"/>
      <c r="AA190" s="899"/>
      <c r="AB190" s="899"/>
      <c r="AC190" s="899"/>
      <c r="AD190" s="899"/>
      <c r="AE190" s="899"/>
      <c r="AF190" s="899"/>
      <c r="AG190" s="899"/>
    </row>
    <row r="191" spans="1:34" s="3" customFormat="1" ht="16" customHeight="1">
      <c r="A191" s="7"/>
      <c r="B191" s="10"/>
      <c r="C191" s="12"/>
      <c r="D191" s="896"/>
      <c r="E191" s="896"/>
      <c r="F191" s="896"/>
      <c r="G191" s="896"/>
      <c r="H191" s="896"/>
      <c r="I191" s="896"/>
      <c r="J191" s="896"/>
      <c r="K191" s="896"/>
      <c r="L191" s="897"/>
      <c r="M191" s="896"/>
      <c r="N191" s="889"/>
      <c r="O191" s="889"/>
      <c r="P191" s="889"/>
      <c r="Q191" s="896"/>
      <c r="R191" s="896"/>
      <c r="S191" s="896"/>
      <c r="T191" s="898"/>
      <c r="U191" s="898"/>
      <c r="V191" s="899"/>
      <c r="W191" s="899"/>
      <c r="X191" s="899"/>
      <c r="Y191" s="899"/>
      <c r="Z191" s="899"/>
      <c r="AA191" s="899"/>
      <c r="AB191" s="899"/>
      <c r="AC191" s="899"/>
      <c r="AD191" s="899"/>
      <c r="AE191" s="899"/>
      <c r="AF191" s="899"/>
      <c r="AG191" s="899"/>
    </row>
    <row r="192" spans="1:34" s="3" customFormat="1" ht="16" customHeight="1">
      <c r="A192" s="25"/>
      <c r="B192" s="26"/>
      <c r="C192" s="26"/>
      <c r="D192" s="27"/>
      <c r="E192" s="27"/>
      <c r="F192" s="28"/>
      <c r="G192" s="27"/>
      <c r="H192" s="28"/>
      <c r="I192" s="28"/>
      <c r="J192" s="27"/>
      <c r="K192" s="27"/>
      <c r="L192" s="282"/>
      <c r="M192" s="28"/>
      <c r="N192" s="28"/>
      <c r="O192" s="27"/>
      <c r="P192" s="28"/>
      <c r="Q192" s="28"/>
      <c r="R192" s="27"/>
      <c r="S192" s="28"/>
      <c r="T192" s="27"/>
      <c r="U192" s="27"/>
      <c r="V192" s="25"/>
      <c r="W192" s="25"/>
      <c r="X192" s="25"/>
      <c r="Y192" s="25"/>
      <c r="Z192" s="25"/>
      <c r="AA192" s="25"/>
      <c r="AB192" s="25"/>
      <c r="AC192" s="25"/>
      <c r="AD192" s="25"/>
      <c r="AE192" s="25"/>
      <c r="AF192" s="25"/>
      <c r="AG192" s="25"/>
    </row>
    <row r="193" spans="1:34" s="3" customFormat="1" ht="16" customHeight="1" thickBot="1">
      <c r="A193" s="7"/>
      <c r="B193" s="19" t="str">
        <f>"FA1 = "&amp;'FIG3'!$W$52&amp;" "&amp;'FIG3'!$X$52</f>
        <v>FA1 = Little Rock School District</v>
      </c>
      <c r="C193" s="7"/>
      <c r="D193" s="8"/>
      <c r="E193" s="8"/>
      <c r="F193" s="9"/>
      <c r="G193" s="8"/>
      <c r="H193" s="9"/>
      <c r="I193" s="9"/>
      <c r="J193" s="8"/>
      <c r="K193" s="8"/>
      <c r="L193" s="280"/>
      <c r="M193" s="9"/>
      <c r="N193" s="9"/>
      <c r="O193" s="8"/>
      <c r="P193" s="9"/>
      <c r="Q193" s="9"/>
      <c r="R193" s="8"/>
      <c r="S193" s="882"/>
      <c r="T193" s="883" t="str">
        <f>'$REV-DB'!$T$34</f>
        <v>Federal Revenues</v>
      </c>
      <c r="U193" s="883" t="str">
        <f>'$REV-DB'!$U$34</f>
        <v>local Revenues</v>
      </c>
      <c r="V193" s="883" t="str">
        <f>'$REV-DB'!$V$34</f>
        <v>Other Revenues</v>
      </c>
      <c r="W193" s="883" t="str">
        <f>'$REV-DB'!$W$34</f>
        <v>State revenues</v>
      </c>
      <c r="X193" s="883" t="str">
        <f>'$REV-DB'!$X$34</f>
        <v>UD5</v>
      </c>
      <c r="Y193" s="883" t="str">
        <f>'$REV-DB'!$Y$34</f>
        <v>UD6</v>
      </c>
      <c r="Z193" s="883" t="str">
        <f>'$REV-DB'!$Z$34</f>
        <v>UD7</v>
      </c>
      <c r="AA193" s="883" t="str">
        <f>'$REV-DB'!$AA$34</f>
        <v>UD8</v>
      </c>
      <c r="AB193" s="883" t="str">
        <f>'$REV-DB'!$AB$34</f>
        <v>UD9</v>
      </c>
      <c r="AC193" s="883" t="str">
        <f>'$REV-DB'!$AC$34</f>
        <v>UD10</v>
      </c>
      <c r="AD193" s="883" t="str">
        <f>'$REV-DB'!$AD$34</f>
        <v>UD11</v>
      </c>
      <c r="AE193" s="883" t="str">
        <f>'$REV-DB'!$AE$34</f>
        <v>UD12</v>
      </c>
      <c r="AF193" s="883" t="str">
        <f>'$REV-DB'!$AF$34</f>
        <v>UD13</v>
      </c>
      <c r="AG193" s="883" t="str">
        <f>'$REV-DB'!$AG$34</f>
        <v>UD14</v>
      </c>
    </row>
    <row r="194" spans="1:34" s="3" customFormat="1" ht="16" customHeight="1" thickTop="1" thickBot="1">
      <c r="A194" s="7"/>
      <c r="B194" s="20" t="s">
        <v>1399</v>
      </c>
      <c r="C194" s="15"/>
      <c r="D194" s="877" t="s">
        <v>1386</v>
      </c>
      <c r="E194" s="877" t="s">
        <v>1387</v>
      </c>
      <c r="F194" s="877" t="s">
        <v>1388</v>
      </c>
      <c r="G194" s="877" t="s">
        <v>1389</v>
      </c>
      <c r="H194" s="877" t="s">
        <v>1406</v>
      </c>
      <c r="I194" s="877" t="s">
        <v>1390</v>
      </c>
      <c r="J194" s="877" t="s">
        <v>1391</v>
      </c>
      <c r="K194" s="877" t="s">
        <v>1392</v>
      </c>
      <c r="L194" s="877" t="s">
        <v>1188</v>
      </c>
      <c r="M194" s="877" t="s">
        <v>1437</v>
      </c>
      <c r="N194" s="877" t="s">
        <v>1348</v>
      </c>
      <c r="O194" s="877" t="s">
        <v>1393</v>
      </c>
      <c r="P194" s="877" t="s">
        <v>1342</v>
      </c>
      <c r="Q194" s="877" t="s">
        <v>1394</v>
      </c>
      <c r="R194" s="112" t="s">
        <v>1341</v>
      </c>
      <c r="S194" s="112" t="s">
        <v>846</v>
      </c>
      <c r="T194" s="877" t="s">
        <v>935</v>
      </c>
      <c r="U194" s="877" t="s">
        <v>936</v>
      </c>
      <c r="V194" s="877" t="s">
        <v>937</v>
      </c>
      <c r="W194" s="877" t="s">
        <v>938</v>
      </c>
      <c r="X194" s="877" t="s">
        <v>939</v>
      </c>
      <c r="Y194" s="877" t="s">
        <v>940</v>
      </c>
      <c r="Z194" s="877" t="s">
        <v>941</v>
      </c>
      <c r="AA194" s="877" t="s">
        <v>942</v>
      </c>
      <c r="AB194" s="877" t="s">
        <v>943</v>
      </c>
      <c r="AC194" s="877" t="s">
        <v>944</v>
      </c>
      <c r="AD194" s="877" t="s">
        <v>945</v>
      </c>
      <c r="AE194" s="877" t="s">
        <v>946</v>
      </c>
      <c r="AF194" s="877" t="s">
        <v>947</v>
      </c>
      <c r="AG194" s="877" t="s">
        <v>948</v>
      </c>
      <c r="AH194" s="6"/>
    </row>
    <row r="195" spans="1:34" s="3" customFormat="1" ht="16" customHeight="1" thickTop="1">
      <c r="A195" s="7"/>
      <c r="B195" s="19" t="s">
        <v>1349</v>
      </c>
      <c r="C195" s="12"/>
      <c r="D195" s="191"/>
      <c r="E195" s="191"/>
      <c r="F195" s="190"/>
      <c r="G195" s="191"/>
      <c r="H195" s="190"/>
      <c r="I195" s="190"/>
      <c r="J195" s="191"/>
      <c r="K195" s="191"/>
      <c r="L195" s="283" t="s">
        <v>1429</v>
      </c>
      <c r="M195" s="190"/>
      <c r="N195" s="38" t="str">
        <f>J$6</f>
        <v>FY2010-11</v>
      </c>
      <c r="O195" s="38" t="s">
        <v>1352</v>
      </c>
      <c r="P195" s="38" t="s">
        <v>1338</v>
      </c>
      <c r="Q195" s="38" t="s">
        <v>1397</v>
      </c>
      <c r="R195" s="191"/>
      <c r="S195" s="190"/>
      <c r="T195" s="191"/>
      <c r="U195" s="191"/>
      <c r="V195" s="192"/>
      <c r="W195" s="192"/>
      <c r="X195" s="192"/>
      <c r="Y195" s="192"/>
      <c r="Z195" s="192"/>
      <c r="AA195" s="192"/>
      <c r="AB195" s="192"/>
      <c r="AC195" s="192"/>
      <c r="AD195" s="192"/>
      <c r="AE195" s="192"/>
      <c r="AF195" s="192"/>
      <c r="AG195" s="192"/>
      <c r="AH195" s="6"/>
    </row>
    <row r="196" spans="1:34" s="3" customFormat="1" ht="16" customHeight="1">
      <c r="A196" s="7"/>
      <c r="B196" s="16">
        <f>DSUM('$REV-DB'!D35:AG374,"AMOUNT",D194:AG196)</f>
        <v>16626147.98</v>
      </c>
      <c r="C196" s="12"/>
      <c r="D196" s="191"/>
      <c r="E196" s="191"/>
      <c r="F196" s="190"/>
      <c r="G196" s="191"/>
      <c r="H196" s="190"/>
      <c r="I196" s="190"/>
      <c r="J196" s="191"/>
      <c r="K196" s="191"/>
      <c r="L196" s="283" t="s">
        <v>1429</v>
      </c>
      <c r="M196" s="190"/>
      <c r="N196" s="38" t="str">
        <f>J$6</f>
        <v>FY2010-11</v>
      </c>
      <c r="O196" s="38" t="s">
        <v>1352</v>
      </c>
      <c r="P196" s="38" t="s">
        <v>1347</v>
      </c>
      <c r="Q196" s="38" t="s">
        <v>1397</v>
      </c>
      <c r="R196" s="191"/>
      <c r="S196" s="190" t="s">
        <v>1303</v>
      </c>
      <c r="T196" s="191"/>
      <c r="U196" s="191"/>
      <c r="V196" s="192"/>
      <c r="W196" s="192"/>
      <c r="X196" s="192"/>
      <c r="Y196" s="192"/>
      <c r="Z196" s="192"/>
      <c r="AA196" s="192"/>
      <c r="AB196" s="192"/>
      <c r="AC196" s="192"/>
      <c r="AD196" s="192"/>
      <c r="AE196" s="192"/>
      <c r="AF196" s="192"/>
      <c r="AG196" s="192"/>
      <c r="AH196" s="6"/>
    </row>
    <row r="197" spans="1:34" s="3" customFormat="1" ht="16" customHeight="1">
      <c r="A197" s="7"/>
      <c r="B197" s="10"/>
      <c r="C197" s="12"/>
      <c r="D197" s="896"/>
      <c r="E197" s="896"/>
      <c r="F197" s="896"/>
      <c r="G197" s="896"/>
      <c r="H197" s="896"/>
      <c r="I197" s="896"/>
      <c r="J197" s="896"/>
      <c r="K197" s="896"/>
      <c r="L197" s="897"/>
      <c r="M197" s="896"/>
      <c r="N197" s="889"/>
      <c r="O197" s="889"/>
      <c r="P197" s="889"/>
      <c r="Q197" s="896"/>
      <c r="R197" s="896"/>
      <c r="S197" s="896"/>
      <c r="T197" s="898"/>
      <c r="U197" s="898"/>
      <c r="V197" s="899"/>
      <c r="W197" s="899"/>
      <c r="X197" s="899"/>
      <c r="Y197" s="899"/>
      <c r="Z197" s="899"/>
      <c r="AA197" s="899"/>
      <c r="AB197" s="899"/>
      <c r="AC197" s="899"/>
      <c r="AD197" s="899"/>
      <c r="AE197" s="899"/>
      <c r="AF197" s="899"/>
      <c r="AG197" s="899"/>
    </row>
    <row r="198" spans="1:34" s="3" customFormat="1" ht="16" customHeight="1">
      <c r="A198" s="7"/>
      <c r="B198" s="10"/>
      <c r="C198" s="12"/>
      <c r="D198" s="896"/>
      <c r="E198" s="896"/>
      <c r="F198" s="896"/>
      <c r="G198" s="896"/>
      <c r="H198" s="896"/>
      <c r="I198" s="896"/>
      <c r="J198" s="896"/>
      <c r="K198" s="896"/>
      <c r="L198" s="897"/>
      <c r="M198" s="896"/>
      <c r="N198" s="889"/>
      <c r="O198" s="889"/>
      <c r="P198" s="889"/>
      <c r="Q198" s="896"/>
      <c r="R198" s="896"/>
      <c r="S198" s="896"/>
      <c r="T198" s="898"/>
      <c r="U198" s="898"/>
      <c r="V198" s="899"/>
      <c r="W198" s="899"/>
      <c r="X198" s="899"/>
      <c r="Y198" s="899"/>
      <c r="Z198" s="899"/>
      <c r="AA198" s="899"/>
      <c r="AB198" s="899"/>
      <c r="AC198" s="899"/>
      <c r="AD198" s="899"/>
      <c r="AE198" s="899"/>
      <c r="AF198" s="899"/>
      <c r="AG198" s="899"/>
    </row>
    <row r="199" spans="1:34" s="3" customFormat="1" ht="16" customHeight="1">
      <c r="A199" s="7"/>
      <c r="B199" s="10"/>
      <c r="C199" s="12"/>
      <c r="D199" s="896"/>
      <c r="E199" s="896"/>
      <c r="F199" s="896"/>
      <c r="G199" s="896"/>
      <c r="H199" s="896"/>
      <c r="I199" s="896"/>
      <c r="J199" s="896"/>
      <c r="K199" s="896"/>
      <c r="L199" s="897"/>
      <c r="M199" s="896"/>
      <c r="N199" s="889"/>
      <c r="O199" s="889"/>
      <c r="P199" s="889"/>
      <c r="Q199" s="896"/>
      <c r="R199" s="896"/>
      <c r="S199" s="896"/>
      <c r="T199" s="898"/>
      <c r="U199" s="898"/>
      <c r="V199" s="899"/>
      <c r="W199" s="899"/>
      <c r="X199" s="899"/>
      <c r="Y199" s="899"/>
      <c r="Z199" s="899"/>
      <c r="AA199" s="899"/>
      <c r="AB199" s="899"/>
      <c r="AC199" s="899"/>
      <c r="AD199" s="899"/>
      <c r="AE199" s="899"/>
      <c r="AF199" s="899"/>
      <c r="AG199" s="899"/>
    </row>
    <row r="200" spans="1:34" s="3" customFormat="1" ht="16" customHeight="1">
      <c r="A200" s="7"/>
      <c r="B200" s="10"/>
      <c r="C200" s="12"/>
      <c r="D200" s="896"/>
      <c r="E200" s="896"/>
      <c r="F200" s="896"/>
      <c r="G200" s="896"/>
      <c r="H200" s="896"/>
      <c r="I200" s="896"/>
      <c r="J200" s="896"/>
      <c r="K200" s="896"/>
      <c r="L200" s="897"/>
      <c r="M200" s="896"/>
      <c r="N200" s="889"/>
      <c r="O200" s="889"/>
      <c r="P200" s="889"/>
      <c r="Q200" s="896"/>
      <c r="R200" s="896"/>
      <c r="S200" s="896"/>
      <c r="T200" s="898"/>
      <c r="U200" s="898"/>
      <c r="V200" s="899"/>
      <c r="W200" s="899"/>
      <c r="X200" s="899"/>
      <c r="Y200" s="899"/>
      <c r="Z200" s="899"/>
      <c r="AA200" s="899"/>
      <c r="AB200" s="899"/>
      <c r="AC200" s="899"/>
      <c r="AD200" s="899"/>
      <c r="AE200" s="899"/>
      <c r="AF200" s="899"/>
      <c r="AG200" s="899"/>
    </row>
    <row r="201" spans="1:34" s="3" customFormat="1" ht="16" customHeight="1">
      <c r="A201" s="7"/>
      <c r="B201" s="10"/>
      <c r="C201" s="12"/>
      <c r="D201" s="896"/>
      <c r="E201" s="896"/>
      <c r="F201" s="896"/>
      <c r="G201" s="896"/>
      <c r="H201" s="896"/>
      <c r="I201" s="896"/>
      <c r="J201" s="896"/>
      <c r="K201" s="896"/>
      <c r="L201" s="897"/>
      <c r="M201" s="896"/>
      <c r="N201" s="889"/>
      <c r="O201" s="889"/>
      <c r="P201" s="889"/>
      <c r="Q201" s="896"/>
      <c r="R201" s="896"/>
      <c r="S201" s="896"/>
      <c r="T201" s="898"/>
      <c r="U201" s="898"/>
      <c r="V201" s="899"/>
      <c r="W201" s="899"/>
      <c r="X201" s="899"/>
      <c r="Y201" s="899"/>
      <c r="Z201" s="899"/>
      <c r="AA201" s="899"/>
      <c r="AB201" s="899"/>
      <c r="AC201" s="899"/>
      <c r="AD201" s="899"/>
      <c r="AE201" s="899"/>
      <c r="AF201" s="899"/>
      <c r="AG201" s="899"/>
    </row>
    <row r="202" spans="1:34" s="3" customFormat="1" ht="16" customHeight="1">
      <c r="A202" s="25"/>
      <c r="B202" s="26"/>
      <c r="C202" s="26"/>
      <c r="D202" s="27"/>
      <c r="E202" s="27"/>
      <c r="F202" s="28"/>
      <c r="G202" s="27"/>
      <c r="H202" s="28"/>
      <c r="I202" s="28"/>
      <c r="J202" s="27"/>
      <c r="K202" s="27"/>
      <c r="L202" s="282"/>
      <c r="M202" s="28"/>
      <c r="N202" s="28"/>
      <c r="O202" s="27"/>
      <c r="P202" s="28"/>
      <c r="Q202" s="28"/>
      <c r="R202" s="27"/>
      <c r="S202" s="28"/>
      <c r="T202" s="27"/>
      <c r="U202" s="27"/>
      <c r="V202" s="25"/>
      <c r="W202" s="25"/>
      <c r="X202" s="25"/>
      <c r="Y202" s="25"/>
      <c r="Z202" s="25"/>
      <c r="AA202" s="25"/>
      <c r="AB202" s="25"/>
      <c r="AC202" s="25"/>
      <c r="AD202" s="25"/>
      <c r="AE202" s="25"/>
      <c r="AF202" s="25"/>
      <c r="AG202" s="25"/>
    </row>
    <row r="203" spans="1:34" s="3" customFormat="1" ht="16" customHeight="1" thickBot="1">
      <c r="A203" s="7"/>
      <c r="B203" s="19" t="str">
        <f>"FA1 = "&amp;'FIG3'!$W$52&amp;" "&amp;'FIG3'!$X$52</f>
        <v>FA1 = Little Rock School District</v>
      </c>
      <c r="C203" s="7"/>
      <c r="D203" s="8"/>
      <c r="E203" s="8"/>
      <c r="F203" s="9"/>
      <c r="G203" s="8"/>
      <c r="H203" s="9"/>
      <c r="I203" s="9"/>
      <c r="J203" s="8"/>
      <c r="K203" s="8"/>
      <c r="L203" s="280"/>
      <c r="M203" s="9"/>
      <c r="N203" s="9"/>
      <c r="O203" s="8"/>
      <c r="P203" s="9"/>
      <c r="Q203" s="9"/>
      <c r="R203" s="8"/>
      <c r="S203" s="882"/>
      <c r="T203" s="883" t="str">
        <f>'$REV-DB'!$T$34</f>
        <v>Federal Revenues</v>
      </c>
      <c r="U203" s="883" t="str">
        <f>'$REV-DB'!$U$34</f>
        <v>local Revenues</v>
      </c>
      <c r="V203" s="883" t="str">
        <f>'$REV-DB'!$V$34</f>
        <v>Other Revenues</v>
      </c>
      <c r="W203" s="883" t="str">
        <f>'$REV-DB'!$W$34</f>
        <v>State revenues</v>
      </c>
      <c r="X203" s="883" t="str">
        <f>'$REV-DB'!$X$34</f>
        <v>UD5</v>
      </c>
      <c r="Y203" s="883" t="str">
        <f>'$REV-DB'!$Y$34</f>
        <v>UD6</v>
      </c>
      <c r="Z203" s="883" t="str">
        <f>'$REV-DB'!$Z$34</f>
        <v>UD7</v>
      </c>
      <c r="AA203" s="883" t="str">
        <f>'$REV-DB'!$AA$34</f>
        <v>UD8</v>
      </c>
      <c r="AB203" s="883" t="str">
        <f>'$REV-DB'!$AB$34</f>
        <v>UD9</v>
      </c>
      <c r="AC203" s="883" t="str">
        <f>'$REV-DB'!$AC$34</f>
        <v>UD10</v>
      </c>
      <c r="AD203" s="883" t="str">
        <f>'$REV-DB'!$AD$34</f>
        <v>UD11</v>
      </c>
      <c r="AE203" s="883" t="str">
        <f>'$REV-DB'!$AE$34</f>
        <v>UD12</v>
      </c>
      <c r="AF203" s="883" t="str">
        <f>'$REV-DB'!$AF$34</f>
        <v>UD13</v>
      </c>
      <c r="AG203" s="883" t="str">
        <f>'$REV-DB'!$AG$34</f>
        <v>UD14</v>
      </c>
    </row>
    <row r="204" spans="1:34" s="3" customFormat="1" ht="16" customHeight="1" thickTop="1" thickBot="1">
      <c r="A204" s="7"/>
      <c r="B204" s="20" t="s">
        <v>1399</v>
      </c>
      <c r="C204" s="15"/>
      <c r="D204" s="877" t="s">
        <v>1386</v>
      </c>
      <c r="E204" s="877" t="s">
        <v>1387</v>
      </c>
      <c r="F204" s="877" t="s">
        <v>1388</v>
      </c>
      <c r="G204" s="877" t="s">
        <v>1389</v>
      </c>
      <c r="H204" s="877" t="s">
        <v>1406</v>
      </c>
      <c r="I204" s="877" t="s">
        <v>1390</v>
      </c>
      <c r="J204" s="877" t="s">
        <v>1391</v>
      </c>
      <c r="K204" s="877" t="s">
        <v>1392</v>
      </c>
      <c r="L204" s="877" t="s">
        <v>1188</v>
      </c>
      <c r="M204" s="877" t="s">
        <v>1437</v>
      </c>
      <c r="N204" s="877" t="s">
        <v>1348</v>
      </c>
      <c r="O204" s="877" t="s">
        <v>1393</v>
      </c>
      <c r="P204" s="877" t="s">
        <v>1342</v>
      </c>
      <c r="Q204" s="877" t="s">
        <v>1394</v>
      </c>
      <c r="R204" s="112" t="s">
        <v>1341</v>
      </c>
      <c r="S204" s="112" t="s">
        <v>846</v>
      </c>
      <c r="T204" s="877" t="s">
        <v>935</v>
      </c>
      <c r="U204" s="877" t="s">
        <v>936</v>
      </c>
      <c r="V204" s="877" t="s">
        <v>937</v>
      </c>
      <c r="W204" s="877" t="s">
        <v>938</v>
      </c>
      <c r="X204" s="877" t="s">
        <v>939</v>
      </c>
      <c r="Y204" s="877" t="s">
        <v>940</v>
      </c>
      <c r="Z204" s="877" t="s">
        <v>941</v>
      </c>
      <c r="AA204" s="877" t="s">
        <v>942</v>
      </c>
      <c r="AB204" s="877" t="s">
        <v>943</v>
      </c>
      <c r="AC204" s="877" t="s">
        <v>944</v>
      </c>
      <c r="AD204" s="877" t="s">
        <v>945</v>
      </c>
      <c r="AE204" s="877" t="s">
        <v>946</v>
      </c>
      <c r="AF204" s="877" t="s">
        <v>947</v>
      </c>
      <c r="AG204" s="877" t="s">
        <v>948</v>
      </c>
      <c r="AH204" s="6"/>
    </row>
    <row r="205" spans="1:34" s="3" customFormat="1" ht="16" customHeight="1" thickTop="1">
      <c r="A205" s="7"/>
      <c r="B205" s="19" t="s">
        <v>1178</v>
      </c>
      <c r="C205" s="12"/>
      <c r="D205" s="191"/>
      <c r="E205" s="191"/>
      <c r="F205" s="190"/>
      <c r="G205" s="191"/>
      <c r="H205" s="190"/>
      <c r="I205" s="190"/>
      <c r="J205" s="191"/>
      <c r="K205" s="191"/>
      <c r="L205" s="283" t="s">
        <v>1429</v>
      </c>
      <c r="M205" s="190"/>
      <c r="N205" s="38" t="str">
        <f>J$6</f>
        <v>FY2010-11</v>
      </c>
      <c r="O205" s="38" t="s">
        <v>1352</v>
      </c>
      <c r="P205" s="38" t="s">
        <v>1338</v>
      </c>
      <c r="Q205" s="38" t="s">
        <v>1465</v>
      </c>
      <c r="R205" s="191"/>
      <c r="S205" s="190"/>
      <c r="T205" s="191"/>
      <c r="U205" s="191"/>
      <c r="V205" s="192"/>
      <c r="W205" s="192"/>
      <c r="X205" s="192"/>
      <c r="Y205" s="192"/>
      <c r="Z205" s="192"/>
      <c r="AA205" s="192"/>
      <c r="AB205" s="192"/>
      <c r="AC205" s="192"/>
      <c r="AD205" s="192"/>
      <c r="AE205" s="192"/>
      <c r="AF205" s="192"/>
      <c r="AG205" s="192"/>
      <c r="AH205" s="6"/>
    </row>
    <row r="206" spans="1:34" s="3" customFormat="1" ht="16" customHeight="1">
      <c r="A206" s="7"/>
      <c r="B206" s="16">
        <f>DSUM('$REV-DB'!D35:AG374,"AMOUNT",D204:AG206)</f>
        <v>21614.02</v>
      </c>
      <c r="C206" s="12"/>
      <c r="D206" s="191"/>
      <c r="E206" s="191"/>
      <c r="F206" s="190"/>
      <c r="G206" s="191"/>
      <c r="H206" s="190"/>
      <c r="I206" s="190"/>
      <c r="J206" s="191"/>
      <c r="K206" s="191"/>
      <c r="L206" s="283" t="s">
        <v>1429</v>
      </c>
      <c r="M206" s="190"/>
      <c r="N206" s="38" t="str">
        <f>J$6</f>
        <v>FY2010-11</v>
      </c>
      <c r="O206" s="38" t="s">
        <v>1352</v>
      </c>
      <c r="P206" s="38" t="s">
        <v>1347</v>
      </c>
      <c r="Q206" s="38" t="s">
        <v>1465</v>
      </c>
      <c r="R206" s="191"/>
      <c r="S206" s="190" t="s">
        <v>1303</v>
      </c>
      <c r="T206" s="191"/>
      <c r="U206" s="191"/>
      <c r="V206" s="192"/>
      <c r="W206" s="192"/>
      <c r="X206" s="192"/>
      <c r="Y206" s="192"/>
      <c r="Z206" s="192"/>
      <c r="AA206" s="192"/>
      <c r="AB206" s="192"/>
      <c r="AC206" s="192"/>
      <c r="AD206" s="192"/>
      <c r="AE206" s="192"/>
      <c r="AF206" s="192"/>
      <c r="AG206" s="192"/>
      <c r="AH206" s="6"/>
    </row>
    <row r="207" spans="1:34" s="3" customFormat="1" ht="16" customHeight="1">
      <c r="A207" s="7"/>
      <c r="B207" s="10"/>
      <c r="C207" s="12"/>
      <c r="D207" s="896"/>
      <c r="E207" s="896"/>
      <c r="F207" s="896"/>
      <c r="G207" s="896"/>
      <c r="H207" s="896"/>
      <c r="I207" s="896"/>
      <c r="J207" s="896"/>
      <c r="K207" s="896"/>
      <c r="L207" s="897"/>
      <c r="M207" s="896"/>
      <c r="N207" s="889"/>
      <c r="O207" s="889"/>
      <c r="P207" s="889"/>
      <c r="Q207" s="896"/>
      <c r="R207" s="896"/>
      <c r="S207" s="896"/>
      <c r="T207" s="898"/>
      <c r="U207" s="898"/>
      <c r="V207" s="899"/>
      <c r="W207" s="899"/>
      <c r="X207" s="899"/>
      <c r="Y207" s="899"/>
      <c r="Z207" s="899"/>
      <c r="AA207" s="899"/>
      <c r="AB207" s="899"/>
      <c r="AC207" s="899"/>
      <c r="AD207" s="899"/>
      <c r="AE207" s="899"/>
      <c r="AF207" s="899"/>
      <c r="AG207" s="899"/>
    </row>
    <row r="208" spans="1:34" s="3" customFormat="1" ht="16" customHeight="1">
      <c r="A208" s="7"/>
      <c r="B208" s="10"/>
      <c r="C208" s="12"/>
      <c r="D208" s="896"/>
      <c r="E208" s="896"/>
      <c r="F208" s="896"/>
      <c r="G208" s="896"/>
      <c r="H208" s="896"/>
      <c r="I208" s="896"/>
      <c r="J208" s="896"/>
      <c r="K208" s="896"/>
      <c r="L208" s="897"/>
      <c r="M208" s="896"/>
      <c r="N208" s="889"/>
      <c r="O208" s="889"/>
      <c r="P208" s="889"/>
      <c r="Q208" s="896"/>
      <c r="R208" s="896"/>
      <c r="S208" s="896"/>
      <c r="T208" s="898"/>
      <c r="U208" s="898"/>
      <c r="V208" s="899"/>
      <c r="W208" s="899"/>
      <c r="X208" s="899"/>
      <c r="Y208" s="899"/>
      <c r="Z208" s="899"/>
      <c r="AA208" s="899"/>
      <c r="AB208" s="899"/>
      <c r="AC208" s="899"/>
      <c r="AD208" s="899"/>
      <c r="AE208" s="899"/>
      <c r="AF208" s="899"/>
      <c r="AG208" s="899"/>
    </row>
    <row r="209" spans="1:34" s="3" customFormat="1" ht="16" customHeight="1">
      <c r="A209" s="7"/>
      <c r="B209" s="10"/>
      <c r="C209" s="12"/>
      <c r="D209" s="896"/>
      <c r="E209" s="896"/>
      <c r="F209" s="896"/>
      <c r="G209" s="896"/>
      <c r="H209" s="896"/>
      <c r="I209" s="896"/>
      <c r="J209" s="896"/>
      <c r="K209" s="896"/>
      <c r="L209" s="897"/>
      <c r="M209" s="896"/>
      <c r="N209" s="889"/>
      <c r="O209" s="889"/>
      <c r="P209" s="889"/>
      <c r="Q209" s="896"/>
      <c r="R209" s="896"/>
      <c r="S209" s="896"/>
      <c r="T209" s="898"/>
      <c r="U209" s="898"/>
      <c r="V209" s="899"/>
      <c r="W209" s="899"/>
      <c r="X209" s="899"/>
      <c r="Y209" s="899"/>
      <c r="Z209" s="899"/>
      <c r="AA209" s="899"/>
      <c r="AB209" s="899"/>
      <c r="AC209" s="899"/>
      <c r="AD209" s="899"/>
      <c r="AE209" s="899"/>
      <c r="AF209" s="899"/>
      <c r="AG209" s="899"/>
    </row>
    <row r="210" spans="1:34" s="3" customFormat="1" ht="16" customHeight="1">
      <c r="A210" s="7"/>
      <c r="B210" s="10"/>
      <c r="C210" s="12"/>
      <c r="D210" s="896"/>
      <c r="E210" s="896"/>
      <c r="F210" s="896"/>
      <c r="G210" s="896"/>
      <c r="H210" s="896"/>
      <c r="I210" s="896"/>
      <c r="J210" s="896"/>
      <c r="K210" s="896"/>
      <c r="L210" s="897"/>
      <c r="M210" s="896"/>
      <c r="N210" s="889"/>
      <c r="O210" s="889"/>
      <c r="P210" s="889"/>
      <c r="Q210" s="896"/>
      <c r="R210" s="896"/>
      <c r="S210" s="896"/>
      <c r="T210" s="898"/>
      <c r="U210" s="898"/>
      <c r="V210" s="899"/>
      <c r="W210" s="899"/>
      <c r="X210" s="899"/>
      <c r="Y210" s="899"/>
      <c r="Z210" s="899"/>
      <c r="AA210" s="899"/>
      <c r="AB210" s="899"/>
      <c r="AC210" s="899"/>
      <c r="AD210" s="899"/>
      <c r="AE210" s="899"/>
      <c r="AF210" s="899"/>
      <c r="AG210" s="899"/>
    </row>
    <row r="211" spans="1:34" s="3" customFormat="1" ht="16" customHeight="1">
      <c r="A211" s="7"/>
      <c r="B211" s="10"/>
      <c r="C211" s="12"/>
      <c r="D211" s="896"/>
      <c r="E211" s="896"/>
      <c r="F211" s="896"/>
      <c r="G211" s="896"/>
      <c r="H211" s="896"/>
      <c r="I211" s="896"/>
      <c r="J211" s="896"/>
      <c r="K211" s="896"/>
      <c r="L211" s="897"/>
      <c r="M211" s="896"/>
      <c r="N211" s="889"/>
      <c r="O211" s="889"/>
      <c r="P211" s="889"/>
      <c r="Q211" s="896"/>
      <c r="R211" s="896"/>
      <c r="S211" s="896"/>
      <c r="T211" s="898"/>
      <c r="U211" s="898"/>
      <c r="V211" s="899"/>
      <c r="W211" s="899"/>
      <c r="X211" s="899"/>
      <c r="Y211" s="899"/>
      <c r="Z211" s="899"/>
      <c r="AA211" s="899"/>
      <c r="AB211" s="899"/>
      <c r="AC211" s="899"/>
      <c r="AD211" s="899"/>
      <c r="AE211" s="899"/>
      <c r="AF211" s="899"/>
      <c r="AG211" s="899"/>
    </row>
    <row r="212" spans="1:34" s="3" customFormat="1" ht="16" customHeight="1">
      <c r="A212" s="25"/>
      <c r="B212" s="26"/>
      <c r="C212" s="26"/>
      <c r="D212" s="27"/>
      <c r="E212" s="27"/>
      <c r="F212" s="28"/>
      <c r="G212" s="27"/>
      <c r="H212" s="28"/>
      <c r="I212" s="28"/>
      <c r="J212" s="27"/>
      <c r="K212" s="27"/>
      <c r="L212" s="282"/>
      <c r="M212" s="28"/>
      <c r="N212" s="28"/>
      <c r="O212" s="27"/>
      <c r="P212" s="28"/>
      <c r="Q212" s="28"/>
      <c r="R212" s="27"/>
      <c r="S212" s="28"/>
      <c r="T212" s="27"/>
      <c r="U212" s="27"/>
      <c r="V212" s="25"/>
      <c r="W212" s="25"/>
      <c r="X212" s="25"/>
      <c r="Y212" s="25"/>
      <c r="Z212" s="25"/>
      <c r="AA212" s="25"/>
      <c r="AB212" s="25"/>
      <c r="AC212" s="25"/>
      <c r="AD212" s="25"/>
      <c r="AE212" s="25"/>
      <c r="AF212" s="25"/>
      <c r="AG212" s="25"/>
    </row>
    <row r="213" spans="1:34" s="3" customFormat="1" ht="16" customHeight="1" thickBot="1">
      <c r="A213" s="7"/>
      <c r="B213" s="19" t="str">
        <f>"FA1 = "&amp;'FIG3'!$W$52&amp;" "&amp;'FIG3'!$X$52</f>
        <v>FA1 = Little Rock School District</v>
      </c>
      <c r="C213" s="7"/>
      <c r="D213" s="8"/>
      <c r="E213" s="8"/>
      <c r="F213" s="9"/>
      <c r="G213" s="8"/>
      <c r="H213" s="9"/>
      <c r="I213" s="9"/>
      <c r="J213" s="8"/>
      <c r="K213" s="8"/>
      <c r="L213" s="280"/>
      <c r="M213" s="9"/>
      <c r="N213" s="9"/>
      <c r="O213" s="8"/>
      <c r="P213" s="9"/>
      <c r="Q213" s="9"/>
      <c r="R213" s="8"/>
      <c r="S213" s="882"/>
      <c r="T213" s="883" t="str">
        <f>'$REV-DB'!$T$34</f>
        <v>Federal Revenues</v>
      </c>
      <c r="U213" s="883" t="str">
        <f>'$REV-DB'!$U$34</f>
        <v>local Revenues</v>
      </c>
      <c r="V213" s="883" t="str">
        <f>'$REV-DB'!$V$34</f>
        <v>Other Revenues</v>
      </c>
      <c r="W213" s="883" t="str">
        <f>'$REV-DB'!$W$34</f>
        <v>State revenues</v>
      </c>
      <c r="X213" s="883" t="str">
        <f>'$REV-DB'!$X$34</f>
        <v>UD5</v>
      </c>
      <c r="Y213" s="883" t="str">
        <f>'$REV-DB'!$Y$34</f>
        <v>UD6</v>
      </c>
      <c r="Z213" s="883" t="str">
        <f>'$REV-DB'!$Z$34</f>
        <v>UD7</v>
      </c>
      <c r="AA213" s="883" t="str">
        <f>'$REV-DB'!$AA$34</f>
        <v>UD8</v>
      </c>
      <c r="AB213" s="883" t="str">
        <f>'$REV-DB'!$AB$34</f>
        <v>UD9</v>
      </c>
      <c r="AC213" s="883" t="str">
        <f>'$REV-DB'!$AC$34</f>
        <v>UD10</v>
      </c>
      <c r="AD213" s="883" t="str">
        <f>'$REV-DB'!$AD$34</f>
        <v>UD11</v>
      </c>
      <c r="AE213" s="883" t="str">
        <f>'$REV-DB'!$AE$34</f>
        <v>UD12</v>
      </c>
      <c r="AF213" s="883" t="str">
        <f>'$REV-DB'!$AF$34</f>
        <v>UD13</v>
      </c>
      <c r="AG213" s="883" t="str">
        <f>'$REV-DB'!$AG$34</f>
        <v>UD14</v>
      </c>
    </row>
    <row r="214" spans="1:34" s="3" customFormat="1" ht="16" customHeight="1" thickTop="1" thickBot="1">
      <c r="A214" s="7"/>
      <c r="B214" s="20" t="s">
        <v>1399</v>
      </c>
      <c r="C214" s="15"/>
      <c r="D214" s="877" t="s">
        <v>1386</v>
      </c>
      <c r="E214" s="877" t="s">
        <v>1387</v>
      </c>
      <c r="F214" s="877" t="s">
        <v>1388</v>
      </c>
      <c r="G214" s="877" t="s">
        <v>1389</v>
      </c>
      <c r="H214" s="877" t="s">
        <v>1406</v>
      </c>
      <c r="I214" s="877" t="s">
        <v>1390</v>
      </c>
      <c r="J214" s="877" t="s">
        <v>1391</v>
      </c>
      <c r="K214" s="877" t="s">
        <v>1392</v>
      </c>
      <c r="L214" s="877" t="s">
        <v>1188</v>
      </c>
      <c r="M214" s="877" t="s">
        <v>1437</v>
      </c>
      <c r="N214" s="877" t="s">
        <v>1348</v>
      </c>
      <c r="O214" s="877" t="s">
        <v>1393</v>
      </c>
      <c r="P214" s="877" t="s">
        <v>1342</v>
      </c>
      <c r="Q214" s="877" t="s">
        <v>1394</v>
      </c>
      <c r="R214" s="112" t="s">
        <v>1341</v>
      </c>
      <c r="S214" s="112" t="s">
        <v>846</v>
      </c>
      <c r="T214" s="877" t="s">
        <v>935</v>
      </c>
      <c r="U214" s="877" t="s">
        <v>936</v>
      </c>
      <c r="V214" s="877" t="s">
        <v>937</v>
      </c>
      <c r="W214" s="877" t="s">
        <v>938</v>
      </c>
      <c r="X214" s="877" t="s">
        <v>939</v>
      </c>
      <c r="Y214" s="877" t="s">
        <v>940</v>
      </c>
      <c r="Z214" s="877" t="s">
        <v>941</v>
      </c>
      <c r="AA214" s="877" t="s">
        <v>942</v>
      </c>
      <c r="AB214" s="877" t="s">
        <v>943</v>
      </c>
      <c r="AC214" s="877" t="s">
        <v>944</v>
      </c>
      <c r="AD214" s="877" t="s">
        <v>945</v>
      </c>
      <c r="AE214" s="877" t="s">
        <v>946</v>
      </c>
      <c r="AF214" s="877" t="s">
        <v>947</v>
      </c>
      <c r="AG214" s="877" t="s">
        <v>948</v>
      </c>
      <c r="AH214" s="6"/>
    </row>
    <row r="215" spans="1:34" s="3" customFormat="1" ht="16" customHeight="1" thickTop="1">
      <c r="A215" s="7"/>
      <c r="B215" s="19" t="s">
        <v>1350</v>
      </c>
      <c r="C215" s="12"/>
      <c r="D215" s="191"/>
      <c r="E215" s="191"/>
      <c r="F215" s="190"/>
      <c r="G215" s="191"/>
      <c r="H215" s="190"/>
      <c r="I215" s="190"/>
      <c r="J215" s="191"/>
      <c r="K215" s="191"/>
      <c r="L215" s="283" t="s">
        <v>1429</v>
      </c>
      <c r="M215" s="190"/>
      <c r="N215" s="38" t="str">
        <f>J$6</f>
        <v>FY2010-11</v>
      </c>
      <c r="O215" s="38" t="s">
        <v>1352</v>
      </c>
      <c r="P215" s="38" t="s">
        <v>1338</v>
      </c>
      <c r="Q215" s="38" t="s">
        <v>1340</v>
      </c>
      <c r="R215" s="191"/>
      <c r="S215" s="190"/>
      <c r="T215" s="191"/>
      <c r="U215" s="191"/>
      <c r="V215" s="192"/>
      <c r="W215" s="192"/>
      <c r="X215" s="192"/>
      <c r="Y215" s="192"/>
      <c r="Z215" s="192"/>
      <c r="AA215" s="192"/>
      <c r="AB215" s="192"/>
      <c r="AC215" s="192"/>
      <c r="AD215" s="192"/>
      <c r="AE215" s="192"/>
      <c r="AF215" s="192"/>
      <c r="AG215" s="192"/>
      <c r="AH215" s="6"/>
    </row>
    <row r="216" spans="1:34" s="3" customFormat="1" ht="16" customHeight="1">
      <c r="A216" s="7"/>
      <c r="B216" s="16">
        <f>DSUM('$REV-DB'!D35:AG374,"AMOUNT",D214:AG216)</f>
        <v>0</v>
      </c>
      <c r="C216" s="12"/>
      <c r="D216" s="191"/>
      <c r="E216" s="191"/>
      <c r="F216" s="190"/>
      <c r="G216" s="191"/>
      <c r="H216" s="190"/>
      <c r="I216" s="190"/>
      <c r="J216" s="191"/>
      <c r="K216" s="191"/>
      <c r="L216" s="283" t="s">
        <v>1429</v>
      </c>
      <c r="M216" s="190"/>
      <c r="N216" s="38" t="str">
        <f>J$6</f>
        <v>FY2010-11</v>
      </c>
      <c r="O216" s="38" t="s">
        <v>1352</v>
      </c>
      <c r="P216" s="38" t="s">
        <v>1347</v>
      </c>
      <c r="Q216" s="38" t="s">
        <v>1340</v>
      </c>
      <c r="R216" s="191"/>
      <c r="S216" s="190" t="s">
        <v>1303</v>
      </c>
      <c r="T216" s="191"/>
      <c r="U216" s="191"/>
      <c r="V216" s="192"/>
      <c r="W216" s="192"/>
      <c r="X216" s="192"/>
      <c r="Y216" s="192"/>
      <c r="Z216" s="192"/>
      <c r="AA216" s="192"/>
      <c r="AB216" s="192"/>
      <c r="AC216" s="192"/>
      <c r="AD216" s="192"/>
      <c r="AE216" s="192"/>
      <c r="AF216" s="192"/>
      <c r="AG216" s="192"/>
      <c r="AH216" s="6"/>
    </row>
    <row r="217" spans="1:34" s="3" customFormat="1" ht="16" customHeight="1">
      <c r="A217" s="7"/>
      <c r="B217" s="10"/>
      <c r="C217" s="12"/>
      <c r="D217" s="896"/>
      <c r="E217" s="896"/>
      <c r="F217" s="896"/>
      <c r="G217" s="896"/>
      <c r="H217" s="896"/>
      <c r="I217" s="896"/>
      <c r="J217" s="896"/>
      <c r="K217" s="896"/>
      <c r="L217" s="897"/>
      <c r="M217" s="896"/>
      <c r="N217" s="889"/>
      <c r="O217" s="889"/>
      <c r="P217" s="889"/>
      <c r="Q217" s="896"/>
      <c r="R217" s="896"/>
      <c r="S217" s="896"/>
      <c r="T217" s="898"/>
      <c r="U217" s="898"/>
      <c r="V217" s="899"/>
      <c r="W217" s="899"/>
      <c r="X217" s="899"/>
      <c r="Y217" s="899"/>
      <c r="Z217" s="899"/>
      <c r="AA217" s="899"/>
      <c r="AB217" s="899"/>
      <c r="AC217" s="899"/>
      <c r="AD217" s="899"/>
      <c r="AE217" s="899"/>
      <c r="AF217" s="899"/>
      <c r="AG217" s="899"/>
    </row>
    <row r="218" spans="1:34" s="3" customFormat="1" ht="16" customHeight="1">
      <c r="A218" s="7"/>
      <c r="B218" s="10"/>
      <c r="C218" s="12"/>
      <c r="D218" s="896"/>
      <c r="E218" s="896"/>
      <c r="F218" s="896"/>
      <c r="G218" s="896"/>
      <c r="H218" s="896"/>
      <c r="I218" s="896"/>
      <c r="J218" s="896"/>
      <c r="K218" s="896"/>
      <c r="L218" s="897"/>
      <c r="M218" s="896"/>
      <c r="N218" s="889"/>
      <c r="O218" s="889"/>
      <c r="P218" s="889"/>
      <c r="Q218" s="896"/>
      <c r="R218" s="896"/>
      <c r="S218" s="896"/>
      <c r="T218" s="898"/>
      <c r="U218" s="898"/>
      <c r="V218" s="899"/>
      <c r="W218" s="899"/>
      <c r="X218" s="899"/>
      <c r="Y218" s="899"/>
      <c r="Z218" s="899"/>
      <c r="AA218" s="899"/>
      <c r="AB218" s="899"/>
      <c r="AC218" s="899"/>
      <c r="AD218" s="899"/>
      <c r="AE218" s="899"/>
      <c r="AF218" s="899"/>
      <c r="AG218" s="899"/>
    </row>
    <row r="219" spans="1:34" s="3" customFormat="1" ht="16" customHeight="1">
      <c r="A219" s="7"/>
      <c r="B219" s="10"/>
      <c r="C219" s="12"/>
      <c r="D219" s="896"/>
      <c r="E219" s="896"/>
      <c r="F219" s="896"/>
      <c r="G219" s="896"/>
      <c r="H219" s="896"/>
      <c r="I219" s="896"/>
      <c r="J219" s="896"/>
      <c r="K219" s="896"/>
      <c r="L219" s="897"/>
      <c r="M219" s="896"/>
      <c r="N219" s="889"/>
      <c r="O219" s="889"/>
      <c r="P219" s="889"/>
      <c r="Q219" s="896"/>
      <c r="R219" s="896"/>
      <c r="S219" s="896"/>
      <c r="T219" s="898"/>
      <c r="U219" s="898"/>
      <c r="V219" s="899"/>
      <c r="W219" s="899"/>
      <c r="X219" s="899"/>
      <c r="Y219" s="899"/>
      <c r="Z219" s="899"/>
      <c r="AA219" s="899"/>
      <c r="AB219" s="899"/>
      <c r="AC219" s="899"/>
      <c r="AD219" s="899"/>
      <c r="AE219" s="899"/>
      <c r="AF219" s="899"/>
      <c r="AG219" s="899"/>
    </row>
    <row r="220" spans="1:34" s="3" customFormat="1" ht="16" customHeight="1">
      <c r="A220" s="7"/>
      <c r="B220" s="10"/>
      <c r="C220" s="12"/>
      <c r="D220" s="896"/>
      <c r="E220" s="896"/>
      <c r="F220" s="896"/>
      <c r="G220" s="896"/>
      <c r="H220" s="896"/>
      <c r="I220" s="896"/>
      <c r="J220" s="896"/>
      <c r="K220" s="896"/>
      <c r="L220" s="897"/>
      <c r="M220" s="896"/>
      <c r="N220" s="889"/>
      <c r="O220" s="889"/>
      <c r="P220" s="889"/>
      <c r="Q220" s="896"/>
      <c r="R220" s="896"/>
      <c r="S220" s="896"/>
      <c r="T220" s="898"/>
      <c r="U220" s="898"/>
      <c r="V220" s="899"/>
      <c r="W220" s="899"/>
      <c r="X220" s="899"/>
      <c r="Y220" s="899"/>
      <c r="Z220" s="899"/>
      <c r="AA220" s="899"/>
      <c r="AB220" s="899"/>
      <c r="AC220" s="899"/>
      <c r="AD220" s="899"/>
      <c r="AE220" s="899"/>
      <c r="AF220" s="899"/>
      <c r="AG220" s="899"/>
    </row>
    <row r="221" spans="1:34" s="3" customFormat="1" ht="16" customHeight="1">
      <c r="A221" s="7"/>
      <c r="B221" s="10"/>
      <c r="C221" s="12"/>
      <c r="D221" s="896"/>
      <c r="E221" s="896"/>
      <c r="F221" s="896"/>
      <c r="G221" s="896"/>
      <c r="H221" s="896"/>
      <c r="I221" s="896"/>
      <c r="J221" s="896"/>
      <c r="K221" s="896"/>
      <c r="L221" s="897"/>
      <c r="M221" s="896"/>
      <c r="N221" s="889"/>
      <c r="O221" s="889"/>
      <c r="P221" s="889"/>
      <c r="Q221" s="896"/>
      <c r="R221" s="896"/>
      <c r="S221" s="896"/>
      <c r="T221" s="898"/>
      <c r="U221" s="898"/>
      <c r="V221" s="899"/>
      <c r="W221" s="899"/>
      <c r="X221" s="899"/>
      <c r="Y221" s="899"/>
      <c r="Z221" s="899"/>
      <c r="AA221" s="899"/>
      <c r="AB221" s="899"/>
      <c r="AC221" s="899"/>
      <c r="AD221" s="899"/>
      <c r="AE221" s="899"/>
      <c r="AF221" s="899"/>
      <c r="AG221" s="899"/>
    </row>
    <row r="222" spans="1:34" s="3" customFormat="1" ht="16" customHeight="1">
      <c r="A222" s="25"/>
      <c r="B222" s="26"/>
      <c r="C222" s="26"/>
      <c r="D222" s="27"/>
      <c r="E222" s="27"/>
      <c r="F222" s="28"/>
      <c r="G222" s="27"/>
      <c r="H222" s="28"/>
      <c r="I222" s="28"/>
      <c r="J222" s="27"/>
      <c r="K222" s="27"/>
      <c r="L222" s="282"/>
      <c r="M222" s="28"/>
      <c r="N222" s="28"/>
      <c r="O222" s="27"/>
      <c r="P222" s="28"/>
      <c r="Q222" s="28"/>
      <c r="R222" s="27"/>
      <c r="S222" s="28"/>
      <c r="T222" s="27"/>
      <c r="U222" s="27"/>
      <c r="V222" s="25"/>
      <c r="W222" s="25"/>
      <c r="X222" s="25"/>
      <c r="Y222" s="25"/>
      <c r="Z222" s="25"/>
      <c r="AA222" s="25"/>
      <c r="AB222" s="25"/>
      <c r="AC222" s="25"/>
      <c r="AD222" s="25"/>
      <c r="AE222" s="25"/>
      <c r="AF222" s="25"/>
      <c r="AG222" s="25"/>
    </row>
    <row r="223" spans="1:34" s="3" customFormat="1" ht="16" customHeight="1" thickBot="1">
      <c r="A223" s="7"/>
      <c r="B223" s="19" t="str">
        <f>"FA1 = "&amp;'FIG3'!$W$52&amp;" "&amp;'FIG3'!$X$52</f>
        <v>FA1 = Little Rock School District</v>
      </c>
      <c r="C223" s="7"/>
      <c r="D223" s="17"/>
      <c r="E223" s="17"/>
      <c r="F223" s="18"/>
      <c r="G223" s="17"/>
      <c r="H223" s="18"/>
      <c r="I223" s="18"/>
      <c r="J223" s="17"/>
      <c r="K223" s="17"/>
      <c r="L223" s="281"/>
      <c r="M223" s="18"/>
      <c r="N223" s="9"/>
      <c r="O223" s="17"/>
      <c r="P223" s="18"/>
      <c r="Q223" s="18"/>
      <c r="R223" s="17"/>
      <c r="S223" s="882"/>
      <c r="T223" s="883" t="str">
        <f>'$REV-DB'!$T$34</f>
        <v>Federal Revenues</v>
      </c>
      <c r="U223" s="883" t="str">
        <f>'$REV-DB'!$U$34</f>
        <v>local Revenues</v>
      </c>
      <c r="V223" s="883" t="str">
        <f>'$REV-DB'!$V$34</f>
        <v>Other Revenues</v>
      </c>
      <c r="W223" s="883" t="str">
        <f>'$REV-DB'!$W$34</f>
        <v>State revenues</v>
      </c>
      <c r="X223" s="883" t="str">
        <f>'$REV-DB'!$X$34</f>
        <v>UD5</v>
      </c>
      <c r="Y223" s="883" t="str">
        <f>'$REV-DB'!$Y$34</f>
        <v>UD6</v>
      </c>
      <c r="Z223" s="883" t="str">
        <f>'$REV-DB'!$Z$34</f>
        <v>UD7</v>
      </c>
      <c r="AA223" s="883" t="str">
        <f>'$REV-DB'!$AA$34</f>
        <v>UD8</v>
      </c>
      <c r="AB223" s="883" t="str">
        <f>'$REV-DB'!$AB$34</f>
        <v>UD9</v>
      </c>
      <c r="AC223" s="883" t="str">
        <f>'$REV-DB'!$AC$34</f>
        <v>UD10</v>
      </c>
      <c r="AD223" s="883" t="str">
        <f>'$REV-DB'!$AD$34</f>
        <v>UD11</v>
      </c>
      <c r="AE223" s="883" t="str">
        <f>'$REV-DB'!$AE$34</f>
        <v>UD12</v>
      </c>
      <c r="AF223" s="883" t="str">
        <f>'$REV-DB'!$AF$34</f>
        <v>UD13</v>
      </c>
      <c r="AG223" s="883" t="str">
        <f>'$REV-DB'!$AG$34</f>
        <v>UD14</v>
      </c>
    </row>
    <row r="224" spans="1:34" s="3" customFormat="1" ht="16" customHeight="1" thickTop="1" thickBot="1">
      <c r="A224" s="7"/>
      <c r="B224" s="20" t="s">
        <v>1375</v>
      </c>
      <c r="C224" s="15"/>
      <c r="D224" s="877" t="s">
        <v>1386</v>
      </c>
      <c r="E224" s="877" t="s">
        <v>1387</v>
      </c>
      <c r="F224" s="877" t="s">
        <v>1388</v>
      </c>
      <c r="G224" s="877" t="s">
        <v>1389</v>
      </c>
      <c r="H224" s="877" t="s">
        <v>1406</v>
      </c>
      <c r="I224" s="877" t="s">
        <v>1390</v>
      </c>
      <c r="J224" s="877" t="s">
        <v>1391</v>
      </c>
      <c r="K224" s="877" t="s">
        <v>1392</v>
      </c>
      <c r="L224" s="877" t="s">
        <v>1188</v>
      </c>
      <c r="M224" s="877" t="s">
        <v>1437</v>
      </c>
      <c r="N224" s="877" t="s">
        <v>1348</v>
      </c>
      <c r="O224" s="877" t="s">
        <v>1393</v>
      </c>
      <c r="P224" s="877" t="s">
        <v>1342</v>
      </c>
      <c r="Q224" s="877" t="s">
        <v>1394</v>
      </c>
      <c r="R224" s="112" t="s">
        <v>1341</v>
      </c>
      <c r="S224" s="112" t="s">
        <v>846</v>
      </c>
      <c r="T224" s="877" t="s">
        <v>935</v>
      </c>
      <c r="U224" s="877" t="s">
        <v>936</v>
      </c>
      <c r="V224" s="877" t="s">
        <v>937</v>
      </c>
      <c r="W224" s="877" t="s">
        <v>938</v>
      </c>
      <c r="X224" s="877" t="s">
        <v>939</v>
      </c>
      <c r="Y224" s="877" t="s">
        <v>940</v>
      </c>
      <c r="Z224" s="877" t="s">
        <v>941</v>
      </c>
      <c r="AA224" s="877" t="s">
        <v>942</v>
      </c>
      <c r="AB224" s="877" t="s">
        <v>943</v>
      </c>
      <c r="AC224" s="877" t="s">
        <v>944</v>
      </c>
      <c r="AD224" s="877" t="s">
        <v>945</v>
      </c>
      <c r="AE224" s="877" t="s">
        <v>946</v>
      </c>
      <c r="AF224" s="877" t="s">
        <v>947</v>
      </c>
      <c r="AG224" s="877" t="s">
        <v>948</v>
      </c>
      <c r="AH224" s="6"/>
    </row>
    <row r="225" spans="1:34" s="3" customFormat="1" ht="16" customHeight="1" thickTop="1">
      <c r="A225" s="7"/>
      <c r="B225" s="19" t="s">
        <v>1346</v>
      </c>
      <c r="C225" s="12"/>
      <c r="D225" s="191"/>
      <c r="E225" s="191"/>
      <c r="F225" s="190"/>
      <c r="G225" s="191"/>
      <c r="H225" s="190"/>
      <c r="I225" s="190"/>
      <c r="J225" s="191"/>
      <c r="K225" s="191"/>
      <c r="L225" s="283" t="s">
        <v>1429</v>
      </c>
      <c r="M225" s="190"/>
      <c r="N225" s="38" t="str">
        <f>J$6</f>
        <v>FY2010-11</v>
      </c>
      <c r="O225" s="38" t="s">
        <v>1352</v>
      </c>
      <c r="P225" s="38" t="s">
        <v>1347</v>
      </c>
      <c r="Q225" s="38"/>
      <c r="R225" s="191"/>
      <c r="S225" s="190" t="s">
        <v>871</v>
      </c>
      <c r="T225" s="191"/>
      <c r="U225" s="191"/>
      <c r="V225" s="192"/>
      <c r="W225" s="192"/>
      <c r="X225" s="192"/>
      <c r="Y225" s="192"/>
      <c r="Z225" s="192"/>
      <c r="AA225" s="192"/>
      <c r="AB225" s="192"/>
      <c r="AC225" s="192"/>
      <c r="AD225" s="192"/>
      <c r="AE225" s="192"/>
      <c r="AF225" s="192"/>
      <c r="AG225" s="192"/>
      <c r="AH225" s="6"/>
    </row>
    <row r="226" spans="1:34" s="3" customFormat="1" ht="16" customHeight="1">
      <c r="A226" s="7"/>
      <c r="B226" s="16">
        <f>DSUM('$REV-DB'!D35:AG374,"AMOUNT",D224:AG225)</f>
        <v>21208723.59</v>
      </c>
      <c r="C226" s="12"/>
      <c r="D226" s="896"/>
      <c r="E226" s="896"/>
      <c r="F226" s="896"/>
      <c r="G226" s="896"/>
      <c r="H226" s="896"/>
      <c r="I226" s="896"/>
      <c r="J226" s="896"/>
      <c r="K226" s="896"/>
      <c r="L226" s="897"/>
      <c r="M226" s="896"/>
      <c r="N226" s="889"/>
      <c r="O226" s="896"/>
      <c r="P226" s="889"/>
      <c r="Q226" s="900"/>
      <c r="R226" s="896"/>
      <c r="S226" s="896"/>
      <c r="T226" s="898"/>
      <c r="U226" s="898"/>
      <c r="V226" s="899"/>
      <c r="W226" s="899"/>
      <c r="X226" s="899"/>
      <c r="Y226" s="899"/>
      <c r="Z226" s="899"/>
      <c r="AA226" s="899"/>
      <c r="AB226" s="899"/>
      <c r="AC226" s="899"/>
      <c r="AD226" s="899"/>
      <c r="AE226" s="899"/>
      <c r="AF226" s="899"/>
      <c r="AG226" s="899"/>
      <c r="AH226" s="6"/>
    </row>
    <row r="227" spans="1:34" s="3" customFormat="1" ht="16" customHeight="1">
      <c r="A227" s="7"/>
      <c r="B227" s="10"/>
      <c r="C227" s="12"/>
      <c r="D227" s="896"/>
      <c r="E227" s="896"/>
      <c r="F227" s="896"/>
      <c r="G227" s="896"/>
      <c r="H227" s="896"/>
      <c r="I227" s="896"/>
      <c r="J227" s="896"/>
      <c r="K227" s="896"/>
      <c r="L227" s="897"/>
      <c r="M227" s="896"/>
      <c r="N227" s="889"/>
      <c r="O227" s="896"/>
      <c r="P227" s="889"/>
      <c r="Q227" s="900"/>
      <c r="R227" s="896"/>
      <c r="S227" s="896"/>
      <c r="T227" s="898"/>
      <c r="U227" s="898"/>
      <c r="V227" s="899"/>
      <c r="W227" s="899"/>
      <c r="X227" s="899"/>
      <c r="Y227" s="899"/>
      <c r="Z227" s="899"/>
      <c r="AA227" s="899"/>
      <c r="AB227" s="899"/>
      <c r="AC227" s="899"/>
      <c r="AD227" s="899"/>
      <c r="AE227" s="899"/>
      <c r="AF227" s="899"/>
      <c r="AG227" s="899"/>
    </row>
    <row r="228" spans="1:34" s="3" customFormat="1" ht="16" customHeight="1">
      <c r="A228" s="7"/>
      <c r="B228" s="10"/>
      <c r="C228" s="12"/>
      <c r="D228" s="896"/>
      <c r="E228" s="896"/>
      <c r="F228" s="896"/>
      <c r="G228" s="896"/>
      <c r="H228" s="896"/>
      <c r="I228" s="896"/>
      <c r="J228" s="896"/>
      <c r="K228" s="896"/>
      <c r="L228" s="897"/>
      <c r="M228" s="896"/>
      <c r="N228" s="889"/>
      <c r="O228" s="896"/>
      <c r="P228" s="889"/>
      <c r="Q228" s="900"/>
      <c r="R228" s="896"/>
      <c r="S228" s="896"/>
      <c r="T228" s="898"/>
      <c r="U228" s="898"/>
      <c r="V228" s="899"/>
      <c r="W228" s="899"/>
      <c r="X228" s="899"/>
      <c r="Y228" s="899"/>
      <c r="Z228" s="899"/>
      <c r="AA228" s="899"/>
      <c r="AB228" s="899"/>
      <c r="AC228" s="899"/>
      <c r="AD228" s="899"/>
      <c r="AE228" s="899"/>
      <c r="AF228" s="899"/>
      <c r="AG228" s="899"/>
    </row>
    <row r="229" spans="1:34" s="3" customFormat="1" ht="16" customHeight="1">
      <c r="A229" s="7"/>
      <c r="B229" s="10"/>
      <c r="C229" s="12"/>
      <c r="D229" s="896"/>
      <c r="E229" s="896"/>
      <c r="F229" s="896"/>
      <c r="G229" s="896"/>
      <c r="H229" s="896"/>
      <c r="I229" s="896"/>
      <c r="J229" s="896"/>
      <c r="K229" s="896"/>
      <c r="L229" s="897"/>
      <c r="M229" s="896"/>
      <c r="N229" s="889"/>
      <c r="O229" s="896"/>
      <c r="P229" s="889"/>
      <c r="Q229" s="900"/>
      <c r="R229" s="896"/>
      <c r="S229" s="896"/>
      <c r="T229" s="898"/>
      <c r="U229" s="898"/>
      <c r="V229" s="899"/>
      <c r="W229" s="899"/>
      <c r="X229" s="899"/>
      <c r="Y229" s="899"/>
      <c r="Z229" s="899"/>
      <c r="AA229" s="899"/>
      <c r="AB229" s="899"/>
      <c r="AC229" s="899"/>
      <c r="AD229" s="899"/>
      <c r="AE229" s="899"/>
      <c r="AF229" s="899"/>
      <c r="AG229" s="899"/>
    </row>
    <row r="230" spans="1:34" s="3" customFormat="1" ht="16" customHeight="1">
      <c r="A230" s="7"/>
      <c r="B230" s="10"/>
      <c r="C230" s="12"/>
      <c r="D230" s="896"/>
      <c r="E230" s="896"/>
      <c r="F230" s="896"/>
      <c r="G230" s="896"/>
      <c r="H230" s="896"/>
      <c r="I230" s="896"/>
      <c r="J230" s="896"/>
      <c r="K230" s="896"/>
      <c r="L230" s="897"/>
      <c r="M230" s="896"/>
      <c r="N230" s="889"/>
      <c r="O230" s="896"/>
      <c r="P230" s="889"/>
      <c r="Q230" s="900"/>
      <c r="R230" s="896"/>
      <c r="S230" s="896"/>
      <c r="T230" s="898"/>
      <c r="U230" s="898"/>
      <c r="V230" s="899"/>
      <c r="W230" s="899"/>
      <c r="X230" s="899"/>
      <c r="Y230" s="899"/>
      <c r="Z230" s="899"/>
      <c r="AA230" s="899"/>
      <c r="AB230" s="899"/>
      <c r="AC230" s="899"/>
      <c r="AD230" s="899"/>
      <c r="AE230" s="899"/>
      <c r="AF230" s="899"/>
      <c r="AG230" s="899"/>
    </row>
    <row r="231" spans="1:34" s="3" customFormat="1" ht="16" customHeight="1">
      <c r="A231" s="7"/>
      <c r="B231" s="10"/>
      <c r="C231" s="12"/>
      <c r="D231" s="896"/>
      <c r="E231" s="896"/>
      <c r="F231" s="896"/>
      <c r="G231" s="896"/>
      <c r="H231" s="896"/>
      <c r="I231" s="896"/>
      <c r="J231" s="896"/>
      <c r="K231" s="896"/>
      <c r="L231" s="897"/>
      <c r="M231" s="896"/>
      <c r="N231" s="889"/>
      <c r="O231" s="896"/>
      <c r="P231" s="889"/>
      <c r="Q231" s="900"/>
      <c r="R231" s="896"/>
      <c r="S231" s="896"/>
      <c r="T231" s="898"/>
      <c r="U231" s="898"/>
      <c r="V231" s="899"/>
      <c r="W231" s="899"/>
      <c r="X231" s="899"/>
      <c r="Y231" s="899"/>
      <c r="Z231" s="899"/>
      <c r="AA231" s="899"/>
      <c r="AB231" s="899"/>
      <c r="AC231" s="899"/>
      <c r="AD231" s="899"/>
      <c r="AE231" s="899"/>
      <c r="AF231" s="899"/>
      <c r="AG231" s="899"/>
    </row>
    <row r="232" spans="1:34" s="3" customFormat="1" ht="16" customHeight="1">
      <c r="A232" s="25"/>
      <c r="B232" s="26"/>
      <c r="C232" s="26"/>
      <c r="D232" s="27"/>
      <c r="E232" s="27"/>
      <c r="F232" s="28"/>
      <c r="G232" s="27"/>
      <c r="H232" s="28"/>
      <c r="I232" s="28"/>
      <c r="J232" s="27"/>
      <c r="K232" s="27"/>
      <c r="L232" s="282"/>
      <c r="M232" s="28"/>
      <c r="N232" s="28"/>
      <c r="O232" s="27"/>
      <c r="P232" s="28"/>
      <c r="Q232" s="28"/>
      <c r="R232" s="27"/>
      <c r="S232" s="28"/>
      <c r="T232" s="27"/>
      <c r="U232" s="27"/>
      <c r="V232" s="25"/>
      <c r="W232" s="25"/>
      <c r="X232" s="25"/>
      <c r="Y232" s="25"/>
      <c r="Z232" s="25"/>
      <c r="AA232" s="25"/>
      <c r="AB232" s="25"/>
      <c r="AC232" s="25"/>
      <c r="AD232" s="25"/>
      <c r="AE232" s="25"/>
      <c r="AF232" s="25"/>
      <c r="AG232" s="25"/>
    </row>
    <row r="233" spans="1:34" s="3" customFormat="1" ht="16" customHeight="1" thickBot="1">
      <c r="A233" s="7"/>
      <c r="B233" s="19" t="str">
        <f>"FA1 = "&amp;'FIG3'!$W$52&amp;" "&amp;'FIG3'!$X$52</f>
        <v>FA1 = Little Rock School District</v>
      </c>
      <c r="C233" s="7"/>
      <c r="D233" s="8"/>
      <c r="E233" s="8"/>
      <c r="F233" s="9"/>
      <c r="G233" s="8"/>
      <c r="H233" s="9"/>
      <c r="I233" s="9"/>
      <c r="J233" s="8"/>
      <c r="K233" s="8"/>
      <c r="L233" s="280"/>
      <c r="M233" s="9"/>
      <c r="N233" s="9"/>
      <c r="O233" s="8"/>
      <c r="P233" s="9"/>
      <c r="Q233" s="9"/>
      <c r="R233" s="8"/>
      <c r="S233" s="882"/>
      <c r="T233" s="883" t="str">
        <f>'$REV-DB'!$T$34</f>
        <v>Federal Revenues</v>
      </c>
      <c r="U233" s="883" t="str">
        <f>'$REV-DB'!$U$34</f>
        <v>local Revenues</v>
      </c>
      <c r="V233" s="883" t="str">
        <f>'$REV-DB'!$V$34</f>
        <v>Other Revenues</v>
      </c>
      <c r="W233" s="883" t="str">
        <f>'$REV-DB'!$W$34</f>
        <v>State revenues</v>
      </c>
      <c r="X233" s="883" t="str">
        <f>'$REV-DB'!$X$34</f>
        <v>UD5</v>
      </c>
      <c r="Y233" s="883" t="str">
        <f>'$REV-DB'!$Y$34</f>
        <v>UD6</v>
      </c>
      <c r="Z233" s="883" t="str">
        <f>'$REV-DB'!$Z$34</f>
        <v>UD7</v>
      </c>
      <c r="AA233" s="883" t="str">
        <f>'$REV-DB'!$AA$34</f>
        <v>UD8</v>
      </c>
      <c r="AB233" s="883" t="str">
        <f>'$REV-DB'!$AB$34</f>
        <v>UD9</v>
      </c>
      <c r="AC233" s="883" t="str">
        <f>'$REV-DB'!$AC$34</f>
        <v>UD10</v>
      </c>
      <c r="AD233" s="883" t="str">
        <f>'$REV-DB'!$AD$34</f>
        <v>UD11</v>
      </c>
      <c r="AE233" s="883" t="str">
        <f>'$REV-DB'!$AE$34</f>
        <v>UD12</v>
      </c>
      <c r="AF233" s="883" t="str">
        <f>'$REV-DB'!$AF$34</f>
        <v>UD13</v>
      </c>
      <c r="AG233" s="883" t="str">
        <f>'$REV-DB'!$AG$34</f>
        <v>UD14</v>
      </c>
    </row>
    <row r="234" spans="1:34" s="3" customFormat="1" ht="16" customHeight="1" thickTop="1" thickBot="1">
      <c r="A234" s="7"/>
      <c r="B234" s="20" t="s">
        <v>1375</v>
      </c>
      <c r="C234" s="15"/>
      <c r="D234" s="877" t="s">
        <v>1386</v>
      </c>
      <c r="E234" s="877" t="s">
        <v>1387</v>
      </c>
      <c r="F234" s="877" t="s">
        <v>1388</v>
      </c>
      <c r="G234" s="877" t="s">
        <v>1389</v>
      </c>
      <c r="H234" s="877" t="s">
        <v>1406</v>
      </c>
      <c r="I234" s="877" t="s">
        <v>1390</v>
      </c>
      <c r="J234" s="877" t="s">
        <v>1391</v>
      </c>
      <c r="K234" s="877" t="s">
        <v>1392</v>
      </c>
      <c r="L234" s="877" t="s">
        <v>1188</v>
      </c>
      <c r="M234" s="877" t="s">
        <v>1437</v>
      </c>
      <c r="N234" s="877" t="s">
        <v>1348</v>
      </c>
      <c r="O234" s="877" t="s">
        <v>1393</v>
      </c>
      <c r="P234" s="877" t="s">
        <v>1342</v>
      </c>
      <c r="Q234" s="877" t="s">
        <v>1394</v>
      </c>
      <c r="R234" s="112" t="s">
        <v>1341</v>
      </c>
      <c r="S234" s="112" t="s">
        <v>846</v>
      </c>
      <c r="T234" s="877" t="s">
        <v>935</v>
      </c>
      <c r="U234" s="877" t="s">
        <v>936</v>
      </c>
      <c r="V234" s="877" t="s">
        <v>937</v>
      </c>
      <c r="W234" s="877" t="s">
        <v>938</v>
      </c>
      <c r="X234" s="877" t="s">
        <v>939</v>
      </c>
      <c r="Y234" s="877" t="s">
        <v>940</v>
      </c>
      <c r="Z234" s="877" t="s">
        <v>941</v>
      </c>
      <c r="AA234" s="877" t="s">
        <v>942</v>
      </c>
      <c r="AB234" s="877" t="s">
        <v>943</v>
      </c>
      <c r="AC234" s="877" t="s">
        <v>944</v>
      </c>
      <c r="AD234" s="877" t="s">
        <v>945</v>
      </c>
      <c r="AE234" s="877" t="s">
        <v>946</v>
      </c>
      <c r="AF234" s="877" t="s">
        <v>947</v>
      </c>
      <c r="AG234" s="877" t="s">
        <v>948</v>
      </c>
      <c r="AH234" s="6"/>
    </row>
    <row r="235" spans="1:34" s="3" customFormat="1" ht="16" customHeight="1" thickTop="1">
      <c r="A235" s="7"/>
      <c r="B235" s="19" t="s">
        <v>1345</v>
      </c>
      <c r="C235" s="12"/>
      <c r="D235" s="191"/>
      <c r="E235" s="191"/>
      <c r="F235" s="190"/>
      <c r="G235" s="191"/>
      <c r="H235" s="190"/>
      <c r="I235" s="190"/>
      <c r="J235" s="191"/>
      <c r="K235" s="191"/>
      <c r="L235" s="283" t="s">
        <v>1429</v>
      </c>
      <c r="M235" s="190"/>
      <c r="N235" s="38" t="str">
        <f>J$6</f>
        <v>FY2010-11</v>
      </c>
      <c r="O235" s="38" t="s">
        <v>1352</v>
      </c>
      <c r="P235" s="38" t="s">
        <v>1347</v>
      </c>
      <c r="Q235" s="38" t="s">
        <v>1380</v>
      </c>
      <c r="R235" s="191"/>
      <c r="S235" s="190" t="s">
        <v>871</v>
      </c>
      <c r="T235" s="191"/>
      <c r="U235" s="191"/>
      <c r="V235" s="192"/>
      <c r="W235" s="192"/>
      <c r="X235" s="192"/>
      <c r="Y235" s="192"/>
      <c r="Z235" s="192"/>
      <c r="AA235" s="192"/>
      <c r="AB235" s="192"/>
      <c r="AC235" s="192"/>
      <c r="AD235" s="192"/>
      <c r="AE235" s="192"/>
      <c r="AF235" s="192"/>
      <c r="AG235" s="192"/>
      <c r="AH235" s="6"/>
    </row>
    <row r="236" spans="1:34" s="3" customFormat="1" ht="16" customHeight="1">
      <c r="A236" s="7"/>
      <c r="B236" s="16">
        <f>DSUM('$REV-DB'!D35:AG374,"AMOUNT",D234:AG235)</f>
        <v>3368764.11</v>
      </c>
      <c r="C236" s="12"/>
      <c r="D236" s="896"/>
      <c r="E236" s="896"/>
      <c r="F236" s="896"/>
      <c r="G236" s="896"/>
      <c r="H236" s="896"/>
      <c r="I236" s="896"/>
      <c r="J236" s="896"/>
      <c r="K236" s="896"/>
      <c r="L236" s="897"/>
      <c r="M236" s="896"/>
      <c r="N236" s="889"/>
      <c r="O236" s="896"/>
      <c r="P236" s="889"/>
      <c r="Q236" s="900"/>
      <c r="R236" s="896"/>
      <c r="S236" s="896"/>
      <c r="T236" s="898"/>
      <c r="U236" s="898"/>
      <c r="V236" s="899"/>
      <c r="W236" s="899"/>
      <c r="X236" s="899"/>
      <c r="Y236" s="899"/>
      <c r="Z236" s="899"/>
      <c r="AA236" s="899"/>
      <c r="AB236" s="899"/>
      <c r="AC236" s="899"/>
      <c r="AD236" s="899"/>
      <c r="AE236" s="899"/>
      <c r="AF236" s="899"/>
      <c r="AG236" s="899"/>
      <c r="AH236" s="6"/>
    </row>
    <row r="237" spans="1:34" s="3" customFormat="1" ht="16" customHeight="1">
      <c r="A237" s="7"/>
      <c r="B237" s="10"/>
      <c r="C237" s="12"/>
      <c r="D237" s="896"/>
      <c r="E237" s="896"/>
      <c r="F237" s="896"/>
      <c r="G237" s="896"/>
      <c r="H237" s="896"/>
      <c r="I237" s="896"/>
      <c r="J237" s="896"/>
      <c r="K237" s="896"/>
      <c r="L237" s="897"/>
      <c r="M237" s="896"/>
      <c r="N237" s="889"/>
      <c r="O237" s="896"/>
      <c r="P237" s="889"/>
      <c r="Q237" s="900"/>
      <c r="R237" s="896"/>
      <c r="S237" s="896"/>
      <c r="T237" s="898"/>
      <c r="U237" s="898"/>
      <c r="V237" s="899"/>
      <c r="W237" s="899"/>
      <c r="X237" s="899"/>
      <c r="Y237" s="899"/>
      <c r="Z237" s="899"/>
      <c r="AA237" s="899"/>
      <c r="AB237" s="899"/>
      <c r="AC237" s="899"/>
      <c r="AD237" s="899"/>
      <c r="AE237" s="899"/>
      <c r="AF237" s="899"/>
      <c r="AG237" s="899"/>
    </row>
    <row r="238" spans="1:34" s="3" customFormat="1" ht="16" customHeight="1">
      <c r="A238" s="7"/>
      <c r="B238" s="10"/>
      <c r="C238" s="12"/>
      <c r="D238" s="896"/>
      <c r="E238" s="896"/>
      <c r="F238" s="896"/>
      <c r="G238" s="896"/>
      <c r="H238" s="896"/>
      <c r="I238" s="896"/>
      <c r="J238" s="896"/>
      <c r="K238" s="896"/>
      <c r="L238" s="897"/>
      <c r="M238" s="896"/>
      <c r="N238" s="889"/>
      <c r="O238" s="896"/>
      <c r="P238" s="889"/>
      <c r="Q238" s="900"/>
      <c r="R238" s="896"/>
      <c r="S238" s="896"/>
      <c r="T238" s="898"/>
      <c r="U238" s="898"/>
      <c r="V238" s="899"/>
      <c r="W238" s="899"/>
      <c r="X238" s="899"/>
      <c r="Y238" s="899"/>
      <c r="Z238" s="899"/>
      <c r="AA238" s="899"/>
      <c r="AB238" s="899"/>
      <c r="AC238" s="899"/>
      <c r="AD238" s="899"/>
      <c r="AE238" s="899"/>
      <c r="AF238" s="899"/>
      <c r="AG238" s="899"/>
    </row>
    <row r="239" spans="1:34" s="3" customFormat="1" ht="16" customHeight="1">
      <c r="A239" s="7"/>
      <c r="B239" s="10"/>
      <c r="C239" s="12"/>
      <c r="D239" s="896"/>
      <c r="E239" s="896"/>
      <c r="F239" s="896"/>
      <c r="G239" s="896"/>
      <c r="H239" s="896"/>
      <c r="I239" s="896"/>
      <c r="J239" s="896"/>
      <c r="K239" s="896"/>
      <c r="L239" s="897"/>
      <c r="M239" s="896"/>
      <c r="N239" s="889"/>
      <c r="O239" s="896"/>
      <c r="P239" s="889"/>
      <c r="Q239" s="900"/>
      <c r="R239" s="896"/>
      <c r="S239" s="896"/>
      <c r="T239" s="898"/>
      <c r="U239" s="898"/>
      <c r="V239" s="899"/>
      <c r="W239" s="899"/>
      <c r="X239" s="899"/>
      <c r="Y239" s="899"/>
      <c r="Z239" s="899"/>
      <c r="AA239" s="899"/>
      <c r="AB239" s="899"/>
      <c r="AC239" s="899"/>
      <c r="AD239" s="899"/>
      <c r="AE239" s="899"/>
      <c r="AF239" s="899"/>
      <c r="AG239" s="899"/>
    </row>
    <row r="240" spans="1:34" s="3" customFormat="1" ht="16" customHeight="1">
      <c r="A240" s="7"/>
      <c r="B240" s="10"/>
      <c r="C240" s="12"/>
      <c r="D240" s="896"/>
      <c r="E240" s="896"/>
      <c r="F240" s="896"/>
      <c r="G240" s="896"/>
      <c r="H240" s="896"/>
      <c r="I240" s="896"/>
      <c r="J240" s="896"/>
      <c r="K240" s="896"/>
      <c r="L240" s="897"/>
      <c r="M240" s="896"/>
      <c r="N240" s="889"/>
      <c r="O240" s="896"/>
      <c r="P240" s="889"/>
      <c r="Q240" s="900"/>
      <c r="R240" s="896"/>
      <c r="S240" s="896"/>
      <c r="T240" s="898"/>
      <c r="U240" s="898"/>
      <c r="V240" s="899"/>
      <c r="W240" s="899"/>
      <c r="X240" s="899"/>
      <c r="Y240" s="899"/>
      <c r="Z240" s="899"/>
      <c r="AA240" s="899"/>
      <c r="AB240" s="899"/>
      <c r="AC240" s="899"/>
      <c r="AD240" s="899"/>
      <c r="AE240" s="899"/>
      <c r="AF240" s="899"/>
      <c r="AG240" s="899"/>
    </row>
    <row r="241" spans="1:34" s="3" customFormat="1" ht="16" customHeight="1">
      <c r="A241" s="7"/>
      <c r="B241" s="10"/>
      <c r="C241" s="12"/>
      <c r="D241" s="896"/>
      <c r="E241" s="896"/>
      <c r="F241" s="896"/>
      <c r="G241" s="896"/>
      <c r="H241" s="896"/>
      <c r="I241" s="896"/>
      <c r="J241" s="896"/>
      <c r="K241" s="896"/>
      <c r="L241" s="897"/>
      <c r="M241" s="896"/>
      <c r="N241" s="889"/>
      <c r="O241" s="896"/>
      <c r="P241" s="889"/>
      <c r="Q241" s="900"/>
      <c r="R241" s="896"/>
      <c r="S241" s="896"/>
      <c r="T241" s="898"/>
      <c r="U241" s="898"/>
      <c r="V241" s="899"/>
      <c r="W241" s="899"/>
      <c r="X241" s="899"/>
      <c r="Y241" s="899"/>
      <c r="Z241" s="899"/>
      <c r="AA241" s="899"/>
      <c r="AB241" s="899"/>
      <c r="AC241" s="899"/>
      <c r="AD241" s="899"/>
      <c r="AE241" s="899"/>
      <c r="AF241" s="899"/>
      <c r="AG241" s="899"/>
    </row>
    <row r="242" spans="1:34" s="3" customFormat="1" ht="16" customHeight="1">
      <c r="A242" s="25"/>
      <c r="B242" s="26"/>
      <c r="C242" s="26"/>
      <c r="D242" s="27"/>
      <c r="E242" s="27"/>
      <c r="F242" s="28"/>
      <c r="G242" s="27"/>
      <c r="H242" s="28"/>
      <c r="I242" s="28"/>
      <c r="J242" s="27"/>
      <c r="K242" s="27"/>
      <c r="L242" s="282"/>
      <c r="M242" s="28"/>
      <c r="N242" s="28"/>
      <c r="O242" s="27"/>
      <c r="P242" s="28"/>
      <c r="Q242" s="28"/>
      <c r="R242" s="27"/>
      <c r="S242" s="28"/>
      <c r="T242" s="27"/>
      <c r="U242" s="27"/>
      <c r="V242" s="25"/>
      <c r="W242" s="25"/>
      <c r="X242" s="25"/>
      <c r="Y242" s="25"/>
      <c r="Z242" s="25"/>
      <c r="AA242" s="25"/>
      <c r="AB242" s="25"/>
      <c r="AC242" s="25"/>
      <c r="AD242" s="25"/>
      <c r="AE242" s="25"/>
      <c r="AF242" s="25"/>
      <c r="AG242" s="25"/>
    </row>
    <row r="243" spans="1:34" s="3" customFormat="1" ht="16" customHeight="1" thickBot="1">
      <c r="A243" s="7"/>
      <c r="B243" s="19" t="str">
        <f>"FA1 = "&amp;'FIG3'!$W$52&amp;" "&amp;'FIG3'!$X$52</f>
        <v>FA1 = Little Rock School District</v>
      </c>
      <c r="C243" s="7"/>
      <c r="D243" s="8"/>
      <c r="E243" s="8"/>
      <c r="F243" s="9"/>
      <c r="G243" s="8"/>
      <c r="H243" s="9"/>
      <c r="I243" s="9"/>
      <c r="J243" s="8"/>
      <c r="K243" s="8"/>
      <c r="L243" s="280"/>
      <c r="M243" s="9"/>
      <c r="N243" s="9"/>
      <c r="O243" s="8"/>
      <c r="P243" s="9"/>
      <c r="Q243" s="9"/>
      <c r="R243" s="8"/>
      <c r="S243" s="882"/>
      <c r="T243" s="883" t="str">
        <f>'$REV-DB'!$T$34</f>
        <v>Federal Revenues</v>
      </c>
      <c r="U243" s="883" t="str">
        <f>'$REV-DB'!$U$34</f>
        <v>local Revenues</v>
      </c>
      <c r="V243" s="883" t="str">
        <f>'$REV-DB'!$V$34</f>
        <v>Other Revenues</v>
      </c>
      <c r="W243" s="883" t="str">
        <f>'$REV-DB'!$W$34</f>
        <v>State revenues</v>
      </c>
      <c r="X243" s="883" t="str">
        <f>'$REV-DB'!$X$34</f>
        <v>UD5</v>
      </c>
      <c r="Y243" s="883" t="str">
        <f>'$REV-DB'!$Y$34</f>
        <v>UD6</v>
      </c>
      <c r="Z243" s="883" t="str">
        <f>'$REV-DB'!$Z$34</f>
        <v>UD7</v>
      </c>
      <c r="AA243" s="883" t="str">
        <f>'$REV-DB'!$AA$34</f>
        <v>UD8</v>
      </c>
      <c r="AB243" s="883" t="str">
        <f>'$REV-DB'!$AB$34</f>
        <v>UD9</v>
      </c>
      <c r="AC243" s="883" t="str">
        <f>'$REV-DB'!$AC$34</f>
        <v>UD10</v>
      </c>
      <c r="AD243" s="883" t="str">
        <f>'$REV-DB'!$AD$34</f>
        <v>UD11</v>
      </c>
      <c r="AE243" s="883" t="str">
        <f>'$REV-DB'!$AE$34</f>
        <v>UD12</v>
      </c>
      <c r="AF243" s="883" t="str">
        <f>'$REV-DB'!$AF$34</f>
        <v>UD13</v>
      </c>
      <c r="AG243" s="883" t="str">
        <f>'$REV-DB'!$AG$34</f>
        <v>UD14</v>
      </c>
    </row>
    <row r="244" spans="1:34" s="3" customFormat="1" ht="16" customHeight="1" thickTop="1" thickBot="1">
      <c r="A244" s="7"/>
      <c r="B244" s="20" t="s">
        <v>1375</v>
      </c>
      <c r="C244" s="15"/>
      <c r="D244" s="877" t="s">
        <v>1386</v>
      </c>
      <c r="E244" s="877" t="s">
        <v>1387</v>
      </c>
      <c r="F244" s="877" t="s">
        <v>1388</v>
      </c>
      <c r="G244" s="877" t="s">
        <v>1389</v>
      </c>
      <c r="H244" s="877" t="s">
        <v>1406</v>
      </c>
      <c r="I244" s="877" t="s">
        <v>1390</v>
      </c>
      <c r="J244" s="877" t="s">
        <v>1391</v>
      </c>
      <c r="K244" s="877" t="s">
        <v>1392</v>
      </c>
      <c r="L244" s="877" t="s">
        <v>1188</v>
      </c>
      <c r="M244" s="877" t="s">
        <v>1437</v>
      </c>
      <c r="N244" s="877" t="s">
        <v>1348</v>
      </c>
      <c r="O244" s="877" t="s">
        <v>1393</v>
      </c>
      <c r="P244" s="877" t="s">
        <v>1342</v>
      </c>
      <c r="Q244" s="877" t="s">
        <v>1394</v>
      </c>
      <c r="R244" s="112" t="s">
        <v>1341</v>
      </c>
      <c r="S244" s="112" t="s">
        <v>846</v>
      </c>
      <c r="T244" s="877" t="s">
        <v>935</v>
      </c>
      <c r="U244" s="877" t="s">
        <v>936</v>
      </c>
      <c r="V244" s="877" t="s">
        <v>937</v>
      </c>
      <c r="W244" s="877" t="s">
        <v>938</v>
      </c>
      <c r="X244" s="877" t="s">
        <v>939</v>
      </c>
      <c r="Y244" s="877" t="s">
        <v>940</v>
      </c>
      <c r="Z244" s="877" t="s">
        <v>941</v>
      </c>
      <c r="AA244" s="877" t="s">
        <v>942</v>
      </c>
      <c r="AB244" s="877" t="s">
        <v>943</v>
      </c>
      <c r="AC244" s="877" t="s">
        <v>944</v>
      </c>
      <c r="AD244" s="877" t="s">
        <v>945</v>
      </c>
      <c r="AE244" s="877" t="s">
        <v>946</v>
      </c>
      <c r="AF244" s="877" t="s">
        <v>947</v>
      </c>
      <c r="AG244" s="877" t="s">
        <v>948</v>
      </c>
      <c r="AH244" s="6"/>
    </row>
    <row r="245" spans="1:34" s="3" customFormat="1" ht="16" customHeight="1" thickTop="1">
      <c r="A245" s="7"/>
      <c r="B245" s="19" t="s">
        <v>1344</v>
      </c>
      <c r="C245" s="12"/>
      <c r="D245" s="191"/>
      <c r="E245" s="191"/>
      <c r="F245" s="190"/>
      <c r="G245" s="191"/>
      <c r="H245" s="190"/>
      <c r="I245" s="190"/>
      <c r="J245" s="191"/>
      <c r="K245" s="191"/>
      <c r="L245" s="283" t="s">
        <v>1429</v>
      </c>
      <c r="M245" s="190"/>
      <c r="N245" s="38" t="str">
        <f>J$6</f>
        <v>FY2010-11</v>
      </c>
      <c r="O245" s="38" t="s">
        <v>1352</v>
      </c>
      <c r="P245" s="38" t="s">
        <v>1347</v>
      </c>
      <c r="Q245" s="38" t="s">
        <v>1339</v>
      </c>
      <c r="R245" s="191"/>
      <c r="S245" s="190" t="s">
        <v>871</v>
      </c>
      <c r="T245" s="191"/>
      <c r="U245" s="191"/>
      <c r="V245" s="192"/>
      <c r="W245" s="192"/>
      <c r="X245" s="192"/>
      <c r="Y245" s="192"/>
      <c r="Z245" s="192"/>
      <c r="AA245" s="192"/>
      <c r="AB245" s="192"/>
      <c r="AC245" s="192"/>
      <c r="AD245" s="192"/>
      <c r="AE245" s="192"/>
      <c r="AF245" s="192"/>
      <c r="AG245" s="192"/>
      <c r="AH245" s="6"/>
    </row>
    <row r="246" spans="1:34" s="3" customFormat="1" ht="16" customHeight="1">
      <c r="A246" s="7"/>
      <c r="B246" s="16">
        <f>DSUM('$REV-DB'!D35:AG374,"AMOUNT",D244:AG245)</f>
        <v>15972602.6</v>
      </c>
      <c r="C246" s="12"/>
      <c r="D246" s="896"/>
      <c r="E246" s="896"/>
      <c r="F246" s="896"/>
      <c r="G246" s="896"/>
      <c r="H246" s="896"/>
      <c r="I246" s="896"/>
      <c r="J246" s="896"/>
      <c r="K246" s="896"/>
      <c r="L246" s="897"/>
      <c r="M246" s="896"/>
      <c r="N246" s="889"/>
      <c r="O246" s="896"/>
      <c r="P246" s="889"/>
      <c r="Q246" s="900"/>
      <c r="R246" s="896"/>
      <c r="S246" s="896"/>
      <c r="T246" s="898"/>
      <c r="U246" s="898"/>
      <c r="V246" s="899"/>
      <c r="W246" s="899"/>
      <c r="X246" s="899"/>
      <c r="Y246" s="899"/>
      <c r="Z246" s="899"/>
      <c r="AA246" s="899"/>
      <c r="AB246" s="899"/>
      <c r="AC246" s="899"/>
      <c r="AD246" s="899"/>
      <c r="AE246" s="899"/>
      <c r="AF246" s="899"/>
      <c r="AG246" s="899"/>
      <c r="AH246" s="6"/>
    </row>
    <row r="247" spans="1:34" s="3" customFormat="1" ht="16" customHeight="1">
      <c r="A247" s="7"/>
      <c r="B247" s="10"/>
      <c r="C247" s="12"/>
      <c r="D247" s="896"/>
      <c r="E247" s="896"/>
      <c r="F247" s="896"/>
      <c r="G247" s="896"/>
      <c r="H247" s="896"/>
      <c r="I247" s="896"/>
      <c r="J247" s="896"/>
      <c r="K247" s="896"/>
      <c r="L247" s="897"/>
      <c r="M247" s="896"/>
      <c r="N247" s="889"/>
      <c r="O247" s="896"/>
      <c r="P247" s="889"/>
      <c r="Q247" s="900"/>
      <c r="R247" s="896"/>
      <c r="S247" s="896"/>
      <c r="T247" s="898"/>
      <c r="U247" s="898"/>
      <c r="V247" s="899"/>
      <c r="W247" s="899"/>
      <c r="X247" s="899"/>
      <c r="Y247" s="899"/>
      <c r="Z247" s="899"/>
      <c r="AA247" s="899"/>
      <c r="AB247" s="899"/>
      <c r="AC247" s="899"/>
      <c r="AD247" s="899"/>
      <c r="AE247" s="899"/>
      <c r="AF247" s="899"/>
      <c r="AG247" s="899"/>
    </row>
    <row r="248" spans="1:34" s="3" customFormat="1" ht="16" customHeight="1">
      <c r="A248" s="7"/>
      <c r="B248" s="10"/>
      <c r="C248" s="12"/>
      <c r="D248" s="896"/>
      <c r="E248" s="896"/>
      <c r="F248" s="896"/>
      <c r="G248" s="896"/>
      <c r="H248" s="896"/>
      <c r="I248" s="896"/>
      <c r="J248" s="896"/>
      <c r="K248" s="896"/>
      <c r="L248" s="897"/>
      <c r="M248" s="896"/>
      <c r="N248" s="889"/>
      <c r="O248" s="896"/>
      <c r="P248" s="889"/>
      <c r="Q248" s="900"/>
      <c r="R248" s="896"/>
      <c r="S248" s="896"/>
      <c r="T248" s="898"/>
      <c r="U248" s="898"/>
      <c r="V248" s="899"/>
      <c r="W248" s="899"/>
      <c r="X248" s="899"/>
      <c r="Y248" s="899"/>
      <c r="Z248" s="899"/>
      <c r="AA248" s="899"/>
      <c r="AB248" s="899"/>
      <c r="AC248" s="899"/>
      <c r="AD248" s="899"/>
      <c r="AE248" s="899"/>
      <c r="AF248" s="899"/>
      <c r="AG248" s="899"/>
    </row>
    <row r="249" spans="1:34" s="3" customFormat="1" ht="16" customHeight="1">
      <c r="A249" s="7"/>
      <c r="B249" s="10"/>
      <c r="C249" s="12"/>
      <c r="D249" s="896"/>
      <c r="E249" s="896"/>
      <c r="F249" s="896"/>
      <c r="G249" s="896"/>
      <c r="H249" s="896"/>
      <c r="I249" s="896"/>
      <c r="J249" s="896"/>
      <c r="K249" s="896"/>
      <c r="L249" s="897"/>
      <c r="M249" s="896"/>
      <c r="N249" s="889"/>
      <c r="O249" s="896"/>
      <c r="P249" s="889"/>
      <c r="Q249" s="900"/>
      <c r="R249" s="896"/>
      <c r="S249" s="896"/>
      <c r="T249" s="898"/>
      <c r="U249" s="898"/>
      <c r="V249" s="899"/>
      <c r="W249" s="899"/>
      <c r="X249" s="899"/>
      <c r="Y249" s="899"/>
      <c r="Z249" s="899"/>
      <c r="AA249" s="899"/>
      <c r="AB249" s="899"/>
      <c r="AC249" s="899"/>
      <c r="AD249" s="899"/>
      <c r="AE249" s="899"/>
      <c r="AF249" s="899"/>
      <c r="AG249" s="899"/>
    </row>
    <row r="250" spans="1:34" s="3" customFormat="1" ht="16" customHeight="1">
      <c r="A250" s="7"/>
      <c r="B250" s="10"/>
      <c r="C250" s="12"/>
      <c r="D250" s="896"/>
      <c r="E250" s="896"/>
      <c r="F250" s="896"/>
      <c r="G250" s="896"/>
      <c r="H250" s="896"/>
      <c r="I250" s="896"/>
      <c r="J250" s="896"/>
      <c r="K250" s="896"/>
      <c r="L250" s="897"/>
      <c r="M250" s="896"/>
      <c r="N250" s="889"/>
      <c r="O250" s="896"/>
      <c r="P250" s="889"/>
      <c r="Q250" s="900"/>
      <c r="R250" s="896"/>
      <c r="S250" s="896"/>
      <c r="T250" s="898"/>
      <c r="U250" s="898"/>
      <c r="V250" s="899"/>
      <c r="W250" s="899"/>
      <c r="X250" s="899"/>
      <c r="Y250" s="899"/>
      <c r="Z250" s="899"/>
      <c r="AA250" s="899"/>
      <c r="AB250" s="899"/>
      <c r="AC250" s="899"/>
      <c r="AD250" s="899"/>
      <c r="AE250" s="899"/>
      <c r="AF250" s="899"/>
      <c r="AG250" s="899"/>
    </row>
    <row r="251" spans="1:34" s="3" customFormat="1" ht="16" customHeight="1">
      <c r="A251" s="7"/>
      <c r="B251" s="10"/>
      <c r="C251" s="12"/>
      <c r="D251" s="896"/>
      <c r="E251" s="896"/>
      <c r="F251" s="896"/>
      <c r="G251" s="896"/>
      <c r="H251" s="896"/>
      <c r="I251" s="896"/>
      <c r="J251" s="896"/>
      <c r="K251" s="896"/>
      <c r="L251" s="897"/>
      <c r="M251" s="896"/>
      <c r="N251" s="889"/>
      <c r="O251" s="896"/>
      <c r="P251" s="889"/>
      <c r="Q251" s="900"/>
      <c r="R251" s="896"/>
      <c r="S251" s="896"/>
      <c r="T251" s="898"/>
      <c r="U251" s="898"/>
      <c r="V251" s="899"/>
      <c r="W251" s="899"/>
      <c r="X251" s="899"/>
      <c r="Y251" s="899"/>
      <c r="Z251" s="899"/>
      <c r="AA251" s="899"/>
      <c r="AB251" s="899"/>
      <c r="AC251" s="899"/>
      <c r="AD251" s="899"/>
      <c r="AE251" s="899"/>
      <c r="AF251" s="899"/>
      <c r="AG251" s="899"/>
    </row>
    <row r="252" spans="1:34" s="3" customFormat="1" ht="16" customHeight="1">
      <c r="A252" s="25"/>
      <c r="B252" s="26"/>
      <c r="C252" s="26"/>
      <c r="D252" s="27"/>
      <c r="E252" s="27"/>
      <c r="F252" s="28"/>
      <c r="G252" s="27"/>
      <c r="H252" s="28"/>
      <c r="I252" s="28"/>
      <c r="J252" s="27"/>
      <c r="K252" s="27"/>
      <c r="L252" s="282"/>
      <c r="M252" s="28"/>
      <c r="N252" s="28"/>
      <c r="O252" s="27"/>
      <c r="P252" s="28"/>
      <c r="Q252" s="28"/>
      <c r="R252" s="27"/>
      <c r="S252" s="28"/>
      <c r="T252" s="27"/>
      <c r="U252" s="27"/>
      <c r="V252" s="25"/>
      <c r="W252" s="25"/>
      <c r="X252" s="25"/>
      <c r="Y252" s="25"/>
      <c r="Z252" s="25"/>
      <c r="AA252" s="25"/>
      <c r="AB252" s="25"/>
      <c r="AC252" s="25"/>
      <c r="AD252" s="25"/>
      <c r="AE252" s="25"/>
      <c r="AF252" s="25"/>
      <c r="AG252" s="25"/>
    </row>
    <row r="253" spans="1:34" s="3" customFormat="1" ht="16" customHeight="1" thickBot="1">
      <c r="A253" s="7"/>
      <c r="B253" s="19" t="str">
        <f>"FA1 = "&amp;'FIG3'!$W$52&amp;" "&amp;'FIG3'!$X$52</f>
        <v>FA1 = Little Rock School District</v>
      </c>
      <c r="C253" s="7"/>
      <c r="D253" s="8"/>
      <c r="E253" s="8"/>
      <c r="F253" s="9"/>
      <c r="G253" s="8"/>
      <c r="H253" s="9"/>
      <c r="I253" s="9"/>
      <c r="J253" s="8"/>
      <c r="K253" s="8"/>
      <c r="L253" s="280"/>
      <c r="M253" s="9"/>
      <c r="N253" s="9"/>
      <c r="O253" s="8"/>
      <c r="P253" s="9"/>
      <c r="Q253" s="9"/>
      <c r="R253" s="8"/>
      <c r="S253" s="882"/>
      <c r="T253" s="883" t="str">
        <f>'$REV-DB'!$T$34</f>
        <v>Federal Revenues</v>
      </c>
      <c r="U253" s="883" t="str">
        <f>'$REV-DB'!$U$34</f>
        <v>local Revenues</v>
      </c>
      <c r="V253" s="883" t="str">
        <f>'$REV-DB'!$V$34</f>
        <v>Other Revenues</v>
      </c>
      <c r="W253" s="883" t="str">
        <f>'$REV-DB'!$W$34</f>
        <v>State revenues</v>
      </c>
      <c r="X253" s="883" t="str">
        <f>'$REV-DB'!$X$34</f>
        <v>UD5</v>
      </c>
      <c r="Y253" s="883" t="str">
        <f>'$REV-DB'!$Y$34</f>
        <v>UD6</v>
      </c>
      <c r="Z253" s="883" t="str">
        <f>'$REV-DB'!$Z$34</f>
        <v>UD7</v>
      </c>
      <c r="AA253" s="883" t="str">
        <f>'$REV-DB'!$AA$34</f>
        <v>UD8</v>
      </c>
      <c r="AB253" s="883" t="str">
        <f>'$REV-DB'!$AB$34</f>
        <v>UD9</v>
      </c>
      <c r="AC253" s="883" t="str">
        <f>'$REV-DB'!$AC$34</f>
        <v>UD10</v>
      </c>
      <c r="AD253" s="883" t="str">
        <f>'$REV-DB'!$AD$34</f>
        <v>UD11</v>
      </c>
      <c r="AE253" s="883" t="str">
        <f>'$REV-DB'!$AE$34</f>
        <v>UD12</v>
      </c>
      <c r="AF253" s="883" t="str">
        <f>'$REV-DB'!$AF$34</f>
        <v>UD13</v>
      </c>
      <c r="AG253" s="883" t="str">
        <f>'$REV-DB'!$AG$34</f>
        <v>UD14</v>
      </c>
    </row>
    <row r="254" spans="1:34" s="3" customFormat="1" ht="16" customHeight="1" thickTop="1" thickBot="1">
      <c r="A254" s="7"/>
      <c r="B254" s="20" t="s">
        <v>1375</v>
      </c>
      <c r="C254" s="15"/>
      <c r="D254" s="877" t="s">
        <v>1386</v>
      </c>
      <c r="E254" s="877" t="s">
        <v>1387</v>
      </c>
      <c r="F254" s="877" t="s">
        <v>1388</v>
      </c>
      <c r="G254" s="877" t="s">
        <v>1389</v>
      </c>
      <c r="H254" s="877" t="s">
        <v>1406</v>
      </c>
      <c r="I254" s="877" t="s">
        <v>1390</v>
      </c>
      <c r="J254" s="877" t="s">
        <v>1391</v>
      </c>
      <c r="K254" s="877" t="s">
        <v>1392</v>
      </c>
      <c r="L254" s="877" t="s">
        <v>1188</v>
      </c>
      <c r="M254" s="877" t="s">
        <v>1437</v>
      </c>
      <c r="N254" s="877" t="s">
        <v>1348</v>
      </c>
      <c r="O254" s="877" t="s">
        <v>1393</v>
      </c>
      <c r="P254" s="877" t="s">
        <v>1342</v>
      </c>
      <c r="Q254" s="877" t="s">
        <v>1394</v>
      </c>
      <c r="R254" s="112" t="s">
        <v>1341</v>
      </c>
      <c r="S254" s="112" t="s">
        <v>846</v>
      </c>
      <c r="T254" s="877" t="s">
        <v>935</v>
      </c>
      <c r="U254" s="877" t="s">
        <v>936</v>
      </c>
      <c r="V254" s="877" t="s">
        <v>937</v>
      </c>
      <c r="W254" s="877" t="s">
        <v>938</v>
      </c>
      <c r="X254" s="877" t="s">
        <v>939</v>
      </c>
      <c r="Y254" s="877" t="s">
        <v>940</v>
      </c>
      <c r="Z254" s="877" t="s">
        <v>941</v>
      </c>
      <c r="AA254" s="877" t="s">
        <v>942</v>
      </c>
      <c r="AB254" s="877" t="s">
        <v>943</v>
      </c>
      <c r="AC254" s="877" t="s">
        <v>944</v>
      </c>
      <c r="AD254" s="877" t="s">
        <v>945</v>
      </c>
      <c r="AE254" s="877" t="s">
        <v>946</v>
      </c>
      <c r="AF254" s="877" t="s">
        <v>947</v>
      </c>
      <c r="AG254" s="877" t="s">
        <v>948</v>
      </c>
      <c r="AH254" s="6"/>
    </row>
    <row r="255" spans="1:34" s="3" customFormat="1" ht="16" customHeight="1" thickTop="1">
      <c r="A255" s="7"/>
      <c r="B255" s="19" t="s">
        <v>1343</v>
      </c>
      <c r="C255" s="12"/>
      <c r="D255" s="191"/>
      <c r="E255" s="191"/>
      <c r="F255" s="190"/>
      <c r="G255" s="191"/>
      <c r="H255" s="190"/>
      <c r="I255" s="190"/>
      <c r="J255" s="191"/>
      <c r="K255" s="191"/>
      <c r="L255" s="283" t="s">
        <v>1429</v>
      </c>
      <c r="M255" s="190"/>
      <c r="N255" s="38" t="str">
        <f>J$6</f>
        <v>FY2010-11</v>
      </c>
      <c r="O255" s="38" t="s">
        <v>1352</v>
      </c>
      <c r="P255" s="38" t="s">
        <v>1347</v>
      </c>
      <c r="Q255" s="38" t="s">
        <v>1379</v>
      </c>
      <c r="R255" s="191"/>
      <c r="S255" s="190" t="s">
        <v>871</v>
      </c>
      <c r="T255" s="191"/>
      <c r="U255" s="191"/>
      <c r="V255" s="192"/>
      <c r="W255" s="192"/>
      <c r="X255" s="192"/>
      <c r="Y255" s="192"/>
      <c r="Z255" s="192"/>
      <c r="AA255" s="192"/>
      <c r="AB255" s="192"/>
      <c r="AC255" s="192"/>
      <c r="AD255" s="192"/>
      <c r="AE255" s="192"/>
      <c r="AF255" s="192"/>
      <c r="AG255" s="192"/>
      <c r="AH255" s="6"/>
    </row>
    <row r="256" spans="1:34" s="3" customFormat="1" ht="16" customHeight="1">
      <c r="A256" s="7"/>
      <c r="B256" s="16">
        <f>DSUM('$REV-DB'!D35:AG374,"AMOUNT",D254:AG255)</f>
        <v>0</v>
      </c>
      <c r="C256" s="12"/>
      <c r="D256" s="896"/>
      <c r="E256" s="896"/>
      <c r="F256" s="896"/>
      <c r="G256" s="896"/>
      <c r="H256" s="896"/>
      <c r="I256" s="896"/>
      <c r="J256" s="896"/>
      <c r="K256" s="896"/>
      <c r="L256" s="897"/>
      <c r="M256" s="896"/>
      <c r="N256" s="889"/>
      <c r="O256" s="896"/>
      <c r="P256" s="889"/>
      <c r="Q256" s="900"/>
      <c r="R256" s="896"/>
      <c r="S256" s="896"/>
      <c r="T256" s="898"/>
      <c r="U256" s="898"/>
      <c r="V256" s="899"/>
      <c r="W256" s="899"/>
      <c r="X256" s="899"/>
      <c r="Y256" s="899"/>
      <c r="Z256" s="899"/>
      <c r="AA256" s="899"/>
      <c r="AB256" s="899"/>
      <c r="AC256" s="899"/>
      <c r="AD256" s="899"/>
      <c r="AE256" s="899"/>
      <c r="AF256" s="899"/>
      <c r="AG256" s="899"/>
      <c r="AH256" s="6"/>
    </row>
    <row r="257" spans="1:34" s="3" customFormat="1" ht="16" customHeight="1">
      <c r="A257" s="7"/>
      <c r="B257" s="10"/>
      <c r="C257" s="12"/>
      <c r="D257" s="896"/>
      <c r="E257" s="896"/>
      <c r="F257" s="896"/>
      <c r="G257" s="896"/>
      <c r="H257" s="896"/>
      <c r="I257" s="896"/>
      <c r="J257" s="896"/>
      <c r="K257" s="896"/>
      <c r="L257" s="897"/>
      <c r="M257" s="896"/>
      <c r="N257" s="889"/>
      <c r="O257" s="896"/>
      <c r="P257" s="889"/>
      <c r="Q257" s="900"/>
      <c r="R257" s="896"/>
      <c r="S257" s="896"/>
      <c r="T257" s="898"/>
      <c r="U257" s="898"/>
      <c r="V257" s="899"/>
      <c r="W257" s="899"/>
      <c r="X257" s="899"/>
      <c r="Y257" s="899"/>
      <c r="Z257" s="899"/>
      <c r="AA257" s="899"/>
      <c r="AB257" s="899"/>
      <c r="AC257" s="899"/>
      <c r="AD257" s="899"/>
      <c r="AE257" s="899"/>
      <c r="AF257" s="899"/>
      <c r="AG257" s="899"/>
    </row>
    <row r="258" spans="1:34" s="3" customFormat="1" ht="16" customHeight="1">
      <c r="A258" s="7"/>
      <c r="B258" s="10"/>
      <c r="C258" s="12"/>
      <c r="D258" s="896"/>
      <c r="E258" s="896"/>
      <c r="F258" s="896"/>
      <c r="G258" s="896"/>
      <c r="H258" s="896"/>
      <c r="I258" s="896"/>
      <c r="J258" s="896"/>
      <c r="K258" s="896"/>
      <c r="L258" s="897"/>
      <c r="M258" s="896"/>
      <c r="N258" s="889"/>
      <c r="O258" s="896"/>
      <c r="P258" s="889"/>
      <c r="Q258" s="900"/>
      <c r="R258" s="896"/>
      <c r="S258" s="896"/>
      <c r="T258" s="898"/>
      <c r="U258" s="898"/>
      <c r="V258" s="899"/>
      <c r="W258" s="899"/>
      <c r="X258" s="899"/>
      <c r="Y258" s="899"/>
      <c r="Z258" s="899"/>
      <c r="AA258" s="899"/>
      <c r="AB258" s="899"/>
      <c r="AC258" s="899"/>
      <c r="AD258" s="899"/>
      <c r="AE258" s="899"/>
      <c r="AF258" s="899"/>
      <c r="AG258" s="899"/>
    </row>
    <row r="259" spans="1:34" s="3" customFormat="1" ht="16" customHeight="1">
      <c r="A259" s="7"/>
      <c r="B259" s="10"/>
      <c r="C259" s="12"/>
      <c r="D259" s="896"/>
      <c r="E259" s="896"/>
      <c r="F259" s="896"/>
      <c r="G259" s="896"/>
      <c r="H259" s="896"/>
      <c r="I259" s="896"/>
      <c r="J259" s="896"/>
      <c r="K259" s="896"/>
      <c r="L259" s="897"/>
      <c r="M259" s="896"/>
      <c r="N259" s="889"/>
      <c r="O259" s="896"/>
      <c r="P259" s="889"/>
      <c r="Q259" s="900"/>
      <c r="R259" s="896"/>
      <c r="S259" s="896"/>
      <c r="T259" s="898"/>
      <c r="U259" s="898"/>
      <c r="V259" s="899"/>
      <c r="W259" s="899"/>
      <c r="X259" s="899"/>
      <c r="Y259" s="899"/>
      <c r="Z259" s="899"/>
      <c r="AA259" s="899"/>
      <c r="AB259" s="899"/>
      <c r="AC259" s="899"/>
      <c r="AD259" s="899"/>
      <c r="AE259" s="899"/>
      <c r="AF259" s="899"/>
      <c r="AG259" s="899"/>
    </row>
    <row r="260" spans="1:34" s="3" customFormat="1" ht="16" customHeight="1">
      <c r="A260" s="7"/>
      <c r="B260" s="10"/>
      <c r="C260" s="12"/>
      <c r="D260" s="896"/>
      <c r="E260" s="896"/>
      <c r="F260" s="896"/>
      <c r="G260" s="896"/>
      <c r="H260" s="896"/>
      <c r="I260" s="896"/>
      <c r="J260" s="896"/>
      <c r="K260" s="896"/>
      <c r="L260" s="897"/>
      <c r="M260" s="896"/>
      <c r="N260" s="889"/>
      <c r="O260" s="896"/>
      <c r="P260" s="889"/>
      <c r="Q260" s="900"/>
      <c r="R260" s="896"/>
      <c r="S260" s="896"/>
      <c r="T260" s="898"/>
      <c r="U260" s="898"/>
      <c r="V260" s="899"/>
      <c r="W260" s="899"/>
      <c r="X260" s="899"/>
      <c r="Y260" s="899"/>
      <c r="Z260" s="899"/>
      <c r="AA260" s="899"/>
      <c r="AB260" s="899"/>
      <c r="AC260" s="899"/>
      <c r="AD260" s="899"/>
      <c r="AE260" s="899"/>
      <c r="AF260" s="899"/>
      <c r="AG260" s="899"/>
    </row>
    <row r="261" spans="1:34" s="3" customFormat="1" ht="16" customHeight="1">
      <c r="A261" s="7"/>
      <c r="B261" s="10"/>
      <c r="C261" s="12"/>
      <c r="D261" s="896"/>
      <c r="E261" s="896"/>
      <c r="F261" s="896"/>
      <c r="G261" s="896"/>
      <c r="H261" s="896"/>
      <c r="I261" s="896"/>
      <c r="J261" s="896"/>
      <c r="K261" s="896"/>
      <c r="L261" s="897"/>
      <c r="M261" s="896"/>
      <c r="N261" s="889"/>
      <c r="O261" s="896"/>
      <c r="P261" s="889"/>
      <c r="Q261" s="900"/>
      <c r="R261" s="896"/>
      <c r="S261" s="896"/>
      <c r="T261" s="898"/>
      <c r="U261" s="898"/>
      <c r="V261" s="899"/>
      <c r="W261" s="899"/>
      <c r="X261" s="899"/>
      <c r="Y261" s="899"/>
      <c r="Z261" s="899"/>
      <c r="AA261" s="899"/>
      <c r="AB261" s="899"/>
      <c r="AC261" s="899"/>
      <c r="AD261" s="899"/>
      <c r="AE261" s="899"/>
      <c r="AF261" s="899"/>
      <c r="AG261" s="899"/>
    </row>
    <row r="262" spans="1:34" s="3" customFormat="1" ht="16" customHeight="1">
      <c r="A262" s="25"/>
      <c r="B262" s="26"/>
      <c r="C262" s="26"/>
      <c r="D262" s="27"/>
      <c r="E262" s="27"/>
      <c r="F262" s="28"/>
      <c r="G262" s="27"/>
      <c r="H262" s="28"/>
      <c r="I262" s="28"/>
      <c r="J262" s="27"/>
      <c r="K262" s="27"/>
      <c r="L262" s="282"/>
      <c r="M262" s="28"/>
      <c r="N262" s="28"/>
      <c r="O262" s="27"/>
      <c r="P262" s="28"/>
      <c r="Q262" s="28"/>
      <c r="R262" s="27"/>
      <c r="S262" s="28"/>
      <c r="T262" s="27"/>
      <c r="U262" s="27"/>
      <c r="V262" s="25"/>
      <c r="W262" s="25"/>
      <c r="X262" s="25"/>
      <c r="Y262" s="25"/>
      <c r="Z262" s="25"/>
      <c r="AA262" s="25"/>
      <c r="AB262" s="25"/>
      <c r="AC262" s="25"/>
      <c r="AD262" s="25"/>
      <c r="AE262" s="25"/>
      <c r="AF262" s="25"/>
      <c r="AG262" s="25"/>
    </row>
    <row r="263" spans="1:34" s="3" customFormat="1" ht="16" customHeight="1" thickBot="1">
      <c r="A263" s="7"/>
      <c r="B263" s="19" t="str">
        <f>"FA1 = "&amp;'FIG3'!$W$52&amp;" "&amp;'FIG3'!$X$52</f>
        <v>FA1 = Little Rock School District</v>
      </c>
      <c r="C263" s="7"/>
      <c r="D263" s="8"/>
      <c r="E263" s="8"/>
      <c r="F263" s="9"/>
      <c r="G263" s="8"/>
      <c r="H263" s="9"/>
      <c r="I263" s="9"/>
      <c r="J263" s="8"/>
      <c r="K263" s="8"/>
      <c r="L263" s="280"/>
      <c r="M263" s="9"/>
      <c r="N263" s="9"/>
      <c r="O263" s="8"/>
      <c r="P263" s="9"/>
      <c r="Q263" s="9"/>
      <c r="R263" s="8"/>
      <c r="S263" s="882"/>
      <c r="T263" s="883" t="str">
        <f>'$REV-DB'!$T$34</f>
        <v>Federal Revenues</v>
      </c>
      <c r="U263" s="883" t="str">
        <f>'$REV-DB'!$U$34</f>
        <v>local Revenues</v>
      </c>
      <c r="V263" s="883" t="str">
        <f>'$REV-DB'!$V$34</f>
        <v>Other Revenues</v>
      </c>
      <c r="W263" s="883" t="str">
        <f>'$REV-DB'!$W$34</f>
        <v>State revenues</v>
      </c>
      <c r="X263" s="883" t="str">
        <f>'$REV-DB'!$X$34</f>
        <v>UD5</v>
      </c>
      <c r="Y263" s="883" t="str">
        <f>'$REV-DB'!$Y$34</f>
        <v>UD6</v>
      </c>
      <c r="Z263" s="883" t="str">
        <f>'$REV-DB'!$Z$34</f>
        <v>UD7</v>
      </c>
      <c r="AA263" s="883" t="str">
        <f>'$REV-DB'!$AA$34</f>
        <v>UD8</v>
      </c>
      <c r="AB263" s="883" t="str">
        <f>'$REV-DB'!$AB$34</f>
        <v>UD9</v>
      </c>
      <c r="AC263" s="883" t="str">
        <f>'$REV-DB'!$AC$34</f>
        <v>UD10</v>
      </c>
      <c r="AD263" s="883" t="str">
        <f>'$REV-DB'!$AD$34</f>
        <v>UD11</v>
      </c>
      <c r="AE263" s="883" t="str">
        <f>'$REV-DB'!$AE$34</f>
        <v>UD12</v>
      </c>
      <c r="AF263" s="883" t="str">
        <f>'$REV-DB'!$AF$34</f>
        <v>UD13</v>
      </c>
      <c r="AG263" s="883" t="str">
        <f>'$REV-DB'!$AG$34</f>
        <v>UD14</v>
      </c>
    </row>
    <row r="264" spans="1:34" s="3" customFormat="1" ht="16" customHeight="1" thickTop="1" thickBot="1">
      <c r="A264" s="7"/>
      <c r="B264" s="20" t="s">
        <v>1375</v>
      </c>
      <c r="C264" s="15"/>
      <c r="D264" s="877" t="s">
        <v>1386</v>
      </c>
      <c r="E264" s="877" t="s">
        <v>1387</v>
      </c>
      <c r="F264" s="877" t="s">
        <v>1388</v>
      </c>
      <c r="G264" s="877" t="s">
        <v>1389</v>
      </c>
      <c r="H264" s="877" t="s">
        <v>1406</v>
      </c>
      <c r="I264" s="877" t="s">
        <v>1390</v>
      </c>
      <c r="J264" s="877" t="s">
        <v>1391</v>
      </c>
      <c r="K264" s="877" t="s">
        <v>1392</v>
      </c>
      <c r="L264" s="877" t="s">
        <v>1188</v>
      </c>
      <c r="M264" s="877" t="s">
        <v>1437</v>
      </c>
      <c r="N264" s="877" t="s">
        <v>1348</v>
      </c>
      <c r="O264" s="877" t="s">
        <v>1393</v>
      </c>
      <c r="P264" s="877" t="s">
        <v>1342</v>
      </c>
      <c r="Q264" s="877" t="s">
        <v>1394</v>
      </c>
      <c r="R264" s="112" t="s">
        <v>1341</v>
      </c>
      <c r="S264" s="112" t="s">
        <v>846</v>
      </c>
      <c r="T264" s="877" t="s">
        <v>935</v>
      </c>
      <c r="U264" s="877" t="s">
        <v>936</v>
      </c>
      <c r="V264" s="877" t="s">
        <v>937</v>
      </c>
      <c r="W264" s="877" t="s">
        <v>938</v>
      </c>
      <c r="X264" s="877" t="s">
        <v>939</v>
      </c>
      <c r="Y264" s="877" t="s">
        <v>940</v>
      </c>
      <c r="Z264" s="877" t="s">
        <v>941</v>
      </c>
      <c r="AA264" s="877" t="s">
        <v>942</v>
      </c>
      <c r="AB264" s="877" t="s">
        <v>943</v>
      </c>
      <c r="AC264" s="877" t="s">
        <v>944</v>
      </c>
      <c r="AD264" s="877" t="s">
        <v>945</v>
      </c>
      <c r="AE264" s="877" t="s">
        <v>946</v>
      </c>
      <c r="AF264" s="877" t="s">
        <v>947</v>
      </c>
      <c r="AG264" s="877" t="s">
        <v>948</v>
      </c>
      <c r="AH264" s="6"/>
    </row>
    <row r="265" spans="1:34" s="3" customFormat="1" ht="16" customHeight="1" thickTop="1">
      <c r="A265" s="7"/>
      <c r="B265" s="19" t="s">
        <v>1349</v>
      </c>
      <c r="C265" s="12"/>
      <c r="D265" s="191"/>
      <c r="E265" s="191"/>
      <c r="F265" s="190"/>
      <c r="G265" s="191"/>
      <c r="H265" s="190"/>
      <c r="I265" s="190"/>
      <c r="J265" s="191"/>
      <c r="K265" s="191"/>
      <c r="L265" s="283" t="s">
        <v>1429</v>
      </c>
      <c r="M265" s="190"/>
      <c r="N265" s="38" t="str">
        <f>J$6</f>
        <v>FY2010-11</v>
      </c>
      <c r="O265" s="38" t="s">
        <v>1352</v>
      </c>
      <c r="P265" s="38" t="s">
        <v>1347</v>
      </c>
      <c r="Q265" s="38" t="s">
        <v>1397</v>
      </c>
      <c r="R265" s="191"/>
      <c r="S265" s="190" t="s">
        <v>871</v>
      </c>
      <c r="T265" s="191"/>
      <c r="U265" s="191"/>
      <c r="V265" s="192"/>
      <c r="W265" s="192"/>
      <c r="X265" s="192"/>
      <c r="Y265" s="192"/>
      <c r="Z265" s="192"/>
      <c r="AA265" s="192"/>
      <c r="AB265" s="192"/>
      <c r="AC265" s="192"/>
      <c r="AD265" s="192"/>
      <c r="AE265" s="192"/>
      <c r="AF265" s="192"/>
      <c r="AG265" s="192"/>
      <c r="AH265" s="6"/>
    </row>
    <row r="266" spans="1:34" s="3" customFormat="1" ht="16" customHeight="1">
      <c r="A266" s="7"/>
      <c r="B266" s="16">
        <f>DSUM('$REV-DB'!D35:AG374,"AMOUNT",D264:AG265)</f>
        <v>1867356.88</v>
      </c>
      <c r="C266" s="12"/>
      <c r="D266" s="896"/>
      <c r="E266" s="896"/>
      <c r="F266" s="896"/>
      <c r="G266" s="896"/>
      <c r="H266" s="896"/>
      <c r="I266" s="896"/>
      <c r="J266" s="896"/>
      <c r="K266" s="896"/>
      <c r="L266" s="897"/>
      <c r="M266" s="896"/>
      <c r="N266" s="889"/>
      <c r="O266" s="896"/>
      <c r="P266" s="889"/>
      <c r="Q266" s="900"/>
      <c r="R266" s="896"/>
      <c r="S266" s="896"/>
      <c r="T266" s="898"/>
      <c r="U266" s="898"/>
      <c r="V266" s="899"/>
      <c r="W266" s="899"/>
      <c r="X266" s="899"/>
      <c r="Y266" s="899"/>
      <c r="Z266" s="899"/>
      <c r="AA266" s="899"/>
      <c r="AB266" s="899"/>
      <c r="AC266" s="899"/>
      <c r="AD266" s="899"/>
      <c r="AE266" s="899"/>
      <c r="AF266" s="899"/>
      <c r="AG266" s="899"/>
      <c r="AH266" s="6"/>
    </row>
    <row r="267" spans="1:34" s="3" customFormat="1" ht="16" customHeight="1">
      <c r="A267" s="7"/>
      <c r="B267" s="10"/>
      <c r="C267" s="12"/>
      <c r="D267" s="896"/>
      <c r="E267" s="896"/>
      <c r="F267" s="896"/>
      <c r="G267" s="896"/>
      <c r="H267" s="896"/>
      <c r="I267" s="896"/>
      <c r="J267" s="896"/>
      <c r="K267" s="896"/>
      <c r="L267" s="897"/>
      <c r="M267" s="896"/>
      <c r="N267" s="889"/>
      <c r="O267" s="896"/>
      <c r="P267" s="889"/>
      <c r="Q267" s="900"/>
      <c r="R267" s="896"/>
      <c r="S267" s="896"/>
      <c r="T267" s="898"/>
      <c r="U267" s="898"/>
      <c r="V267" s="899"/>
      <c r="W267" s="899"/>
      <c r="X267" s="899"/>
      <c r="Y267" s="899"/>
      <c r="Z267" s="899"/>
      <c r="AA267" s="899"/>
      <c r="AB267" s="899"/>
      <c r="AC267" s="899"/>
      <c r="AD267" s="899"/>
      <c r="AE267" s="899"/>
      <c r="AF267" s="899"/>
      <c r="AG267" s="899"/>
    </row>
    <row r="268" spans="1:34" s="3" customFormat="1" ht="16" customHeight="1">
      <c r="A268" s="7"/>
      <c r="B268" s="10"/>
      <c r="C268" s="12"/>
      <c r="D268" s="896"/>
      <c r="E268" s="896"/>
      <c r="F268" s="896"/>
      <c r="G268" s="896"/>
      <c r="H268" s="896"/>
      <c r="I268" s="896"/>
      <c r="J268" s="896"/>
      <c r="K268" s="896"/>
      <c r="L268" s="897"/>
      <c r="M268" s="896"/>
      <c r="N268" s="889"/>
      <c r="O268" s="896"/>
      <c r="P268" s="889"/>
      <c r="Q268" s="900"/>
      <c r="R268" s="896"/>
      <c r="S268" s="896"/>
      <c r="T268" s="898"/>
      <c r="U268" s="898"/>
      <c r="V268" s="899"/>
      <c r="W268" s="899"/>
      <c r="X268" s="899"/>
      <c r="Y268" s="899"/>
      <c r="Z268" s="899"/>
      <c r="AA268" s="899"/>
      <c r="AB268" s="899"/>
      <c r="AC268" s="899"/>
      <c r="AD268" s="899"/>
      <c r="AE268" s="899"/>
      <c r="AF268" s="899"/>
      <c r="AG268" s="899"/>
    </row>
    <row r="269" spans="1:34" s="3" customFormat="1" ht="16" customHeight="1">
      <c r="A269" s="7"/>
      <c r="B269" s="10"/>
      <c r="C269" s="12"/>
      <c r="D269" s="896"/>
      <c r="E269" s="896"/>
      <c r="F269" s="896"/>
      <c r="G269" s="896"/>
      <c r="H269" s="896"/>
      <c r="I269" s="896"/>
      <c r="J269" s="896"/>
      <c r="K269" s="896"/>
      <c r="L269" s="897"/>
      <c r="M269" s="896"/>
      <c r="N269" s="889"/>
      <c r="O269" s="896"/>
      <c r="P269" s="889"/>
      <c r="Q269" s="900"/>
      <c r="R269" s="896"/>
      <c r="S269" s="896"/>
      <c r="T269" s="898"/>
      <c r="U269" s="898"/>
      <c r="V269" s="899"/>
      <c r="W269" s="899"/>
      <c r="X269" s="899"/>
      <c r="Y269" s="899"/>
      <c r="Z269" s="899"/>
      <c r="AA269" s="899"/>
      <c r="AB269" s="899"/>
      <c r="AC269" s="899"/>
      <c r="AD269" s="899"/>
      <c r="AE269" s="899"/>
      <c r="AF269" s="899"/>
      <c r="AG269" s="899"/>
    </row>
    <row r="270" spans="1:34" s="3" customFormat="1" ht="16" customHeight="1">
      <c r="A270" s="7"/>
      <c r="B270" s="10"/>
      <c r="C270" s="12"/>
      <c r="D270" s="896"/>
      <c r="E270" s="896"/>
      <c r="F270" s="896"/>
      <c r="G270" s="896"/>
      <c r="H270" s="896"/>
      <c r="I270" s="896"/>
      <c r="J270" s="896"/>
      <c r="K270" s="896"/>
      <c r="L270" s="897"/>
      <c r="M270" s="896"/>
      <c r="N270" s="889"/>
      <c r="O270" s="896"/>
      <c r="P270" s="889"/>
      <c r="Q270" s="900"/>
      <c r="R270" s="896"/>
      <c r="S270" s="896"/>
      <c r="T270" s="898"/>
      <c r="U270" s="898"/>
      <c r="V270" s="899"/>
      <c r="W270" s="899"/>
      <c r="X270" s="899"/>
      <c r="Y270" s="899"/>
      <c r="Z270" s="899"/>
      <c r="AA270" s="899"/>
      <c r="AB270" s="899"/>
      <c r="AC270" s="899"/>
      <c r="AD270" s="899"/>
      <c r="AE270" s="899"/>
      <c r="AF270" s="899"/>
      <c r="AG270" s="899"/>
    </row>
    <row r="271" spans="1:34" s="3" customFormat="1" ht="16" customHeight="1">
      <c r="A271" s="7"/>
      <c r="B271" s="10"/>
      <c r="C271" s="12"/>
      <c r="D271" s="896"/>
      <c r="E271" s="896"/>
      <c r="F271" s="896"/>
      <c r="G271" s="896"/>
      <c r="H271" s="896"/>
      <c r="I271" s="896"/>
      <c r="J271" s="896"/>
      <c r="K271" s="896"/>
      <c r="L271" s="897"/>
      <c r="M271" s="896"/>
      <c r="N271" s="889"/>
      <c r="O271" s="896"/>
      <c r="P271" s="889"/>
      <c r="Q271" s="900"/>
      <c r="R271" s="896"/>
      <c r="S271" s="896"/>
      <c r="T271" s="898"/>
      <c r="U271" s="898"/>
      <c r="V271" s="899"/>
      <c r="W271" s="899"/>
      <c r="X271" s="899"/>
      <c r="Y271" s="899"/>
      <c r="Z271" s="899"/>
      <c r="AA271" s="899"/>
      <c r="AB271" s="899"/>
      <c r="AC271" s="899"/>
      <c r="AD271" s="899"/>
      <c r="AE271" s="899"/>
      <c r="AF271" s="899"/>
      <c r="AG271" s="899"/>
    </row>
    <row r="272" spans="1:34" s="3" customFormat="1" ht="16" customHeight="1">
      <c r="A272" s="25"/>
      <c r="B272" s="26"/>
      <c r="C272" s="26"/>
      <c r="D272" s="27"/>
      <c r="E272" s="27"/>
      <c r="F272" s="28"/>
      <c r="G272" s="27"/>
      <c r="H272" s="28"/>
      <c r="I272" s="28"/>
      <c r="J272" s="27"/>
      <c r="K272" s="27"/>
      <c r="L272" s="282"/>
      <c r="M272" s="28"/>
      <c r="N272" s="28"/>
      <c r="O272" s="27"/>
      <c r="P272" s="28"/>
      <c r="Q272" s="28"/>
      <c r="R272" s="27"/>
      <c r="S272" s="28"/>
      <c r="T272" s="27"/>
      <c r="U272" s="27"/>
      <c r="V272" s="25"/>
      <c r="W272" s="25"/>
      <c r="X272" s="25"/>
      <c r="Y272" s="25"/>
      <c r="Z272" s="25"/>
      <c r="AA272" s="25"/>
      <c r="AB272" s="25"/>
      <c r="AC272" s="25"/>
      <c r="AD272" s="25"/>
      <c r="AE272" s="25"/>
      <c r="AF272" s="25"/>
      <c r="AG272" s="25"/>
    </row>
    <row r="273" spans="1:34" s="3" customFormat="1" ht="16" customHeight="1" thickBot="1">
      <c r="A273" s="7"/>
      <c r="B273" s="19" t="str">
        <f>"FA1 = "&amp;'FIG3'!$W$52&amp;" "&amp;'FIG3'!$X$52</f>
        <v>FA1 = Little Rock School District</v>
      </c>
      <c r="C273" s="7"/>
      <c r="D273" s="8"/>
      <c r="E273" s="8"/>
      <c r="F273" s="9"/>
      <c r="G273" s="8"/>
      <c r="H273" s="9"/>
      <c r="I273" s="9"/>
      <c r="J273" s="8"/>
      <c r="K273" s="8"/>
      <c r="L273" s="280"/>
      <c r="M273" s="9"/>
      <c r="N273" s="9"/>
      <c r="O273" s="8"/>
      <c r="P273" s="9"/>
      <c r="Q273" s="9"/>
      <c r="R273" s="8"/>
      <c r="S273" s="882"/>
      <c r="T273" s="883" t="str">
        <f>'$REV-DB'!$T$34</f>
        <v>Federal Revenues</v>
      </c>
      <c r="U273" s="883" t="str">
        <f>'$REV-DB'!$U$34</f>
        <v>local Revenues</v>
      </c>
      <c r="V273" s="883" t="str">
        <f>'$REV-DB'!$V$34</f>
        <v>Other Revenues</v>
      </c>
      <c r="W273" s="883" t="str">
        <f>'$REV-DB'!$W$34</f>
        <v>State revenues</v>
      </c>
      <c r="X273" s="883" t="str">
        <f>'$REV-DB'!$X$34</f>
        <v>UD5</v>
      </c>
      <c r="Y273" s="883" t="str">
        <f>'$REV-DB'!$Y$34</f>
        <v>UD6</v>
      </c>
      <c r="Z273" s="883" t="str">
        <f>'$REV-DB'!$Z$34</f>
        <v>UD7</v>
      </c>
      <c r="AA273" s="883" t="str">
        <f>'$REV-DB'!$AA$34</f>
        <v>UD8</v>
      </c>
      <c r="AB273" s="883" t="str">
        <f>'$REV-DB'!$AB$34</f>
        <v>UD9</v>
      </c>
      <c r="AC273" s="883" t="str">
        <f>'$REV-DB'!$AC$34</f>
        <v>UD10</v>
      </c>
      <c r="AD273" s="883" t="str">
        <f>'$REV-DB'!$AD$34</f>
        <v>UD11</v>
      </c>
      <c r="AE273" s="883" t="str">
        <f>'$REV-DB'!$AE$34</f>
        <v>UD12</v>
      </c>
      <c r="AF273" s="883" t="str">
        <f>'$REV-DB'!$AF$34</f>
        <v>UD13</v>
      </c>
      <c r="AG273" s="883" t="str">
        <f>'$REV-DB'!$AG$34</f>
        <v>UD14</v>
      </c>
    </row>
    <row r="274" spans="1:34" s="3" customFormat="1" ht="16" customHeight="1" thickTop="1" thickBot="1">
      <c r="A274" s="7"/>
      <c r="B274" s="20" t="s">
        <v>1375</v>
      </c>
      <c r="C274" s="15"/>
      <c r="D274" s="877" t="s">
        <v>1386</v>
      </c>
      <c r="E274" s="877" t="s">
        <v>1387</v>
      </c>
      <c r="F274" s="877" t="s">
        <v>1388</v>
      </c>
      <c r="G274" s="877" t="s">
        <v>1389</v>
      </c>
      <c r="H274" s="877" t="s">
        <v>1406</v>
      </c>
      <c r="I274" s="877" t="s">
        <v>1390</v>
      </c>
      <c r="J274" s="877" t="s">
        <v>1391</v>
      </c>
      <c r="K274" s="877" t="s">
        <v>1392</v>
      </c>
      <c r="L274" s="877" t="s">
        <v>1188</v>
      </c>
      <c r="M274" s="877" t="s">
        <v>1437</v>
      </c>
      <c r="N274" s="877" t="s">
        <v>1348</v>
      </c>
      <c r="O274" s="877" t="s">
        <v>1393</v>
      </c>
      <c r="P274" s="877" t="s">
        <v>1342</v>
      </c>
      <c r="Q274" s="877" t="s">
        <v>1394</v>
      </c>
      <c r="R274" s="112" t="s">
        <v>1341</v>
      </c>
      <c r="S274" s="112" t="s">
        <v>846</v>
      </c>
      <c r="T274" s="877" t="s">
        <v>935</v>
      </c>
      <c r="U274" s="877" t="s">
        <v>936</v>
      </c>
      <c r="V274" s="877" t="s">
        <v>937</v>
      </c>
      <c r="W274" s="877" t="s">
        <v>938</v>
      </c>
      <c r="X274" s="877" t="s">
        <v>939</v>
      </c>
      <c r="Y274" s="877" t="s">
        <v>940</v>
      </c>
      <c r="Z274" s="877" t="s">
        <v>941</v>
      </c>
      <c r="AA274" s="877" t="s">
        <v>942</v>
      </c>
      <c r="AB274" s="877" t="s">
        <v>943</v>
      </c>
      <c r="AC274" s="877" t="s">
        <v>944</v>
      </c>
      <c r="AD274" s="877" t="s">
        <v>945</v>
      </c>
      <c r="AE274" s="877" t="s">
        <v>946</v>
      </c>
      <c r="AF274" s="877" t="s">
        <v>947</v>
      </c>
      <c r="AG274" s="877" t="s">
        <v>948</v>
      </c>
      <c r="AH274" s="6"/>
    </row>
    <row r="275" spans="1:34" s="3" customFormat="1" ht="16" customHeight="1" thickTop="1">
      <c r="A275" s="7"/>
      <c r="B275" s="19" t="s">
        <v>1178</v>
      </c>
      <c r="C275" s="12"/>
      <c r="D275" s="191"/>
      <c r="E275" s="191"/>
      <c r="F275" s="190"/>
      <c r="G275" s="191"/>
      <c r="H275" s="190"/>
      <c r="I275" s="190"/>
      <c r="J275" s="191"/>
      <c r="K275" s="191"/>
      <c r="L275" s="283" t="s">
        <v>1429</v>
      </c>
      <c r="M275" s="190"/>
      <c r="N275" s="38" t="str">
        <f>J$6</f>
        <v>FY2010-11</v>
      </c>
      <c r="O275" s="38" t="s">
        <v>1352</v>
      </c>
      <c r="P275" s="38" t="s">
        <v>1347</v>
      </c>
      <c r="Q275" s="38" t="s">
        <v>1465</v>
      </c>
      <c r="R275" s="191"/>
      <c r="S275" s="190" t="s">
        <v>871</v>
      </c>
      <c r="T275" s="191"/>
      <c r="U275" s="191"/>
      <c r="V275" s="192"/>
      <c r="W275" s="192"/>
      <c r="X275" s="192"/>
      <c r="Y275" s="192"/>
      <c r="Z275" s="192"/>
      <c r="AA275" s="192"/>
      <c r="AB275" s="192"/>
      <c r="AC275" s="192"/>
      <c r="AD275" s="192"/>
      <c r="AE275" s="192"/>
      <c r="AF275" s="192"/>
      <c r="AG275" s="192"/>
      <c r="AH275" s="6"/>
    </row>
    <row r="276" spans="1:34" s="3" customFormat="1" ht="16" customHeight="1">
      <c r="A276" s="7"/>
      <c r="B276" s="16">
        <f>DSUM('$REV-DB'!D35:AG374,"AMOUNT",D274:AG275)</f>
        <v>0</v>
      </c>
      <c r="C276" s="12"/>
      <c r="D276" s="896"/>
      <c r="E276" s="896"/>
      <c r="F276" s="896"/>
      <c r="G276" s="896"/>
      <c r="H276" s="896"/>
      <c r="I276" s="896"/>
      <c r="J276" s="896"/>
      <c r="K276" s="896"/>
      <c r="L276" s="897"/>
      <c r="M276" s="896"/>
      <c r="N276" s="889"/>
      <c r="O276" s="896"/>
      <c r="P276" s="889"/>
      <c r="Q276" s="900"/>
      <c r="R276" s="896"/>
      <c r="S276" s="896"/>
      <c r="T276" s="898"/>
      <c r="U276" s="898"/>
      <c r="V276" s="899"/>
      <c r="W276" s="899"/>
      <c r="X276" s="899"/>
      <c r="Y276" s="899"/>
      <c r="Z276" s="899"/>
      <c r="AA276" s="899"/>
      <c r="AB276" s="899"/>
      <c r="AC276" s="899"/>
      <c r="AD276" s="899"/>
      <c r="AE276" s="899"/>
      <c r="AF276" s="899"/>
      <c r="AG276" s="899"/>
      <c r="AH276" s="6"/>
    </row>
    <row r="277" spans="1:34" s="3" customFormat="1" ht="16" customHeight="1">
      <c r="A277" s="7"/>
      <c r="B277" s="10"/>
      <c r="C277" s="12"/>
      <c r="D277" s="896"/>
      <c r="E277" s="896"/>
      <c r="F277" s="896"/>
      <c r="G277" s="896"/>
      <c r="H277" s="896"/>
      <c r="I277" s="896"/>
      <c r="J277" s="896"/>
      <c r="K277" s="896"/>
      <c r="L277" s="897"/>
      <c r="M277" s="896"/>
      <c r="N277" s="889"/>
      <c r="O277" s="896"/>
      <c r="P277" s="889"/>
      <c r="Q277" s="900"/>
      <c r="R277" s="896"/>
      <c r="S277" s="896"/>
      <c r="T277" s="898"/>
      <c r="U277" s="898"/>
      <c r="V277" s="899"/>
      <c r="W277" s="899"/>
      <c r="X277" s="899"/>
      <c r="Y277" s="899"/>
      <c r="Z277" s="899"/>
      <c r="AA277" s="899"/>
      <c r="AB277" s="899"/>
      <c r="AC277" s="899"/>
      <c r="AD277" s="899"/>
      <c r="AE277" s="899"/>
      <c r="AF277" s="899"/>
      <c r="AG277" s="899"/>
    </row>
    <row r="278" spans="1:34" s="3" customFormat="1" ht="16" customHeight="1">
      <c r="A278" s="7"/>
      <c r="B278" s="10"/>
      <c r="C278" s="12"/>
      <c r="D278" s="896"/>
      <c r="E278" s="896"/>
      <c r="F278" s="896"/>
      <c r="G278" s="896"/>
      <c r="H278" s="896"/>
      <c r="I278" s="896"/>
      <c r="J278" s="896"/>
      <c r="K278" s="896"/>
      <c r="L278" s="897"/>
      <c r="M278" s="896"/>
      <c r="N278" s="889"/>
      <c r="O278" s="896"/>
      <c r="P278" s="889"/>
      <c r="Q278" s="900"/>
      <c r="R278" s="896"/>
      <c r="S278" s="896"/>
      <c r="T278" s="898"/>
      <c r="U278" s="898"/>
      <c r="V278" s="899"/>
      <c r="W278" s="899"/>
      <c r="X278" s="899"/>
      <c r="Y278" s="899"/>
      <c r="Z278" s="899"/>
      <c r="AA278" s="899"/>
      <c r="AB278" s="899"/>
      <c r="AC278" s="899"/>
      <c r="AD278" s="899"/>
      <c r="AE278" s="899"/>
      <c r="AF278" s="899"/>
      <c r="AG278" s="899"/>
    </row>
    <row r="279" spans="1:34" s="3" customFormat="1" ht="16" customHeight="1">
      <c r="A279" s="7"/>
      <c r="B279" s="10"/>
      <c r="C279" s="12"/>
      <c r="D279" s="896"/>
      <c r="E279" s="896"/>
      <c r="F279" s="896"/>
      <c r="G279" s="896"/>
      <c r="H279" s="896"/>
      <c r="I279" s="896"/>
      <c r="J279" s="896"/>
      <c r="K279" s="896"/>
      <c r="L279" s="897"/>
      <c r="M279" s="896"/>
      <c r="N279" s="889"/>
      <c r="O279" s="896"/>
      <c r="P279" s="889"/>
      <c r="Q279" s="900"/>
      <c r="R279" s="896"/>
      <c r="S279" s="896"/>
      <c r="T279" s="898"/>
      <c r="U279" s="898"/>
      <c r="V279" s="899"/>
      <c r="W279" s="899"/>
      <c r="X279" s="899"/>
      <c r="Y279" s="899"/>
      <c r="Z279" s="899"/>
      <c r="AA279" s="899"/>
      <c r="AB279" s="899"/>
      <c r="AC279" s="899"/>
      <c r="AD279" s="899"/>
      <c r="AE279" s="899"/>
      <c r="AF279" s="899"/>
      <c r="AG279" s="899"/>
    </row>
    <row r="280" spans="1:34" s="3" customFormat="1" ht="16" customHeight="1">
      <c r="A280" s="7"/>
      <c r="B280" s="10"/>
      <c r="C280" s="12"/>
      <c r="D280" s="896"/>
      <c r="E280" s="896"/>
      <c r="F280" s="896"/>
      <c r="G280" s="896"/>
      <c r="H280" s="896"/>
      <c r="I280" s="896"/>
      <c r="J280" s="896"/>
      <c r="K280" s="896"/>
      <c r="L280" s="897"/>
      <c r="M280" s="896"/>
      <c r="N280" s="889"/>
      <c r="O280" s="896"/>
      <c r="P280" s="889"/>
      <c r="Q280" s="900"/>
      <c r="R280" s="896"/>
      <c r="S280" s="896"/>
      <c r="T280" s="898"/>
      <c r="U280" s="898"/>
      <c r="V280" s="899"/>
      <c r="W280" s="899"/>
      <c r="X280" s="899"/>
      <c r="Y280" s="899"/>
      <c r="Z280" s="899"/>
      <c r="AA280" s="899"/>
      <c r="AB280" s="899"/>
      <c r="AC280" s="899"/>
      <c r="AD280" s="899"/>
      <c r="AE280" s="899"/>
      <c r="AF280" s="899"/>
      <c r="AG280" s="899"/>
    </row>
    <row r="281" spans="1:34" s="3" customFormat="1" ht="16" customHeight="1">
      <c r="A281" s="7"/>
      <c r="B281" s="10"/>
      <c r="C281" s="12"/>
      <c r="D281" s="896"/>
      <c r="E281" s="896"/>
      <c r="F281" s="896"/>
      <c r="G281" s="896"/>
      <c r="H281" s="896"/>
      <c r="I281" s="896"/>
      <c r="J281" s="896"/>
      <c r="K281" s="896"/>
      <c r="L281" s="897"/>
      <c r="M281" s="896"/>
      <c r="N281" s="889"/>
      <c r="O281" s="896"/>
      <c r="P281" s="889"/>
      <c r="Q281" s="900"/>
      <c r="R281" s="896"/>
      <c r="S281" s="896"/>
      <c r="T281" s="898"/>
      <c r="U281" s="898"/>
      <c r="V281" s="899"/>
      <c r="W281" s="899"/>
      <c r="X281" s="899"/>
      <c r="Y281" s="899"/>
      <c r="Z281" s="899"/>
      <c r="AA281" s="899"/>
      <c r="AB281" s="899"/>
      <c r="AC281" s="899"/>
      <c r="AD281" s="899"/>
      <c r="AE281" s="899"/>
      <c r="AF281" s="899"/>
      <c r="AG281" s="899"/>
    </row>
    <row r="282" spans="1:34" s="3" customFormat="1" ht="16" customHeight="1">
      <c r="A282" s="25"/>
      <c r="B282" s="26"/>
      <c r="C282" s="26"/>
      <c r="D282" s="27"/>
      <c r="E282" s="27"/>
      <c r="F282" s="28"/>
      <c r="G282" s="27"/>
      <c r="H282" s="28"/>
      <c r="I282" s="28"/>
      <c r="J282" s="27"/>
      <c r="K282" s="27"/>
      <c r="L282" s="282"/>
      <c r="M282" s="28"/>
      <c r="N282" s="28"/>
      <c r="O282" s="27"/>
      <c r="P282" s="28"/>
      <c r="Q282" s="28"/>
      <c r="R282" s="27"/>
      <c r="S282" s="28"/>
      <c r="T282" s="27"/>
      <c r="U282" s="27"/>
      <c r="V282" s="25"/>
      <c r="W282" s="25"/>
      <c r="X282" s="25"/>
      <c r="Y282" s="25"/>
      <c r="Z282" s="25"/>
      <c r="AA282" s="25"/>
      <c r="AB282" s="25"/>
      <c r="AC282" s="25"/>
      <c r="AD282" s="25"/>
      <c r="AE282" s="25"/>
      <c r="AF282" s="25"/>
      <c r="AG282" s="25"/>
    </row>
    <row r="283" spans="1:34" s="3" customFormat="1" ht="16" customHeight="1" thickBot="1">
      <c r="A283" s="7"/>
      <c r="B283" s="19" t="str">
        <f>"FA1 = "&amp;'FIG3'!$W$52&amp;" "&amp;'FIG3'!$X$52</f>
        <v>FA1 = Little Rock School District</v>
      </c>
      <c r="C283" s="7"/>
      <c r="D283" s="8"/>
      <c r="E283" s="8"/>
      <c r="F283" s="9"/>
      <c r="G283" s="8"/>
      <c r="H283" s="9"/>
      <c r="I283" s="9"/>
      <c r="J283" s="8"/>
      <c r="K283" s="8"/>
      <c r="L283" s="280"/>
      <c r="M283" s="9"/>
      <c r="N283" s="9"/>
      <c r="O283" s="8"/>
      <c r="P283" s="9"/>
      <c r="Q283" s="9"/>
      <c r="R283" s="8"/>
      <c r="S283" s="882"/>
      <c r="T283" s="883" t="str">
        <f>'$REV-DB'!$T$34</f>
        <v>Federal Revenues</v>
      </c>
      <c r="U283" s="883" t="str">
        <f>'$REV-DB'!$U$34</f>
        <v>local Revenues</v>
      </c>
      <c r="V283" s="883" t="str">
        <f>'$REV-DB'!$V$34</f>
        <v>Other Revenues</v>
      </c>
      <c r="W283" s="883" t="str">
        <f>'$REV-DB'!$W$34</f>
        <v>State revenues</v>
      </c>
      <c r="X283" s="883" t="str">
        <f>'$REV-DB'!$X$34</f>
        <v>UD5</v>
      </c>
      <c r="Y283" s="883" t="str">
        <f>'$REV-DB'!$Y$34</f>
        <v>UD6</v>
      </c>
      <c r="Z283" s="883" t="str">
        <f>'$REV-DB'!$Z$34</f>
        <v>UD7</v>
      </c>
      <c r="AA283" s="883" t="str">
        <f>'$REV-DB'!$AA$34</f>
        <v>UD8</v>
      </c>
      <c r="AB283" s="883" t="str">
        <f>'$REV-DB'!$AB$34</f>
        <v>UD9</v>
      </c>
      <c r="AC283" s="883" t="str">
        <f>'$REV-DB'!$AC$34</f>
        <v>UD10</v>
      </c>
      <c r="AD283" s="883" t="str">
        <f>'$REV-DB'!$AD$34</f>
        <v>UD11</v>
      </c>
      <c r="AE283" s="883" t="str">
        <f>'$REV-DB'!$AE$34</f>
        <v>UD12</v>
      </c>
      <c r="AF283" s="883" t="str">
        <f>'$REV-DB'!$AF$34</f>
        <v>UD13</v>
      </c>
      <c r="AG283" s="883" t="str">
        <f>'$REV-DB'!$AG$34</f>
        <v>UD14</v>
      </c>
    </row>
    <row r="284" spans="1:34" s="3" customFormat="1" ht="16" customHeight="1" thickTop="1" thickBot="1">
      <c r="A284" s="7"/>
      <c r="B284" s="20" t="s">
        <v>1375</v>
      </c>
      <c r="C284" s="15"/>
      <c r="D284" s="877" t="s">
        <v>1386</v>
      </c>
      <c r="E284" s="877" t="s">
        <v>1387</v>
      </c>
      <c r="F284" s="877" t="s">
        <v>1388</v>
      </c>
      <c r="G284" s="877" t="s">
        <v>1389</v>
      </c>
      <c r="H284" s="877" t="s">
        <v>1406</v>
      </c>
      <c r="I284" s="877" t="s">
        <v>1390</v>
      </c>
      <c r="J284" s="877" t="s">
        <v>1391</v>
      </c>
      <c r="K284" s="877" t="s">
        <v>1392</v>
      </c>
      <c r="L284" s="877" t="s">
        <v>1188</v>
      </c>
      <c r="M284" s="877" t="s">
        <v>1437</v>
      </c>
      <c r="N284" s="877" t="s">
        <v>1348</v>
      </c>
      <c r="O284" s="877" t="s">
        <v>1393</v>
      </c>
      <c r="P284" s="877" t="s">
        <v>1342</v>
      </c>
      <c r="Q284" s="877" t="s">
        <v>1394</v>
      </c>
      <c r="R284" s="112" t="s">
        <v>1341</v>
      </c>
      <c r="S284" s="112" t="s">
        <v>846</v>
      </c>
      <c r="T284" s="877" t="s">
        <v>935</v>
      </c>
      <c r="U284" s="877" t="s">
        <v>936</v>
      </c>
      <c r="V284" s="877" t="s">
        <v>937</v>
      </c>
      <c r="W284" s="877" t="s">
        <v>938</v>
      </c>
      <c r="X284" s="877" t="s">
        <v>939</v>
      </c>
      <c r="Y284" s="877" t="s">
        <v>940</v>
      </c>
      <c r="Z284" s="877" t="s">
        <v>941</v>
      </c>
      <c r="AA284" s="877" t="s">
        <v>942</v>
      </c>
      <c r="AB284" s="877" t="s">
        <v>943</v>
      </c>
      <c r="AC284" s="877" t="s">
        <v>944</v>
      </c>
      <c r="AD284" s="877" t="s">
        <v>945</v>
      </c>
      <c r="AE284" s="877" t="s">
        <v>946</v>
      </c>
      <c r="AF284" s="877" t="s">
        <v>947</v>
      </c>
      <c r="AG284" s="877" t="s">
        <v>948</v>
      </c>
      <c r="AH284" s="6"/>
    </row>
    <row r="285" spans="1:34" s="3" customFormat="1" ht="16" customHeight="1" thickTop="1">
      <c r="A285" s="7"/>
      <c r="B285" s="19" t="s">
        <v>1350</v>
      </c>
      <c r="C285" s="12"/>
      <c r="D285" s="191"/>
      <c r="E285" s="191"/>
      <c r="F285" s="190"/>
      <c r="G285" s="191"/>
      <c r="H285" s="190"/>
      <c r="I285" s="190"/>
      <c r="J285" s="191"/>
      <c r="K285" s="191"/>
      <c r="L285" s="283" t="s">
        <v>1429</v>
      </c>
      <c r="M285" s="190"/>
      <c r="N285" s="38" t="str">
        <f>J$6</f>
        <v>FY2010-11</v>
      </c>
      <c r="O285" s="38" t="s">
        <v>1352</v>
      </c>
      <c r="P285" s="38" t="s">
        <v>1347</v>
      </c>
      <c r="Q285" s="38" t="s">
        <v>1340</v>
      </c>
      <c r="R285" s="191"/>
      <c r="S285" s="190" t="s">
        <v>871</v>
      </c>
      <c r="T285" s="191"/>
      <c r="U285" s="191"/>
      <c r="V285" s="192"/>
      <c r="W285" s="192"/>
      <c r="X285" s="192"/>
      <c r="Y285" s="192"/>
      <c r="Z285" s="192"/>
      <c r="AA285" s="192"/>
      <c r="AB285" s="192"/>
      <c r="AC285" s="192"/>
      <c r="AD285" s="192"/>
      <c r="AE285" s="192"/>
      <c r="AF285" s="192"/>
      <c r="AG285" s="192"/>
      <c r="AH285" s="6"/>
    </row>
    <row r="286" spans="1:34" s="3" customFormat="1" ht="16" customHeight="1">
      <c r="A286" s="7"/>
      <c r="B286" s="16">
        <f>DSUM('$REV-DB'!D35:AG374,"AMOUNT",D284:AG285)</f>
        <v>0</v>
      </c>
      <c r="C286" s="12"/>
      <c r="D286" s="896"/>
      <c r="E286" s="896"/>
      <c r="F286" s="896"/>
      <c r="G286" s="896"/>
      <c r="H286" s="896"/>
      <c r="I286" s="896"/>
      <c r="J286" s="896"/>
      <c r="K286" s="896"/>
      <c r="L286" s="897"/>
      <c r="M286" s="896"/>
      <c r="N286" s="889"/>
      <c r="O286" s="896"/>
      <c r="P286" s="889"/>
      <c r="Q286" s="900"/>
      <c r="R286" s="896"/>
      <c r="S286" s="896"/>
      <c r="T286" s="898"/>
      <c r="U286" s="898"/>
      <c r="V286" s="899"/>
      <c r="W286" s="899"/>
      <c r="X286" s="899"/>
      <c r="Y286" s="899"/>
      <c r="Z286" s="899"/>
      <c r="AA286" s="899"/>
      <c r="AB286" s="899"/>
      <c r="AC286" s="899"/>
      <c r="AD286" s="899"/>
      <c r="AE286" s="899"/>
      <c r="AF286" s="899"/>
      <c r="AG286" s="899"/>
      <c r="AH286" s="6"/>
    </row>
    <row r="287" spans="1:34" s="3" customFormat="1" ht="16" customHeight="1">
      <c r="A287" s="7"/>
      <c r="B287" s="10"/>
      <c r="C287" s="12"/>
      <c r="D287" s="896"/>
      <c r="E287" s="896"/>
      <c r="F287" s="896"/>
      <c r="G287" s="896"/>
      <c r="H287" s="896"/>
      <c r="I287" s="896"/>
      <c r="J287" s="896"/>
      <c r="K287" s="896"/>
      <c r="L287" s="897"/>
      <c r="M287" s="896"/>
      <c r="N287" s="889"/>
      <c r="O287" s="896"/>
      <c r="P287" s="889"/>
      <c r="Q287" s="900"/>
      <c r="R287" s="896"/>
      <c r="S287" s="896"/>
      <c r="T287" s="898"/>
      <c r="U287" s="898"/>
      <c r="V287" s="899"/>
      <c r="W287" s="899"/>
      <c r="X287" s="899"/>
      <c r="Y287" s="899"/>
      <c r="Z287" s="899"/>
      <c r="AA287" s="899"/>
      <c r="AB287" s="899"/>
      <c r="AC287" s="899"/>
      <c r="AD287" s="899"/>
      <c r="AE287" s="899"/>
      <c r="AF287" s="899"/>
      <c r="AG287" s="899"/>
    </row>
    <row r="288" spans="1:34" s="3" customFormat="1" ht="16" customHeight="1">
      <c r="A288" s="7"/>
      <c r="B288" s="10"/>
      <c r="C288" s="12"/>
      <c r="D288" s="896"/>
      <c r="E288" s="896"/>
      <c r="F288" s="896"/>
      <c r="G288" s="896"/>
      <c r="H288" s="896"/>
      <c r="I288" s="896"/>
      <c r="J288" s="896"/>
      <c r="K288" s="896"/>
      <c r="L288" s="897"/>
      <c r="M288" s="896"/>
      <c r="N288" s="889"/>
      <c r="O288" s="896"/>
      <c r="P288" s="889"/>
      <c r="Q288" s="900"/>
      <c r="R288" s="896"/>
      <c r="S288" s="896"/>
      <c r="T288" s="898"/>
      <c r="U288" s="898"/>
      <c r="V288" s="899"/>
      <c r="W288" s="899"/>
      <c r="X288" s="899"/>
      <c r="Y288" s="899"/>
      <c r="Z288" s="899"/>
      <c r="AA288" s="899"/>
      <c r="AB288" s="899"/>
      <c r="AC288" s="899"/>
      <c r="AD288" s="899"/>
      <c r="AE288" s="899"/>
      <c r="AF288" s="899"/>
      <c r="AG288" s="899"/>
    </row>
    <row r="289" spans="1:34" s="3" customFormat="1" ht="16" customHeight="1">
      <c r="A289" s="7"/>
      <c r="B289" s="10"/>
      <c r="C289" s="12"/>
      <c r="D289" s="896"/>
      <c r="E289" s="896"/>
      <c r="F289" s="896"/>
      <c r="G289" s="896"/>
      <c r="H289" s="896"/>
      <c r="I289" s="896"/>
      <c r="J289" s="896"/>
      <c r="K289" s="896"/>
      <c r="L289" s="897"/>
      <c r="M289" s="896"/>
      <c r="N289" s="889"/>
      <c r="O289" s="896"/>
      <c r="P289" s="889"/>
      <c r="Q289" s="900"/>
      <c r="R289" s="896"/>
      <c r="S289" s="896"/>
      <c r="T289" s="898"/>
      <c r="U289" s="898"/>
      <c r="V289" s="899"/>
      <c r="W289" s="899"/>
      <c r="X289" s="899"/>
      <c r="Y289" s="899"/>
      <c r="Z289" s="899"/>
      <c r="AA289" s="899"/>
      <c r="AB289" s="899"/>
      <c r="AC289" s="899"/>
      <c r="AD289" s="899"/>
      <c r="AE289" s="899"/>
      <c r="AF289" s="899"/>
      <c r="AG289" s="899"/>
    </row>
    <row r="290" spans="1:34" s="3" customFormat="1" ht="16" customHeight="1">
      <c r="A290" s="7"/>
      <c r="B290" s="10"/>
      <c r="C290" s="12"/>
      <c r="D290" s="896"/>
      <c r="E290" s="896"/>
      <c r="F290" s="896"/>
      <c r="G290" s="896"/>
      <c r="H290" s="896"/>
      <c r="I290" s="896"/>
      <c r="J290" s="896"/>
      <c r="K290" s="896"/>
      <c r="L290" s="897"/>
      <c r="M290" s="896"/>
      <c r="N290" s="889"/>
      <c r="O290" s="896"/>
      <c r="P290" s="889"/>
      <c r="Q290" s="900"/>
      <c r="R290" s="896"/>
      <c r="S290" s="896"/>
      <c r="T290" s="898"/>
      <c r="U290" s="898"/>
      <c r="V290" s="899"/>
      <c r="W290" s="899"/>
      <c r="X290" s="899"/>
      <c r="Y290" s="899"/>
      <c r="Z290" s="899"/>
      <c r="AA290" s="899"/>
      <c r="AB290" s="899"/>
      <c r="AC290" s="899"/>
      <c r="AD290" s="899"/>
      <c r="AE290" s="899"/>
      <c r="AF290" s="899"/>
      <c r="AG290" s="899"/>
    </row>
    <row r="291" spans="1:34" s="3" customFormat="1" ht="16" customHeight="1">
      <c r="A291" s="7"/>
      <c r="B291" s="10"/>
      <c r="C291" s="12"/>
      <c r="D291" s="896"/>
      <c r="E291" s="896"/>
      <c r="F291" s="896"/>
      <c r="G291" s="896"/>
      <c r="H291" s="896"/>
      <c r="I291" s="896"/>
      <c r="J291" s="896"/>
      <c r="K291" s="896"/>
      <c r="L291" s="897"/>
      <c r="M291" s="896"/>
      <c r="N291" s="889"/>
      <c r="O291" s="896"/>
      <c r="P291" s="889"/>
      <c r="Q291" s="900"/>
      <c r="R291" s="896"/>
      <c r="S291" s="896"/>
      <c r="T291" s="898"/>
      <c r="U291" s="898"/>
      <c r="V291" s="899"/>
      <c r="W291" s="899"/>
      <c r="X291" s="899"/>
      <c r="Y291" s="899"/>
      <c r="Z291" s="899"/>
      <c r="AA291" s="899"/>
      <c r="AB291" s="899"/>
      <c r="AC291" s="899"/>
      <c r="AD291" s="899"/>
      <c r="AE291" s="899"/>
      <c r="AF291" s="899"/>
      <c r="AG291" s="899"/>
    </row>
    <row r="292" spans="1:34" s="3" customFormat="1" ht="16" customHeight="1">
      <c r="A292" s="29"/>
      <c r="B292" s="30"/>
      <c r="C292" s="30"/>
      <c r="D292" s="31"/>
      <c r="E292" s="31"/>
      <c r="F292" s="32"/>
      <c r="G292" s="31"/>
      <c r="H292" s="32"/>
      <c r="I292" s="32"/>
      <c r="J292" s="31"/>
      <c r="K292" s="31"/>
      <c r="L292" s="284"/>
      <c r="M292" s="32"/>
      <c r="N292" s="32"/>
      <c r="O292" s="31"/>
      <c r="P292" s="32"/>
      <c r="Q292" s="32"/>
      <c r="R292" s="31"/>
      <c r="S292" s="32"/>
      <c r="T292" s="31"/>
      <c r="U292" s="31"/>
      <c r="V292" s="29"/>
      <c r="W292" s="29"/>
      <c r="X292" s="29"/>
      <c r="Y292" s="29"/>
      <c r="Z292" s="29"/>
      <c r="AA292" s="29"/>
      <c r="AB292" s="29"/>
      <c r="AC292" s="29"/>
      <c r="AD292" s="29"/>
      <c r="AE292" s="29"/>
      <c r="AF292" s="29"/>
      <c r="AG292" s="29"/>
    </row>
    <row r="293" spans="1:34" s="3" customFormat="1" ht="16" customHeight="1" thickBot="1">
      <c r="A293" s="7"/>
      <c r="B293" s="19" t="str">
        <f>"FA2 = "&amp;'FIG3'!$W$53&amp;" "&amp;'FIG3'!$X$53</f>
        <v>FA2 = FA2L1 FA2L2</v>
      </c>
      <c r="C293" s="7"/>
      <c r="D293" s="17"/>
      <c r="E293" s="17"/>
      <c r="F293" s="18"/>
      <c r="G293" s="17"/>
      <c r="H293" s="18"/>
      <c r="I293" s="18"/>
      <c r="J293" s="17"/>
      <c r="K293" s="17"/>
      <c r="L293" s="281"/>
      <c r="M293" s="18"/>
      <c r="N293" s="9"/>
      <c r="O293" s="17"/>
      <c r="P293" s="18"/>
      <c r="Q293" s="18"/>
      <c r="R293" s="17"/>
      <c r="S293" s="882"/>
      <c r="T293" s="883" t="str">
        <f>'$REV-DB'!$T$34</f>
        <v>Federal Revenues</v>
      </c>
      <c r="U293" s="883" t="str">
        <f>'$REV-DB'!$U$34</f>
        <v>local Revenues</v>
      </c>
      <c r="V293" s="883" t="str">
        <f>'$REV-DB'!$V$34</f>
        <v>Other Revenues</v>
      </c>
      <c r="W293" s="883" t="str">
        <f>'$REV-DB'!$W$34</f>
        <v>State revenues</v>
      </c>
      <c r="X293" s="883" t="str">
        <f>'$REV-DB'!$X$34</f>
        <v>UD5</v>
      </c>
      <c r="Y293" s="883" t="str">
        <f>'$REV-DB'!$Y$34</f>
        <v>UD6</v>
      </c>
      <c r="Z293" s="883" t="str">
        <f>'$REV-DB'!$Z$34</f>
        <v>UD7</v>
      </c>
      <c r="AA293" s="883" t="str">
        <f>'$REV-DB'!$AA$34</f>
        <v>UD8</v>
      </c>
      <c r="AB293" s="883" t="str">
        <f>'$REV-DB'!$AB$34</f>
        <v>UD9</v>
      </c>
      <c r="AC293" s="883" t="str">
        <f>'$REV-DB'!$AC$34</f>
        <v>UD10</v>
      </c>
      <c r="AD293" s="883" t="str">
        <f>'$REV-DB'!$AD$34</f>
        <v>UD11</v>
      </c>
      <c r="AE293" s="883" t="str">
        <f>'$REV-DB'!$AE$34</f>
        <v>UD12</v>
      </c>
      <c r="AF293" s="883" t="str">
        <f>'$REV-DB'!$AF$34</f>
        <v>UD13</v>
      </c>
      <c r="AG293" s="883" t="str">
        <f>'$REV-DB'!$AG$34</f>
        <v>UD14</v>
      </c>
    </row>
    <row r="294" spans="1:34" s="3" customFormat="1" ht="16" customHeight="1" thickTop="1" thickBot="1">
      <c r="A294" s="7"/>
      <c r="B294" s="20" t="s">
        <v>1399</v>
      </c>
      <c r="C294" s="15"/>
      <c r="D294" s="877" t="s">
        <v>1386</v>
      </c>
      <c r="E294" s="877" t="s">
        <v>1387</v>
      </c>
      <c r="F294" s="877" t="s">
        <v>1388</v>
      </c>
      <c r="G294" s="877" t="s">
        <v>1389</v>
      </c>
      <c r="H294" s="877" t="s">
        <v>1406</v>
      </c>
      <c r="I294" s="877" t="s">
        <v>1390</v>
      </c>
      <c r="J294" s="877" t="s">
        <v>1391</v>
      </c>
      <c r="K294" s="877" t="s">
        <v>1392</v>
      </c>
      <c r="L294" s="877" t="s">
        <v>1188</v>
      </c>
      <c r="M294" s="877" t="s">
        <v>1437</v>
      </c>
      <c r="N294" s="877" t="s">
        <v>1348</v>
      </c>
      <c r="O294" s="877" t="s">
        <v>1393</v>
      </c>
      <c r="P294" s="877" t="s">
        <v>1342</v>
      </c>
      <c r="Q294" s="877" t="s">
        <v>1394</v>
      </c>
      <c r="R294" s="112" t="s">
        <v>1341</v>
      </c>
      <c r="S294" s="112" t="s">
        <v>846</v>
      </c>
      <c r="T294" s="877" t="s">
        <v>935</v>
      </c>
      <c r="U294" s="877" t="s">
        <v>936</v>
      </c>
      <c r="V294" s="877" t="s">
        <v>937</v>
      </c>
      <c r="W294" s="877" t="s">
        <v>938</v>
      </c>
      <c r="X294" s="877" t="s">
        <v>939</v>
      </c>
      <c r="Y294" s="877" t="s">
        <v>940</v>
      </c>
      <c r="Z294" s="877" t="s">
        <v>941</v>
      </c>
      <c r="AA294" s="877" t="s">
        <v>942</v>
      </c>
      <c r="AB294" s="877" t="s">
        <v>943</v>
      </c>
      <c r="AC294" s="877" t="s">
        <v>944</v>
      </c>
      <c r="AD294" s="877" t="s">
        <v>945</v>
      </c>
      <c r="AE294" s="877" t="s">
        <v>946</v>
      </c>
      <c r="AF294" s="877" t="s">
        <v>947</v>
      </c>
      <c r="AG294" s="877" t="s">
        <v>948</v>
      </c>
      <c r="AH294" s="6"/>
    </row>
    <row r="295" spans="1:34" s="3" customFormat="1" ht="16" customHeight="1" thickTop="1">
      <c r="A295" s="7"/>
      <c r="B295" s="19" t="s">
        <v>1346</v>
      </c>
      <c r="C295" s="12"/>
      <c r="D295" s="193"/>
      <c r="E295" s="193"/>
      <c r="F295" s="193"/>
      <c r="G295" s="193"/>
      <c r="H295" s="193"/>
      <c r="I295" s="193"/>
      <c r="J295" s="193"/>
      <c r="K295" s="193"/>
      <c r="L295" s="285" t="s">
        <v>1429</v>
      </c>
      <c r="M295" s="193"/>
      <c r="N295" s="47" t="str">
        <f>J$6</f>
        <v>FY2010-11</v>
      </c>
      <c r="O295" s="47" t="s">
        <v>1353</v>
      </c>
      <c r="P295" s="47" t="s">
        <v>1338</v>
      </c>
      <c r="Q295" s="193"/>
      <c r="R295" s="193"/>
      <c r="S295" s="193"/>
      <c r="T295" s="194"/>
      <c r="U295" s="194"/>
      <c r="V295" s="195"/>
      <c r="W295" s="195"/>
      <c r="X295" s="195"/>
      <c r="Y295" s="195"/>
      <c r="Z295" s="195"/>
      <c r="AA295" s="195"/>
      <c r="AB295" s="195"/>
      <c r="AC295" s="195"/>
      <c r="AD295" s="195"/>
      <c r="AE295" s="195"/>
      <c r="AF295" s="195"/>
      <c r="AG295" s="195"/>
      <c r="AH295" s="6"/>
    </row>
    <row r="296" spans="1:34" s="3" customFormat="1" ht="16" customHeight="1">
      <c r="A296" s="7"/>
      <c r="B296" s="16">
        <f>DSUM('$REV-DB'!D35:AG374,"AMOUNT",D294:AG296)</f>
        <v>0</v>
      </c>
      <c r="C296" s="12"/>
      <c r="D296" s="193"/>
      <c r="E296" s="193"/>
      <c r="F296" s="193"/>
      <c r="G296" s="193"/>
      <c r="H296" s="193"/>
      <c r="I296" s="193"/>
      <c r="J296" s="193"/>
      <c r="K296" s="193"/>
      <c r="L296" s="285" t="s">
        <v>1429</v>
      </c>
      <c r="M296" s="193"/>
      <c r="N296" s="47" t="str">
        <f>J$6</f>
        <v>FY2010-11</v>
      </c>
      <c r="O296" s="47" t="s">
        <v>1353</v>
      </c>
      <c r="P296" s="47" t="s">
        <v>1347</v>
      </c>
      <c r="Q296" s="193"/>
      <c r="R296" s="193"/>
      <c r="S296" s="193" t="s">
        <v>1303</v>
      </c>
      <c r="T296" s="194"/>
      <c r="U296" s="194"/>
      <c r="V296" s="195"/>
      <c r="W296" s="195"/>
      <c r="X296" s="195"/>
      <c r="Y296" s="195"/>
      <c r="Z296" s="195"/>
      <c r="AA296" s="195"/>
      <c r="AB296" s="195"/>
      <c r="AC296" s="195"/>
      <c r="AD296" s="195"/>
      <c r="AE296" s="195"/>
      <c r="AF296" s="195"/>
      <c r="AG296" s="195"/>
      <c r="AH296" s="6"/>
    </row>
    <row r="297" spans="1:34" s="3" customFormat="1" ht="16" customHeight="1">
      <c r="A297" s="7"/>
      <c r="B297" s="10"/>
      <c r="C297" s="12"/>
      <c r="D297" s="896"/>
      <c r="E297" s="896"/>
      <c r="F297" s="896"/>
      <c r="G297" s="896"/>
      <c r="H297" s="896"/>
      <c r="I297" s="896"/>
      <c r="J297" s="896"/>
      <c r="K297" s="896"/>
      <c r="L297" s="897"/>
      <c r="M297" s="896"/>
      <c r="N297" s="889"/>
      <c r="O297" s="889"/>
      <c r="P297" s="889"/>
      <c r="Q297" s="896"/>
      <c r="R297" s="896"/>
      <c r="S297" s="896"/>
      <c r="T297" s="898"/>
      <c r="U297" s="898"/>
      <c r="V297" s="899"/>
      <c r="W297" s="899"/>
      <c r="X297" s="899"/>
      <c r="Y297" s="899"/>
      <c r="Z297" s="899"/>
      <c r="AA297" s="899"/>
      <c r="AB297" s="899"/>
      <c r="AC297" s="899"/>
      <c r="AD297" s="899"/>
      <c r="AE297" s="899"/>
      <c r="AF297" s="899"/>
      <c r="AG297" s="899"/>
    </row>
    <row r="298" spans="1:34" s="3" customFormat="1" ht="16" customHeight="1">
      <c r="A298" s="7"/>
      <c r="B298" s="10"/>
      <c r="C298" s="12"/>
      <c r="D298" s="896"/>
      <c r="E298" s="896"/>
      <c r="F298" s="896"/>
      <c r="G298" s="896"/>
      <c r="H298" s="896"/>
      <c r="I298" s="896"/>
      <c r="J298" s="896"/>
      <c r="K298" s="896"/>
      <c r="L298" s="897"/>
      <c r="M298" s="896"/>
      <c r="N298" s="889"/>
      <c r="O298" s="889"/>
      <c r="P298" s="889"/>
      <c r="Q298" s="896"/>
      <c r="R298" s="896"/>
      <c r="S298" s="896"/>
      <c r="T298" s="898"/>
      <c r="U298" s="898"/>
      <c r="V298" s="899"/>
      <c r="W298" s="899"/>
      <c r="X298" s="899"/>
      <c r="Y298" s="899"/>
      <c r="Z298" s="899"/>
      <c r="AA298" s="899"/>
      <c r="AB298" s="899"/>
      <c r="AC298" s="899"/>
      <c r="AD298" s="899"/>
      <c r="AE298" s="899"/>
      <c r="AF298" s="899"/>
      <c r="AG298" s="899"/>
    </row>
    <row r="299" spans="1:34" s="3" customFormat="1" ht="16" customHeight="1">
      <c r="A299" s="7"/>
      <c r="B299" s="10"/>
      <c r="C299" s="12"/>
      <c r="D299" s="896"/>
      <c r="E299" s="896"/>
      <c r="F299" s="896"/>
      <c r="G299" s="896"/>
      <c r="H299" s="896"/>
      <c r="I299" s="896"/>
      <c r="J299" s="896"/>
      <c r="K299" s="896"/>
      <c r="L299" s="897"/>
      <c r="M299" s="896"/>
      <c r="N299" s="889"/>
      <c r="O299" s="889"/>
      <c r="P299" s="889"/>
      <c r="Q299" s="896"/>
      <c r="R299" s="896"/>
      <c r="S299" s="896"/>
      <c r="T299" s="898"/>
      <c r="U299" s="898"/>
      <c r="V299" s="899"/>
      <c r="W299" s="899"/>
      <c r="X299" s="899"/>
      <c r="Y299" s="899"/>
      <c r="Z299" s="899"/>
      <c r="AA299" s="899"/>
      <c r="AB299" s="899"/>
      <c r="AC299" s="899"/>
      <c r="AD299" s="899"/>
      <c r="AE299" s="899"/>
      <c r="AF299" s="899"/>
      <c r="AG299" s="899"/>
    </row>
    <row r="300" spans="1:34" s="3" customFormat="1" ht="16" customHeight="1">
      <c r="A300" s="7"/>
      <c r="B300" s="10"/>
      <c r="C300" s="12"/>
      <c r="D300" s="896"/>
      <c r="E300" s="896"/>
      <c r="F300" s="896"/>
      <c r="G300" s="896"/>
      <c r="H300" s="896"/>
      <c r="I300" s="896"/>
      <c r="J300" s="896"/>
      <c r="K300" s="896"/>
      <c r="L300" s="897"/>
      <c r="M300" s="896"/>
      <c r="N300" s="889"/>
      <c r="O300" s="889"/>
      <c r="P300" s="889"/>
      <c r="Q300" s="896"/>
      <c r="R300" s="896"/>
      <c r="S300" s="896"/>
      <c r="T300" s="898"/>
      <c r="U300" s="898"/>
      <c r="V300" s="899"/>
      <c r="W300" s="899"/>
      <c r="X300" s="899"/>
      <c r="Y300" s="899"/>
      <c r="Z300" s="899"/>
      <c r="AA300" s="899"/>
      <c r="AB300" s="899"/>
      <c r="AC300" s="899"/>
      <c r="AD300" s="899"/>
      <c r="AE300" s="899"/>
      <c r="AF300" s="899"/>
      <c r="AG300" s="899"/>
    </row>
    <row r="301" spans="1:34" s="3" customFormat="1" ht="16" customHeight="1">
      <c r="A301" s="7"/>
      <c r="B301" s="10"/>
      <c r="C301" s="12"/>
      <c r="D301" s="896"/>
      <c r="E301" s="896"/>
      <c r="F301" s="896"/>
      <c r="G301" s="896"/>
      <c r="H301" s="896"/>
      <c r="I301" s="896"/>
      <c r="J301" s="896"/>
      <c r="K301" s="896"/>
      <c r="L301" s="897"/>
      <c r="M301" s="896"/>
      <c r="N301" s="889"/>
      <c r="O301" s="889"/>
      <c r="P301" s="889"/>
      <c r="Q301" s="896"/>
      <c r="R301" s="896"/>
      <c r="S301" s="896"/>
      <c r="T301" s="898"/>
      <c r="U301" s="898"/>
      <c r="V301" s="899"/>
      <c r="W301" s="899"/>
      <c r="X301" s="899"/>
      <c r="Y301" s="899"/>
      <c r="Z301" s="899"/>
      <c r="AA301" s="899"/>
      <c r="AB301" s="899"/>
      <c r="AC301" s="899"/>
      <c r="AD301" s="899"/>
      <c r="AE301" s="899"/>
      <c r="AF301" s="899"/>
      <c r="AG301" s="899"/>
    </row>
    <row r="302" spans="1:34" s="3" customFormat="1" ht="16" customHeight="1">
      <c r="A302" s="29"/>
      <c r="B302" s="30"/>
      <c r="C302" s="30"/>
      <c r="D302" s="31"/>
      <c r="E302" s="31"/>
      <c r="F302" s="32"/>
      <c r="G302" s="31"/>
      <c r="H302" s="32"/>
      <c r="I302" s="32"/>
      <c r="J302" s="31"/>
      <c r="K302" s="31"/>
      <c r="L302" s="284"/>
      <c r="M302" s="32"/>
      <c r="N302" s="32"/>
      <c r="O302" s="31"/>
      <c r="P302" s="32"/>
      <c r="Q302" s="32"/>
      <c r="R302" s="31"/>
      <c r="S302" s="32"/>
      <c r="T302" s="31"/>
      <c r="U302" s="31"/>
      <c r="V302" s="29"/>
      <c r="W302" s="29"/>
      <c r="X302" s="29"/>
      <c r="Y302" s="29"/>
      <c r="Z302" s="29"/>
      <c r="AA302" s="29"/>
      <c r="AB302" s="29"/>
      <c r="AC302" s="29"/>
      <c r="AD302" s="29"/>
      <c r="AE302" s="29"/>
      <c r="AF302" s="29"/>
      <c r="AG302" s="29"/>
    </row>
    <row r="303" spans="1:34" s="3" customFormat="1" ht="16" customHeight="1" thickBot="1">
      <c r="A303" s="7"/>
      <c r="B303" s="19" t="str">
        <f>"FA2 = "&amp;'FIG3'!$W$53&amp;" "&amp;'FIG3'!$X$53</f>
        <v>FA2 = FA2L1 FA2L2</v>
      </c>
      <c r="C303" s="7"/>
      <c r="D303" s="8"/>
      <c r="E303" s="8"/>
      <c r="F303" s="9"/>
      <c r="G303" s="8"/>
      <c r="H303" s="9"/>
      <c r="I303" s="9"/>
      <c r="J303" s="8"/>
      <c r="K303" s="8"/>
      <c r="L303" s="280"/>
      <c r="M303" s="9"/>
      <c r="N303" s="9"/>
      <c r="O303" s="8"/>
      <c r="P303" s="9"/>
      <c r="Q303" s="9"/>
      <c r="R303" s="8"/>
      <c r="S303" s="882"/>
      <c r="T303" s="883" t="str">
        <f>'$REV-DB'!$T$34</f>
        <v>Federal Revenues</v>
      </c>
      <c r="U303" s="883" t="str">
        <f>'$REV-DB'!$U$34</f>
        <v>local Revenues</v>
      </c>
      <c r="V303" s="883" t="str">
        <f>'$REV-DB'!$V$34</f>
        <v>Other Revenues</v>
      </c>
      <c r="W303" s="883" t="str">
        <f>'$REV-DB'!$W$34</f>
        <v>State revenues</v>
      </c>
      <c r="X303" s="883" t="str">
        <f>'$REV-DB'!$X$34</f>
        <v>UD5</v>
      </c>
      <c r="Y303" s="883" t="str">
        <f>'$REV-DB'!$Y$34</f>
        <v>UD6</v>
      </c>
      <c r="Z303" s="883" t="str">
        <f>'$REV-DB'!$Z$34</f>
        <v>UD7</v>
      </c>
      <c r="AA303" s="883" t="str">
        <f>'$REV-DB'!$AA$34</f>
        <v>UD8</v>
      </c>
      <c r="AB303" s="883" t="str">
        <f>'$REV-DB'!$AB$34</f>
        <v>UD9</v>
      </c>
      <c r="AC303" s="883" t="str">
        <f>'$REV-DB'!$AC$34</f>
        <v>UD10</v>
      </c>
      <c r="AD303" s="883" t="str">
        <f>'$REV-DB'!$AD$34</f>
        <v>UD11</v>
      </c>
      <c r="AE303" s="883" t="str">
        <f>'$REV-DB'!$AE$34</f>
        <v>UD12</v>
      </c>
      <c r="AF303" s="883" t="str">
        <f>'$REV-DB'!$AF$34</f>
        <v>UD13</v>
      </c>
      <c r="AG303" s="883" t="str">
        <f>'$REV-DB'!$AG$34</f>
        <v>UD14</v>
      </c>
    </row>
    <row r="304" spans="1:34" s="3" customFormat="1" ht="16" customHeight="1" thickTop="1" thickBot="1">
      <c r="A304" s="7"/>
      <c r="B304" s="20" t="s">
        <v>1399</v>
      </c>
      <c r="C304" s="15"/>
      <c r="D304" s="877" t="s">
        <v>1386</v>
      </c>
      <c r="E304" s="877" t="s">
        <v>1387</v>
      </c>
      <c r="F304" s="877" t="s">
        <v>1388</v>
      </c>
      <c r="G304" s="877" t="s">
        <v>1389</v>
      </c>
      <c r="H304" s="877" t="s">
        <v>1406</v>
      </c>
      <c r="I304" s="877" t="s">
        <v>1390</v>
      </c>
      <c r="J304" s="877" t="s">
        <v>1391</v>
      </c>
      <c r="K304" s="877" t="s">
        <v>1392</v>
      </c>
      <c r="L304" s="877" t="s">
        <v>1188</v>
      </c>
      <c r="M304" s="877" t="s">
        <v>1437</v>
      </c>
      <c r="N304" s="877" t="s">
        <v>1348</v>
      </c>
      <c r="O304" s="877" t="s">
        <v>1393</v>
      </c>
      <c r="P304" s="877" t="s">
        <v>1342</v>
      </c>
      <c r="Q304" s="877" t="s">
        <v>1394</v>
      </c>
      <c r="R304" s="112" t="s">
        <v>1341</v>
      </c>
      <c r="S304" s="112" t="s">
        <v>846</v>
      </c>
      <c r="T304" s="877" t="s">
        <v>935</v>
      </c>
      <c r="U304" s="877" t="s">
        <v>936</v>
      </c>
      <c r="V304" s="877" t="s">
        <v>937</v>
      </c>
      <c r="W304" s="877" t="s">
        <v>938</v>
      </c>
      <c r="X304" s="877" t="s">
        <v>939</v>
      </c>
      <c r="Y304" s="877" t="s">
        <v>940</v>
      </c>
      <c r="Z304" s="877" t="s">
        <v>941</v>
      </c>
      <c r="AA304" s="877" t="s">
        <v>942</v>
      </c>
      <c r="AB304" s="877" t="s">
        <v>943</v>
      </c>
      <c r="AC304" s="877" t="s">
        <v>944</v>
      </c>
      <c r="AD304" s="877" t="s">
        <v>945</v>
      </c>
      <c r="AE304" s="877" t="s">
        <v>946</v>
      </c>
      <c r="AF304" s="877" t="s">
        <v>947</v>
      </c>
      <c r="AG304" s="877" t="s">
        <v>948</v>
      </c>
      <c r="AH304" s="6"/>
    </row>
    <row r="305" spans="1:34" s="3" customFormat="1" ht="16" customHeight="1" thickTop="1">
      <c r="A305" s="7"/>
      <c r="B305" s="19" t="s">
        <v>1345</v>
      </c>
      <c r="C305" s="12"/>
      <c r="D305" s="194"/>
      <c r="E305" s="194"/>
      <c r="F305" s="193"/>
      <c r="G305" s="194"/>
      <c r="H305" s="193"/>
      <c r="I305" s="193"/>
      <c r="J305" s="194"/>
      <c r="K305" s="194"/>
      <c r="L305" s="285" t="s">
        <v>1429</v>
      </c>
      <c r="M305" s="193"/>
      <c r="N305" s="47" t="str">
        <f>J$6</f>
        <v>FY2010-11</v>
      </c>
      <c r="O305" s="47" t="s">
        <v>1353</v>
      </c>
      <c r="P305" s="47" t="s">
        <v>1338</v>
      </c>
      <c r="Q305" s="47" t="s">
        <v>1380</v>
      </c>
      <c r="R305" s="194"/>
      <c r="S305" s="193"/>
      <c r="T305" s="194"/>
      <c r="U305" s="194"/>
      <c r="V305" s="195"/>
      <c r="W305" s="195"/>
      <c r="X305" s="195"/>
      <c r="Y305" s="195"/>
      <c r="Z305" s="195"/>
      <c r="AA305" s="195"/>
      <c r="AB305" s="195"/>
      <c r="AC305" s="195"/>
      <c r="AD305" s="195"/>
      <c r="AE305" s="195"/>
      <c r="AF305" s="195"/>
      <c r="AG305" s="195"/>
      <c r="AH305" s="6"/>
    </row>
    <row r="306" spans="1:34" s="3" customFormat="1" ht="16" customHeight="1">
      <c r="A306" s="7"/>
      <c r="B306" s="16">
        <f>DSUM('$REV-DB'!D35:AG374,"AMOUNT",D304:AG306)</f>
        <v>0</v>
      </c>
      <c r="C306" s="12"/>
      <c r="D306" s="194"/>
      <c r="E306" s="194"/>
      <c r="F306" s="193"/>
      <c r="G306" s="194"/>
      <c r="H306" s="193"/>
      <c r="I306" s="193"/>
      <c r="J306" s="194"/>
      <c r="K306" s="194"/>
      <c r="L306" s="285" t="s">
        <v>1429</v>
      </c>
      <c r="M306" s="193"/>
      <c r="N306" s="47" t="str">
        <f>J$6</f>
        <v>FY2010-11</v>
      </c>
      <c r="O306" s="47" t="s">
        <v>1353</v>
      </c>
      <c r="P306" s="47" t="s">
        <v>1347</v>
      </c>
      <c r="Q306" s="47" t="s">
        <v>1380</v>
      </c>
      <c r="R306" s="194"/>
      <c r="S306" s="193" t="s">
        <v>1303</v>
      </c>
      <c r="T306" s="194"/>
      <c r="U306" s="194"/>
      <c r="V306" s="195"/>
      <c r="W306" s="195"/>
      <c r="X306" s="195"/>
      <c r="Y306" s="195"/>
      <c r="Z306" s="195"/>
      <c r="AA306" s="195"/>
      <c r="AB306" s="195"/>
      <c r="AC306" s="195"/>
      <c r="AD306" s="195"/>
      <c r="AE306" s="195"/>
      <c r="AF306" s="195"/>
      <c r="AG306" s="195"/>
      <c r="AH306" s="6"/>
    </row>
    <row r="307" spans="1:34" s="3" customFormat="1" ht="16" customHeight="1">
      <c r="A307" s="7"/>
      <c r="B307" s="10"/>
      <c r="C307" s="12"/>
      <c r="D307" s="896"/>
      <c r="E307" s="896"/>
      <c r="F307" s="896"/>
      <c r="G307" s="896"/>
      <c r="H307" s="896"/>
      <c r="I307" s="896"/>
      <c r="J307" s="896"/>
      <c r="K307" s="896"/>
      <c r="L307" s="897"/>
      <c r="M307" s="896"/>
      <c r="N307" s="889"/>
      <c r="O307" s="889"/>
      <c r="P307" s="889"/>
      <c r="Q307" s="896"/>
      <c r="R307" s="896"/>
      <c r="S307" s="896"/>
      <c r="T307" s="898"/>
      <c r="U307" s="898"/>
      <c r="V307" s="899"/>
      <c r="W307" s="899"/>
      <c r="X307" s="899"/>
      <c r="Y307" s="899"/>
      <c r="Z307" s="899"/>
      <c r="AA307" s="899"/>
      <c r="AB307" s="899"/>
      <c r="AC307" s="899"/>
      <c r="AD307" s="899"/>
      <c r="AE307" s="899"/>
      <c r="AF307" s="899"/>
      <c r="AG307" s="899"/>
    </row>
    <row r="308" spans="1:34" s="3" customFormat="1" ht="16" customHeight="1">
      <c r="A308" s="7"/>
      <c r="B308" s="10"/>
      <c r="C308" s="12"/>
      <c r="D308" s="896"/>
      <c r="E308" s="896"/>
      <c r="F308" s="896"/>
      <c r="G308" s="896"/>
      <c r="H308" s="896"/>
      <c r="I308" s="896"/>
      <c r="J308" s="896"/>
      <c r="K308" s="896"/>
      <c r="L308" s="897"/>
      <c r="M308" s="896"/>
      <c r="N308" s="889"/>
      <c r="O308" s="889"/>
      <c r="P308" s="889"/>
      <c r="Q308" s="896"/>
      <c r="R308" s="896"/>
      <c r="S308" s="896"/>
      <c r="T308" s="898"/>
      <c r="U308" s="898"/>
      <c r="V308" s="899"/>
      <c r="W308" s="899"/>
      <c r="X308" s="899"/>
      <c r="Y308" s="899"/>
      <c r="Z308" s="899"/>
      <c r="AA308" s="899"/>
      <c r="AB308" s="899"/>
      <c r="AC308" s="899"/>
      <c r="AD308" s="899"/>
      <c r="AE308" s="899"/>
      <c r="AF308" s="899"/>
      <c r="AG308" s="899"/>
    </row>
    <row r="309" spans="1:34" s="3" customFormat="1" ht="16" customHeight="1">
      <c r="A309" s="7"/>
      <c r="B309" s="10"/>
      <c r="C309" s="12"/>
      <c r="D309" s="896"/>
      <c r="E309" s="896"/>
      <c r="F309" s="896"/>
      <c r="G309" s="896"/>
      <c r="H309" s="896"/>
      <c r="I309" s="896"/>
      <c r="J309" s="896"/>
      <c r="K309" s="896"/>
      <c r="L309" s="897"/>
      <c r="M309" s="896"/>
      <c r="N309" s="889"/>
      <c r="O309" s="889"/>
      <c r="P309" s="889"/>
      <c r="Q309" s="896"/>
      <c r="R309" s="896"/>
      <c r="S309" s="896"/>
      <c r="T309" s="898"/>
      <c r="U309" s="898"/>
      <c r="V309" s="899"/>
      <c r="W309" s="899"/>
      <c r="X309" s="899"/>
      <c r="Y309" s="899"/>
      <c r="Z309" s="899"/>
      <c r="AA309" s="899"/>
      <c r="AB309" s="899"/>
      <c r="AC309" s="899"/>
      <c r="AD309" s="899"/>
      <c r="AE309" s="899"/>
      <c r="AF309" s="899"/>
      <c r="AG309" s="899"/>
    </row>
    <row r="310" spans="1:34" s="3" customFormat="1" ht="16" customHeight="1">
      <c r="A310" s="7"/>
      <c r="B310" s="10"/>
      <c r="C310" s="12"/>
      <c r="D310" s="896"/>
      <c r="E310" s="896"/>
      <c r="F310" s="896"/>
      <c r="G310" s="896"/>
      <c r="H310" s="896"/>
      <c r="I310" s="896"/>
      <c r="J310" s="896"/>
      <c r="K310" s="896"/>
      <c r="L310" s="897"/>
      <c r="M310" s="896"/>
      <c r="N310" s="889"/>
      <c r="O310" s="889"/>
      <c r="P310" s="889"/>
      <c r="Q310" s="896"/>
      <c r="R310" s="896"/>
      <c r="S310" s="896"/>
      <c r="T310" s="898"/>
      <c r="U310" s="898"/>
      <c r="V310" s="899"/>
      <c r="W310" s="899"/>
      <c r="X310" s="899"/>
      <c r="Y310" s="899"/>
      <c r="Z310" s="899"/>
      <c r="AA310" s="899"/>
      <c r="AB310" s="899"/>
      <c r="AC310" s="899"/>
      <c r="AD310" s="899"/>
      <c r="AE310" s="899"/>
      <c r="AF310" s="899"/>
      <c r="AG310" s="899"/>
    </row>
    <row r="311" spans="1:34" s="3" customFormat="1" ht="16" customHeight="1">
      <c r="A311" s="7"/>
      <c r="B311" s="10"/>
      <c r="C311" s="12"/>
      <c r="D311" s="896"/>
      <c r="E311" s="896"/>
      <c r="F311" s="896"/>
      <c r="G311" s="896"/>
      <c r="H311" s="896"/>
      <c r="I311" s="896"/>
      <c r="J311" s="896"/>
      <c r="K311" s="896"/>
      <c r="L311" s="897"/>
      <c r="M311" s="896"/>
      <c r="N311" s="889"/>
      <c r="O311" s="889"/>
      <c r="P311" s="889"/>
      <c r="Q311" s="896"/>
      <c r="R311" s="896"/>
      <c r="S311" s="896"/>
      <c r="T311" s="898"/>
      <c r="U311" s="898"/>
      <c r="V311" s="899"/>
      <c r="W311" s="899"/>
      <c r="X311" s="899"/>
      <c r="Y311" s="899"/>
      <c r="Z311" s="899"/>
      <c r="AA311" s="899"/>
      <c r="AB311" s="899"/>
      <c r="AC311" s="899"/>
      <c r="AD311" s="899"/>
      <c r="AE311" s="899"/>
      <c r="AF311" s="899"/>
      <c r="AG311" s="899"/>
    </row>
    <row r="312" spans="1:34" s="3" customFormat="1" ht="16" customHeight="1">
      <c r="A312" s="29"/>
      <c r="B312" s="30"/>
      <c r="C312" s="30"/>
      <c r="D312" s="31"/>
      <c r="E312" s="31"/>
      <c r="F312" s="32"/>
      <c r="G312" s="31"/>
      <c r="H312" s="32"/>
      <c r="I312" s="32"/>
      <c r="J312" s="31"/>
      <c r="K312" s="31"/>
      <c r="L312" s="284"/>
      <c r="M312" s="32"/>
      <c r="N312" s="32"/>
      <c r="O312" s="31"/>
      <c r="P312" s="32"/>
      <c r="Q312" s="32"/>
      <c r="R312" s="31"/>
      <c r="S312" s="32"/>
      <c r="T312" s="31"/>
      <c r="U312" s="31"/>
      <c r="V312" s="29"/>
      <c r="W312" s="29"/>
      <c r="X312" s="29"/>
      <c r="Y312" s="29"/>
      <c r="Z312" s="29"/>
      <c r="AA312" s="29"/>
      <c r="AB312" s="29"/>
      <c r="AC312" s="29"/>
      <c r="AD312" s="29"/>
      <c r="AE312" s="29"/>
      <c r="AF312" s="29"/>
      <c r="AG312" s="29"/>
    </row>
    <row r="313" spans="1:34" s="3" customFormat="1" ht="16" customHeight="1" thickBot="1">
      <c r="A313" s="7"/>
      <c r="B313" s="19" t="str">
        <f>"FA2 = "&amp;'FIG3'!$W$53&amp;" "&amp;'FIG3'!$X$53</f>
        <v>FA2 = FA2L1 FA2L2</v>
      </c>
      <c r="C313" s="7"/>
      <c r="D313" s="8"/>
      <c r="E313" s="8"/>
      <c r="F313" s="9"/>
      <c r="G313" s="8"/>
      <c r="H313" s="9"/>
      <c r="I313" s="9"/>
      <c r="J313" s="8"/>
      <c r="K313" s="8"/>
      <c r="L313" s="280"/>
      <c r="M313" s="9"/>
      <c r="N313" s="9"/>
      <c r="O313" s="8"/>
      <c r="P313" s="9"/>
      <c r="Q313" s="9"/>
      <c r="R313" s="8"/>
      <c r="S313" s="882"/>
      <c r="T313" s="883" t="str">
        <f>'$REV-DB'!$T$34</f>
        <v>Federal Revenues</v>
      </c>
      <c r="U313" s="883" t="str">
        <f>'$REV-DB'!$U$34</f>
        <v>local Revenues</v>
      </c>
      <c r="V313" s="883" t="str">
        <f>'$REV-DB'!$V$34</f>
        <v>Other Revenues</v>
      </c>
      <c r="W313" s="883" t="str">
        <f>'$REV-DB'!$W$34</f>
        <v>State revenues</v>
      </c>
      <c r="X313" s="883" t="str">
        <f>'$REV-DB'!$X$34</f>
        <v>UD5</v>
      </c>
      <c r="Y313" s="883" t="str">
        <f>'$REV-DB'!$Y$34</f>
        <v>UD6</v>
      </c>
      <c r="Z313" s="883" t="str">
        <f>'$REV-DB'!$Z$34</f>
        <v>UD7</v>
      </c>
      <c r="AA313" s="883" t="str">
        <f>'$REV-DB'!$AA$34</f>
        <v>UD8</v>
      </c>
      <c r="AB313" s="883" t="str">
        <f>'$REV-DB'!$AB$34</f>
        <v>UD9</v>
      </c>
      <c r="AC313" s="883" t="str">
        <f>'$REV-DB'!$AC$34</f>
        <v>UD10</v>
      </c>
      <c r="AD313" s="883" t="str">
        <f>'$REV-DB'!$AD$34</f>
        <v>UD11</v>
      </c>
      <c r="AE313" s="883" t="str">
        <f>'$REV-DB'!$AE$34</f>
        <v>UD12</v>
      </c>
      <c r="AF313" s="883" t="str">
        <f>'$REV-DB'!$AF$34</f>
        <v>UD13</v>
      </c>
      <c r="AG313" s="883" t="str">
        <f>'$REV-DB'!$AG$34</f>
        <v>UD14</v>
      </c>
    </row>
    <row r="314" spans="1:34" s="3" customFormat="1" ht="16" customHeight="1" thickTop="1" thickBot="1">
      <c r="A314" s="7"/>
      <c r="B314" s="20" t="s">
        <v>1399</v>
      </c>
      <c r="C314" s="15"/>
      <c r="D314" s="877" t="s">
        <v>1386</v>
      </c>
      <c r="E314" s="877" t="s">
        <v>1387</v>
      </c>
      <c r="F314" s="877" t="s">
        <v>1388</v>
      </c>
      <c r="G314" s="877" t="s">
        <v>1389</v>
      </c>
      <c r="H314" s="877" t="s">
        <v>1406</v>
      </c>
      <c r="I314" s="877" t="s">
        <v>1390</v>
      </c>
      <c r="J314" s="877" t="s">
        <v>1391</v>
      </c>
      <c r="K314" s="877" t="s">
        <v>1392</v>
      </c>
      <c r="L314" s="877" t="s">
        <v>1188</v>
      </c>
      <c r="M314" s="877" t="s">
        <v>1437</v>
      </c>
      <c r="N314" s="877" t="s">
        <v>1348</v>
      </c>
      <c r="O314" s="877" t="s">
        <v>1393</v>
      </c>
      <c r="P314" s="877" t="s">
        <v>1342</v>
      </c>
      <c r="Q314" s="877" t="s">
        <v>1394</v>
      </c>
      <c r="R314" s="112" t="s">
        <v>1341</v>
      </c>
      <c r="S314" s="112" t="s">
        <v>846</v>
      </c>
      <c r="T314" s="877" t="s">
        <v>935</v>
      </c>
      <c r="U314" s="877" t="s">
        <v>936</v>
      </c>
      <c r="V314" s="877" t="s">
        <v>937</v>
      </c>
      <c r="W314" s="877" t="s">
        <v>938</v>
      </c>
      <c r="X314" s="877" t="s">
        <v>939</v>
      </c>
      <c r="Y314" s="877" t="s">
        <v>940</v>
      </c>
      <c r="Z314" s="877" t="s">
        <v>941</v>
      </c>
      <c r="AA314" s="877" t="s">
        <v>942</v>
      </c>
      <c r="AB314" s="877" t="s">
        <v>943</v>
      </c>
      <c r="AC314" s="877" t="s">
        <v>944</v>
      </c>
      <c r="AD314" s="877" t="s">
        <v>945</v>
      </c>
      <c r="AE314" s="877" t="s">
        <v>946</v>
      </c>
      <c r="AF314" s="877" t="s">
        <v>947</v>
      </c>
      <c r="AG314" s="877" t="s">
        <v>948</v>
      </c>
      <c r="AH314" s="6"/>
    </row>
    <row r="315" spans="1:34" s="3" customFormat="1" ht="16" customHeight="1" thickTop="1">
      <c r="A315" s="7"/>
      <c r="B315" s="19" t="s">
        <v>1344</v>
      </c>
      <c r="C315" s="12"/>
      <c r="D315" s="194"/>
      <c r="E315" s="194"/>
      <c r="F315" s="193"/>
      <c r="G315" s="194"/>
      <c r="H315" s="193"/>
      <c r="I315" s="193"/>
      <c r="J315" s="194"/>
      <c r="K315" s="194"/>
      <c r="L315" s="285" t="s">
        <v>1429</v>
      </c>
      <c r="M315" s="193"/>
      <c r="N315" s="47" t="str">
        <f>J$6</f>
        <v>FY2010-11</v>
      </c>
      <c r="O315" s="47" t="s">
        <v>1353</v>
      </c>
      <c r="P315" s="47" t="s">
        <v>1338</v>
      </c>
      <c r="Q315" s="47" t="s">
        <v>1339</v>
      </c>
      <c r="R315" s="194"/>
      <c r="S315" s="193"/>
      <c r="T315" s="194"/>
      <c r="U315" s="194"/>
      <c r="V315" s="195"/>
      <c r="W315" s="195"/>
      <c r="X315" s="195"/>
      <c r="Y315" s="195"/>
      <c r="Z315" s="195"/>
      <c r="AA315" s="195"/>
      <c r="AB315" s="195"/>
      <c r="AC315" s="195"/>
      <c r="AD315" s="195"/>
      <c r="AE315" s="195"/>
      <c r="AF315" s="195"/>
      <c r="AG315" s="195"/>
      <c r="AH315" s="6"/>
    </row>
    <row r="316" spans="1:34" s="3" customFormat="1" ht="16" customHeight="1">
      <c r="A316" s="7"/>
      <c r="B316" s="16">
        <f>DSUM('$REV-DB'!D35:AG374,"AMOUNT",D314:AG316)</f>
        <v>0</v>
      </c>
      <c r="C316" s="12"/>
      <c r="D316" s="194"/>
      <c r="E316" s="194"/>
      <c r="F316" s="193"/>
      <c r="G316" s="194"/>
      <c r="H316" s="193"/>
      <c r="I316" s="193"/>
      <c r="J316" s="194"/>
      <c r="K316" s="194"/>
      <c r="L316" s="285" t="s">
        <v>1429</v>
      </c>
      <c r="M316" s="193"/>
      <c r="N316" s="47" t="str">
        <f>J$6</f>
        <v>FY2010-11</v>
      </c>
      <c r="O316" s="47" t="s">
        <v>1353</v>
      </c>
      <c r="P316" s="47" t="s">
        <v>1347</v>
      </c>
      <c r="Q316" s="47" t="s">
        <v>1339</v>
      </c>
      <c r="R316" s="194"/>
      <c r="S316" s="193" t="s">
        <v>1303</v>
      </c>
      <c r="T316" s="194"/>
      <c r="U316" s="194"/>
      <c r="V316" s="195"/>
      <c r="W316" s="195"/>
      <c r="X316" s="195"/>
      <c r="Y316" s="195"/>
      <c r="Z316" s="195"/>
      <c r="AA316" s="195"/>
      <c r="AB316" s="195"/>
      <c r="AC316" s="195"/>
      <c r="AD316" s="195"/>
      <c r="AE316" s="195"/>
      <c r="AF316" s="195"/>
      <c r="AG316" s="195"/>
      <c r="AH316" s="6"/>
    </row>
    <row r="317" spans="1:34" s="3" customFormat="1" ht="16" customHeight="1">
      <c r="A317" s="7"/>
      <c r="B317" s="10"/>
      <c r="C317" s="12"/>
      <c r="D317" s="896"/>
      <c r="E317" s="896"/>
      <c r="F317" s="896"/>
      <c r="G317" s="896"/>
      <c r="H317" s="896"/>
      <c r="I317" s="896"/>
      <c r="J317" s="896"/>
      <c r="K317" s="896"/>
      <c r="L317" s="897"/>
      <c r="M317" s="896"/>
      <c r="N317" s="889"/>
      <c r="O317" s="889"/>
      <c r="P317" s="889"/>
      <c r="Q317" s="896"/>
      <c r="R317" s="896"/>
      <c r="S317" s="896"/>
      <c r="T317" s="898"/>
      <c r="U317" s="898"/>
      <c r="V317" s="899"/>
      <c r="W317" s="899"/>
      <c r="X317" s="899"/>
      <c r="Y317" s="899"/>
      <c r="Z317" s="899"/>
      <c r="AA317" s="899"/>
      <c r="AB317" s="899"/>
      <c r="AC317" s="899"/>
      <c r="AD317" s="899"/>
      <c r="AE317" s="899"/>
      <c r="AF317" s="899"/>
      <c r="AG317" s="899"/>
    </row>
    <row r="318" spans="1:34" s="3" customFormat="1" ht="16" customHeight="1">
      <c r="A318" s="7"/>
      <c r="B318" s="10"/>
      <c r="C318" s="12"/>
      <c r="D318" s="896"/>
      <c r="E318" s="896"/>
      <c r="F318" s="896"/>
      <c r="G318" s="896"/>
      <c r="H318" s="896"/>
      <c r="I318" s="896"/>
      <c r="J318" s="896"/>
      <c r="K318" s="896"/>
      <c r="L318" s="897"/>
      <c r="M318" s="896"/>
      <c r="N318" s="889"/>
      <c r="O318" s="889"/>
      <c r="P318" s="889"/>
      <c r="Q318" s="896"/>
      <c r="R318" s="896"/>
      <c r="S318" s="896"/>
      <c r="T318" s="898"/>
      <c r="U318" s="898"/>
      <c r="V318" s="899"/>
      <c r="W318" s="899"/>
      <c r="X318" s="899"/>
      <c r="Y318" s="899"/>
      <c r="Z318" s="899"/>
      <c r="AA318" s="899"/>
      <c r="AB318" s="899"/>
      <c r="AC318" s="899"/>
      <c r="AD318" s="899"/>
      <c r="AE318" s="899"/>
      <c r="AF318" s="899"/>
      <c r="AG318" s="899"/>
    </row>
    <row r="319" spans="1:34" s="3" customFormat="1" ht="16" customHeight="1">
      <c r="A319" s="7"/>
      <c r="B319" s="10"/>
      <c r="C319" s="12"/>
      <c r="D319" s="896"/>
      <c r="E319" s="896"/>
      <c r="F319" s="896"/>
      <c r="G319" s="896"/>
      <c r="H319" s="896"/>
      <c r="I319" s="896"/>
      <c r="J319" s="896"/>
      <c r="K319" s="896"/>
      <c r="L319" s="897"/>
      <c r="M319" s="896"/>
      <c r="N319" s="889"/>
      <c r="O319" s="889"/>
      <c r="P319" s="889"/>
      <c r="Q319" s="896"/>
      <c r="R319" s="896"/>
      <c r="S319" s="896"/>
      <c r="T319" s="898"/>
      <c r="U319" s="898"/>
      <c r="V319" s="899"/>
      <c r="W319" s="899"/>
      <c r="X319" s="899"/>
      <c r="Y319" s="899"/>
      <c r="Z319" s="899"/>
      <c r="AA319" s="899"/>
      <c r="AB319" s="899"/>
      <c r="AC319" s="899"/>
      <c r="AD319" s="899"/>
      <c r="AE319" s="899"/>
      <c r="AF319" s="899"/>
      <c r="AG319" s="899"/>
    </row>
    <row r="320" spans="1:34" s="3" customFormat="1" ht="16" customHeight="1">
      <c r="A320" s="7"/>
      <c r="B320" s="10"/>
      <c r="C320" s="12"/>
      <c r="D320" s="896"/>
      <c r="E320" s="896"/>
      <c r="F320" s="896"/>
      <c r="G320" s="896"/>
      <c r="H320" s="896"/>
      <c r="I320" s="896"/>
      <c r="J320" s="896"/>
      <c r="K320" s="896"/>
      <c r="L320" s="897"/>
      <c r="M320" s="896"/>
      <c r="N320" s="889"/>
      <c r="O320" s="889"/>
      <c r="P320" s="889"/>
      <c r="Q320" s="896"/>
      <c r="R320" s="896"/>
      <c r="S320" s="896"/>
      <c r="T320" s="898"/>
      <c r="U320" s="898"/>
      <c r="V320" s="899"/>
      <c r="W320" s="899"/>
      <c r="X320" s="899"/>
      <c r="Y320" s="899"/>
      <c r="Z320" s="899"/>
      <c r="AA320" s="899"/>
      <c r="AB320" s="899"/>
      <c r="AC320" s="899"/>
      <c r="AD320" s="899"/>
      <c r="AE320" s="899"/>
      <c r="AF320" s="899"/>
      <c r="AG320" s="899"/>
    </row>
    <row r="321" spans="1:34" s="3" customFormat="1" ht="16" customHeight="1">
      <c r="A321" s="7"/>
      <c r="B321" s="10"/>
      <c r="C321" s="12"/>
      <c r="D321" s="896"/>
      <c r="E321" s="896"/>
      <c r="F321" s="896"/>
      <c r="G321" s="896"/>
      <c r="H321" s="896"/>
      <c r="I321" s="896"/>
      <c r="J321" s="896"/>
      <c r="K321" s="896"/>
      <c r="L321" s="897"/>
      <c r="M321" s="896"/>
      <c r="N321" s="889"/>
      <c r="O321" s="889"/>
      <c r="P321" s="889"/>
      <c r="Q321" s="896"/>
      <c r="R321" s="896"/>
      <c r="S321" s="896"/>
      <c r="T321" s="898"/>
      <c r="U321" s="898"/>
      <c r="V321" s="899"/>
      <c r="W321" s="899"/>
      <c r="X321" s="899"/>
      <c r="Y321" s="899"/>
      <c r="Z321" s="899"/>
      <c r="AA321" s="899"/>
      <c r="AB321" s="899"/>
      <c r="AC321" s="899"/>
      <c r="AD321" s="899"/>
      <c r="AE321" s="899"/>
      <c r="AF321" s="899"/>
      <c r="AG321" s="899"/>
    </row>
    <row r="322" spans="1:34" s="3" customFormat="1" ht="16" customHeight="1">
      <c r="A322" s="29"/>
      <c r="B322" s="30"/>
      <c r="C322" s="30"/>
      <c r="D322" s="31"/>
      <c r="E322" s="31"/>
      <c r="F322" s="32"/>
      <c r="G322" s="31"/>
      <c r="H322" s="32"/>
      <c r="I322" s="32"/>
      <c r="J322" s="31"/>
      <c r="K322" s="31"/>
      <c r="L322" s="284"/>
      <c r="M322" s="32"/>
      <c r="N322" s="32"/>
      <c r="O322" s="31"/>
      <c r="P322" s="32"/>
      <c r="Q322" s="32"/>
      <c r="R322" s="31"/>
      <c r="S322" s="32"/>
      <c r="T322" s="31"/>
      <c r="U322" s="31"/>
      <c r="V322" s="29"/>
      <c r="W322" s="29"/>
      <c r="X322" s="29"/>
      <c r="Y322" s="29"/>
      <c r="Z322" s="29"/>
      <c r="AA322" s="29"/>
      <c r="AB322" s="29"/>
      <c r="AC322" s="29"/>
      <c r="AD322" s="29"/>
      <c r="AE322" s="29"/>
      <c r="AF322" s="29"/>
      <c r="AG322" s="29"/>
    </row>
    <row r="323" spans="1:34" s="3" customFormat="1" ht="16" customHeight="1" thickBot="1">
      <c r="A323" s="7"/>
      <c r="B323" s="19" t="str">
        <f>"FA2 = "&amp;'FIG3'!$W$53&amp;" "&amp;'FIG3'!$X$53</f>
        <v>FA2 = FA2L1 FA2L2</v>
      </c>
      <c r="C323" s="7"/>
      <c r="D323" s="8"/>
      <c r="E323" s="8"/>
      <c r="F323" s="9"/>
      <c r="G323" s="8"/>
      <c r="H323" s="9"/>
      <c r="I323" s="9"/>
      <c r="J323" s="8"/>
      <c r="K323" s="8"/>
      <c r="L323" s="280"/>
      <c r="M323" s="9"/>
      <c r="N323" s="9"/>
      <c r="O323" s="8"/>
      <c r="P323" s="9"/>
      <c r="Q323" s="9"/>
      <c r="R323" s="8"/>
      <c r="S323" s="882"/>
      <c r="T323" s="883" t="str">
        <f>'$REV-DB'!$T$34</f>
        <v>Federal Revenues</v>
      </c>
      <c r="U323" s="883" t="str">
        <f>'$REV-DB'!$U$34</f>
        <v>local Revenues</v>
      </c>
      <c r="V323" s="883" t="str">
        <f>'$REV-DB'!$V$34</f>
        <v>Other Revenues</v>
      </c>
      <c r="W323" s="883" t="str">
        <f>'$REV-DB'!$W$34</f>
        <v>State revenues</v>
      </c>
      <c r="X323" s="883" t="str">
        <f>'$REV-DB'!$X$34</f>
        <v>UD5</v>
      </c>
      <c r="Y323" s="883" t="str">
        <f>'$REV-DB'!$Y$34</f>
        <v>UD6</v>
      </c>
      <c r="Z323" s="883" t="str">
        <f>'$REV-DB'!$Z$34</f>
        <v>UD7</v>
      </c>
      <c r="AA323" s="883" t="str">
        <f>'$REV-DB'!$AA$34</f>
        <v>UD8</v>
      </c>
      <c r="AB323" s="883" t="str">
        <f>'$REV-DB'!$AB$34</f>
        <v>UD9</v>
      </c>
      <c r="AC323" s="883" t="str">
        <f>'$REV-DB'!$AC$34</f>
        <v>UD10</v>
      </c>
      <c r="AD323" s="883" t="str">
        <f>'$REV-DB'!$AD$34</f>
        <v>UD11</v>
      </c>
      <c r="AE323" s="883" t="str">
        <f>'$REV-DB'!$AE$34</f>
        <v>UD12</v>
      </c>
      <c r="AF323" s="883" t="str">
        <f>'$REV-DB'!$AF$34</f>
        <v>UD13</v>
      </c>
      <c r="AG323" s="883" t="str">
        <f>'$REV-DB'!$AG$34</f>
        <v>UD14</v>
      </c>
    </row>
    <row r="324" spans="1:34" s="3" customFormat="1" ht="16" customHeight="1" thickTop="1" thickBot="1">
      <c r="A324" s="7"/>
      <c r="B324" s="20" t="s">
        <v>1399</v>
      </c>
      <c r="C324" s="15"/>
      <c r="D324" s="877" t="s">
        <v>1386</v>
      </c>
      <c r="E324" s="877" t="s">
        <v>1387</v>
      </c>
      <c r="F324" s="877" t="s">
        <v>1388</v>
      </c>
      <c r="G324" s="877" t="s">
        <v>1389</v>
      </c>
      <c r="H324" s="877" t="s">
        <v>1406</v>
      </c>
      <c r="I324" s="877" t="s">
        <v>1390</v>
      </c>
      <c r="J324" s="877" t="s">
        <v>1391</v>
      </c>
      <c r="K324" s="877" t="s">
        <v>1392</v>
      </c>
      <c r="L324" s="877" t="s">
        <v>1188</v>
      </c>
      <c r="M324" s="877" t="s">
        <v>1437</v>
      </c>
      <c r="N324" s="877" t="s">
        <v>1348</v>
      </c>
      <c r="O324" s="877" t="s">
        <v>1393</v>
      </c>
      <c r="P324" s="877" t="s">
        <v>1342</v>
      </c>
      <c r="Q324" s="877" t="s">
        <v>1394</v>
      </c>
      <c r="R324" s="112" t="s">
        <v>1341</v>
      </c>
      <c r="S324" s="112" t="s">
        <v>846</v>
      </c>
      <c r="T324" s="877" t="s">
        <v>935</v>
      </c>
      <c r="U324" s="877" t="s">
        <v>936</v>
      </c>
      <c r="V324" s="877" t="s">
        <v>937</v>
      </c>
      <c r="W324" s="877" t="s">
        <v>938</v>
      </c>
      <c r="X324" s="877" t="s">
        <v>939</v>
      </c>
      <c r="Y324" s="877" t="s">
        <v>940</v>
      </c>
      <c r="Z324" s="877" t="s">
        <v>941</v>
      </c>
      <c r="AA324" s="877" t="s">
        <v>942</v>
      </c>
      <c r="AB324" s="877" t="s">
        <v>943</v>
      </c>
      <c r="AC324" s="877" t="s">
        <v>944</v>
      </c>
      <c r="AD324" s="877" t="s">
        <v>945</v>
      </c>
      <c r="AE324" s="877" t="s">
        <v>946</v>
      </c>
      <c r="AF324" s="877" t="s">
        <v>947</v>
      </c>
      <c r="AG324" s="877" t="s">
        <v>948</v>
      </c>
      <c r="AH324" s="6"/>
    </row>
    <row r="325" spans="1:34" s="3" customFormat="1" ht="16" customHeight="1" thickTop="1">
      <c r="A325" s="7"/>
      <c r="B325" s="19" t="s">
        <v>1343</v>
      </c>
      <c r="C325" s="12"/>
      <c r="D325" s="194"/>
      <c r="E325" s="194"/>
      <c r="F325" s="193"/>
      <c r="G325" s="194"/>
      <c r="H325" s="193"/>
      <c r="I325" s="193"/>
      <c r="J325" s="194"/>
      <c r="K325" s="194"/>
      <c r="L325" s="285" t="s">
        <v>1429</v>
      </c>
      <c r="M325" s="193"/>
      <c r="N325" s="47" t="str">
        <f>J$6</f>
        <v>FY2010-11</v>
      </c>
      <c r="O325" s="47" t="s">
        <v>1353</v>
      </c>
      <c r="P325" s="47" t="s">
        <v>1338</v>
      </c>
      <c r="Q325" s="47" t="s">
        <v>1379</v>
      </c>
      <c r="R325" s="194"/>
      <c r="S325" s="193"/>
      <c r="T325" s="194"/>
      <c r="U325" s="194"/>
      <c r="V325" s="195"/>
      <c r="W325" s="195"/>
      <c r="X325" s="195"/>
      <c r="Y325" s="195"/>
      <c r="Z325" s="195"/>
      <c r="AA325" s="195"/>
      <c r="AB325" s="195"/>
      <c r="AC325" s="195"/>
      <c r="AD325" s="195"/>
      <c r="AE325" s="195"/>
      <c r="AF325" s="195"/>
      <c r="AG325" s="195"/>
      <c r="AH325" s="6"/>
    </row>
    <row r="326" spans="1:34" s="3" customFormat="1" ht="16" customHeight="1">
      <c r="A326" s="7"/>
      <c r="B326" s="16">
        <f>DSUM('$REV-DB'!D35:AG374,"AMOUNT",D324:AG326)</f>
        <v>0</v>
      </c>
      <c r="C326" s="12"/>
      <c r="D326" s="194"/>
      <c r="E326" s="194"/>
      <c r="F326" s="193"/>
      <c r="G326" s="194"/>
      <c r="H326" s="193"/>
      <c r="I326" s="193"/>
      <c r="J326" s="194"/>
      <c r="K326" s="194"/>
      <c r="L326" s="285" t="s">
        <v>1429</v>
      </c>
      <c r="M326" s="193"/>
      <c r="N326" s="47" t="str">
        <f>J$6</f>
        <v>FY2010-11</v>
      </c>
      <c r="O326" s="47" t="s">
        <v>1353</v>
      </c>
      <c r="P326" s="47" t="s">
        <v>1347</v>
      </c>
      <c r="Q326" s="47" t="s">
        <v>1379</v>
      </c>
      <c r="R326" s="194"/>
      <c r="S326" s="193" t="s">
        <v>1303</v>
      </c>
      <c r="T326" s="194"/>
      <c r="U326" s="194"/>
      <c r="V326" s="195"/>
      <c r="W326" s="195"/>
      <c r="X326" s="195"/>
      <c r="Y326" s="195"/>
      <c r="Z326" s="195"/>
      <c r="AA326" s="195"/>
      <c r="AB326" s="195"/>
      <c r="AC326" s="195"/>
      <c r="AD326" s="195"/>
      <c r="AE326" s="195"/>
      <c r="AF326" s="195"/>
      <c r="AG326" s="195"/>
      <c r="AH326" s="6"/>
    </row>
    <row r="327" spans="1:34" s="3" customFormat="1" ht="16" customHeight="1">
      <c r="A327" s="7"/>
      <c r="B327" s="10"/>
      <c r="C327" s="12"/>
      <c r="D327" s="896"/>
      <c r="E327" s="896"/>
      <c r="F327" s="896"/>
      <c r="G327" s="896"/>
      <c r="H327" s="896"/>
      <c r="I327" s="896"/>
      <c r="J327" s="896"/>
      <c r="K327" s="896"/>
      <c r="L327" s="897"/>
      <c r="M327" s="896"/>
      <c r="N327" s="889"/>
      <c r="O327" s="889"/>
      <c r="P327" s="889"/>
      <c r="Q327" s="896"/>
      <c r="R327" s="896"/>
      <c r="S327" s="896"/>
      <c r="T327" s="898"/>
      <c r="U327" s="898"/>
      <c r="V327" s="899"/>
      <c r="W327" s="899"/>
      <c r="X327" s="899"/>
      <c r="Y327" s="899"/>
      <c r="Z327" s="899"/>
      <c r="AA327" s="899"/>
      <c r="AB327" s="899"/>
      <c r="AC327" s="899"/>
      <c r="AD327" s="899"/>
      <c r="AE327" s="899"/>
      <c r="AF327" s="899"/>
      <c r="AG327" s="899"/>
    </row>
    <row r="328" spans="1:34" s="3" customFormat="1" ht="16" customHeight="1">
      <c r="A328" s="7"/>
      <c r="B328" s="10"/>
      <c r="C328" s="12"/>
      <c r="D328" s="896"/>
      <c r="E328" s="896"/>
      <c r="F328" s="896"/>
      <c r="G328" s="896"/>
      <c r="H328" s="896"/>
      <c r="I328" s="896"/>
      <c r="J328" s="896"/>
      <c r="K328" s="896"/>
      <c r="L328" s="897"/>
      <c r="M328" s="896"/>
      <c r="N328" s="889"/>
      <c r="O328" s="889"/>
      <c r="P328" s="889"/>
      <c r="Q328" s="896"/>
      <c r="R328" s="896"/>
      <c r="S328" s="896"/>
      <c r="T328" s="898"/>
      <c r="U328" s="898"/>
      <c r="V328" s="899"/>
      <c r="W328" s="899"/>
      <c r="X328" s="899"/>
      <c r="Y328" s="899"/>
      <c r="Z328" s="899"/>
      <c r="AA328" s="899"/>
      <c r="AB328" s="899"/>
      <c r="AC328" s="899"/>
      <c r="AD328" s="899"/>
      <c r="AE328" s="899"/>
      <c r="AF328" s="899"/>
      <c r="AG328" s="899"/>
    </row>
    <row r="329" spans="1:34" s="3" customFormat="1" ht="16" customHeight="1">
      <c r="A329" s="7"/>
      <c r="B329" s="10"/>
      <c r="C329" s="12"/>
      <c r="D329" s="896"/>
      <c r="E329" s="896"/>
      <c r="F329" s="896"/>
      <c r="G329" s="896"/>
      <c r="H329" s="896"/>
      <c r="I329" s="896"/>
      <c r="J329" s="896"/>
      <c r="K329" s="896"/>
      <c r="L329" s="897"/>
      <c r="M329" s="896"/>
      <c r="N329" s="889"/>
      <c r="O329" s="889"/>
      <c r="P329" s="889"/>
      <c r="Q329" s="896"/>
      <c r="R329" s="896"/>
      <c r="S329" s="896"/>
      <c r="T329" s="898"/>
      <c r="U329" s="898"/>
      <c r="V329" s="899"/>
      <c r="W329" s="899"/>
      <c r="X329" s="899"/>
      <c r="Y329" s="899"/>
      <c r="Z329" s="899"/>
      <c r="AA329" s="899"/>
      <c r="AB329" s="899"/>
      <c r="AC329" s="899"/>
      <c r="AD329" s="899"/>
      <c r="AE329" s="899"/>
      <c r="AF329" s="899"/>
      <c r="AG329" s="899"/>
    </row>
    <row r="330" spans="1:34" s="3" customFormat="1" ht="16" customHeight="1">
      <c r="A330" s="7"/>
      <c r="B330" s="10"/>
      <c r="C330" s="12"/>
      <c r="D330" s="896"/>
      <c r="E330" s="896"/>
      <c r="F330" s="896"/>
      <c r="G330" s="896"/>
      <c r="H330" s="896"/>
      <c r="I330" s="896"/>
      <c r="J330" s="896"/>
      <c r="K330" s="896"/>
      <c r="L330" s="897"/>
      <c r="M330" s="896"/>
      <c r="N330" s="889"/>
      <c r="O330" s="889"/>
      <c r="P330" s="889"/>
      <c r="Q330" s="896"/>
      <c r="R330" s="896"/>
      <c r="S330" s="896"/>
      <c r="T330" s="898"/>
      <c r="U330" s="898"/>
      <c r="V330" s="899"/>
      <c r="W330" s="899"/>
      <c r="X330" s="899"/>
      <c r="Y330" s="899"/>
      <c r="Z330" s="899"/>
      <c r="AA330" s="899"/>
      <c r="AB330" s="899"/>
      <c r="AC330" s="899"/>
      <c r="AD330" s="899"/>
      <c r="AE330" s="899"/>
      <c r="AF330" s="899"/>
      <c r="AG330" s="899"/>
    </row>
    <row r="331" spans="1:34" s="3" customFormat="1" ht="16" customHeight="1">
      <c r="A331" s="7"/>
      <c r="B331" s="10"/>
      <c r="C331" s="12"/>
      <c r="D331" s="896"/>
      <c r="E331" s="896"/>
      <c r="F331" s="896"/>
      <c r="G331" s="896"/>
      <c r="H331" s="896"/>
      <c r="I331" s="896"/>
      <c r="J331" s="896"/>
      <c r="K331" s="896"/>
      <c r="L331" s="897"/>
      <c r="M331" s="896"/>
      <c r="N331" s="889"/>
      <c r="O331" s="889"/>
      <c r="P331" s="889"/>
      <c r="Q331" s="896"/>
      <c r="R331" s="896"/>
      <c r="S331" s="896"/>
      <c r="T331" s="898"/>
      <c r="U331" s="898"/>
      <c r="V331" s="899"/>
      <c r="W331" s="899"/>
      <c r="X331" s="899"/>
      <c r="Y331" s="899"/>
      <c r="Z331" s="899"/>
      <c r="AA331" s="899"/>
      <c r="AB331" s="899"/>
      <c r="AC331" s="899"/>
      <c r="AD331" s="899"/>
      <c r="AE331" s="899"/>
      <c r="AF331" s="899"/>
      <c r="AG331" s="899"/>
    </row>
    <row r="332" spans="1:34" s="3" customFormat="1" ht="16" customHeight="1">
      <c r="A332" s="29"/>
      <c r="B332" s="30"/>
      <c r="C332" s="30"/>
      <c r="D332" s="31"/>
      <c r="E332" s="31"/>
      <c r="F332" s="32"/>
      <c r="G332" s="31"/>
      <c r="H332" s="32"/>
      <c r="I332" s="32"/>
      <c r="J332" s="31"/>
      <c r="K332" s="31"/>
      <c r="L332" s="284"/>
      <c r="M332" s="32"/>
      <c r="N332" s="32"/>
      <c r="O332" s="31"/>
      <c r="P332" s="32"/>
      <c r="Q332" s="32"/>
      <c r="R332" s="31"/>
      <c r="S332" s="32"/>
      <c r="T332" s="31"/>
      <c r="U332" s="31"/>
      <c r="V332" s="29"/>
      <c r="W332" s="29"/>
      <c r="X332" s="29"/>
      <c r="Y332" s="29"/>
      <c r="Z332" s="29"/>
      <c r="AA332" s="29"/>
      <c r="AB332" s="29"/>
      <c r="AC332" s="29"/>
      <c r="AD332" s="29"/>
      <c r="AE332" s="29"/>
      <c r="AF332" s="29"/>
      <c r="AG332" s="29"/>
    </row>
    <row r="333" spans="1:34" s="3" customFormat="1" ht="16" customHeight="1" thickBot="1">
      <c r="A333" s="7"/>
      <c r="B333" s="19" t="str">
        <f>"FA2 = "&amp;'FIG3'!$W$53&amp;" "&amp;'FIG3'!$X$53</f>
        <v>FA2 = FA2L1 FA2L2</v>
      </c>
      <c r="C333" s="7"/>
      <c r="D333" s="8"/>
      <c r="E333" s="8"/>
      <c r="F333" s="9"/>
      <c r="G333" s="8"/>
      <c r="H333" s="9"/>
      <c r="I333" s="9"/>
      <c r="J333" s="8"/>
      <c r="K333" s="8"/>
      <c r="L333" s="280"/>
      <c r="M333" s="9"/>
      <c r="N333" s="9"/>
      <c r="O333" s="8"/>
      <c r="P333" s="9"/>
      <c r="Q333" s="9"/>
      <c r="R333" s="8"/>
      <c r="S333" s="882"/>
      <c r="T333" s="883" t="str">
        <f>'$REV-DB'!$T$34</f>
        <v>Federal Revenues</v>
      </c>
      <c r="U333" s="883" t="str">
        <f>'$REV-DB'!$U$34</f>
        <v>local Revenues</v>
      </c>
      <c r="V333" s="883" t="str">
        <f>'$REV-DB'!$V$34</f>
        <v>Other Revenues</v>
      </c>
      <c r="W333" s="883" t="str">
        <f>'$REV-DB'!$W$34</f>
        <v>State revenues</v>
      </c>
      <c r="X333" s="883" t="str">
        <f>'$REV-DB'!$X$34</f>
        <v>UD5</v>
      </c>
      <c r="Y333" s="883" t="str">
        <f>'$REV-DB'!$Y$34</f>
        <v>UD6</v>
      </c>
      <c r="Z333" s="883" t="str">
        <f>'$REV-DB'!$Z$34</f>
        <v>UD7</v>
      </c>
      <c r="AA333" s="883" t="str">
        <f>'$REV-DB'!$AA$34</f>
        <v>UD8</v>
      </c>
      <c r="AB333" s="883" t="str">
        <f>'$REV-DB'!$AB$34</f>
        <v>UD9</v>
      </c>
      <c r="AC333" s="883" t="str">
        <f>'$REV-DB'!$AC$34</f>
        <v>UD10</v>
      </c>
      <c r="AD333" s="883" t="str">
        <f>'$REV-DB'!$AD$34</f>
        <v>UD11</v>
      </c>
      <c r="AE333" s="883" t="str">
        <f>'$REV-DB'!$AE$34</f>
        <v>UD12</v>
      </c>
      <c r="AF333" s="883" t="str">
        <f>'$REV-DB'!$AF$34</f>
        <v>UD13</v>
      </c>
      <c r="AG333" s="883" t="str">
        <f>'$REV-DB'!$AG$34</f>
        <v>UD14</v>
      </c>
    </row>
    <row r="334" spans="1:34" s="3" customFormat="1" ht="16" customHeight="1" thickTop="1" thickBot="1">
      <c r="A334" s="7"/>
      <c r="B334" s="20" t="s">
        <v>1399</v>
      </c>
      <c r="C334" s="15"/>
      <c r="D334" s="877" t="s">
        <v>1386</v>
      </c>
      <c r="E334" s="877" t="s">
        <v>1387</v>
      </c>
      <c r="F334" s="877" t="s">
        <v>1388</v>
      </c>
      <c r="G334" s="877" t="s">
        <v>1389</v>
      </c>
      <c r="H334" s="877" t="s">
        <v>1406</v>
      </c>
      <c r="I334" s="877" t="s">
        <v>1390</v>
      </c>
      <c r="J334" s="877" t="s">
        <v>1391</v>
      </c>
      <c r="K334" s="877" t="s">
        <v>1392</v>
      </c>
      <c r="L334" s="877" t="s">
        <v>1188</v>
      </c>
      <c r="M334" s="877" t="s">
        <v>1437</v>
      </c>
      <c r="N334" s="877" t="s">
        <v>1348</v>
      </c>
      <c r="O334" s="877" t="s">
        <v>1393</v>
      </c>
      <c r="P334" s="877" t="s">
        <v>1342</v>
      </c>
      <c r="Q334" s="877" t="s">
        <v>1394</v>
      </c>
      <c r="R334" s="112" t="s">
        <v>1341</v>
      </c>
      <c r="S334" s="112" t="s">
        <v>846</v>
      </c>
      <c r="T334" s="877" t="s">
        <v>935</v>
      </c>
      <c r="U334" s="877" t="s">
        <v>936</v>
      </c>
      <c r="V334" s="877" t="s">
        <v>937</v>
      </c>
      <c r="W334" s="877" t="s">
        <v>938</v>
      </c>
      <c r="X334" s="877" t="s">
        <v>939</v>
      </c>
      <c r="Y334" s="877" t="s">
        <v>940</v>
      </c>
      <c r="Z334" s="877" t="s">
        <v>941</v>
      </c>
      <c r="AA334" s="877" t="s">
        <v>942</v>
      </c>
      <c r="AB334" s="877" t="s">
        <v>943</v>
      </c>
      <c r="AC334" s="877" t="s">
        <v>944</v>
      </c>
      <c r="AD334" s="877" t="s">
        <v>945</v>
      </c>
      <c r="AE334" s="877" t="s">
        <v>946</v>
      </c>
      <c r="AF334" s="877" t="s">
        <v>947</v>
      </c>
      <c r="AG334" s="877" t="s">
        <v>948</v>
      </c>
      <c r="AH334" s="6"/>
    </row>
    <row r="335" spans="1:34" s="3" customFormat="1" ht="16" customHeight="1" thickTop="1">
      <c r="A335" s="7"/>
      <c r="B335" s="19" t="s">
        <v>1349</v>
      </c>
      <c r="C335" s="12"/>
      <c r="D335" s="194"/>
      <c r="E335" s="194"/>
      <c r="F335" s="193"/>
      <c r="G335" s="194"/>
      <c r="H335" s="193"/>
      <c r="I335" s="193"/>
      <c r="J335" s="194"/>
      <c r="K335" s="194"/>
      <c r="L335" s="285" t="s">
        <v>1429</v>
      </c>
      <c r="M335" s="193"/>
      <c r="N335" s="47" t="str">
        <f>J$6</f>
        <v>FY2010-11</v>
      </c>
      <c r="O335" s="47" t="s">
        <v>1353</v>
      </c>
      <c r="P335" s="47" t="s">
        <v>1338</v>
      </c>
      <c r="Q335" s="47" t="s">
        <v>1397</v>
      </c>
      <c r="R335" s="194"/>
      <c r="S335" s="193"/>
      <c r="T335" s="194"/>
      <c r="U335" s="194"/>
      <c r="V335" s="195"/>
      <c r="W335" s="195"/>
      <c r="X335" s="195"/>
      <c r="Y335" s="195"/>
      <c r="Z335" s="195"/>
      <c r="AA335" s="195"/>
      <c r="AB335" s="195"/>
      <c r="AC335" s="195"/>
      <c r="AD335" s="195"/>
      <c r="AE335" s="195"/>
      <c r="AF335" s="195"/>
      <c r="AG335" s="195"/>
      <c r="AH335" s="6"/>
    </row>
    <row r="336" spans="1:34" s="3" customFormat="1" ht="16" customHeight="1">
      <c r="A336" s="7"/>
      <c r="B336" s="16">
        <f>DSUM('$REV-DB'!D35:AG374,"AMOUNT",D334:AG336)</f>
        <v>0</v>
      </c>
      <c r="C336" s="12"/>
      <c r="D336" s="194"/>
      <c r="E336" s="194"/>
      <c r="F336" s="193"/>
      <c r="G336" s="194"/>
      <c r="H336" s="193"/>
      <c r="I336" s="193"/>
      <c r="J336" s="194"/>
      <c r="K336" s="194"/>
      <c r="L336" s="285" t="s">
        <v>1429</v>
      </c>
      <c r="M336" s="193"/>
      <c r="N336" s="47" t="str">
        <f>J$6</f>
        <v>FY2010-11</v>
      </c>
      <c r="O336" s="47" t="s">
        <v>1353</v>
      </c>
      <c r="P336" s="47" t="s">
        <v>1347</v>
      </c>
      <c r="Q336" s="47" t="s">
        <v>1397</v>
      </c>
      <c r="R336" s="194"/>
      <c r="S336" s="193" t="s">
        <v>1303</v>
      </c>
      <c r="T336" s="194"/>
      <c r="U336" s="194"/>
      <c r="V336" s="195"/>
      <c r="W336" s="195"/>
      <c r="X336" s="195"/>
      <c r="Y336" s="195"/>
      <c r="Z336" s="195"/>
      <c r="AA336" s="195"/>
      <c r="AB336" s="195"/>
      <c r="AC336" s="195"/>
      <c r="AD336" s="195"/>
      <c r="AE336" s="195"/>
      <c r="AF336" s="195"/>
      <c r="AG336" s="195"/>
      <c r="AH336" s="6"/>
    </row>
    <row r="337" spans="1:34" s="3" customFormat="1" ht="16" customHeight="1">
      <c r="A337" s="7"/>
      <c r="B337" s="10"/>
      <c r="C337" s="12"/>
      <c r="D337" s="896"/>
      <c r="E337" s="896"/>
      <c r="F337" s="896"/>
      <c r="G337" s="896"/>
      <c r="H337" s="896"/>
      <c r="I337" s="896"/>
      <c r="J337" s="896"/>
      <c r="K337" s="896"/>
      <c r="L337" s="897"/>
      <c r="M337" s="896"/>
      <c r="N337" s="889"/>
      <c r="O337" s="889"/>
      <c r="P337" s="889"/>
      <c r="Q337" s="896"/>
      <c r="R337" s="896"/>
      <c r="S337" s="896"/>
      <c r="T337" s="898"/>
      <c r="U337" s="898"/>
      <c r="V337" s="899"/>
      <c r="W337" s="899"/>
      <c r="X337" s="899"/>
      <c r="Y337" s="899"/>
      <c r="Z337" s="899"/>
      <c r="AA337" s="899"/>
      <c r="AB337" s="899"/>
      <c r="AC337" s="899"/>
      <c r="AD337" s="899"/>
      <c r="AE337" s="899"/>
      <c r="AF337" s="899"/>
      <c r="AG337" s="899"/>
    </row>
    <row r="338" spans="1:34" s="3" customFormat="1" ht="16" customHeight="1">
      <c r="A338" s="7"/>
      <c r="B338" s="10"/>
      <c r="C338" s="12"/>
      <c r="D338" s="896"/>
      <c r="E338" s="896"/>
      <c r="F338" s="896"/>
      <c r="G338" s="896"/>
      <c r="H338" s="896"/>
      <c r="I338" s="896"/>
      <c r="J338" s="896"/>
      <c r="K338" s="896"/>
      <c r="L338" s="897"/>
      <c r="M338" s="896"/>
      <c r="N338" s="889"/>
      <c r="O338" s="889"/>
      <c r="P338" s="889"/>
      <c r="Q338" s="896"/>
      <c r="R338" s="896"/>
      <c r="S338" s="896"/>
      <c r="T338" s="898"/>
      <c r="U338" s="898"/>
      <c r="V338" s="899"/>
      <c r="W338" s="899"/>
      <c r="X338" s="899"/>
      <c r="Y338" s="899"/>
      <c r="Z338" s="899"/>
      <c r="AA338" s="899"/>
      <c r="AB338" s="899"/>
      <c r="AC338" s="899"/>
      <c r="AD338" s="899"/>
      <c r="AE338" s="899"/>
      <c r="AF338" s="899"/>
      <c r="AG338" s="899"/>
    </row>
    <row r="339" spans="1:34" s="3" customFormat="1" ht="16" customHeight="1">
      <c r="A339" s="7"/>
      <c r="B339" s="10"/>
      <c r="C339" s="12"/>
      <c r="D339" s="896"/>
      <c r="E339" s="896"/>
      <c r="F339" s="896"/>
      <c r="G339" s="896"/>
      <c r="H339" s="896"/>
      <c r="I339" s="896"/>
      <c r="J339" s="896"/>
      <c r="K339" s="896"/>
      <c r="L339" s="897"/>
      <c r="M339" s="896"/>
      <c r="N339" s="889"/>
      <c r="O339" s="889"/>
      <c r="P339" s="889"/>
      <c r="Q339" s="896"/>
      <c r="R339" s="896"/>
      <c r="S339" s="896"/>
      <c r="T339" s="898"/>
      <c r="U339" s="898"/>
      <c r="V339" s="899"/>
      <c r="W339" s="899"/>
      <c r="X339" s="899"/>
      <c r="Y339" s="899"/>
      <c r="Z339" s="899"/>
      <c r="AA339" s="899"/>
      <c r="AB339" s="899"/>
      <c r="AC339" s="899"/>
      <c r="AD339" s="899"/>
      <c r="AE339" s="899"/>
      <c r="AF339" s="899"/>
      <c r="AG339" s="899"/>
    </row>
    <row r="340" spans="1:34" s="3" customFormat="1" ht="16" customHeight="1">
      <c r="A340" s="7"/>
      <c r="B340" s="10"/>
      <c r="C340" s="12"/>
      <c r="D340" s="896"/>
      <c r="E340" s="896"/>
      <c r="F340" s="896"/>
      <c r="G340" s="896"/>
      <c r="H340" s="896"/>
      <c r="I340" s="896"/>
      <c r="J340" s="896"/>
      <c r="K340" s="896"/>
      <c r="L340" s="897"/>
      <c r="M340" s="896"/>
      <c r="N340" s="889"/>
      <c r="O340" s="889"/>
      <c r="P340" s="889"/>
      <c r="Q340" s="896"/>
      <c r="R340" s="896"/>
      <c r="S340" s="896"/>
      <c r="T340" s="898"/>
      <c r="U340" s="898"/>
      <c r="V340" s="899"/>
      <c r="W340" s="899"/>
      <c r="X340" s="899"/>
      <c r="Y340" s="899"/>
      <c r="Z340" s="899"/>
      <c r="AA340" s="899"/>
      <c r="AB340" s="899"/>
      <c r="AC340" s="899"/>
      <c r="AD340" s="899"/>
      <c r="AE340" s="899"/>
      <c r="AF340" s="899"/>
      <c r="AG340" s="899"/>
    </row>
    <row r="341" spans="1:34" s="3" customFormat="1" ht="16" customHeight="1">
      <c r="A341" s="7"/>
      <c r="B341" s="10"/>
      <c r="C341" s="12"/>
      <c r="D341" s="896"/>
      <c r="E341" s="896"/>
      <c r="F341" s="896"/>
      <c r="G341" s="896"/>
      <c r="H341" s="896"/>
      <c r="I341" s="896"/>
      <c r="J341" s="896"/>
      <c r="K341" s="896"/>
      <c r="L341" s="897"/>
      <c r="M341" s="896"/>
      <c r="N341" s="889"/>
      <c r="O341" s="889"/>
      <c r="P341" s="889"/>
      <c r="Q341" s="896"/>
      <c r="R341" s="896"/>
      <c r="S341" s="896"/>
      <c r="T341" s="898"/>
      <c r="U341" s="898"/>
      <c r="V341" s="899"/>
      <c r="W341" s="899"/>
      <c r="X341" s="899"/>
      <c r="Y341" s="899"/>
      <c r="Z341" s="899"/>
      <c r="AA341" s="899"/>
      <c r="AB341" s="899"/>
      <c r="AC341" s="899"/>
      <c r="AD341" s="899"/>
      <c r="AE341" s="899"/>
      <c r="AF341" s="899"/>
      <c r="AG341" s="899"/>
    </row>
    <row r="342" spans="1:34" s="3" customFormat="1" ht="16" customHeight="1">
      <c r="A342" s="29"/>
      <c r="B342" s="30"/>
      <c r="C342" s="30"/>
      <c r="D342" s="31"/>
      <c r="E342" s="31"/>
      <c r="F342" s="32"/>
      <c r="G342" s="31"/>
      <c r="H342" s="32"/>
      <c r="I342" s="32"/>
      <c r="J342" s="31"/>
      <c r="K342" s="31"/>
      <c r="L342" s="284"/>
      <c r="M342" s="32"/>
      <c r="N342" s="32"/>
      <c r="O342" s="31"/>
      <c r="P342" s="32"/>
      <c r="Q342" s="32"/>
      <c r="R342" s="31"/>
      <c r="S342" s="32"/>
      <c r="T342" s="31"/>
      <c r="U342" s="31"/>
      <c r="V342" s="29"/>
      <c r="W342" s="29"/>
      <c r="X342" s="29"/>
      <c r="Y342" s="29"/>
      <c r="Z342" s="29"/>
      <c r="AA342" s="29"/>
      <c r="AB342" s="29"/>
      <c r="AC342" s="29"/>
      <c r="AD342" s="29"/>
      <c r="AE342" s="29"/>
      <c r="AF342" s="29"/>
      <c r="AG342" s="29"/>
    </row>
    <row r="343" spans="1:34" s="3" customFormat="1" ht="16" customHeight="1" thickBot="1">
      <c r="A343" s="7"/>
      <c r="B343" s="19" t="str">
        <f>"FA2 = "&amp;'FIG3'!$W$53&amp;" "&amp;'FIG3'!$X$53</f>
        <v>FA2 = FA2L1 FA2L2</v>
      </c>
      <c r="C343" s="7"/>
      <c r="D343" s="8"/>
      <c r="E343" s="8"/>
      <c r="F343" s="9"/>
      <c r="G343" s="8"/>
      <c r="H343" s="9"/>
      <c r="I343" s="9"/>
      <c r="J343" s="8"/>
      <c r="K343" s="8"/>
      <c r="L343" s="280"/>
      <c r="M343" s="9"/>
      <c r="N343" s="9"/>
      <c r="O343" s="8"/>
      <c r="P343" s="9"/>
      <c r="Q343" s="9"/>
      <c r="R343" s="8"/>
      <c r="S343" s="882"/>
      <c r="T343" s="883" t="str">
        <f>'$REV-DB'!$T$34</f>
        <v>Federal Revenues</v>
      </c>
      <c r="U343" s="883" t="str">
        <f>'$REV-DB'!$U$34</f>
        <v>local Revenues</v>
      </c>
      <c r="V343" s="883" t="str">
        <f>'$REV-DB'!$V$34</f>
        <v>Other Revenues</v>
      </c>
      <c r="W343" s="883" t="str">
        <f>'$REV-DB'!$W$34</f>
        <v>State revenues</v>
      </c>
      <c r="X343" s="883" t="str">
        <f>'$REV-DB'!$X$34</f>
        <v>UD5</v>
      </c>
      <c r="Y343" s="883" t="str">
        <f>'$REV-DB'!$Y$34</f>
        <v>UD6</v>
      </c>
      <c r="Z343" s="883" t="str">
        <f>'$REV-DB'!$Z$34</f>
        <v>UD7</v>
      </c>
      <c r="AA343" s="883" t="str">
        <f>'$REV-DB'!$AA$34</f>
        <v>UD8</v>
      </c>
      <c r="AB343" s="883" t="str">
        <f>'$REV-DB'!$AB$34</f>
        <v>UD9</v>
      </c>
      <c r="AC343" s="883" t="str">
        <f>'$REV-DB'!$AC$34</f>
        <v>UD10</v>
      </c>
      <c r="AD343" s="883" t="str">
        <f>'$REV-DB'!$AD$34</f>
        <v>UD11</v>
      </c>
      <c r="AE343" s="883" t="str">
        <f>'$REV-DB'!$AE$34</f>
        <v>UD12</v>
      </c>
      <c r="AF343" s="883" t="str">
        <f>'$REV-DB'!$AF$34</f>
        <v>UD13</v>
      </c>
      <c r="AG343" s="883" t="str">
        <f>'$REV-DB'!$AG$34</f>
        <v>UD14</v>
      </c>
    </row>
    <row r="344" spans="1:34" s="3" customFormat="1" ht="16" customHeight="1" thickTop="1" thickBot="1">
      <c r="A344" s="7"/>
      <c r="B344" s="20" t="s">
        <v>1399</v>
      </c>
      <c r="C344" s="15"/>
      <c r="D344" s="877" t="s">
        <v>1386</v>
      </c>
      <c r="E344" s="877" t="s">
        <v>1387</v>
      </c>
      <c r="F344" s="877" t="s">
        <v>1388</v>
      </c>
      <c r="G344" s="877" t="s">
        <v>1389</v>
      </c>
      <c r="H344" s="877" t="s">
        <v>1406</v>
      </c>
      <c r="I344" s="877" t="s">
        <v>1390</v>
      </c>
      <c r="J344" s="877" t="s">
        <v>1391</v>
      </c>
      <c r="K344" s="877" t="s">
        <v>1392</v>
      </c>
      <c r="L344" s="877" t="s">
        <v>1188</v>
      </c>
      <c r="M344" s="877" t="s">
        <v>1437</v>
      </c>
      <c r="N344" s="877" t="s">
        <v>1348</v>
      </c>
      <c r="O344" s="877" t="s">
        <v>1393</v>
      </c>
      <c r="P344" s="877" t="s">
        <v>1342</v>
      </c>
      <c r="Q344" s="877" t="s">
        <v>1394</v>
      </c>
      <c r="R344" s="112" t="s">
        <v>1341</v>
      </c>
      <c r="S344" s="112" t="s">
        <v>846</v>
      </c>
      <c r="T344" s="877" t="s">
        <v>935</v>
      </c>
      <c r="U344" s="877" t="s">
        <v>936</v>
      </c>
      <c r="V344" s="877" t="s">
        <v>937</v>
      </c>
      <c r="W344" s="877" t="s">
        <v>938</v>
      </c>
      <c r="X344" s="877" t="s">
        <v>939</v>
      </c>
      <c r="Y344" s="877" t="s">
        <v>940</v>
      </c>
      <c r="Z344" s="877" t="s">
        <v>941</v>
      </c>
      <c r="AA344" s="877" t="s">
        <v>942</v>
      </c>
      <c r="AB344" s="877" t="s">
        <v>943</v>
      </c>
      <c r="AC344" s="877" t="s">
        <v>944</v>
      </c>
      <c r="AD344" s="877" t="s">
        <v>945</v>
      </c>
      <c r="AE344" s="877" t="s">
        <v>946</v>
      </c>
      <c r="AF344" s="877" t="s">
        <v>947</v>
      </c>
      <c r="AG344" s="877" t="s">
        <v>948</v>
      </c>
      <c r="AH344" s="6"/>
    </row>
    <row r="345" spans="1:34" s="3" customFormat="1" ht="16" customHeight="1" thickTop="1">
      <c r="A345" s="7"/>
      <c r="B345" s="19" t="s">
        <v>1178</v>
      </c>
      <c r="C345" s="12"/>
      <c r="D345" s="194"/>
      <c r="E345" s="194"/>
      <c r="F345" s="193"/>
      <c r="G345" s="194"/>
      <c r="H345" s="193"/>
      <c r="I345" s="193"/>
      <c r="J345" s="194"/>
      <c r="K345" s="194"/>
      <c r="L345" s="285" t="s">
        <v>1429</v>
      </c>
      <c r="M345" s="193"/>
      <c r="N345" s="47" t="str">
        <f>J$6</f>
        <v>FY2010-11</v>
      </c>
      <c r="O345" s="47" t="s">
        <v>1353</v>
      </c>
      <c r="P345" s="47" t="s">
        <v>1338</v>
      </c>
      <c r="Q345" s="47" t="s">
        <v>1465</v>
      </c>
      <c r="R345" s="194"/>
      <c r="S345" s="193"/>
      <c r="T345" s="194"/>
      <c r="U345" s="194"/>
      <c r="V345" s="195"/>
      <c r="W345" s="195"/>
      <c r="X345" s="195"/>
      <c r="Y345" s="195"/>
      <c r="Z345" s="195"/>
      <c r="AA345" s="195"/>
      <c r="AB345" s="195"/>
      <c r="AC345" s="195"/>
      <c r="AD345" s="195"/>
      <c r="AE345" s="195"/>
      <c r="AF345" s="195"/>
      <c r="AG345" s="195"/>
      <c r="AH345" s="6"/>
    </row>
    <row r="346" spans="1:34" s="3" customFormat="1" ht="16" customHeight="1">
      <c r="A346" s="7"/>
      <c r="B346" s="16">
        <f>DSUM('$REV-DB'!D35:AG374,"AMOUNT",D344:AG346)</f>
        <v>0</v>
      </c>
      <c r="C346" s="12"/>
      <c r="D346" s="194"/>
      <c r="E346" s="194"/>
      <c r="F346" s="193"/>
      <c r="G346" s="194"/>
      <c r="H346" s="193"/>
      <c r="I346" s="193"/>
      <c r="J346" s="194"/>
      <c r="K346" s="194"/>
      <c r="L346" s="285" t="s">
        <v>1429</v>
      </c>
      <c r="M346" s="193"/>
      <c r="N346" s="47" t="str">
        <f>J$6</f>
        <v>FY2010-11</v>
      </c>
      <c r="O346" s="47" t="s">
        <v>1353</v>
      </c>
      <c r="P346" s="47" t="s">
        <v>1347</v>
      </c>
      <c r="Q346" s="47" t="s">
        <v>1465</v>
      </c>
      <c r="R346" s="194"/>
      <c r="S346" s="193" t="s">
        <v>1303</v>
      </c>
      <c r="T346" s="194"/>
      <c r="U346" s="194"/>
      <c r="V346" s="195"/>
      <c r="W346" s="195"/>
      <c r="X346" s="195"/>
      <c r="Y346" s="195"/>
      <c r="Z346" s="195"/>
      <c r="AA346" s="195"/>
      <c r="AB346" s="195"/>
      <c r="AC346" s="195"/>
      <c r="AD346" s="195"/>
      <c r="AE346" s="195"/>
      <c r="AF346" s="195"/>
      <c r="AG346" s="195"/>
      <c r="AH346" s="6"/>
    </row>
    <row r="347" spans="1:34" s="3" customFormat="1" ht="16" customHeight="1">
      <c r="A347" s="7"/>
      <c r="B347" s="10"/>
      <c r="C347" s="12"/>
      <c r="D347" s="896"/>
      <c r="E347" s="896"/>
      <c r="F347" s="896"/>
      <c r="G347" s="896"/>
      <c r="H347" s="896"/>
      <c r="I347" s="896"/>
      <c r="J347" s="896"/>
      <c r="K347" s="896"/>
      <c r="L347" s="897"/>
      <c r="M347" s="896"/>
      <c r="N347" s="889"/>
      <c r="O347" s="889"/>
      <c r="P347" s="889"/>
      <c r="Q347" s="896"/>
      <c r="R347" s="896"/>
      <c r="S347" s="896"/>
      <c r="T347" s="898"/>
      <c r="U347" s="898"/>
      <c r="V347" s="899"/>
      <c r="W347" s="899"/>
      <c r="X347" s="899"/>
      <c r="Y347" s="899"/>
      <c r="Z347" s="899"/>
      <c r="AA347" s="899"/>
      <c r="AB347" s="899"/>
      <c r="AC347" s="899"/>
      <c r="AD347" s="899"/>
      <c r="AE347" s="899"/>
      <c r="AF347" s="899"/>
      <c r="AG347" s="899"/>
    </row>
    <row r="348" spans="1:34" s="3" customFormat="1" ht="16" customHeight="1">
      <c r="A348" s="7"/>
      <c r="B348" s="10"/>
      <c r="C348" s="12"/>
      <c r="D348" s="896"/>
      <c r="E348" s="896"/>
      <c r="F348" s="896"/>
      <c r="G348" s="896"/>
      <c r="H348" s="896"/>
      <c r="I348" s="896"/>
      <c r="J348" s="896"/>
      <c r="K348" s="896"/>
      <c r="L348" s="897"/>
      <c r="M348" s="896"/>
      <c r="N348" s="889"/>
      <c r="O348" s="889"/>
      <c r="P348" s="889"/>
      <c r="Q348" s="896"/>
      <c r="R348" s="896"/>
      <c r="S348" s="896"/>
      <c r="T348" s="898"/>
      <c r="U348" s="898"/>
      <c r="V348" s="899"/>
      <c r="W348" s="899"/>
      <c r="X348" s="899"/>
      <c r="Y348" s="899"/>
      <c r="Z348" s="899"/>
      <c r="AA348" s="899"/>
      <c r="AB348" s="899"/>
      <c r="AC348" s="899"/>
      <c r="AD348" s="899"/>
      <c r="AE348" s="899"/>
      <c r="AF348" s="899"/>
      <c r="AG348" s="899"/>
    </row>
    <row r="349" spans="1:34" s="3" customFormat="1" ht="16" customHeight="1">
      <c r="A349" s="7"/>
      <c r="B349" s="10"/>
      <c r="C349" s="12"/>
      <c r="D349" s="896"/>
      <c r="E349" s="896"/>
      <c r="F349" s="896"/>
      <c r="G349" s="896"/>
      <c r="H349" s="896"/>
      <c r="I349" s="896"/>
      <c r="J349" s="896"/>
      <c r="K349" s="896"/>
      <c r="L349" s="897"/>
      <c r="M349" s="896"/>
      <c r="N349" s="889"/>
      <c r="O349" s="889"/>
      <c r="P349" s="889"/>
      <c r="Q349" s="896"/>
      <c r="R349" s="896"/>
      <c r="S349" s="896"/>
      <c r="T349" s="898"/>
      <c r="U349" s="898"/>
      <c r="V349" s="899"/>
      <c r="W349" s="899"/>
      <c r="X349" s="899"/>
      <c r="Y349" s="899"/>
      <c r="Z349" s="899"/>
      <c r="AA349" s="899"/>
      <c r="AB349" s="899"/>
      <c r="AC349" s="899"/>
      <c r="AD349" s="899"/>
      <c r="AE349" s="899"/>
      <c r="AF349" s="899"/>
      <c r="AG349" s="899"/>
    </row>
    <row r="350" spans="1:34" s="3" customFormat="1" ht="16" customHeight="1">
      <c r="A350" s="7"/>
      <c r="B350" s="10"/>
      <c r="C350" s="12"/>
      <c r="D350" s="896"/>
      <c r="E350" s="896"/>
      <c r="F350" s="896"/>
      <c r="G350" s="896"/>
      <c r="H350" s="896"/>
      <c r="I350" s="896"/>
      <c r="J350" s="896"/>
      <c r="K350" s="896"/>
      <c r="L350" s="897"/>
      <c r="M350" s="896"/>
      <c r="N350" s="889"/>
      <c r="O350" s="889"/>
      <c r="P350" s="889"/>
      <c r="Q350" s="896"/>
      <c r="R350" s="896"/>
      <c r="S350" s="896"/>
      <c r="T350" s="898"/>
      <c r="U350" s="898"/>
      <c r="V350" s="899"/>
      <c r="W350" s="899"/>
      <c r="X350" s="899"/>
      <c r="Y350" s="899"/>
      <c r="Z350" s="899"/>
      <c r="AA350" s="899"/>
      <c r="AB350" s="899"/>
      <c r="AC350" s="899"/>
      <c r="AD350" s="899"/>
      <c r="AE350" s="899"/>
      <c r="AF350" s="899"/>
      <c r="AG350" s="899"/>
    </row>
    <row r="351" spans="1:34" s="3" customFormat="1" ht="16" customHeight="1">
      <c r="A351" s="7"/>
      <c r="B351" s="10"/>
      <c r="C351" s="12"/>
      <c r="D351" s="896"/>
      <c r="E351" s="896"/>
      <c r="F351" s="896"/>
      <c r="G351" s="896"/>
      <c r="H351" s="896"/>
      <c r="I351" s="896"/>
      <c r="J351" s="896"/>
      <c r="K351" s="896"/>
      <c r="L351" s="897"/>
      <c r="M351" s="896"/>
      <c r="N351" s="889"/>
      <c r="O351" s="889"/>
      <c r="P351" s="889"/>
      <c r="Q351" s="896"/>
      <c r="R351" s="896"/>
      <c r="S351" s="896"/>
      <c r="T351" s="898"/>
      <c r="U351" s="898"/>
      <c r="V351" s="899"/>
      <c r="W351" s="899"/>
      <c r="X351" s="899"/>
      <c r="Y351" s="899"/>
      <c r="Z351" s="899"/>
      <c r="AA351" s="899"/>
      <c r="AB351" s="899"/>
      <c r="AC351" s="899"/>
      <c r="AD351" s="899"/>
      <c r="AE351" s="899"/>
      <c r="AF351" s="899"/>
      <c r="AG351" s="899"/>
    </row>
    <row r="352" spans="1:34" s="3" customFormat="1" ht="16" customHeight="1">
      <c r="A352" s="29"/>
      <c r="B352" s="30"/>
      <c r="C352" s="30"/>
      <c r="D352" s="31"/>
      <c r="E352" s="31"/>
      <c r="F352" s="32"/>
      <c r="G352" s="31"/>
      <c r="H352" s="32"/>
      <c r="I352" s="32"/>
      <c r="J352" s="31"/>
      <c r="K352" s="31"/>
      <c r="L352" s="284"/>
      <c r="M352" s="32"/>
      <c r="N352" s="32"/>
      <c r="O352" s="31"/>
      <c r="P352" s="32"/>
      <c r="Q352" s="32"/>
      <c r="R352" s="31"/>
      <c r="S352" s="32"/>
      <c r="T352" s="31"/>
      <c r="U352" s="31"/>
      <c r="V352" s="29"/>
      <c r="W352" s="29"/>
      <c r="X352" s="29"/>
      <c r="Y352" s="29"/>
      <c r="Z352" s="29"/>
      <c r="AA352" s="29"/>
      <c r="AB352" s="29"/>
      <c r="AC352" s="29"/>
      <c r="AD352" s="29"/>
      <c r="AE352" s="29"/>
      <c r="AF352" s="29"/>
      <c r="AG352" s="29"/>
    </row>
    <row r="353" spans="1:34" s="3" customFormat="1" ht="16" customHeight="1" thickBot="1">
      <c r="A353" s="7"/>
      <c r="B353" s="19" t="str">
        <f>"FA2 = "&amp;'FIG3'!$W$53&amp;" "&amp;'FIG3'!$X$53</f>
        <v>FA2 = FA2L1 FA2L2</v>
      </c>
      <c r="C353" s="7"/>
      <c r="D353" s="8"/>
      <c r="E353" s="8"/>
      <c r="F353" s="9"/>
      <c r="G353" s="8"/>
      <c r="H353" s="9"/>
      <c r="I353" s="9"/>
      <c r="J353" s="8"/>
      <c r="K353" s="8"/>
      <c r="L353" s="280"/>
      <c r="M353" s="9"/>
      <c r="N353" s="9"/>
      <c r="O353" s="8"/>
      <c r="P353" s="9"/>
      <c r="Q353" s="9"/>
      <c r="R353" s="8"/>
      <c r="S353" s="882"/>
      <c r="T353" s="883" t="str">
        <f>'$REV-DB'!$T$34</f>
        <v>Federal Revenues</v>
      </c>
      <c r="U353" s="883" t="str">
        <f>'$REV-DB'!$U$34</f>
        <v>local Revenues</v>
      </c>
      <c r="V353" s="883" t="str">
        <f>'$REV-DB'!$V$34</f>
        <v>Other Revenues</v>
      </c>
      <c r="W353" s="883" t="str">
        <f>'$REV-DB'!$W$34</f>
        <v>State revenues</v>
      </c>
      <c r="X353" s="883" t="str">
        <f>'$REV-DB'!$X$34</f>
        <v>UD5</v>
      </c>
      <c r="Y353" s="883" t="str">
        <f>'$REV-DB'!$Y$34</f>
        <v>UD6</v>
      </c>
      <c r="Z353" s="883" t="str">
        <f>'$REV-DB'!$Z$34</f>
        <v>UD7</v>
      </c>
      <c r="AA353" s="883" t="str">
        <f>'$REV-DB'!$AA$34</f>
        <v>UD8</v>
      </c>
      <c r="AB353" s="883" t="str">
        <f>'$REV-DB'!$AB$34</f>
        <v>UD9</v>
      </c>
      <c r="AC353" s="883" t="str">
        <f>'$REV-DB'!$AC$34</f>
        <v>UD10</v>
      </c>
      <c r="AD353" s="883" t="str">
        <f>'$REV-DB'!$AD$34</f>
        <v>UD11</v>
      </c>
      <c r="AE353" s="883" t="str">
        <f>'$REV-DB'!$AE$34</f>
        <v>UD12</v>
      </c>
      <c r="AF353" s="883" t="str">
        <f>'$REV-DB'!$AF$34</f>
        <v>UD13</v>
      </c>
      <c r="AG353" s="883" t="str">
        <f>'$REV-DB'!$AG$34</f>
        <v>UD14</v>
      </c>
    </row>
    <row r="354" spans="1:34" s="3" customFormat="1" ht="16" customHeight="1" thickTop="1" thickBot="1">
      <c r="A354" s="7"/>
      <c r="B354" s="20" t="s">
        <v>1399</v>
      </c>
      <c r="C354" s="15"/>
      <c r="D354" s="877" t="s">
        <v>1386</v>
      </c>
      <c r="E354" s="877" t="s">
        <v>1387</v>
      </c>
      <c r="F354" s="877" t="s">
        <v>1388</v>
      </c>
      <c r="G354" s="877" t="s">
        <v>1389</v>
      </c>
      <c r="H354" s="877" t="s">
        <v>1406</v>
      </c>
      <c r="I354" s="877" t="s">
        <v>1390</v>
      </c>
      <c r="J354" s="877" t="s">
        <v>1391</v>
      </c>
      <c r="K354" s="877" t="s">
        <v>1392</v>
      </c>
      <c r="L354" s="877" t="s">
        <v>1188</v>
      </c>
      <c r="M354" s="877" t="s">
        <v>1437</v>
      </c>
      <c r="N354" s="877" t="s">
        <v>1348</v>
      </c>
      <c r="O354" s="877" t="s">
        <v>1393</v>
      </c>
      <c r="P354" s="877" t="s">
        <v>1342</v>
      </c>
      <c r="Q354" s="877" t="s">
        <v>1394</v>
      </c>
      <c r="R354" s="112" t="s">
        <v>1341</v>
      </c>
      <c r="S354" s="112" t="s">
        <v>846</v>
      </c>
      <c r="T354" s="877" t="s">
        <v>935</v>
      </c>
      <c r="U354" s="877" t="s">
        <v>936</v>
      </c>
      <c r="V354" s="877" t="s">
        <v>937</v>
      </c>
      <c r="W354" s="877" t="s">
        <v>938</v>
      </c>
      <c r="X354" s="877" t="s">
        <v>939</v>
      </c>
      <c r="Y354" s="877" t="s">
        <v>940</v>
      </c>
      <c r="Z354" s="877" t="s">
        <v>941</v>
      </c>
      <c r="AA354" s="877" t="s">
        <v>942</v>
      </c>
      <c r="AB354" s="877" t="s">
        <v>943</v>
      </c>
      <c r="AC354" s="877" t="s">
        <v>944</v>
      </c>
      <c r="AD354" s="877" t="s">
        <v>945</v>
      </c>
      <c r="AE354" s="877" t="s">
        <v>946</v>
      </c>
      <c r="AF354" s="877" t="s">
        <v>947</v>
      </c>
      <c r="AG354" s="877" t="s">
        <v>948</v>
      </c>
      <c r="AH354" s="6"/>
    </row>
    <row r="355" spans="1:34" s="3" customFormat="1" ht="16" customHeight="1" thickTop="1">
      <c r="A355" s="7"/>
      <c r="B355" s="19" t="s">
        <v>1350</v>
      </c>
      <c r="C355" s="12"/>
      <c r="D355" s="194"/>
      <c r="E355" s="194"/>
      <c r="F355" s="193"/>
      <c r="G355" s="194"/>
      <c r="H355" s="193"/>
      <c r="I355" s="193"/>
      <c r="J355" s="194"/>
      <c r="K355" s="194"/>
      <c r="L355" s="285" t="s">
        <v>1429</v>
      </c>
      <c r="M355" s="193"/>
      <c r="N355" s="47" t="str">
        <f>J$6</f>
        <v>FY2010-11</v>
      </c>
      <c r="O355" s="47" t="s">
        <v>1353</v>
      </c>
      <c r="P355" s="47" t="s">
        <v>1338</v>
      </c>
      <c r="Q355" s="47" t="s">
        <v>1340</v>
      </c>
      <c r="R355" s="194"/>
      <c r="S355" s="193"/>
      <c r="T355" s="194"/>
      <c r="U355" s="194"/>
      <c r="V355" s="195"/>
      <c r="W355" s="195"/>
      <c r="X355" s="195"/>
      <c r="Y355" s="195"/>
      <c r="Z355" s="195"/>
      <c r="AA355" s="195"/>
      <c r="AB355" s="195"/>
      <c r="AC355" s="195"/>
      <c r="AD355" s="195"/>
      <c r="AE355" s="195"/>
      <c r="AF355" s="195"/>
      <c r="AG355" s="195"/>
      <c r="AH355" s="6"/>
    </row>
    <row r="356" spans="1:34" s="3" customFormat="1" ht="16" customHeight="1">
      <c r="A356" s="7"/>
      <c r="B356" s="16">
        <f>DSUM('$REV-DB'!D35:AG374,"AMOUNT",D354:AG356)</f>
        <v>0</v>
      </c>
      <c r="C356" s="12"/>
      <c r="D356" s="194"/>
      <c r="E356" s="194"/>
      <c r="F356" s="193"/>
      <c r="G356" s="194"/>
      <c r="H356" s="193"/>
      <c r="I356" s="193"/>
      <c r="J356" s="194"/>
      <c r="K356" s="194"/>
      <c r="L356" s="285" t="s">
        <v>1429</v>
      </c>
      <c r="M356" s="193"/>
      <c r="N356" s="47" t="str">
        <f>J$6</f>
        <v>FY2010-11</v>
      </c>
      <c r="O356" s="47" t="s">
        <v>1353</v>
      </c>
      <c r="P356" s="47" t="s">
        <v>1347</v>
      </c>
      <c r="Q356" s="47" t="s">
        <v>1340</v>
      </c>
      <c r="R356" s="194"/>
      <c r="S356" s="193" t="s">
        <v>1303</v>
      </c>
      <c r="T356" s="194"/>
      <c r="U356" s="194"/>
      <c r="V356" s="195"/>
      <c r="W356" s="195"/>
      <c r="X356" s="195"/>
      <c r="Y356" s="195"/>
      <c r="Z356" s="195"/>
      <c r="AA356" s="195"/>
      <c r="AB356" s="195"/>
      <c r="AC356" s="195"/>
      <c r="AD356" s="195"/>
      <c r="AE356" s="195"/>
      <c r="AF356" s="195"/>
      <c r="AG356" s="195"/>
      <c r="AH356" s="6"/>
    </row>
    <row r="357" spans="1:34" s="3" customFormat="1" ht="16" customHeight="1">
      <c r="A357" s="7"/>
      <c r="B357" s="10"/>
      <c r="C357" s="12"/>
      <c r="D357" s="896"/>
      <c r="E357" s="896"/>
      <c r="F357" s="896"/>
      <c r="G357" s="896"/>
      <c r="H357" s="896"/>
      <c r="I357" s="896"/>
      <c r="J357" s="896"/>
      <c r="K357" s="896"/>
      <c r="L357" s="897"/>
      <c r="M357" s="896"/>
      <c r="N357" s="889"/>
      <c r="O357" s="889"/>
      <c r="P357" s="889"/>
      <c r="Q357" s="896"/>
      <c r="R357" s="896"/>
      <c r="S357" s="896"/>
      <c r="T357" s="898"/>
      <c r="U357" s="898"/>
      <c r="V357" s="899"/>
      <c r="W357" s="899"/>
      <c r="X357" s="899"/>
      <c r="Y357" s="899"/>
      <c r="Z357" s="899"/>
      <c r="AA357" s="899"/>
      <c r="AB357" s="899"/>
      <c r="AC357" s="899"/>
      <c r="AD357" s="899"/>
      <c r="AE357" s="899"/>
      <c r="AF357" s="899"/>
      <c r="AG357" s="899"/>
    </row>
    <row r="358" spans="1:34" s="3" customFormat="1" ht="16" customHeight="1">
      <c r="A358" s="7"/>
      <c r="B358" s="10"/>
      <c r="C358" s="12"/>
      <c r="D358" s="896"/>
      <c r="E358" s="896"/>
      <c r="F358" s="896"/>
      <c r="G358" s="896"/>
      <c r="H358" s="896"/>
      <c r="I358" s="896"/>
      <c r="J358" s="896"/>
      <c r="K358" s="896"/>
      <c r="L358" s="897"/>
      <c r="M358" s="896"/>
      <c r="N358" s="889"/>
      <c r="O358" s="889"/>
      <c r="P358" s="889"/>
      <c r="Q358" s="896"/>
      <c r="R358" s="896"/>
      <c r="S358" s="896"/>
      <c r="T358" s="898"/>
      <c r="U358" s="898"/>
      <c r="V358" s="899"/>
      <c r="W358" s="899"/>
      <c r="X358" s="899"/>
      <c r="Y358" s="899"/>
      <c r="Z358" s="899"/>
      <c r="AA358" s="899"/>
      <c r="AB358" s="899"/>
      <c r="AC358" s="899"/>
      <c r="AD358" s="899"/>
      <c r="AE358" s="899"/>
      <c r="AF358" s="899"/>
      <c r="AG358" s="899"/>
    </row>
    <row r="359" spans="1:34" s="3" customFormat="1" ht="16" customHeight="1">
      <c r="A359" s="7"/>
      <c r="B359" s="10"/>
      <c r="C359" s="12"/>
      <c r="D359" s="896"/>
      <c r="E359" s="896"/>
      <c r="F359" s="896"/>
      <c r="G359" s="896"/>
      <c r="H359" s="896"/>
      <c r="I359" s="896"/>
      <c r="J359" s="896"/>
      <c r="K359" s="896"/>
      <c r="L359" s="897"/>
      <c r="M359" s="896"/>
      <c r="N359" s="889"/>
      <c r="O359" s="889"/>
      <c r="P359" s="889"/>
      <c r="Q359" s="896"/>
      <c r="R359" s="896"/>
      <c r="S359" s="896"/>
      <c r="T359" s="898"/>
      <c r="U359" s="898"/>
      <c r="V359" s="899"/>
      <c r="W359" s="899"/>
      <c r="X359" s="899"/>
      <c r="Y359" s="899"/>
      <c r="Z359" s="899"/>
      <c r="AA359" s="899"/>
      <c r="AB359" s="899"/>
      <c r="AC359" s="899"/>
      <c r="AD359" s="899"/>
      <c r="AE359" s="899"/>
      <c r="AF359" s="899"/>
      <c r="AG359" s="899"/>
    </row>
    <row r="360" spans="1:34" s="3" customFormat="1" ht="16" customHeight="1">
      <c r="A360" s="7"/>
      <c r="B360" s="10"/>
      <c r="C360" s="12"/>
      <c r="D360" s="896"/>
      <c r="E360" s="896"/>
      <c r="F360" s="896"/>
      <c r="G360" s="896"/>
      <c r="H360" s="896"/>
      <c r="I360" s="896"/>
      <c r="J360" s="896"/>
      <c r="K360" s="896"/>
      <c r="L360" s="897"/>
      <c r="M360" s="896"/>
      <c r="N360" s="889"/>
      <c r="O360" s="889"/>
      <c r="P360" s="889"/>
      <c r="Q360" s="896"/>
      <c r="R360" s="896"/>
      <c r="S360" s="896"/>
      <c r="T360" s="898"/>
      <c r="U360" s="898"/>
      <c r="V360" s="899"/>
      <c r="W360" s="899"/>
      <c r="X360" s="899"/>
      <c r="Y360" s="899"/>
      <c r="Z360" s="899"/>
      <c r="AA360" s="899"/>
      <c r="AB360" s="899"/>
      <c r="AC360" s="899"/>
      <c r="AD360" s="899"/>
      <c r="AE360" s="899"/>
      <c r="AF360" s="899"/>
      <c r="AG360" s="899"/>
    </row>
    <row r="361" spans="1:34" s="3" customFormat="1" ht="16" customHeight="1">
      <c r="A361" s="7"/>
      <c r="B361" s="10"/>
      <c r="C361" s="12"/>
      <c r="D361" s="896"/>
      <c r="E361" s="896"/>
      <c r="F361" s="896"/>
      <c r="G361" s="896"/>
      <c r="H361" s="896"/>
      <c r="I361" s="896"/>
      <c r="J361" s="896"/>
      <c r="K361" s="896"/>
      <c r="L361" s="897"/>
      <c r="M361" s="896"/>
      <c r="N361" s="889"/>
      <c r="O361" s="889"/>
      <c r="P361" s="889"/>
      <c r="Q361" s="896"/>
      <c r="R361" s="896"/>
      <c r="S361" s="896"/>
      <c r="T361" s="898"/>
      <c r="U361" s="898"/>
      <c r="V361" s="899"/>
      <c r="W361" s="899"/>
      <c r="X361" s="899"/>
      <c r="Y361" s="899"/>
      <c r="Z361" s="899"/>
      <c r="AA361" s="899"/>
      <c r="AB361" s="899"/>
      <c r="AC361" s="899"/>
      <c r="AD361" s="899"/>
      <c r="AE361" s="899"/>
      <c r="AF361" s="899"/>
      <c r="AG361" s="899"/>
    </row>
    <row r="362" spans="1:34" s="3" customFormat="1" ht="16" customHeight="1">
      <c r="A362" s="29"/>
      <c r="B362" s="30"/>
      <c r="C362" s="30"/>
      <c r="D362" s="31"/>
      <c r="E362" s="31"/>
      <c r="F362" s="32"/>
      <c r="G362" s="31"/>
      <c r="H362" s="32"/>
      <c r="I362" s="32"/>
      <c r="J362" s="31"/>
      <c r="K362" s="31"/>
      <c r="L362" s="284"/>
      <c r="M362" s="32"/>
      <c r="N362" s="32"/>
      <c r="O362" s="31"/>
      <c r="P362" s="32"/>
      <c r="Q362" s="32"/>
      <c r="R362" s="31"/>
      <c r="S362" s="32"/>
      <c r="T362" s="31"/>
      <c r="U362" s="31"/>
      <c r="V362" s="29"/>
      <c r="W362" s="29"/>
      <c r="X362" s="29"/>
      <c r="Y362" s="29"/>
      <c r="Z362" s="29"/>
      <c r="AA362" s="29"/>
      <c r="AB362" s="29"/>
      <c r="AC362" s="29"/>
      <c r="AD362" s="29"/>
      <c r="AE362" s="29"/>
      <c r="AF362" s="29"/>
      <c r="AG362" s="29"/>
    </row>
    <row r="363" spans="1:34" s="3" customFormat="1" ht="16" customHeight="1" thickBot="1">
      <c r="A363" s="7"/>
      <c r="B363" s="19" t="str">
        <f>"FA2 = "&amp;'FIG3'!$W$53&amp;" "&amp;'FIG3'!$X$53</f>
        <v>FA2 = FA2L1 FA2L2</v>
      </c>
      <c r="C363" s="7"/>
      <c r="D363" s="17"/>
      <c r="E363" s="17"/>
      <c r="F363" s="18"/>
      <c r="G363" s="17"/>
      <c r="H363" s="18"/>
      <c r="I363" s="18"/>
      <c r="J363" s="17"/>
      <c r="K363" s="17"/>
      <c r="L363" s="281"/>
      <c r="M363" s="18"/>
      <c r="N363" s="9"/>
      <c r="O363" s="17"/>
      <c r="P363" s="18"/>
      <c r="Q363" s="18"/>
      <c r="R363" s="17"/>
      <c r="S363" s="882"/>
      <c r="T363" s="883" t="str">
        <f>'$REV-DB'!$T$34</f>
        <v>Federal Revenues</v>
      </c>
      <c r="U363" s="883" t="str">
        <f>'$REV-DB'!$U$34</f>
        <v>local Revenues</v>
      </c>
      <c r="V363" s="883" t="str">
        <f>'$REV-DB'!$V$34</f>
        <v>Other Revenues</v>
      </c>
      <c r="W363" s="883" t="str">
        <f>'$REV-DB'!$W$34</f>
        <v>State revenues</v>
      </c>
      <c r="X363" s="883" t="str">
        <f>'$REV-DB'!$X$34</f>
        <v>UD5</v>
      </c>
      <c r="Y363" s="883" t="str">
        <f>'$REV-DB'!$Y$34</f>
        <v>UD6</v>
      </c>
      <c r="Z363" s="883" t="str">
        <f>'$REV-DB'!$Z$34</f>
        <v>UD7</v>
      </c>
      <c r="AA363" s="883" t="str">
        <f>'$REV-DB'!$AA$34</f>
        <v>UD8</v>
      </c>
      <c r="AB363" s="883" t="str">
        <f>'$REV-DB'!$AB$34</f>
        <v>UD9</v>
      </c>
      <c r="AC363" s="883" t="str">
        <f>'$REV-DB'!$AC$34</f>
        <v>UD10</v>
      </c>
      <c r="AD363" s="883" t="str">
        <f>'$REV-DB'!$AD$34</f>
        <v>UD11</v>
      </c>
      <c r="AE363" s="883" t="str">
        <f>'$REV-DB'!$AE$34</f>
        <v>UD12</v>
      </c>
      <c r="AF363" s="883" t="str">
        <f>'$REV-DB'!$AF$34</f>
        <v>UD13</v>
      </c>
      <c r="AG363" s="883" t="str">
        <f>'$REV-DB'!$AG$34</f>
        <v>UD14</v>
      </c>
    </row>
    <row r="364" spans="1:34" s="3" customFormat="1" ht="16" customHeight="1" thickTop="1" thickBot="1">
      <c r="A364" s="7"/>
      <c r="B364" s="20" t="s">
        <v>1375</v>
      </c>
      <c r="C364" s="15"/>
      <c r="D364" s="877" t="s">
        <v>1386</v>
      </c>
      <c r="E364" s="877" t="s">
        <v>1387</v>
      </c>
      <c r="F364" s="877" t="s">
        <v>1388</v>
      </c>
      <c r="G364" s="877" t="s">
        <v>1389</v>
      </c>
      <c r="H364" s="877" t="s">
        <v>1406</v>
      </c>
      <c r="I364" s="877" t="s">
        <v>1390</v>
      </c>
      <c r="J364" s="877" t="s">
        <v>1391</v>
      </c>
      <c r="K364" s="877" t="s">
        <v>1392</v>
      </c>
      <c r="L364" s="877" t="s">
        <v>1188</v>
      </c>
      <c r="M364" s="877" t="s">
        <v>1437</v>
      </c>
      <c r="N364" s="877" t="s">
        <v>1348</v>
      </c>
      <c r="O364" s="877" t="s">
        <v>1393</v>
      </c>
      <c r="P364" s="877" t="s">
        <v>1342</v>
      </c>
      <c r="Q364" s="877" t="s">
        <v>1394</v>
      </c>
      <c r="R364" s="112" t="s">
        <v>1341</v>
      </c>
      <c r="S364" s="112" t="s">
        <v>846</v>
      </c>
      <c r="T364" s="877" t="s">
        <v>935</v>
      </c>
      <c r="U364" s="877" t="s">
        <v>936</v>
      </c>
      <c r="V364" s="877" t="s">
        <v>937</v>
      </c>
      <c r="W364" s="877" t="s">
        <v>938</v>
      </c>
      <c r="X364" s="877" t="s">
        <v>939</v>
      </c>
      <c r="Y364" s="877" t="s">
        <v>940</v>
      </c>
      <c r="Z364" s="877" t="s">
        <v>941</v>
      </c>
      <c r="AA364" s="877" t="s">
        <v>942</v>
      </c>
      <c r="AB364" s="877" t="s">
        <v>943</v>
      </c>
      <c r="AC364" s="877" t="s">
        <v>944</v>
      </c>
      <c r="AD364" s="877" t="s">
        <v>945</v>
      </c>
      <c r="AE364" s="877" t="s">
        <v>946</v>
      </c>
      <c r="AF364" s="877" t="s">
        <v>947</v>
      </c>
      <c r="AG364" s="877" t="s">
        <v>948</v>
      </c>
      <c r="AH364" s="6"/>
    </row>
    <row r="365" spans="1:34" s="3" customFormat="1" ht="16" customHeight="1" thickTop="1">
      <c r="A365" s="7"/>
      <c r="B365" s="19" t="s">
        <v>1346</v>
      </c>
      <c r="C365" s="12"/>
      <c r="D365" s="194"/>
      <c r="E365" s="194"/>
      <c r="F365" s="193"/>
      <c r="G365" s="194"/>
      <c r="H365" s="193"/>
      <c r="I365" s="193"/>
      <c r="J365" s="194"/>
      <c r="K365" s="194"/>
      <c r="L365" s="285" t="s">
        <v>1429</v>
      </c>
      <c r="M365" s="193"/>
      <c r="N365" s="47" t="str">
        <f>J$6</f>
        <v>FY2010-11</v>
      </c>
      <c r="O365" s="47" t="s">
        <v>1353</v>
      </c>
      <c r="P365" s="47" t="s">
        <v>1347</v>
      </c>
      <c r="Q365" s="47"/>
      <c r="R365" s="194"/>
      <c r="S365" s="193" t="s">
        <v>871</v>
      </c>
      <c r="T365" s="194"/>
      <c r="U365" s="194"/>
      <c r="V365" s="195"/>
      <c r="W365" s="195"/>
      <c r="X365" s="195"/>
      <c r="Y365" s="195"/>
      <c r="Z365" s="195"/>
      <c r="AA365" s="195"/>
      <c r="AB365" s="195"/>
      <c r="AC365" s="195"/>
      <c r="AD365" s="195"/>
      <c r="AE365" s="195"/>
      <c r="AF365" s="195"/>
      <c r="AG365" s="195"/>
      <c r="AH365" s="6"/>
    </row>
    <row r="366" spans="1:34" s="3" customFormat="1" ht="16" customHeight="1">
      <c r="A366" s="7"/>
      <c r="B366" s="16">
        <f>DSUM('$REV-DB'!D35:AG374,"AMOUNT",D364:AG365)</f>
        <v>0</v>
      </c>
      <c r="C366" s="12"/>
      <c r="D366" s="896"/>
      <c r="E366" s="896"/>
      <c r="F366" s="896"/>
      <c r="G366" s="896"/>
      <c r="H366" s="896"/>
      <c r="I366" s="896"/>
      <c r="J366" s="896"/>
      <c r="K366" s="896"/>
      <c r="L366" s="897"/>
      <c r="M366" s="896"/>
      <c r="N366" s="889"/>
      <c r="O366" s="896"/>
      <c r="P366" s="889"/>
      <c r="Q366" s="900"/>
      <c r="R366" s="896"/>
      <c r="S366" s="896"/>
      <c r="T366" s="898"/>
      <c r="U366" s="898"/>
      <c r="V366" s="899"/>
      <c r="W366" s="899"/>
      <c r="X366" s="899"/>
      <c r="Y366" s="899"/>
      <c r="Z366" s="899"/>
      <c r="AA366" s="899"/>
      <c r="AB366" s="899"/>
      <c r="AC366" s="899"/>
      <c r="AD366" s="899"/>
      <c r="AE366" s="899"/>
      <c r="AF366" s="899"/>
      <c r="AG366" s="899"/>
      <c r="AH366" s="6"/>
    </row>
    <row r="367" spans="1:34" s="3" customFormat="1" ht="16" customHeight="1">
      <c r="A367" s="7"/>
      <c r="B367" s="10"/>
      <c r="C367" s="12"/>
      <c r="D367" s="896"/>
      <c r="E367" s="896"/>
      <c r="F367" s="896"/>
      <c r="G367" s="896"/>
      <c r="H367" s="896"/>
      <c r="I367" s="896"/>
      <c r="J367" s="896"/>
      <c r="K367" s="896"/>
      <c r="L367" s="897"/>
      <c r="M367" s="896"/>
      <c r="N367" s="889"/>
      <c r="O367" s="896"/>
      <c r="P367" s="889"/>
      <c r="Q367" s="900"/>
      <c r="R367" s="896"/>
      <c r="S367" s="896"/>
      <c r="T367" s="898"/>
      <c r="U367" s="898"/>
      <c r="V367" s="899"/>
      <c r="W367" s="899"/>
      <c r="X367" s="899"/>
      <c r="Y367" s="899"/>
      <c r="Z367" s="899"/>
      <c r="AA367" s="899"/>
      <c r="AB367" s="899"/>
      <c r="AC367" s="899"/>
      <c r="AD367" s="899"/>
      <c r="AE367" s="899"/>
      <c r="AF367" s="899"/>
      <c r="AG367" s="899"/>
    </row>
    <row r="368" spans="1:34" s="3" customFormat="1" ht="16" customHeight="1">
      <c r="A368" s="7"/>
      <c r="B368" s="10"/>
      <c r="C368" s="12"/>
      <c r="D368" s="896"/>
      <c r="E368" s="896"/>
      <c r="F368" s="896"/>
      <c r="G368" s="896"/>
      <c r="H368" s="896"/>
      <c r="I368" s="896"/>
      <c r="J368" s="896"/>
      <c r="K368" s="896"/>
      <c r="L368" s="897"/>
      <c r="M368" s="896"/>
      <c r="N368" s="889"/>
      <c r="O368" s="896"/>
      <c r="P368" s="889"/>
      <c r="Q368" s="900"/>
      <c r="R368" s="896"/>
      <c r="S368" s="896"/>
      <c r="T368" s="898"/>
      <c r="U368" s="898"/>
      <c r="V368" s="899"/>
      <c r="W368" s="899"/>
      <c r="X368" s="899"/>
      <c r="Y368" s="899"/>
      <c r="Z368" s="899"/>
      <c r="AA368" s="899"/>
      <c r="AB368" s="899"/>
      <c r="AC368" s="899"/>
      <c r="AD368" s="899"/>
      <c r="AE368" s="899"/>
      <c r="AF368" s="899"/>
      <c r="AG368" s="899"/>
    </row>
    <row r="369" spans="1:34" s="3" customFormat="1" ht="16" customHeight="1">
      <c r="A369" s="7"/>
      <c r="B369" s="10"/>
      <c r="C369" s="12"/>
      <c r="D369" s="896"/>
      <c r="E369" s="896"/>
      <c r="F369" s="896"/>
      <c r="G369" s="896"/>
      <c r="H369" s="896"/>
      <c r="I369" s="896"/>
      <c r="J369" s="896"/>
      <c r="K369" s="896"/>
      <c r="L369" s="897"/>
      <c r="M369" s="896"/>
      <c r="N369" s="889"/>
      <c r="O369" s="896"/>
      <c r="P369" s="889"/>
      <c r="Q369" s="900"/>
      <c r="R369" s="896"/>
      <c r="S369" s="896"/>
      <c r="T369" s="898"/>
      <c r="U369" s="898"/>
      <c r="V369" s="899"/>
      <c r="W369" s="899"/>
      <c r="X369" s="899"/>
      <c r="Y369" s="899"/>
      <c r="Z369" s="899"/>
      <c r="AA369" s="899"/>
      <c r="AB369" s="899"/>
      <c r="AC369" s="899"/>
      <c r="AD369" s="899"/>
      <c r="AE369" s="899"/>
      <c r="AF369" s="899"/>
      <c r="AG369" s="899"/>
    </row>
    <row r="370" spans="1:34" s="3" customFormat="1" ht="16" customHeight="1">
      <c r="A370" s="7"/>
      <c r="B370" s="10"/>
      <c r="C370" s="12"/>
      <c r="D370" s="896"/>
      <c r="E370" s="896"/>
      <c r="F370" s="896"/>
      <c r="G370" s="896"/>
      <c r="H370" s="896"/>
      <c r="I370" s="896"/>
      <c r="J370" s="896"/>
      <c r="K370" s="896"/>
      <c r="L370" s="897"/>
      <c r="M370" s="896"/>
      <c r="N370" s="889"/>
      <c r="O370" s="896"/>
      <c r="P370" s="889"/>
      <c r="Q370" s="900"/>
      <c r="R370" s="896"/>
      <c r="S370" s="896"/>
      <c r="T370" s="898"/>
      <c r="U370" s="898"/>
      <c r="V370" s="899"/>
      <c r="W370" s="899"/>
      <c r="X370" s="899"/>
      <c r="Y370" s="899"/>
      <c r="Z370" s="899"/>
      <c r="AA370" s="899"/>
      <c r="AB370" s="899"/>
      <c r="AC370" s="899"/>
      <c r="AD370" s="899"/>
      <c r="AE370" s="899"/>
      <c r="AF370" s="899"/>
      <c r="AG370" s="899"/>
    </row>
    <row r="371" spans="1:34" s="3" customFormat="1" ht="16" customHeight="1">
      <c r="A371" s="7"/>
      <c r="B371" s="10"/>
      <c r="C371" s="12"/>
      <c r="D371" s="896"/>
      <c r="E371" s="896"/>
      <c r="F371" s="896"/>
      <c r="G371" s="896"/>
      <c r="H371" s="896"/>
      <c r="I371" s="896"/>
      <c r="J371" s="896"/>
      <c r="K371" s="896"/>
      <c r="L371" s="897"/>
      <c r="M371" s="896"/>
      <c r="N371" s="889"/>
      <c r="O371" s="896"/>
      <c r="P371" s="889"/>
      <c r="Q371" s="900"/>
      <c r="R371" s="896"/>
      <c r="S371" s="896"/>
      <c r="T371" s="898"/>
      <c r="U371" s="898"/>
      <c r="V371" s="899"/>
      <c r="W371" s="899"/>
      <c r="X371" s="899"/>
      <c r="Y371" s="899"/>
      <c r="Z371" s="899"/>
      <c r="AA371" s="899"/>
      <c r="AB371" s="899"/>
      <c r="AC371" s="899"/>
      <c r="AD371" s="899"/>
      <c r="AE371" s="899"/>
      <c r="AF371" s="899"/>
      <c r="AG371" s="899"/>
    </row>
    <row r="372" spans="1:34" s="3" customFormat="1" ht="16" customHeight="1">
      <c r="A372" s="29"/>
      <c r="B372" s="30"/>
      <c r="C372" s="30"/>
      <c r="D372" s="31"/>
      <c r="E372" s="31"/>
      <c r="F372" s="32"/>
      <c r="G372" s="31"/>
      <c r="H372" s="32"/>
      <c r="I372" s="32"/>
      <c r="J372" s="31"/>
      <c r="K372" s="31"/>
      <c r="L372" s="284"/>
      <c r="M372" s="32"/>
      <c r="N372" s="32"/>
      <c r="O372" s="31"/>
      <c r="P372" s="32"/>
      <c r="Q372" s="32"/>
      <c r="R372" s="31"/>
      <c r="S372" s="32"/>
      <c r="T372" s="31"/>
      <c r="U372" s="31"/>
      <c r="V372" s="29"/>
      <c r="W372" s="29"/>
      <c r="X372" s="29"/>
      <c r="Y372" s="29"/>
      <c r="Z372" s="29"/>
      <c r="AA372" s="29"/>
      <c r="AB372" s="29"/>
      <c r="AC372" s="29"/>
      <c r="AD372" s="29"/>
      <c r="AE372" s="29"/>
      <c r="AF372" s="29"/>
      <c r="AG372" s="29"/>
    </row>
    <row r="373" spans="1:34" s="3" customFormat="1" ht="16" customHeight="1" thickBot="1">
      <c r="A373" s="7"/>
      <c r="B373" s="19" t="str">
        <f>"FA2 = "&amp;'FIG3'!$W$53&amp;" "&amp;'FIG3'!$X$53</f>
        <v>FA2 = FA2L1 FA2L2</v>
      </c>
      <c r="C373" s="7"/>
      <c r="D373" s="8"/>
      <c r="E373" s="8"/>
      <c r="F373" s="9"/>
      <c r="G373" s="8"/>
      <c r="H373" s="9"/>
      <c r="I373" s="9"/>
      <c r="J373" s="8"/>
      <c r="K373" s="8"/>
      <c r="L373" s="280"/>
      <c r="M373" s="9"/>
      <c r="N373" s="9"/>
      <c r="O373" s="8"/>
      <c r="P373" s="9"/>
      <c r="Q373" s="9"/>
      <c r="R373" s="8"/>
      <c r="S373" s="882"/>
      <c r="T373" s="883" t="str">
        <f>'$REV-DB'!$T$34</f>
        <v>Federal Revenues</v>
      </c>
      <c r="U373" s="883" t="str">
        <f>'$REV-DB'!$U$34</f>
        <v>local Revenues</v>
      </c>
      <c r="V373" s="883" t="str">
        <f>'$REV-DB'!$V$34</f>
        <v>Other Revenues</v>
      </c>
      <c r="W373" s="883" t="str">
        <f>'$REV-DB'!$W$34</f>
        <v>State revenues</v>
      </c>
      <c r="X373" s="883" t="str">
        <f>'$REV-DB'!$X$34</f>
        <v>UD5</v>
      </c>
      <c r="Y373" s="883" t="str">
        <f>'$REV-DB'!$Y$34</f>
        <v>UD6</v>
      </c>
      <c r="Z373" s="883" t="str">
        <f>'$REV-DB'!$Z$34</f>
        <v>UD7</v>
      </c>
      <c r="AA373" s="883" t="str">
        <f>'$REV-DB'!$AA$34</f>
        <v>UD8</v>
      </c>
      <c r="AB373" s="883" t="str">
        <f>'$REV-DB'!$AB$34</f>
        <v>UD9</v>
      </c>
      <c r="AC373" s="883" t="str">
        <f>'$REV-DB'!$AC$34</f>
        <v>UD10</v>
      </c>
      <c r="AD373" s="883" t="str">
        <f>'$REV-DB'!$AD$34</f>
        <v>UD11</v>
      </c>
      <c r="AE373" s="883" t="str">
        <f>'$REV-DB'!$AE$34</f>
        <v>UD12</v>
      </c>
      <c r="AF373" s="883" t="str">
        <f>'$REV-DB'!$AF$34</f>
        <v>UD13</v>
      </c>
      <c r="AG373" s="883" t="str">
        <f>'$REV-DB'!$AG$34</f>
        <v>UD14</v>
      </c>
    </row>
    <row r="374" spans="1:34" s="3" customFormat="1" ht="16" customHeight="1" thickTop="1" thickBot="1">
      <c r="A374" s="7"/>
      <c r="B374" s="20" t="s">
        <v>1375</v>
      </c>
      <c r="C374" s="15"/>
      <c r="D374" s="877" t="s">
        <v>1386</v>
      </c>
      <c r="E374" s="877" t="s">
        <v>1387</v>
      </c>
      <c r="F374" s="877" t="s">
        <v>1388</v>
      </c>
      <c r="G374" s="877" t="s">
        <v>1389</v>
      </c>
      <c r="H374" s="877" t="s">
        <v>1406</v>
      </c>
      <c r="I374" s="877" t="s">
        <v>1390</v>
      </c>
      <c r="J374" s="877" t="s">
        <v>1391</v>
      </c>
      <c r="K374" s="877" t="s">
        <v>1392</v>
      </c>
      <c r="L374" s="877" t="s">
        <v>1188</v>
      </c>
      <c r="M374" s="877" t="s">
        <v>1437</v>
      </c>
      <c r="N374" s="877" t="s">
        <v>1348</v>
      </c>
      <c r="O374" s="877" t="s">
        <v>1393</v>
      </c>
      <c r="P374" s="877" t="s">
        <v>1342</v>
      </c>
      <c r="Q374" s="877" t="s">
        <v>1394</v>
      </c>
      <c r="R374" s="112" t="s">
        <v>1341</v>
      </c>
      <c r="S374" s="112" t="s">
        <v>846</v>
      </c>
      <c r="T374" s="877" t="s">
        <v>935</v>
      </c>
      <c r="U374" s="877" t="s">
        <v>936</v>
      </c>
      <c r="V374" s="877" t="s">
        <v>937</v>
      </c>
      <c r="W374" s="877" t="s">
        <v>938</v>
      </c>
      <c r="X374" s="877" t="s">
        <v>939</v>
      </c>
      <c r="Y374" s="877" t="s">
        <v>940</v>
      </c>
      <c r="Z374" s="877" t="s">
        <v>941</v>
      </c>
      <c r="AA374" s="877" t="s">
        <v>942</v>
      </c>
      <c r="AB374" s="877" t="s">
        <v>943</v>
      </c>
      <c r="AC374" s="877" t="s">
        <v>944</v>
      </c>
      <c r="AD374" s="877" t="s">
        <v>945</v>
      </c>
      <c r="AE374" s="877" t="s">
        <v>946</v>
      </c>
      <c r="AF374" s="877" t="s">
        <v>947</v>
      </c>
      <c r="AG374" s="877" t="s">
        <v>948</v>
      </c>
      <c r="AH374" s="6"/>
    </row>
    <row r="375" spans="1:34" s="3" customFormat="1" ht="16" customHeight="1" thickTop="1">
      <c r="A375" s="7"/>
      <c r="B375" s="19" t="s">
        <v>1345</v>
      </c>
      <c r="C375" s="12"/>
      <c r="D375" s="194"/>
      <c r="E375" s="194"/>
      <c r="F375" s="193"/>
      <c r="G375" s="194"/>
      <c r="H375" s="193"/>
      <c r="I375" s="193"/>
      <c r="J375" s="194"/>
      <c r="K375" s="194"/>
      <c r="L375" s="285" t="s">
        <v>1429</v>
      </c>
      <c r="M375" s="193"/>
      <c r="N375" s="47" t="str">
        <f>J$6</f>
        <v>FY2010-11</v>
      </c>
      <c r="O375" s="47" t="s">
        <v>1353</v>
      </c>
      <c r="P375" s="47" t="s">
        <v>1347</v>
      </c>
      <c r="Q375" s="47" t="s">
        <v>1380</v>
      </c>
      <c r="R375" s="194"/>
      <c r="S375" s="193" t="s">
        <v>871</v>
      </c>
      <c r="T375" s="194"/>
      <c r="U375" s="194"/>
      <c r="V375" s="195"/>
      <c r="W375" s="195"/>
      <c r="X375" s="195"/>
      <c r="Y375" s="195"/>
      <c r="Z375" s="195"/>
      <c r="AA375" s="195"/>
      <c r="AB375" s="195"/>
      <c r="AC375" s="195"/>
      <c r="AD375" s="195"/>
      <c r="AE375" s="195"/>
      <c r="AF375" s="195"/>
      <c r="AG375" s="195"/>
      <c r="AH375" s="6"/>
    </row>
    <row r="376" spans="1:34" s="3" customFormat="1" ht="16" customHeight="1">
      <c r="A376" s="7"/>
      <c r="B376" s="16">
        <f>DSUM('$REV-DB'!D35:AG374,"AMOUNT",D374:AG375)</f>
        <v>0</v>
      </c>
      <c r="C376" s="12"/>
      <c r="D376" s="896"/>
      <c r="E376" s="896"/>
      <c r="F376" s="896"/>
      <c r="G376" s="896"/>
      <c r="H376" s="896"/>
      <c r="I376" s="896"/>
      <c r="J376" s="896"/>
      <c r="K376" s="896"/>
      <c r="L376" s="897"/>
      <c r="M376" s="896"/>
      <c r="N376" s="889"/>
      <c r="O376" s="896"/>
      <c r="P376" s="889"/>
      <c r="Q376" s="900"/>
      <c r="R376" s="896"/>
      <c r="S376" s="896"/>
      <c r="T376" s="898"/>
      <c r="U376" s="898"/>
      <c r="V376" s="899"/>
      <c r="W376" s="899"/>
      <c r="X376" s="899"/>
      <c r="Y376" s="899"/>
      <c r="Z376" s="899"/>
      <c r="AA376" s="899"/>
      <c r="AB376" s="899"/>
      <c r="AC376" s="899"/>
      <c r="AD376" s="899"/>
      <c r="AE376" s="899"/>
      <c r="AF376" s="899"/>
      <c r="AG376" s="899"/>
      <c r="AH376" s="6"/>
    </row>
    <row r="377" spans="1:34" s="3" customFormat="1" ht="16" customHeight="1">
      <c r="A377" s="7"/>
      <c r="B377" s="10"/>
      <c r="C377" s="12"/>
      <c r="D377" s="896"/>
      <c r="E377" s="896"/>
      <c r="F377" s="896"/>
      <c r="G377" s="896"/>
      <c r="H377" s="896"/>
      <c r="I377" s="896"/>
      <c r="J377" s="896"/>
      <c r="K377" s="896"/>
      <c r="L377" s="897"/>
      <c r="M377" s="896"/>
      <c r="N377" s="889"/>
      <c r="O377" s="896"/>
      <c r="P377" s="889"/>
      <c r="Q377" s="900"/>
      <c r="R377" s="896"/>
      <c r="S377" s="896"/>
      <c r="T377" s="898"/>
      <c r="U377" s="898"/>
      <c r="V377" s="899"/>
      <c r="W377" s="899"/>
      <c r="X377" s="899"/>
      <c r="Y377" s="899"/>
      <c r="Z377" s="899"/>
      <c r="AA377" s="899"/>
      <c r="AB377" s="899"/>
      <c r="AC377" s="899"/>
      <c r="AD377" s="899"/>
      <c r="AE377" s="899"/>
      <c r="AF377" s="899"/>
      <c r="AG377" s="899"/>
    </row>
    <row r="378" spans="1:34" s="3" customFormat="1" ht="16" customHeight="1">
      <c r="A378" s="7"/>
      <c r="B378" s="10"/>
      <c r="C378" s="12"/>
      <c r="D378" s="896"/>
      <c r="E378" s="896"/>
      <c r="F378" s="896"/>
      <c r="G378" s="896"/>
      <c r="H378" s="896"/>
      <c r="I378" s="896"/>
      <c r="J378" s="896"/>
      <c r="K378" s="896"/>
      <c r="L378" s="897"/>
      <c r="M378" s="896"/>
      <c r="N378" s="889"/>
      <c r="O378" s="896"/>
      <c r="P378" s="889"/>
      <c r="Q378" s="900"/>
      <c r="R378" s="896"/>
      <c r="S378" s="896"/>
      <c r="T378" s="898"/>
      <c r="U378" s="898"/>
      <c r="V378" s="899"/>
      <c r="W378" s="899"/>
      <c r="X378" s="899"/>
      <c r="Y378" s="899"/>
      <c r="Z378" s="899"/>
      <c r="AA378" s="899"/>
      <c r="AB378" s="899"/>
      <c r="AC378" s="899"/>
      <c r="AD378" s="899"/>
      <c r="AE378" s="899"/>
      <c r="AF378" s="899"/>
      <c r="AG378" s="899"/>
    </row>
    <row r="379" spans="1:34" s="3" customFormat="1" ht="16" customHeight="1">
      <c r="A379" s="7"/>
      <c r="B379" s="10"/>
      <c r="C379" s="12"/>
      <c r="D379" s="896"/>
      <c r="E379" s="896"/>
      <c r="F379" s="896"/>
      <c r="G379" s="896"/>
      <c r="H379" s="896"/>
      <c r="I379" s="896"/>
      <c r="J379" s="896"/>
      <c r="K379" s="896"/>
      <c r="L379" s="897"/>
      <c r="M379" s="896"/>
      <c r="N379" s="889"/>
      <c r="O379" s="896"/>
      <c r="P379" s="889"/>
      <c r="Q379" s="900"/>
      <c r="R379" s="896"/>
      <c r="S379" s="896"/>
      <c r="T379" s="898"/>
      <c r="U379" s="898"/>
      <c r="V379" s="899"/>
      <c r="W379" s="899"/>
      <c r="X379" s="899"/>
      <c r="Y379" s="899"/>
      <c r="Z379" s="899"/>
      <c r="AA379" s="899"/>
      <c r="AB379" s="899"/>
      <c r="AC379" s="899"/>
      <c r="AD379" s="899"/>
      <c r="AE379" s="899"/>
      <c r="AF379" s="899"/>
      <c r="AG379" s="899"/>
    </row>
    <row r="380" spans="1:34" s="3" customFormat="1" ht="16" customHeight="1">
      <c r="A380" s="7"/>
      <c r="B380" s="10"/>
      <c r="C380" s="12"/>
      <c r="D380" s="896"/>
      <c r="E380" s="896"/>
      <c r="F380" s="896"/>
      <c r="G380" s="896"/>
      <c r="H380" s="896"/>
      <c r="I380" s="896"/>
      <c r="J380" s="896"/>
      <c r="K380" s="896"/>
      <c r="L380" s="897"/>
      <c r="M380" s="896"/>
      <c r="N380" s="889"/>
      <c r="O380" s="896"/>
      <c r="P380" s="889"/>
      <c r="Q380" s="900"/>
      <c r="R380" s="896"/>
      <c r="S380" s="896"/>
      <c r="T380" s="898"/>
      <c r="U380" s="898"/>
      <c r="V380" s="899"/>
      <c r="W380" s="899"/>
      <c r="X380" s="899"/>
      <c r="Y380" s="899"/>
      <c r="Z380" s="899"/>
      <c r="AA380" s="899"/>
      <c r="AB380" s="899"/>
      <c r="AC380" s="899"/>
      <c r="AD380" s="899"/>
      <c r="AE380" s="899"/>
      <c r="AF380" s="899"/>
      <c r="AG380" s="899"/>
    </row>
    <row r="381" spans="1:34" s="3" customFormat="1" ht="16" customHeight="1">
      <c r="A381" s="7"/>
      <c r="B381" s="10"/>
      <c r="C381" s="12"/>
      <c r="D381" s="896"/>
      <c r="E381" s="896"/>
      <c r="F381" s="896"/>
      <c r="G381" s="896"/>
      <c r="H381" s="896"/>
      <c r="I381" s="896"/>
      <c r="J381" s="896"/>
      <c r="K381" s="896"/>
      <c r="L381" s="897"/>
      <c r="M381" s="896"/>
      <c r="N381" s="889"/>
      <c r="O381" s="896"/>
      <c r="P381" s="889"/>
      <c r="Q381" s="900"/>
      <c r="R381" s="896"/>
      <c r="S381" s="896"/>
      <c r="T381" s="898"/>
      <c r="U381" s="898"/>
      <c r="V381" s="899"/>
      <c r="W381" s="899"/>
      <c r="X381" s="899"/>
      <c r="Y381" s="899"/>
      <c r="Z381" s="899"/>
      <c r="AA381" s="899"/>
      <c r="AB381" s="899"/>
      <c r="AC381" s="899"/>
      <c r="AD381" s="899"/>
      <c r="AE381" s="899"/>
      <c r="AF381" s="899"/>
      <c r="AG381" s="899"/>
    </row>
    <row r="382" spans="1:34" s="3" customFormat="1" ht="16" customHeight="1">
      <c r="A382" s="29"/>
      <c r="B382" s="30"/>
      <c r="C382" s="30"/>
      <c r="D382" s="31"/>
      <c r="E382" s="31"/>
      <c r="F382" s="32"/>
      <c r="G382" s="31"/>
      <c r="H382" s="32"/>
      <c r="I382" s="32"/>
      <c r="J382" s="31"/>
      <c r="K382" s="31"/>
      <c r="L382" s="284"/>
      <c r="M382" s="32"/>
      <c r="N382" s="32"/>
      <c r="O382" s="31"/>
      <c r="P382" s="32"/>
      <c r="Q382" s="32"/>
      <c r="R382" s="31"/>
      <c r="S382" s="32"/>
      <c r="T382" s="31"/>
      <c r="U382" s="31"/>
      <c r="V382" s="29"/>
      <c r="W382" s="29"/>
      <c r="X382" s="29"/>
      <c r="Y382" s="29"/>
      <c r="Z382" s="29"/>
      <c r="AA382" s="29"/>
      <c r="AB382" s="29"/>
      <c r="AC382" s="29"/>
      <c r="AD382" s="29"/>
      <c r="AE382" s="29"/>
      <c r="AF382" s="29"/>
      <c r="AG382" s="29"/>
    </row>
    <row r="383" spans="1:34" s="3" customFormat="1" ht="16" customHeight="1" thickBot="1">
      <c r="A383" s="7"/>
      <c r="B383" s="19" t="str">
        <f>"FA2 = "&amp;'FIG3'!$W$53&amp;" "&amp;'FIG3'!$X$53</f>
        <v>FA2 = FA2L1 FA2L2</v>
      </c>
      <c r="C383" s="7"/>
      <c r="D383" s="8"/>
      <c r="E383" s="8"/>
      <c r="F383" s="9"/>
      <c r="G383" s="8"/>
      <c r="H383" s="9"/>
      <c r="I383" s="9"/>
      <c r="J383" s="8"/>
      <c r="K383" s="8"/>
      <c r="L383" s="280"/>
      <c r="M383" s="9"/>
      <c r="N383" s="9"/>
      <c r="O383" s="8"/>
      <c r="P383" s="9"/>
      <c r="Q383" s="9"/>
      <c r="R383" s="8"/>
      <c r="S383" s="882"/>
      <c r="T383" s="883" t="str">
        <f>'$REV-DB'!$T$34</f>
        <v>Federal Revenues</v>
      </c>
      <c r="U383" s="883" t="str">
        <f>'$REV-DB'!$U$34</f>
        <v>local Revenues</v>
      </c>
      <c r="V383" s="883" t="str">
        <f>'$REV-DB'!$V$34</f>
        <v>Other Revenues</v>
      </c>
      <c r="W383" s="883" t="str">
        <f>'$REV-DB'!$W$34</f>
        <v>State revenues</v>
      </c>
      <c r="X383" s="883" t="str">
        <f>'$REV-DB'!$X$34</f>
        <v>UD5</v>
      </c>
      <c r="Y383" s="883" t="str">
        <f>'$REV-DB'!$Y$34</f>
        <v>UD6</v>
      </c>
      <c r="Z383" s="883" t="str">
        <f>'$REV-DB'!$Z$34</f>
        <v>UD7</v>
      </c>
      <c r="AA383" s="883" t="str">
        <f>'$REV-DB'!$AA$34</f>
        <v>UD8</v>
      </c>
      <c r="AB383" s="883" t="str">
        <f>'$REV-DB'!$AB$34</f>
        <v>UD9</v>
      </c>
      <c r="AC383" s="883" t="str">
        <f>'$REV-DB'!$AC$34</f>
        <v>UD10</v>
      </c>
      <c r="AD383" s="883" t="str">
        <f>'$REV-DB'!$AD$34</f>
        <v>UD11</v>
      </c>
      <c r="AE383" s="883" t="str">
        <f>'$REV-DB'!$AE$34</f>
        <v>UD12</v>
      </c>
      <c r="AF383" s="883" t="str">
        <f>'$REV-DB'!$AF$34</f>
        <v>UD13</v>
      </c>
      <c r="AG383" s="883" t="str">
        <f>'$REV-DB'!$AG$34</f>
        <v>UD14</v>
      </c>
    </row>
    <row r="384" spans="1:34" s="3" customFormat="1" ht="16" customHeight="1" thickTop="1" thickBot="1">
      <c r="A384" s="7"/>
      <c r="B384" s="20" t="s">
        <v>1375</v>
      </c>
      <c r="C384" s="15"/>
      <c r="D384" s="877" t="s">
        <v>1386</v>
      </c>
      <c r="E384" s="877" t="s">
        <v>1387</v>
      </c>
      <c r="F384" s="877" t="s">
        <v>1388</v>
      </c>
      <c r="G384" s="877" t="s">
        <v>1389</v>
      </c>
      <c r="H384" s="877" t="s">
        <v>1406</v>
      </c>
      <c r="I384" s="877" t="s">
        <v>1390</v>
      </c>
      <c r="J384" s="877" t="s">
        <v>1391</v>
      </c>
      <c r="K384" s="877" t="s">
        <v>1392</v>
      </c>
      <c r="L384" s="877" t="s">
        <v>1188</v>
      </c>
      <c r="M384" s="877" t="s">
        <v>1437</v>
      </c>
      <c r="N384" s="877" t="s">
        <v>1348</v>
      </c>
      <c r="O384" s="877" t="s">
        <v>1393</v>
      </c>
      <c r="P384" s="877" t="s">
        <v>1342</v>
      </c>
      <c r="Q384" s="877" t="s">
        <v>1394</v>
      </c>
      <c r="R384" s="112" t="s">
        <v>1341</v>
      </c>
      <c r="S384" s="112" t="s">
        <v>846</v>
      </c>
      <c r="T384" s="877" t="s">
        <v>935</v>
      </c>
      <c r="U384" s="877" t="s">
        <v>936</v>
      </c>
      <c r="V384" s="877" t="s">
        <v>937</v>
      </c>
      <c r="W384" s="877" t="s">
        <v>938</v>
      </c>
      <c r="X384" s="877" t="s">
        <v>939</v>
      </c>
      <c r="Y384" s="877" t="s">
        <v>940</v>
      </c>
      <c r="Z384" s="877" t="s">
        <v>941</v>
      </c>
      <c r="AA384" s="877" t="s">
        <v>942</v>
      </c>
      <c r="AB384" s="877" t="s">
        <v>943</v>
      </c>
      <c r="AC384" s="877" t="s">
        <v>944</v>
      </c>
      <c r="AD384" s="877" t="s">
        <v>945</v>
      </c>
      <c r="AE384" s="877" t="s">
        <v>946</v>
      </c>
      <c r="AF384" s="877" t="s">
        <v>947</v>
      </c>
      <c r="AG384" s="877" t="s">
        <v>948</v>
      </c>
      <c r="AH384" s="6"/>
    </row>
    <row r="385" spans="1:34" s="3" customFormat="1" ht="16" customHeight="1" thickTop="1">
      <c r="A385" s="7"/>
      <c r="B385" s="19" t="s">
        <v>1344</v>
      </c>
      <c r="C385" s="12"/>
      <c r="D385" s="194"/>
      <c r="E385" s="194"/>
      <c r="F385" s="193"/>
      <c r="G385" s="194"/>
      <c r="H385" s="193"/>
      <c r="I385" s="193"/>
      <c r="J385" s="194"/>
      <c r="K385" s="194"/>
      <c r="L385" s="285" t="s">
        <v>1429</v>
      </c>
      <c r="M385" s="193"/>
      <c r="N385" s="47" t="str">
        <f>J$6</f>
        <v>FY2010-11</v>
      </c>
      <c r="O385" s="47" t="s">
        <v>1353</v>
      </c>
      <c r="P385" s="47" t="s">
        <v>1347</v>
      </c>
      <c r="Q385" s="47" t="s">
        <v>1339</v>
      </c>
      <c r="R385" s="194"/>
      <c r="S385" s="193" t="s">
        <v>871</v>
      </c>
      <c r="T385" s="194"/>
      <c r="U385" s="194"/>
      <c r="V385" s="195"/>
      <c r="W385" s="195"/>
      <c r="X385" s="195"/>
      <c r="Y385" s="195"/>
      <c r="Z385" s="195"/>
      <c r="AA385" s="195"/>
      <c r="AB385" s="195"/>
      <c r="AC385" s="195"/>
      <c r="AD385" s="195"/>
      <c r="AE385" s="195"/>
      <c r="AF385" s="195"/>
      <c r="AG385" s="195"/>
      <c r="AH385" s="6"/>
    </row>
    <row r="386" spans="1:34" s="3" customFormat="1" ht="16" customHeight="1">
      <c r="A386" s="7"/>
      <c r="B386" s="16">
        <f>DSUM('$REV-DB'!D35:AG374,"AMOUNT",D384:AG385)</f>
        <v>0</v>
      </c>
      <c r="C386" s="12"/>
      <c r="D386" s="896"/>
      <c r="E386" s="896"/>
      <c r="F386" s="896"/>
      <c r="G386" s="896"/>
      <c r="H386" s="896"/>
      <c r="I386" s="896"/>
      <c r="J386" s="896"/>
      <c r="K386" s="896"/>
      <c r="L386" s="897"/>
      <c r="M386" s="896"/>
      <c r="N386" s="889"/>
      <c r="O386" s="896"/>
      <c r="P386" s="889"/>
      <c r="Q386" s="900"/>
      <c r="R386" s="896"/>
      <c r="S386" s="896"/>
      <c r="T386" s="898"/>
      <c r="U386" s="898"/>
      <c r="V386" s="899"/>
      <c r="W386" s="899"/>
      <c r="X386" s="899"/>
      <c r="Y386" s="899"/>
      <c r="Z386" s="899"/>
      <c r="AA386" s="899"/>
      <c r="AB386" s="899"/>
      <c r="AC386" s="899"/>
      <c r="AD386" s="899"/>
      <c r="AE386" s="899"/>
      <c r="AF386" s="899"/>
      <c r="AG386" s="899"/>
      <c r="AH386" s="6"/>
    </row>
    <row r="387" spans="1:34" s="3" customFormat="1" ht="16" customHeight="1">
      <c r="A387" s="7"/>
      <c r="B387" s="10"/>
      <c r="C387" s="12"/>
      <c r="D387" s="896"/>
      <c r="E387" s="896"/>
      <c r="F387" s="896"/>
      <c r="G387" s="896"/>
      <c r="H387" s="896"/>
      <c r="I387" s="896"/>
      <c r="J387" s="896"/>
      <c r="K387" s="896"/>
      <c r="L387" s="897"/>
      <c r="M387" s="896"/>
      <c r="N387" s="889"/>
      <c r="O387" s="896"/>
      <c r="P387" s="889"/>
      <c r="Q387" s="900"/>
      <c r="R387" s="896"/>
      <c r="S387" s="896"/>
      <c r="T387" s="898"/>
      <c r="U387" s="898"/>
      <c r="V387" s="899"/>
      <c r="W387" s="899"/>
      <c r="X387" s="899"/>
      <c r="Y387" s="899"/>
      <c r="Z387" s="899"/>
      <c r="AA387" s="899"/>
      <c r="AB387" s="899"/>
      <c r="AC387" s="899"/>
      <c r="AD387" s="899"/>
      <c r="AE387" s="899"/>
      <c r="AF387" s="899"/>
      <c r="AG387" s="899"/>
    </row>
    <row r="388" spans="1:34" s="3" customFormat="1" ht="16" customHeight="1">
      <c r="A388" s="7"/>
      <c r="B388" s="10"/>
      <c r="C388" s="12"/>
      <c r="D388" s="896"/>
      <c r="E388" s="896"/>
      <c r="F388" s="896"/>
      <c r="G388" s="896"/>
      <c r="H388" s="896"/>
      <c r="I388" s="896"/>
      <c r="J388" s="896"/>
      <c r="K388" s="896"/>
      <c r="L388" s="897"/>
      <c r="M388" s="896"/>
      <c r="N388" s="889"/>
      <c r="O388" s="896"/>
      <c r="P388" s="889"/>
      <c r="Q388" s="900"/>
      <c r="R388" s="896"/>
      <c r="S388" s="896"/>
      <c r="T388" s="898"/>
      <c r="U388" s="898"/>
      <c r="V388" s="899"/>
      <c r="W388" s="899"/>
      <c r="X388" s="899"/>
      <c r="Y388" s="899"/>
      <c r="Z388" s="899"/>
      <c r="AA388" s="899"/>
      <c r="AB388" s="899"/>
      <c r="AC388" s="899"/>
      <c r="AD388" s="899"/>
      <c r="AE388" s="899"/>
      <c r="AF388" s="899"/>
      <c r="AG388" s="899"/>
    </row>
    <row r="389" spans="1:34" s="3" customFormat="1" ht="16" customHeight="1">
      <c r="A389" s="7"/>
      <c r="B389" s="10"/>
      <c r="C389" s="12"/>
      <c r="D389" s="896"/>
      <c r="E389" s="896"/>
      <c r="F389" s="896"/>
      <c r="G389" s="896"/>
      <c r="H389" s="896"/>
      <c r="I389" s="896"/>
      <c r="J389" s="896"/>
      <c r="K389" s="896"/>
      <c r="L389" s="897"/>
      <c r="M389" s="896"/>
      <c r="N389" s="889"/>
      <c r="O389" s="896"/>
      <c r="P389" s="889"/>
      <c r="Q389" s="900"/>
      <c r="R389" s="896"/>
      <c r="S389" s="896"/>
      <c r="T389" s="898"/>
      <c r="U389" s="898"/>
      <c r="V389" s="899"/>
      <c r="W389" s="899"/>
      <c r="X389" s="899"/>
      <c r="Y389" s="899"/>
      <c r="Z389" s="899"/>
      <c r="AA389" s="899"/>
      <c r="AB389" s="899"/>
      <c r="AC389" s="899"/>
      <c r="AD389" s="899"/>
      <c r="AE389" s="899"/>
      <c r="AF389" s="899"/>
      <c r="AG389" s="899"/>
    </row>
    <row r="390" spans="1:34" s="3" customFormat="1" ht="16" customHeight="1">
      <c r="A390" s="7"/>
      <c r="B390" s="10"/>
      <c r="C390" s="12"/>
      <c r="D390" s="896"/>
      <c r="E390" s="896"/>
      <c r="F390" s="896"/>
      <c r="G390" s="896"/>
      <c r="H390" s="896"/>
      <c r="I390" s="896"/>
      <c r="J390" s="896"/>
      <c r="K390" s="896"/>
      <c r="L390" s="897"/>
      <c r="M390" s="896"/>
      <c r="N390" s="889"/>
      <c r="O390" s="896"/>
      <c r="P390" s="889"/>
      <c r="Q390" s="900"/>
      <c r="R390" s="896"/>
      <c r="S390" s="896"/>
      <c r="T390" s="898"/>
      <c r="U390" s="898"/>
      <c r="V390" s="899"/>
      <c r="W390" s="899"/>
      <c r="X390" s="899"/>
      <c r="Y390" s="899"/>
      <c r="Z390" s="899"/>
      <c r="AA390" s="899"/>
      <c r="AB390" s="899"/>
      <c r="AC390" s="899"/>
      <c r="AD390" s="899"/>
      <c r="AE390" s="899"/>
      <c r="AF390" s="899"/>
      <c r="AG390" s="899"/>
    </row>
    <row r="391" spans="1:34" s="3" customFormat="1" ht="16" customHeight="1">
      <c r="A391" s="7"/>
      <c r="B391" s="10"/>
      <c r="C391" s="12"/>
      <c r="D391" s="896"/>
      <c r="E391" s="896"/>
      <c r="F391" s="896"/>
      <c r="G391" s="896"/>
      <c r="H391" s="896"/>
      <c r="I391" s="896"/>
      <c r="J391" s="896"/>
      <c r="K391" s="896"/>
      <c r="L391" s="897"/>
      <c r="M391" s="896"/>
      <c r="N391" s="889"/>
      <c r="O391" s="896"/>
      <c r="P391" s="889"/>
      <c r="Q391" s="900"/>
      <c r="R391" s="896"/>
      <c r="S391" s="896"/>
      <c r="T391" s="898"/>
      <c r="U391" s="898"/>
      <c r="V391" s="899"/>
      <c r="W391" s="899"/>
      <c r="X391" s="899"/>
      <c r="Y391" s="899"/>
      <c r="Z391" s="899"/>
      <c r="AA391" s="899"/>
      <c r="AB391" s="899"/>
      <c r="AC391" s="899"/>
      <c r="AD391" s="899"/>
      <c r="AE391" s="899"/>
      <c r="AF391" s="899"/>
      <c r="AG391" s="899"/>
    </row>
    <row r="392" spans="1:34" s="3" customFormat="1" ht="16" customHeight="1">
      <c r="A392" s="29"/>
      <c r="B392" s="30"/>
      <c r="C392" s="30"/>
      <c r="D392" s="31"/>
      <c r="E392" s="31"/>
      <c r="F392" s="32"/>
      <c r="G392" s="31"/>
      <c r="H392" s="32"/>
      <c r="I392" s="32"/>
      <c r="J392" s="31"/>
      <c r="K392" s="31"/>
      <c r="L392" s="284"/>
      <c r="M392" s="32"/>
      <c r="N392" s="32"/>
      <c r="O392" s="31"/>
      <c r="P392" s="32"/>
      <c r="Q392" s="32"/>
      <c r="R392" s="31"/>
      <c r="S392" s="32"/>
      <c r="T392" s="31"/>
      <c r="U392" s="31"/>
      <c r="V392" s="29"/>
      <c r="W392" s="29"/>
      <c r="X392" s="29"/>
      <c r="Y392" s="29"/>
      <c r="Z392" s="29"/>
      <c r="AA392" s="29"/>
      <c r="AB392" s="29"/>
      <c r="AC392" s="29"/>
      <c r="AD392" s="29"/>
      <c r="AE392" s="29"/>
      <c r="AF392" s="29"/>
      <c r="AG392" s="29"/>
    </row>
    <row r="393" spans="1:34" s="3" customFormat="1" ht="16" customHeight="1" thickBot="1">
      <c r="A393" s="7"/>
      <c r="B393" s="19" t="str">
        <f>"FA2 = "&amp;'FIG3'!$W$53&amp;" "&amp;'FIG3'!$X$53</f>
        <v>FA2 = FA2L1 FA2L2</v>
      </c>
      <c r="C393" s="7"/>
      <c r="D393" s="8"/>
      <c r="E393" s="8"/>
      <c r="F393" s="9"/>
      <c r="G393" s="8"/>
      <c r="H393" s="9"/>
      <c r="I393" s="9"/>
      <c r="J393" s="8"/>
      <c r="K393" s="8"/>
      <c r="L393" s="280"/>
      <c r="M393" s="9"/>
      <c r="N393" s="9"/>
      <c r="O393" s="8"/>
      <c r="P393" s="9"/>
      <c r="Q393" s="9"/>
      <c r="R393" s="8"/>
      <c r="S393" s="882"/>
      <c r="T393" s="883" t="str">
        <f>'$REV-DB'!$T$34</f>
        <v>Federal Revenues</v>
      </c>
      <c r="U393" s="883" t="str">
        <f>'$REV-DB'!$U$34</f>
        <v>local Revenues</v>
      </c>
      <c r="V393" s="883" t="str">
        <f>'$REV-DB'!$V$34</f>
        <v>Other Revenues</v>
      </c>
      <c r="W393" s="883" t="str">
        <f>'$REV-DB'!$W$34</f>
        <v>State revenues</v>
      </c>
      <c r="X393" s="883" t="str">
        <f>'$REV-DB'!$X$34</f>
        <v>UD5</v>
      </c>
      <c r="Y393" s="883" t="str">
        <f>'$REV-DB'!$Y$34</f>
        <v>UD6</v>
      </c>
      <c r="Z393" s="883" t="str">
        <f>'$REV-DB'!$Z$34</f>
        <v>UD7</v>
      </c>
      <c r="AA393" s="883" t="str">
        <f>'$REV-DB'!$AA$34</f>
        <v>UD8</v>
      </c>
      <c r="AB393" s="883" t="str">
        <f>'$REV-DB'!$AB$34</f>
        <v>UD9</v>
      </c>
      <c r="AC393" s="883" t="str">
        <f>'$REV-DB'!$AC$34</f>
        <v>UD10</v>
      </c>
      <c r="AD393" s="883" t="str">
        <f>'$REV-DB'!$AD$34</f>
        <v>UD11</v>
      </c>
      <c r="AE393" s="883" t="str">
        <f>'$REV-DB'!$AE$34</f>
        <v>UD12</v>
      </c>
      <c r="AF393" s="883" t="str">
        <f>'$REV-DB'!$AF$34</f>
        <v>UD13</v>
      </c>
      <c r="AG393" s="883" t="str">
        <f>'$REV-DB'!$AG$34</f>
        <v>UD14</v>
      </c>
    </row>
    <row r="394" spans="1:34" s="3" customFormat="1" ht="16" customHeight="1" thickTop="1" thickBot="1">
      <c r="A394" s="7"/>
      <c r="B394" s="20" t="s">
        <v>1375</v>
      </c>
      <c r="C394" s="15"/>
      <c r="D394" s="877" t="s">
        <v>1386</v>
      </c>
      <c r="E394" s="877" t="s">
        <v>1387</v>
      </c>
      <c r="F394" s="877" t="s">
        <v>1388</v>
      </c>
      <c r="G394" s="877" t="s">
        <v>1389</v>
      </c>
      <c r="H394" s="877" t="s">
        <v>1406</v>
      </c>
      <c r="I394" s="877" t="s">
        <v>1390</v>
      </c>
      <c r="J394" s="877" t="s">
        <v>1391</v>
      </c>
      <c r="K394" s="877" t="s">
        <v>1392</v>
      </c>
      <c r="L394" s="877" t="s">
        <v>1188</v>
      </c>
      <c r="M394" s="877" t="s">
        <v>1437</v>
      </c>
      <c r="N394" s="877" t="s">
        <v>1348</v>
      </c>
      <c r="O394" s="877" t="s">
        <v>1393</v>
      </c>
      <c r="P394" s="877" t="s">
        <v>1342</v>
      </c>
      <c r="Q394" s="877" t="s">
        <v>1394</v>
      </c>
      <c r="R394" s="112" t="s">
        <v>1341</v>
      </c>
      <c r="S394" s="112" t="s">
        <v>846</v>
      </c>
      <c r="T394" s="877" t="s">
        <v>935</v>
      </c>
      <c r="U394" s="877" t="s">
        <v>936</v>
      </c>
      <c r="V394" s="877" t="s">
        <v>937</v>
      </c>
      <c r="W394" s="877" t="s">
        <v>938</v>
      </c>
      <c r="X394" s="877" t="s">
        <v>939</v>
      </c>
      <c r="Y394" s="877" t="s">
        <v>940</v>
      </c>
      <c r="Z394" s="877" t="s">
        <v>941</v>
      </c>
      <c r="AA394" s="877" t="s">
        <v>942</v>
      </c>
      <c r="AB394" s="877" t="s">
        <v>943</v>
      </c>
      <c r="AC394" s="877" t="s">
        <v>944</v>
      </c>
      <c r="AD394" s="877" t="s">
        <v>945</v>
      </c>
      <c r="AE394" s="877" t="s">
        <v>946</v>
      </c>
      <c r="AF394" s="877" t="s">
        <v>947</v>
      </c>
      <c r="AG394" s="877" t="s">
        <v>948</v>
      </c>
      <c r="AH394" s="6"/>
    </row>
    <row r="395" spans="1:34" s="3" customFormat="1" ht="16" customHeight="1" thickTop="1">
      <c r="A395" s="7"/>
      <c r="B395" s="19" t="s">
        <v>1343</v>
      </c>
      <c r="C395" s="12"/>
      <c r="D395" s="194"/>
      <c r="E395" s="194"/>
      <c r="F395" s="193"/>
      <c r="G395" s="194"/>
      <c r="H395" s="193"/>
      <c r="I395" s="193"/>
      <c r="J395" s="194"/>
      <c r="K395" s="194"/>
      <c r="L395" s="285" t="s">
        <v>1429</v>
      </c>
      <c r="M395" s="193"/>
      <c r="N395" s="47" t="str">
        <f>J$6</f>
        <v>FY2010-11</v>
      </c>
      <c r="O395" s="47" t="s">
        <v>1353</v>
      </c>
      <c r="P395" s="47" t="s">
        <v>1347</v>
      </c>
      <c r="Q395" s="47" t="s">
        <v>1379</v>
      </c>
      <c r="R395" s="194"/>
      <c r="S395" s="193" t="s">
        <v>871</v>
      </c>
      <c r="T395" s="194"/>
      <c r="U395" s="194"/>
      <c r="V395" s="195"/>
      <c r="W395" s="195"/>
      <c r="X395" s="195"/>
      <c r="Y395" s="195"/>
      <c r="Z395" s="195"/>
      <c r="AA395" s="195"/>
      <c r="AB395" s="195"/>
      <c r="AC395" s="195"/>
      <c r="AD395" s="195"/>
      <c r="AE395" s="195"/>
      <c r="AF395" s="195"/>
      <c r="AG395" s="195"/>
      <c r="AH395" s="6"/>
    </row>
    <row r="396" spans="1:34" s="3" customFormat="1" ht="16" customHeight="1">
      <c r="A396" s="7"/>
      <c r="B396" s="16">
        <f>DSUM('$REV-DB'!D35:AG374,"AMOUNT",D394:AG395)</f>
        <v>0</v>
      </c>
      <c r="C396" s="12"/>
      <c r="D396" s="896"/>
      <c r="E396" s="896"/>
      <c r="F396" s="896"/>
      <c r="G396" s="896"/>
      <c r="H396" s="896"/>
      <c r="I396" s="896"/>
      <c r="J396" s="896"/>
      <c r="K396" s="896"/>
      <c r="L396" s="897"/>
      <c r="M396" s="896"/>
      <c r="N396" s="889"/>
      <c r="O396" s="896"/>
      <c r="P396" s="889"/>
      <c r="Q396" s="900"/>
      <c r="R396" s="896"/>
      <c r="S396" s="896"/>
      <c r="T396" s="898"/>
      <c r="U396" s="898"/>
      <c r="V396" s="899"/>
      <c r="W396" s="899"/>
      <c r="X396" s="899"/>
      <c r="Y396" s="899"/>
      <c r="Z396" s="899"/>
      <c r="AA396" s="899"/>
      <c r="AB396" s="899"/>
      <c r="AC396" s="899"/>
      <c r="AD396" s="899"/>
      <c r="AE396" s="899"/>
      <c r="AF396" s="899"/>
      <c r="AG396" s="899"/>
      <c r="AH396" s="6"/>
    </row>
    <row r="397" spans="1:34" s="3" customFormat="1" ht="16" customHeight="1">
      <c r="A397" s="7"/>
      <c r="B397" s="10"/>
      <c r="C397" s="12"/>
      <c r="D397" s="896"/>
      <c r="E397" s="896"/>
      <c r="F397" s="896"/>
      <c r="G397" s="896"/>
      <c r="H397" s="896"/>
      <c r="I397" s="896"/>
      <c r="J397" s="896"/>
      <c r="K397" s="896"/>
      <c r="L397" s="897"/>
      <c r="M397" s="896"/>
      <c r="N397" s="889"/>
      <c r="O397" s="896"/>
      <c r="P397" s="889"/>
      <c r="Q397" s="900"/>
      <c r="R397" s="896"/>
      <c r="S397" s="896"/>
      <c r="T397" s="898"/>
      <c r="U397" s="898"/>
      <c r="V397" s="899"/>
      <c r="W397" s="899"/>
      <c r="X397" s="899"/>
      <c r="Y397" s="899"/>
      <c r="Z397" s="899"/>
      <c r="AA397" s="899"/>
      <c r="AB397" s="899"/>
      <c r="AC397" s="899"/>
      <c r="AD397" s="899"/>
      <c r="AE397" s="899"/>
      <c r="AF397" s="899"/>
      <c r="AG397" s="899"/>
    </row>
    <row r="398" spans="1:34" s="3" customFormat="1" ht="16" customHeight="1">
      <c r="A398" s="7"/>
      <c r="B398" s="10"/>
      <c r="C398" s="12"/>
      <c r="D398" s="896"/>
      <c r="E398" s="896"/>
      <c r="F398" s="896"/>
      <c r="G398" s="896"/>
      <c r="H398" s="896"/>
      <c r="I398" s="896"/>
      <c r="J398" s="896"/>
      <c r="K398" s="896"/>
      <c r="L398" s="897"/>
      <c r="M398" s="896"/>
      <c r="N398" s="889"/>
      <c r="O398" s="896"/>
      <c r="P398" s="889"/>
      <c r="Q398" s="900"/>
      <c r="R398" s="896"/>
      <c r="S398" s="896"/>
      <c r="T398" s="898"/>
      <c r="U398" s="898"/>
      <c r="V398" s="899"/>
      <c r="W398" s="899"/>
      <c r="X398" s="899"/>
      <c r="Y398" s="899"/>
      <c r="Z398" s="899"/>
      <c r="AA398" s="899"/>
      <c r="AB398" s="899"/>
      <c r="AC398" s="899"/>
      <c r="AD398" s="899"/>
      <c r="AE398" s="899"/>
      <c r="AF398" s="899"/>
      <c r="AG398" s="899"/>
    </row>
    <row r="399" spans="1:34" s="3" customFormat="1" ht="16" customHeight="1">
      <c r="A399" s="7"/>
      <c r="B399" s="10"/>
      <c r="C399" s="12"/>
      <c r="D399" s="896"/>
      <c r="E399" s="896"/>
      <c r="F399" s="896"/>
      <c r="G399" s="896"/>
      <c r="H399" s="896"/>
      <c r="I399" s="896"/>
      <c r="J399" s="896"/>
      <c r="K399" s="896"/>
      <c r="L399" s="897"/>
      <c r="M399" s="896"/>
      <c r="N399" s="889"/>
      <c r="O399" s="896"/>
      <c r="P399" s="889"/>
      <c r="Q399" s="900"/>
      <c r="R399" s="896"/>
      <c r="S399" s="896"/>
      <c r="T399" s="898"/>
      <c r="U399" s="898"/>
      <c r="V399" s="899"/>
      <c r="W399" s="899"/>
      <c r="X399" s="899"/>
      <c r="Y399" s="899"/>
      <c r="Z399" s="899"/>
      <c r="AA399" s="899"/>
      <c r="AB399" s="899"/>
      <c r="AC399" s="899"/>
      <c r="AD399" s="899"/>
      <c r="AE399" s="899"/>
      <c r="AF399" s="899"/>
      <c r="AG399" s="899"/>
    </row>
    <row r="400" spans="1:34" s="3" customFormat="1" ht="16" customHeight="1">
      <c r="A400" s="7"/>
      <c r="B400" s="10"/>
      <c r="C400" s="12"/>
      <c r="D400" s="896"/>
      <c r="E400" s="896"/>
      <c r="F400" s="896"/>
      <c r="G400" s="896"/>
      <c r="H400" s="896"/>
      <c r="I400" s="896"/>
      <c r="J400" s="896"/>
      <c r="K400" s="896"/>
      <c r="L400" s="897"/>
      <c r="M400" s="896"/>
      <c r="N400" s="889"/>
      <c r="O400" s="896"/>
      <c r="P400" s="889"/>
      <c r="Q400" s="900"/>
      <c r="R400" s="896"/>
      <c r="S400" s="896"/>
      <c r="T400" s="898"/>
      <c r="U400" s="898"/>
      <c r="V400" s="899"/>
      <c r="W400" s="899"/>
      <c r="X400" s="899"/>
      <c r="Y400" s="899"/>
      <c r="Z400" s="899"/>
      <c r="AA400" s="899"/>
      <c r="AB400" s="899"/>
      <c r="AC400" s="899"/>
      <c r="AD400" s="899"/>
      <c r="AE400" s="899"/>
      <c r="AF400" s="899"/>
      <c r="AG400" s="899"/>
    </row>
    <row r="401" spans="1:34" s="3" customFormat="1" ht="16" customHeight="1">
      <c r="A401" s="7"/>
      <c r="B401" s="10"/>
      <c r="C401" s="12"/>
      <c r="D401" s="896"/>
      <c r="E401" s="896"/>
      <c r="F401" s="896"/>
      <c r="G401" s="896"/>
      <c r="H401" s="896"/>
      <c r="I401" s="896"/>
      <c r="J401" s="896"/>
      <c r="K401" s="896"/>
      <c r="L401" s="897"/>
      <c r="M401" s="896"/>
      <c r="N401" s="889"/>
      <c r="O401" s="896"/>
      <c r="P401" s="889"/>
      <c r="Q401" s="900"/>
      <c r="R401" s="896"/>
      <c r="S401" s="896"/>
      <c r="T401" s="898"/>
      <c r="U401" s="898"/>
      <c r="V401" s="899"/>
      <c r="W401" s="899"/>
      <c r="X401" s="899"/>
      <c r="Y401" s="899"/>
      <c r="Z401" s="899"/>
      <c r="AA401" s="899"/>
      <c r="AB401" s="899"/>
      <c r="AC401" s="899"/>
      <c r="AD401" s="899"/>
      <c r="AE401" s="899"/>
      <c r="AF401" s="899"/>
      <c r="AG401" s="899"/>
    </row>
    <row r="402" spans="1:34" s="3" customFormat="1" ht="16" customHeight="1">
      <c r="A402" s="29"/>
      <c r="B402" s="30"/>
      <c r="C402" s="30"/>
      <c r="D402" s="31"/>
      <c r="E402" s="31"/>
      <c r="F402" s="32"/>
      <c r="G402" s="31"/>
      <c r="H402" s="32"/>
      <c r="I402" s="32"/>
      <c r="J402" s="31"/>
      <c r="K402" s="31"/>
      <c r="L402" s="284"/>
      <c r="M402" s="32"/>
      <c r="N402" s="32"/>
      <c r="O402" s="31"/>
      <c r="P402" s="32"/>
      <c r="Q402" s="32"/>
      <c r="R402" s="31"/>
      <c r="S402" s="32"/>
      <c r="T402" s="31"/>
      <c r="U402" s="31"/>
      <c r="V402" s="29"/>
      <c r="W402" s="29"/>
      <c r="X402" s="29"/>
      <c r="Y402" s="29"/>
      <c r="Z402" s="29"/>
      <c r="AA402" s="29"/>
      <c r="AB402" s="29"/>
      <c r="AC402" s="29"/>
      <c r="AD402" s="29"/>
      <c r="AE402" s="29"/>
      <c r="AF402" s="29"/>
      <c r="AG402" s="29"/>
    </row>
    <row r="403" spans="1:34" s="3" customFormat="1" ht="16" customHeight="1" thickBot="1">
      <c r="A403" s="7"/>
      <c r="B403" s="19" t="str">
        <f>"FA2 = "&amp;'FIG3'!$W$53&amp;" "&amp;'FIG3'!$X$53</f>
        <v>FA2 = FA2L1 FA2L2</v>
      </c>
      <c r="C403" s="7"/>
      <c r="D403" s="8"/>
      <c r="E403" s="8"/>
      <c r="F403" s="9"/>
      <c r="G403" s="8"/>
      <c r="H403" s="9"/>
      <c r="I403" s="9"/>
      <c r="J403" s="8"/>
      <c r="K403" s="8"/>
      <c r="L403" s="280"/>
      <c r="M403" s="9"/>
      <c r="N403" s="9"/>
      <c r="O403" s="8"/>
      <c r="P403" s="9"/>
      <c r="Q403" s="9"/>
      <c r="R403" s="8"/>
      <c r="S403" s="882"/>
      <c r="T403" s="883" t="str">
        <f>'$REV-DB'!$T$34</f>
        <v>Federal Revenues</v>
      </c>
      <c r="U403" s="883" t="str">
        <f>'$REV-DB'!$U$34</f>
        <v>local Revenues</v>
      </c>
      <c r="V403" s="883" t="str">
        <f>'$REV-DB'!$V$34</f>
        <v>Other Revenues</v>
      </c>
      <c r="W403" s="883" t="str">
        <f>'$REV-DB'!$W$34</f>
        <v>State revenues</v>
      </c>
      <c r="X403" s="883" t="str">
        <f>'$REV-DB'!$X$34</f>
        <v>UD5</v>
      </c>
      <c r="Y403" s="883" t="str">
        <f>'$REV-DB'!$Y$34</f>
        <v>UD6</v>
      </c>
      <c r="Z403" s="883" t="str">
        <f>'$REV-DB'!$Z$34</f>
        <v>UD7</v>
      </c>
      <c r="AA403" s="883" t="str">
        <f>'$REV-DB'!$AA$34</f>
        <v>UD8</v>
      </c>
      <c r="AB403" s="883" t="str">
        <f>'$REV-DB'!$AB$34</f>
        <v>UD9</v>
      </c>
      <c r="AC403" s="883" t="str">
        <f>'$REV-DB'!$AC$34</f>
        <v>UD10</v>
      </c>
      <c r="AD403" s="883" t="str">
        <f>'$REV-DB'!$AD$34</f>
        <v>UD11</v>
      </c>
      <c r="AE403" s="883" t="str">
        <f>'$REV-DB'!$AE$34</f>
        <v>UD12</v>
      </c>
      <c r="AF403" s="883" t="str">
        <f>'$REV-DB'!$AF$34</f>
        <v>UD13</v>
      </c>
      <c r="AG403" s="883" t="str">
        <f>'$REV-DB'!$AG$34</f>
        <v>UD14</v>
      </c>
    </row>
    <row r="404" spans="1:34" s="3" customFormat="1" ht="16" customHeight="1" thickTop="1" thickBot="1">
      <c r="A404" s="7"/>
      <c r="B404" s="20" t="s">
        <v>1375</v>
      </c>
      <c r="C404" s="15"/>
      <c r="D404" s="877" t="s">
        <v>1386</v>
      </c>
      <c r="E404" s="877" t="s">
        <v>1387</v>
      </c>
      <c r="F404" s="877" t="s">
        <v>1388</v>
      </c>
      <c r="G404" s="877" t="s">
        <v>1389</v>
      </c>
      <c r="H404" s="877" t="s">
        <v>1406</v>
      </c>
      <c r="I404" s="877" t="s">
        <v>1390</v>
      </c>
      <c r="J404" s="877" t="s">
        <v>1391</v>
      </c>
      <c r="K404" s="877" t="s">
        <v>1392</v>
      </c>
      <c r="L404" s="877" t="s">
        <v>1188</v>
      </c>
      <c r="M404" s="877" t="s">
        <v>1437</v>
      </c>
      <c r="N404" s="877" t="s">
        <v>1348</v>
      </c>
      <c r="O404" s="877" t="s">
        <v>1393</v>
      </c>
      <c r="P404" s="877" t="s">
        <v>1342</v>
      </c>
      <c r="Q404" s="877" t="s">
        <v>1394</v>
      </c>
      <c r="R404" s="112" t="s">
        <v>1341</v>
      </c>
      <c r="S404" s="112" t="s">
        <v>846</v>
      </c>
      <c r="T404" s="877" t="s">
        <v>935</v>
      </c>
      <c r="U404" s="877" t="s">
        <v>936</v>
      </c>
      <c r="V404" s="877" t="s">
        <v>937</v>
      </c>
      <c r="W404" s="877" t="s">
        <v>938</v>
      </c>
      <c r="X404" s="877" t="s">
        <v>939</v>
      </c>
      <c r="Y404" s="877" t="s">
        <v>940</v>
      </c>
      <c r="Z404" s="877" t="s">
        <v>941</v>
      </c>
      <c r="AA404" s="877" t="s">
        <v>942</v>
      </c>
      <c r="AB404" s="877" t="s">
        <v>943</v>
      </c>
      <c r="AC404" s="877" t="s">
        <v>944</v>
      </c>
      <c r="AD404" s="877" t="s">
        <v>945</v>
      </c>
      <c r="AE404" s="877" t="s">
        <v>946</v>
      </c>
      <c r="AF404" s="877" t="s">
        <v>947</v>
      </c>
      <c r="AG404" s="877" t="s">
        <v>948</v>
      </c>
      <c r="AH404" s="6"/>
    </row>
    <row r="405" spans="1:34" s="3" customFormat="1" ht="16" customHeight="1" thickTop="1">
      <c r="A405" s="7"/>
      <c r="B405" s="19" t="s">
        <v>1349</v>
      </c>
      <c r="C405" s="12"/>
      <c r="D405" s="194"/>
      <c r="E405" s="194"/>
      <c r="F405" s="193"/>
      <c r="G405" s="194"/>
      <c r="H405" s="193"/>
      <c r="I405" s="193"/>
      <c r="J405" s="194"/>
      <c r="K405" s="194"/>
      <c r="L405" s="285" t="s">
        <v>1429</v>
      </c>
      <c r="M405" s="193"/>
      <c r="N405" s="47" t="str">
        <f>J$6</f>
        <v>FY2010-11</v>
      </c>
      <c r="O405" s="47" t="s">
        <v>1353</v>
      </c>
      <c r="P405" s="47" t="s">
        <v>1347</v>
      </c>
      <c r="Q405" s="47" t="s">
        <v>1397</v>
      </c>
      <c r="R405" s="194"/>
      <c r="S405" s="193" t="s">
        <v>871</v>
      </c>
      <c r="T405" s="194"/>
      <c r="U405" s="194"/>
      <c r="V405" s="195"/>
      <c r="W405" s="195"/>
      <c r="X405" s="195"/>
      <c r="Y405" s="195"/>
      <c r="Z405" s="195"/>
      <c r="AA405" s="195"/>
      <c r="AB405" s="195"/>
      <c r="AC405" s="195"/>
      <c r="AD405" s="195"/>
      <c r="AE405" s="195"/>
      <c r="AF405" s="195"/>
      <c r="AG405" s="195"/>
      <c r="AH405" s="6"/>
    </row>
    <row r="406" spans="1:34" s="3" customFormat="1" ht="16" customHeight="1">
      <c r="A406" s="7"/>
      <c r="B406" s="16">
        <f>DSUM('$REV-DB'!D35:AG374,"AMOUNT",D404:AG405)</f>
        <v>0</v>
      </c>
      <c r="C406" s="12"/>
      <c r="D406" s="896"/>
      <c r="E406" s="896"/>
      <c r="F406" s="896"/>
      <c r="G406" s="896"/>
      <c r="H406" s="896"/>
      <c r="I406" s="896"/>
      <c r="J406" s="896"/>
      <c r="K406" s="896"/>
      <c r="L406" s="897"/>
      <c r="M406" s="896"/>
      <c r="N406" s="889"/>
      <c r="O406" s="896"/>
      <c r="P406" s="889"/>
      <c r="Q406" s="900"/>
      <c r="R406" s="896"/>
      <c r="S406" s="896"/>
      <c r="T406" s="898"/>
      <c r="U406" s="898"/>
      <c r="V406" s="899"/>
      <c r="W406" s="899"/>
      <c r="X406" s="899"/>
      <c r="Y406" s="899"/>
      <c r="Z406" s="899"/>
      <c r="AA406" s="899"/>
      <c r="AB406" s="899"/>
      <c r="AC406" s="899"/>
      <c r="AD406" s="899"/>
      <c r="AE406" s="899"/>
      <c r="AF406" s="899"/>
      <c r="AG406" s="899"/>
      <c r="AH406" s="6"/>
    </row>
    <row r="407" spans="1:34" s="3" customFormat="1" ht="16" customHeight="1">
      <c r="A407" s="7"/>
      <c r="B407" s="10"/>
      <c r="C407" s="12"/>
      <c r="D407" s="896"/>
      <c r="E407" s="896"/>
      <c r="F407" s="896"/>
      <c r="G407" s="896"/>
      <c r="H407" s="896"/>
      <c r="I407" s="896"/>
      <c r="J407" s="896"/>
      <c r="K407" s="896"/>
      <c r="L407" s="897"/>
      <c r="M407" s="896"/>
      <c r="N407" s="889"/>
      <c r="O407" s="896"/>
      <c r="P407" s="889"/>
      <c r="Q407" s="900"/>
      <c r="R407" s="896"/>
      <c r="S407" s="896"/>
      <c r="T407" s="898"/>
      <c r="U407" s="898"/>
      <c r="V407" s="899"/>
      <c r="W407" s="899"/>
      <c r="X407" s="899"/>
      <c r="Y407" s="899"/>
      <c r="Z407" s="899"/>
      <c r="AA407" s="899"/>
      <c r="AB407" s="899"/>
      <c r="AC407" s="899"/>
      <c r="AD407" s="899"/>
      <c r="AE407" s="899"/>
      <c r="AF407" s="899"/>
      <c r="AG407" s="899"/>
    </row>
    <row r="408" spans="1:34" s="3" customFormat="1" ht="16" customHeight="1">
      <c r="A408" s="7"/>
      <c r="B408" s="10"/>
      <c r="C408" s="12"/>
      <c r="D408" s="896"/>
      <c r="E408" s="896"/>
      <c r="F408" s="896"/>
      <c r="G408" s="896"/>
      <c r="H408" s="896"/>
      <c r="I408" s="896"/>
      <c r="J408" s="896"/>
      <c r="K408" s="896"/>
      <c r="L408" s="897"/>
      <c r="M408" s="896"/>
      <c r="N408" s="889"/>
      <c r="O408" s="896"/>
      <c r="P408" s="889"/>
      <c r="Q408" s="900"/>
      <c r="R408" s="896"/>
      <c r="S408" s="896"/>
      <c r="T408" s="898"/>
      <c r="U408" s="898"/>
      <c r="V408" s="899"/>
      <c r="W408" s="899"/>
      <c r="X408" s="899"/>
      <c r="Y408" s="899"/>
      <c r="Z408" s="899"/>
      <c r="AA408" s="899"/>
      <c r="AB408" s="899"/>
      <c r="AC408" s="899"/>
      <c r="AD408" s="899"/>
      <c r="AE408" s="899"/>
      <c r="AF408" s="899"/>
      <c r="AG408" s="899"/>
    </row>
    <row r="409" spans="1:34" s="3" customFormat="1" ht="16" customHeight="1">
      <c r="A409" s="7"/>
      <c r="B409" s="10"/>
      <c r="C409" s="12"/>
      <c r="D409" s="896"/>
      <c r="E409" s="896"/>
      <c r="F409" s="896"/>
      <c r="G409" s="896"/>
      <c r="H409" s="896"/>
      <c r="I409" s="896"/>
      <c r="J409" s="896"/>
      <c r="K409" s="896"/>
      <c r="L409" s="897"/>
      <c r="M409" s="896"/>
      <c r="N409" s="889"/>
      <c r="O409" s="896"/>
      <c r="P409" s="889"/>
      <c r="Q409" s="900"/>
      <c r="R409" s="896"/>
      <c r="S409" s="896"/>
      <c r="T409" s="898"/>
      <c r="U409" s="898"/>
      <c r="V409" s="899"/>
      <c r="W409" s="899"/>
      <c r="X409" s="899"/>
      <c r="Y409" s="899"/>
      <c r="Z409" s="899"/>
      <c r="AA409" s="899"/>
      <c r="AB409" s="899"/>
      <c r="AC409" s="899"/>
      <c r="AD409" s="899"/>
      <c r="AE409" s="899"/>
      <c r="AF409" s="899"/>
      <c r="AG409" s="899"/>
    </row>
    <row r="410" spans="1:34" s="3" customFormat="1" ht="16" customHeight="1">
      <c r="A410" s="7"/>
      <c r="B410" s="10"/>
      <c r="C410" s="12"/>
      <c r="D410" s="896"/>
      <c r="E410" s="896"/>
      <c r="F410" s="896"/>
      <c r="G410" s="896"/>
      <c r="H410" s="896"/>
      <c r="I410" s="896"/>
      <c r="J410" s="896"/>
      <c r="K410" s="896"/>
      <c r="L410" s="897"/>
      <c r="M410" s="896"/>
      <c r="N410" s="889"/>
      <c r="O410" s="896"/>
      <c r="P410" s="889"/>
      <c r="Q410" s="900"/>
      <c r="R410" s="896"/>
      <c r="S410" s="896"/>
      <c r="T410" s="898"/>
      <c r="U410" s="898"/>
      <c r="V410" s="899"/>
      <c r="W410" s="899"/>
      <c r="X410" s="899"/>
      <c r="Y410" s="899"/>
      <c r="Z410" s="899"/>
      <c r="AA410" s="899"/>
      <c r="AB410" s="899"/>
      <c r="AC410" s="899"/>
      <c r="AD410" s="899"/>
      <c r="AE410" s="899"/>
      <c r="AF410" s="899"/>
      <c r="AG410" s="899"/>
    </row>
    <row r="411" spans="1:34" s="3" customFormat="1" ht="16" customHeight="1">
      <c r="A411" s="7"/>
      <c r="B411" s="10"/>
      <c r="C411" s="12"/>
      <c r="D411" s="896"/>
      <c r="E411" s="896"/>
      <c r="F411" s="896"/>
      <c r="G411" s="896"/>
      <c r="H411" s="896"/>
      <c r="I411" s="896"/>
      <c r="J411" s="896"/>
      <c r="K411" s="896"/>
      <c r="L411" s="897"/>
      <c r="M411" s="896"/>
      <c r="N411" s="889"/>
      <c r="O411" s="896"/>
      <c r="P411" s="889"/>
      <c r="Q411" s="900"/>
      <c r="R411" s="896"/>
      <c r="S411" s="896"/>
      <c r="T411" s="898"/>
      <c r="U411" s="898"/>
      <c r="V411" s="899"/>
      <c r="W411" s="899"/>
      <c r="X411" s="899"/>
      <c r="Y411" s="899"/>
      <c r="Z411" s="899"/>
      <c r="AA411" s="899"/>
      <c r="AB411" s="899"/>
      <c r="AC411" s="899"/>
      <c r="AD411" s="899"/>
      <c r="AE411" s="899"/>
      <c r="AF411" s="899"/>
      <c r="AG411" s="899"/>
    </row>
    <row r="412" spans="1:34" s="3" customFormat="1" ht="16" customHeight="1">
      <c r="A412" s="29"/>
      <c r="B412" s="30"/>
      <c r="C412" s="30"/>
      <c r="D412" s="31"/>
      <c r="E412" s="31"/>
      <c r="F412" s="32"/>
      <c r="G412" s="31"/>
      <c r="H412" s="32"/>
      <c r="I412" s="32"/>
      <c r="J412" s="31"/>
      <c r="K412" s="31"/>
      <c r="L412" s="284"/>
      <c r="M412" s="32"/>
      <c r="N412" s="32"/>
      <c r="O412" s="31"/>
      <c r="P412" s="32"/>
      <c r="Q412" s="32"/>
      <c r="R412" s="31"/>
      <c r="S412" s="32"/>
      <c r="T412" s="31"/>
      <c r="U412" s="31"/>
      <c r="V412" s="29"/>
      <c r="W412" s="29"/>
      <c r="X412" s="29"/>
      <c r="Y412" s="29"/>
      <c r="Z412" s="29"/>
      <c r="AA412" s="29"/>
      <c r="AB412" s="29"/>
      <c r="AC412" s="29"/>
      <c r="AD412" s="29"/>
      <c r="AE412" s="29"/>
      <c r="AF412" s="29"/>
      <c r="AG412" s="29"/>
    </row>
    <row r="413" spans="1:34" s="3" customFormat="1" ht="16" customHeight="1" thickBot="1">
      <c r="A413" s="7"/>
      <c r="B413" s="19" t="str">
        <f>"FA2 = "&amp;'FIG3'!$W$53&amp;" "&amp;'FIG3'!$X$53</f>
        <v>FA2 = FA2L1 FA2L2</v>
      </c>
      <c r="C413" s="7"/>
      <c r="D413" s="8"/>
      <c r="E413" s="8"/>
      <c r="F413" s="9"/>
      <c r="G413" s="8"/>
      <c r="H413" s="9"/>
      <c r="I413" s="9"/>
      <c r="J413" s="8"/>
      <c r="K413" s="8"/>
      <c r="L413" s="280"/>
      <c r="M413" s="9"/>
      <c r="N413" s="9"/>
      <c r="O413" s="8"/>
      <c r="P413" s="9"/>
      <c r="Q413" s="9"/>
      <c r="R413" s="8"/>
      <c r="S413" s="882"/>
      <c r="T413" s="883" t="str">
        <f>'$REV-DB'!$T$34</f>
        <v>Federal Revenues</v>
      </c>
      <c r="U413" s="883" t="str">
        <f>'$REV-DB'!$U$34</f>
        <v>local Revenues</v>
      </c>
      <c r="V413" s="883" t="str">
        <f>'$REV-DB'!$V$34</f>
        <v>Other Revenues</v>
      </c>
      <c r="W413" s="883" t="str">
        <f>'$REV-DB'!$W$34</f>
        <v>State revenues</v>
      </c>
      <c r="X413" s="883" t="str">
        <f>'$REV-DB'!$X$34</f>
        <v>UD5</v>
      </c>
      <c r="Y413" s="883" t="str">
        <f>'$REV-DB'!$Y$34</f>
        <v>UD6</v>
      </c>
      <c r="Z413" s="883" t="str">
        <f>'$REV-DB'!$Z$34</f>
        <v>UD7</v>
      </c>
      <c r="AA413" s="883" t="str">
        <f>'$REV-DB'!$AA$34</f>
        <v>UD8</v>
      </c>
      <c r="AB413" s="883" t="str">
        <f>'$REV-DB'!$AB$34</f>
        <v>UD9</v>
      </c>
      <c r="AC413" s="883" t="str">
        <f>'$REV-DB'!$AC$34</f>
        <v>UD10</v>
      </c>
      <c r="AD413" s="883" t="str">
        <f>'$REV-DB'!$AD$34</f>
        <v>UD11</v>
      </c>
      <c r="AE413" s="883" t="str">
        <f>'$REV-DB'!$AE$34</f>
        <v>UD12</v>
      </c>
      <c r="AF413" s="883" t="str">
        <f>'$REV-DB'!$AF$34</f>
        <v>UD13</v>
      </c>
      <c r="AG413" s="883" t="str">
        <f>'$REV-DB'!$AG$34</f>
        <v>UD14</v>
      </c>
    </row>
    <row r="414" spans="1:34" s="3" customFormat="1" ht="16" customHeight="1" thickTop="1" thickBot="1">
      <c r="A414" s="7"/>
      <c r="B414" s="20" t="s">
        <v>1375</v>
      </c>
      <c r="C414" s="15"/>
      <c r="D414" s="877" t="s">
        <v>1386</v>
      </c>
      <c r="E414" s="877" t="s">
        <v>1387</v>
      </c>
      <c r="F414" s="877" t="s">
        <v>1388</v>
      </c>
      <c r="G414" s="877" t="s">
        <v>1389</v>
      </c>
      <c r="H414" s="877" t="s">
        <v>1406</v>
      </c>
      <c r="I414" s="877" t="s">
        <v>1390</v>
      </c>
      <c r="J414" s="877" t="s">
        <v>1391</v>
      </c>
      <c r="K414" s="877" t="s">
        <v>1392</v>
      </c>
      <c r="L414" s="877" t="s">
        <v>1188</v>
      </c>
      <c r="M414" s="877" t="s">
        <v>1437</v>
      </c>
      <c r="N414" s="877" t="s">
        <v>1348</v>
      </c>
      <c r="O414" s="877" t="s">
        <v>1393</v>
      </c>
      <c r="P414" s="877" t="s">
        <v>1342</v>
      </c>
      <c r="Q414" s="877" t="s">
        <v>1394</v>
      </c>
      <c r="R414" s="112" t="s">
        <v>1341</v>
      </c>
      <c r="S414" s="112" t="s">
        <v>846</v>
      </c>
      <c r="T414" s="877" t="s">
        <v>935</v>
      </c>
      <c r="U414" s="877" t="s">
        <v>936</v>
      </c>
      <c r="V414" s="877" t="s">
        <v>937</v>
      </c>
      <c r="W414" s="877" t="s">
        <v>938</v>
      </c>
      <c r="X414" s="877" t="s">
        <v>939</v>
      </c>
      <c r="Y414" s="877" t="s">
        <v>940</v>
      </c>
      <c r="Z414" s="877" t="s">
        <v>941</v>
      </c>
      <c r="AA414" s="877" t="s">
        <v>942</v>
      </c>
      <c r="AB414" s="877" t="s">
        <v>943</v>
      </c>
      <c r="AC414" s="877" t="s">
        <v>944</v>
      </c>
      <c r="AD414" s="877" t="s">
        <v>945</v>
      </c>
      <c r="AE414" s="877" t="s">
        <v>946</v>
      </c>
      <c r="AF414" s="877" t="s">
        <v>947</v>
      </c>
      <c r="AG414" s="877" t="s">
        <v>948</v>
      </c>
      <c r="AH414" s="6"/>
    </row>
    <row r="415" spans="1:34" s="3" customFormat="1" ht="16" customHeight="1" thickTop="1">
      <c r="A415" s="7"/>
      <c r="B415" s="19" t="s">
        <v>1178</v>
      </c>
      <c r="C415" s="12"/>
      <c r="D415" s="194"/>
      <c r="E415" s="194"/>
      <c r="F415" s="193"/>
      <c r="G415" s="194"/>
      <c r="H415" s="193"/>
      <c r="I415" s="193"/>
      <c r="J415" s="194"/>
      <c r="K415" s="194"/>
      <c r="L415" s="285" t="s">
        <v>1429</v>
      </c>
      <c r="M415" s="193"/>
      <c r="N415" s="47" t="str">
        <f>J$6</f>
        <v>FY2010-11</v>
      </c>
      <c r="O415" s="47" t="s">
        <v>1353</v>
      </c>
      <c r="P415" s="47" t="s">
        <v>1347</v>
      </c>
      <c r="Q415" s="47" t="s">
        <v>1465</v>
      </c>
      <c r="R415" s="194"/>
      <c r="S415" s="193" t="s">
        <v>871</v>
      </c>
      <c r="T415" s="194"/>
      <c r="U415" s="194"/>
      <c r="V415" s="195"/>
      <c r="W415" s="195"/>
      <c r="X415" s="195"/>
      <c r="Y415" s="195"/>
      <c r="Z415" s="195"/>
      <c r="AA415" s="195"/>
      <c r="AB415" s="195"/>
      <c r="AC415" s="195"/>
      <c r="AD415" s="195"/>
      <c r="AE415" s="195"/>
      <c r="AF415" s="195"/>
      <c r="AG415" s="195"/>
      <c r="AH415" s="6"/>
    </row>
    <row r="416" spans="1:34" s="3" customFormat="1" ht="16" customHeight="1">
      <c r="A416" s="7"/>
      <c r="B416" s="16">
        <f>DSUM('$REV-DB'!D35:AG374,"AMOUNT",D414:AG415)</f>
        <v>0</v>
      </c>
      <c r="C416" s="12"/>
      <c r="D416" s="896"/>
      <c r="E416" s="896"/>
      <c r="F416" s="896"/>
      <c r="G416" s="896"/>
      <c r="H416" s="896"/>
      <c r="I416" s="896"/>
      <c r="J416" s="896"/>
      <c r="K416" s="896"/>
      <c r="L416" s="897"/>
      <c r="M416" s="896"/>
      <c r="N416" s="889"/>
      <c r="O416" s="896"/>
      <c r="P416" s="889"/>
      <c r="Q416" s="900"/>
      <c r="R416" s="896"/>
      <c r="S416" s="896"/>
      <c r="T416" s="898"/>
      <c r="U416" s="898"/>
      <c r="V416" s="899"/>
      <c r="W416" s="899"/>
      <c r="X416" s="899"/>
      <c r="Y416" s="899"/>
      <c r="Z416" s="899"/>
      <c r="AA416" s="899"/>
      <c r="AB416" s="899"/>
      <c r="AC416" s="899"/>
      <c r="AD416" s="899"/>
      <c r="AE416" s="899"/>
      <c r="AF416" s="899"/>
      <c r="AG416" s="899"/>
      <c r="AH416" s="6"/>
    </row>
    <row r="417" spans="1:34" s="3" customFormat="1" ht="16" customHeight="1">
      <c r="A417" s="7"/>
      <c r="B417" s="10"/>
      <c r="C417" s="12"/>
      <c r="D417" s="896"/>
      <c r="E417" s="896"/>
      <c r="F417" s="896"/>
      <c r="G417" s="896"/>
      <c r="H417" s="896"/>
      <c r="I417" s="896"/>
      <c r="J417" s="896"/>
      <c r="K417" s="896"/>
      <c r="L417" s="897"/>
      <c r="M417" s="896"/>
      <c r="N417" s="889"/>
      <c r="O417" s="896"/>
      <c r="P417" s="889"/>
      <c r="Q417" s="900"/>
      <c r="R417" s="896"/>
      <c r="S417" s="896"/>
      <c r="T417" s="898"/>
      <c r="U417" s="898"/>
      <c r="V417" s="899"/>
      <c r="W417" s="899"/>
      <c r="X417" s="899"/>
      <c r="Y417" s="899"/>
      <c r="Z417" s="899"/>
      <c r="AA417" s="899"/>
      <c r="AB417" s="899"/>
      <c r="AC417" s="899"/>
      <c r="AD417" s="899"/>
      <c r="AE417" s="899"/>
      <c r="AF417" s="899"/>
      <c r="AG417" s="899"/>
    </row>
    <row r="418" spans="1:34" s="3" customFormat="1" ht="16" customHeight="1">
      <c r="A418" s="7"/>
      <c r="B418" s="10"/>
      <c r="C418" s="12"/>
      <c r="D418" s="896"/>
      <c r="E418" s="896"/>
      <c r="F418" s="896"/>
      <c r="G418" s="896"/>
      <c r="H418" s="896"/>
      <c r="I418" s="896"/>
      <c r="J418" s="896"/>
      <c r="K418" s="896"/>
      <c r="L418" s="897"/>
      <c r="M418" s="896"/>
      <c r="N418" s="889"/>
      <c r="O418" s="896"/>
      <c r="P418" s="889"/>
      <c r="Q418" s="900"/>
      <c r="R418" s="896"/>
      <c r="S418" s="896"/>
      <c r="T418" s="898"/>
      <c r="U418" s="898"/>
      <c r="V418" s="899"/>
      <c r="W418" s="899"/>
      <c r="X418" s="899"/>
      <c r="Y418" s="899"/>
      <c r="Z418" s="899"/>
      <c r="AA418" s="899"/>
      <c r="AB418" s="899"/>
      <c r="AC418" s="899"/>
      <c r="AD418" s="899"/>
      <c r="AE418" s="899"/>
      <c r="AF418" s="899"/>
      <c r="AG418" s="899"/>
    </row>
    <row r="419" spans="1:34" s="3" customFormat="1" ht="16" customHeight="1">
      <c r="A419" s="7"/>
      <c r="B419" s="10"/>
      <c r="C419" s="12"/>
      <c r="D419" s="896"/>
      <c r="E419" s="896"/>
      <c r="F419" s="896"/>
      <c r="G419" s="896"/>
      <c r="H419" s="896"/>
      <c r="I419" s="896"/>
      <c r="J419" s="896"/>
      <c r="K419" s="896"/>
      <c r="L419" s="897"/>
      <c r="M419" s="896"/>
      <c r="N419" s="889"/>
      <c r="O419" s="896"/>
      <c r="P419" s="889"/>
      <c r="Q419" s="900"/>
      <c r="R419" s="896"/>
      <c r="S419" s="896"/>
      <c r="T419" s="898"/>
      <c r="U419" s="898"/>
      <c r="V419" s="899"/>
      <c r="W419" s="899"/>
      <c r="X419" s="899"/>
      <c r="Y419" s="899"/>
      <c r="Z419" s="899"/>
      <c r="AA419" s="899"/>
      <c r="AB419" s="899"/>
      <c r="AC419" s="899"/>
      <c r="AD419" s="899"/>
      <c r="AE419" s="899"/>
      <c r="AF419" s="899"/>
      <c r="AG419" s="899"/>
    </row>
    <row r="420" spans="1:34" s="3" customFormat="1" ht="16" customHeight="1">
      <c r="A420" s="7"/>
      <c r="B420" s="10"/>
      <c r="C420" s="12"/>
      <c r="D420" s="896"/>
      <c r="E420" s="896"/>
      <c r="F420" s="896"/>
      <c r="G420" s="896"/>
      <c r="H420" s="896"/>
      <c r="I420" s="896"/>
      <c r="J420" s="896"/>
      <c r="K420" s="896"/>
      <c r="L420" s="897"/>
      <c r="M420" s="896"/>
      <c r="N420" s="889"/>
      <c r="O420" s="896"/>
      <c r="P420" s="889"/>
      <c r="Q420" s="900"/>
      <c r="R420" s="896"/>
      <c r="S420" s="896"/>
      <c r="T420" s="898"/>
      <c r="U420" s="898"/>
      <c r="V420" s="899"/>
      <c r="W420" s="899"/>
      <c r="X420" s="899"/>
      <c r="Y420" s="899"/>
      <c r="Z420" s="899"/>
      <c r="AA420" s="899"/>
      <c r="AB420" s="899"/>
      <c r="AC420" s="899"/>
      <c r="AD420" s="899"/>
      <c r="AE420" s="899"/>
      <c r="AF420" s="899"/>
      <c r="AG420" s="899"/>
    </row>
    <row r="421" spans="1:34" s="3" customFormat="1" ht="16" customHeight="1">
      <c r="A421" s="7"/>
      <c r="B421" s="10"/>
      <c r="C421" s="12"/>
      <c r="D421" s="896"/>
      <c r="E421" s="896"/>
      <c r="F421" s="896"/>
      <c r="G421" s="896"/>
      <c r="H421" s="896"/>
      <c r="I421" s="896"/>
      <c r="J421" s="896"/>
      <c r="K421" s="896"/>
      <c r="L421" s="897"/>
      <c r="M421" s="896"/>
      <c r="N421" s="889"/>
      <c r="O421" s="896"/>
      <c r="P421" s="889"/>
      <c r="Q421" s="900"/>
      <c r="R421" s="896"/>
      <c r="S421" s="896"/>
      <c r="T421" s="898"/>
      <c r="U421" s="898"/>
      <c r="V421" s="899"/>
      <c r="W421" s="899"/>
      <c r="X421" s="899"/>
      <c r="Y421" s="899"/>
      <c r="Z421" s="899"/>
      <c r="AA421" s="899"/>
      <c r="AB421" s="899"/>
      <c r="AC421" s="899"/>
      <c r="AD421" s="899"/>
      <c r="AE421" s="899"/>
      <c r="AF421" s="899"/>
      <c r="AG421" s="899"/>
    </row>
    <row r="422" spans="1:34" s="3" customFormat="1" ht="16" customHeight="1">
      <c r="A422" s="29"/>
      <c r="B422" s="30"/>
      <c r="C422" s="30"/>
      <c r="D422" s="31"/>
      <c r="E422" s="31"/>
      <c r="F422" s="32"/>
      <c r="G422" s="31"/>
      <c r="H422" s="32"/>
      <c r="I422" s="32"/>
      <c r="J422" s="31"/>
      <c r="K422" s="31"/>
      <c r="L422" s="284"/>
      <c r="M422" s="32"/>
      <c r="N422" s="32"/>
      <c r="O422" s="31"/>
      <c r="P422" s="32"/>
      <c r="Q422" s="32"/>
      <c r="R422" s="31"/>
      <c r="S422" s="32"/>
      <c r="T422" s="31"/>
      <c r="U422" s="31"/>
      <c r="V422" s="29"/>
      <c r="W422" s="29"/>
      <c r="X422" s="29"/>
      <c r="Y422" s="29"/>
      <c r="Z422" s="29"/>
      <c r="AA422" s="29"/>
      <c r="AB422" s="29"/>
      <c r="AC422" s="29"/>
      <c r="AD422" s="29"/>
      <c r="AE422" s="29"/>
      <c r="AF422" s="29"/>
      <c r="AG422" s="29"/>
    </row>
    <row r="423" spans="1:34" s="3" customFormat="1" ht="16" customHeight="1" thickBot="1">
      <c r="A423" s="7"/>
      <c r="B423" s="19" t="str">
        <f>"FA2 = "&amp;'FIG3'!$W$53&amp;" "&amp;'FIG3'!$X$53</f>
        <v>FA2 = FA2L1 FA2L2</v>
      </c>
      <c r="C423" s="7"/>
      <c r="D423" s="8"/>
      <c r="E423" s="8"/>
      <c r="F423" s="9"/>
      <c r="G423" s="8"/>
      <c r="H423" s="9"/>
      <c r="I423" s="9"/>
      <c r="J423" s="8"/>
      <c r="K423" s="8"/>
      <c r="L423" s="280"/>
      <c r="M423" s="9"/>
      <c r="N423" s="9"/>
      <c r="O423" s="8"/>
      <c r="P423" s="9"/>
      <c r="Q423" s="9"/>
      <c r="R423" s="8"/>
      <c r="S423" s="882"/>
      <c r="T423" s="883" t="str">
        <f>'$REV-DB'!$T$34</f>
        <v>Federal Revenues</v>
      </c>
      <c r="U423" s="883" t="str">
        <f>'$REV-DB'!$U$34</f>
        <v>local Revenues</v>
      </c>
      <c r="V423" s="883" t="str">
        <f>'$REV-DB'!$V$34</f>
        <v>Other Revenues</v>
      </c>
      <c r="W423" s="883" t="str">
        <f>'$REV-DB'!$W$34</f>
        <v>State revenues</v>
      </c>
      <c r="X423" s="883" t="str">
        <f>'$REV-DB'!$X$34</f>
        <v>UD5</v>
      </c>
      <c r="Y423" s="883" t="str">
        <f>'$REV-DB'!$Y$34</f>
        <v>UD6</v>
      </c>
      <c r="Z423" s="883" t="str">
        <f>'$REV-DB'!$Z$34</f>
        <v>UD7</v>
      </c>
      <c r="AA423" s="883" t="str">
        <f>'$REV-DB'!$AA$34</f>
        <v>UD8</v>
      </c>
      <c r="AB423" s="883" t="str">
        <f>'$REV-DB'!$AB$34</f>
        <v>UD9</v>
      </c>
      <c r="AC423" s="883" t="str">
        <f>'$REV-DB'!$AC$34</f>
        <v>UD10</v>
      </c>
      <c r="AD423" s="883" t="str">
        <f>'$REV-DB'!$AD$34</f>
        <v>UD11</v>
      </c>
      <c r="AE423" s="883" t="str">
        <f>'$REV-DB'!$AE$34</f>
        <v>UD12</v>
      </c>
      <c r="AF423" s="883" t="str">
        <f>'$REV-DB'!$AF$34</f>
        <v>UD13</v>
      </c>
      <c r="AG423" s="883" t="str">
        <f>'$REV-DB'!$AG$34</f>
        <v>UD14</v>
      </c>
    </row>
    <row r="424" spans="1:34" s="3" customFormat="1" ht="16" customHeight="1" thickTop="1" thickBot="1">
      <c r="A424" s="7"/>
      <c r="B424" s="20" t="s">
        <v>1375</v>
      </c>
      <c r="C424" s="15"/>
      <c r="D424" s="877" t="s">
        <v>1386</v>
      </c>
      <c r="E424" s="877" t="s">
        <v>1387</v>
      </c>
      <c r="F424" s="877" t="s">
        <v>1388</v>
      </c>
      <c r="G424" s="877" t="s">
        <v>1389</v>
      </c>
      <c r="H424" s="877" t="s">
        <v>1406</v>
      </c>
      <c r="I424" s="877" t="s">
        <v>1390</v>
      </c>
      <c r="J424" s="877" t="s">
        <v>1391</v>
      </c>
      <c r="K424" s="877" t="s">
        <v>1392</v>
      </c>
      <c r="L424" s="877" t="s">
        <v>1188</v>
      </c>
      <c r="M424" s="877" t="s">
        <v>1437</v>
      </c>
      <c r="N424" s="877" t="s">
        <v>1348</v>
      </c>
      <c r="O424" s="877" t="s">
        <v>1393</v>
      </c>
      <c r="P424" s="877" t="s">
        <v>1342</v>
      </c>
      <c r="Q424" s="877" t="s">
        <v>1394</v>
      </c>
      <c r="R424" s="112" t="s">
        <v>1341</v>
      </c>
      <c r="S424" s="112" t="s">
        <v>846</v>
      </c>
      <c r="T424" s="877" t="s">
        <v>935</v>
      </c>
      <c r="U424" s="877" t="s">
        <v>936</v>
      </c>
      <c r="V424" s="877" t="s">
        <v>937</v>
      </c>
      <c r="W424" s="877" t="s">
        <v>938</v>
      </c>
      <c r="X424" s="877" t="s">
        <v>939</v>
      </c>
      <c r="Y424" s="877" t="s">
        <v>940</v>
      </c>
      <c r="Z424" s="877" t="s">
        <v>941</v>
      </c>
      <c r="AA424" s="877" t="s">
        <v>942</v>
      </c>
      <c r="AB424" s="877" t="s">
        <v>943</v>
      </c>
      <c r="AC424" s="877" t="s">
        <v>944</v>
      </c>
      <c r="AD424" s="877" t="s">
        <v>945</v>
      </c>
      <c r="AE424" s="877" t="s">
        <v>946</v>
      </c>
      <c r="AF424" s="877" t="s">
        <v>947</v>
      </c>
      <c r="AG424" s="877" t="s">
        <v>948</v>
      </c>
      <c r="AH424" s="6"/>
    </row>
    <row r="425" spans="1:34" s="3" customFormat="1" ht="16" customHeight="1" thickTop="1">
      <c r="A425" s="7"/>
      <c r="B425" s="19" t="s">
        <v>1350</v>
      </c>
      <c r="C425" s="12"/>
      <c r="D425" s="194"/>
      <c r="E425" s="194"/>
      <c r="F425" s="193"/>
      <c r="G425" s="194"/>
      <c r="H425" s="193"/>
      <c r="I425" s="193"/>
      <c r="J425" s="194"/>
      <c r="K425" s="194"/>
      <c r="L425" s="285" t="s">
        <v>1429</v>
      </c>
      <c r="M425" s="193"/>
      <c r="N425" s="47" t="str">
        <f>J$6</f>
        <v>FY2010-11</v>
      </c>
      <c r="O425" s="47" t="s">
        <v>1353</v>
      </c>
      <c r="P425" s="47" t="s">
        <v>1347</v>
      </c>
      <c r="Q425" s="47" t="s">
        <v>1340</v>
      </c>
      <c r="R425" s="194"/>
      <c r="S425" s="193" t="s">
        <v>871</v>
      </c>
      <c r="T425" s="194"/>
      <c r="U425" s="194"/>
      <c r="V425" s="195"/>
      <c r="W425" s="195"/>
      <c r="X425" s="195"/>
      <c r="Y425" s="195"/>
      <c r="Z425" s="195"/>
      <c r="AA425" s="195"/>
      <c r="AB425" s="195"/>
      <c r="AC425" s="195"/>
      <c r="AD425" s="195"/>
      <c r="AE425" s="195"/>
      <c r="AF425" s="195"/>
      <c r="AG425" s="195"/>
      <c r="AH425" s="6"/>
    </row>
    <row r="426" spans="1:34" s="3" customFormat="1" ht="16" customHeight="1">
      <c r="A426" s="7"/>
      <c r="B426" s="16">
        <f>DSUM('$REV-DB'!D35:AG374,"AMOUNT",D424:AG425)</f>
        <v>0</v>
      </c>
      <c r="C426" s="12"/>
      <c r="D426" s="896"/>
      <c r="E426" s="896"/>
      <c r="F426" s="896"/>
      <c r="G426" s="896"/>
      <c r="H426" s="896"/>
      <c r="I426" s="896"/>
      <c r="J426" s="896"/>
      <c r="K426" s="896"/>
      <c r="L426" s="897"/>
      <c r="M426" s="896"/>
      <c r="N426" s="889"/>
      <c r="O426" s="896"/>
      <c r="P426" s="889"/>
      <c r="Q426" s="900"/>
      <c r="R426" s="896"/>
      <c r="S426" s="896"/>
      <c r="T426" s="898"/>
      <c r="U426" s="898"/>
      <c r="V426" s="899"/>
      <c r="W426" s="899"/>
      <c r="X426" s="899"/>
      <c r="Y426" s="899"/>
      <c r="Z426" s="899"/>
      <c r="AA426" s="899"/>
      <c r="AB426" s="899"/>
      <c r="AC426" s="899"/>
      <c r="AD426" s="899"/>
      <c r="AE426" s="899"/>
      <c r="AF426" s="899"/>
      <c r="AG426" s="899"/>
      <c r="AH426" s="6"/>
    </row>
    <row r="427" spans="1:34" s="3" customFormat="1" ht="16" customHeight="1">
      <c r="A427" s="7"/>
      <c r="B427" s="10"/>
      <c r="C427" s="12"/>
      <c r="D427" s="896"/>
      <c r="E427" s="896"/>
      <c r="F427" s="896"/>
      <c r="G427" s="896"/>
      <c r="H427" s="896"/>
      <c r="I427" s="896"/>
      <c r="J427" s="896"/>
      <c r="K427" s="896"/>
      <c r="L427" s="897"/>
      <c r="M427" s="896"/>
      <c r="N427" s="889"/>
      <c r="O427" s="896"/>
      <c r="P427" s="889"/>
      <c r="Q427" s="900"/>
      <c r="R427" s="896"/>
      <c r="S427" s="896"/>
      <c r="T427" s="898"/>
      <c r="U427" s="898"/>
      <c r="V427" s="899"/>
      <c r="W427" s="899"/>
      <c r="X427" s="899"/>
      <c r="Y427" s="899"/>
      <c r="Z427" s="899"/>
      <c r="AA427" s="899"/>
      <c r="AB427" s="899"/>
      <c r="AC427" s="899"/>
      <c r="AD427" s="899"/>
      <c r="AE427" s="899"/>
      <c r="AF427" s="899"/>
      <c r="AG427" s="899"/>
    </row>
    <row r="428" spans="1:34" s="3" customFormat="1" ht="16" customHeight="1">
      <c r="A428" s="7"/>
      <c r="B428" s="10"/>
      <c r="C428" s="12"/>
      <c r="D428" s="896"/>
      <c r="E428" s="896"/>
      <c r="F428" s="896"/>
      <c r="G428" s="896"/>
      <c r="H428" s="896"/>
      <c r="I428" s="896"/>
      <c r="J428" s="896"/>
      <c r="K428" s="896"/>
      <c r="L428" s="897"/>
      <c r="M428" s="896"/>
      <c r="N428" s="889"/>
      <c r="O428" s="896"/>
      <c r="P428" s="889"/>
      <c r="Q428" s="900"/>
      <c r="R428" s="896"/>
      <c r="S428" s="896"/>
      <c r="T428" s="898"/>
      <c r="U428" s="898"/>
      <c r="V428" s="899"/>
      <c r="W428" s="899"/>
      <c r="X428" s="899"/>
      <c r="Y428" s="899"/>
      <c r="Z428" s="899"/>
      <c r="AA428" s="899"/>
      <c r="AB428" s="899"/>
      <c r="AC428" s="899"/>
      <c r="AD428" s="899"/>
      <c r="AE428" s="899"/>
      <c r="AF428" s="899"/>
      <c r="AG428" s="899"/>
    </row>
    <row r="429" spans="1:34" s="3" customFormat="1" ht="16" customHeight="1">
      <c r="A429" s="7"/>
      <c r="B429" s="10"/>
      <c r="C429" s="12"/>
      <c r="D429" s="896"/>
      <c r="E429" s="896"/>
      <c r="F429" s="896"/>
      <c r="G429" s="896"/>
      <c r="H429" s="896"/>
      <c r="I429" s="896"/>
      <c r="J429" s="896"/>
      <c r="K429" s="896"/>
      <c r="L429" s="897"/>
      <c r="M429" s="896"/>
      <c r="N429" s="889"/>
      <c r="O429" s="896"/>
      <c r="P429" s="889"/>
      <c r="Q429" s="900"/>
      <c r="R429" s="896"/>
      <c r="S429" s="896"/>
      <c r="T429" s="898"/>
      <c r="U429" s="898"/>
      <c r="V429" s="899"/>
      <c r="W429" s="899"/>
      <c r="X429" s="899"/>
      <c r="Y429" s="899"/>
      <c r="Z429" s="899"/>
      <c r="AA429" s="899"/>
      <c r="AB429" s="899"/>
      <c r="AC429" s="899"/>
      <c r="AD429" s="899"/>
      <c r="AE429" s="899"/>
      <c r="AF429" s="899"/>
      <c r="AG429" s="899"/>
    </row>
    <row r="430" spans="1:34" s="3" customFormat="1" ht="16" customHeight="1">
      <c r="A430" s="7"/>
      <c r="B430" s="10"/>
      <c r="C430" s="12"/>
      <c r="D430" s="896"/>
      <c r="E430" s="896"/>
      <c r="F430" s="896"/>
      <c r="G430" s="896"/>
      <c r="H430" s="896"/>
      <c r="I430" s="896"/>
      <c r="J430" s="896"/>
      <c r="K430" s="896"/>
      <c r="L430" s="897"/>
      <c r="M430" s="896"/>
      <c r="N430" s="889"/>
      <c r="O430" s="896"/>
      <c r="P430" s="889"/>
      <c r="Q430" s="900"/>
      <c r="R430" s="896"/>
      <c r="S430" s="896"/>
      <c r="T430" s="898"/>
      <c r="U430" s="898"/>
      <c r="V430" s="899"/>
      <c r="W430" s="899"/>
      <c r="X430" s="899"/>
      <c r="Y430" s="899"/>
      <c r="Z430" s="899"/>
      <c r="AA430" s="899"/>
      <c r="AB430" s="899"/>
      <c r="AC430" s="899"/>
      <c r="AD430" s="899"/>
      <c r="AE430" s="899"/>
      <c r="AF430" s="899"/>
      <c r="AG430" s="899"/>
    </row>
    <row r="431" spans="1:34" s="3" customFormat="1" ht="16" customHeight="1">
      <c r="A431" s="7"/>
      <c r="B431" s="10"/>
      <c r="C431" s="12"/>
      <c r="D431" s="896"/>
      <c r="E431" s="896"/>
      <c r="F431" s="896"/>
      <c r="G431" s="896"/>
      <c r="H431" s="896"/>
      <c r="I431" s="896"/>
      <c r="J431" s="896"/>
      <c r="K431" s="896"/>
      <c r="L431" s="897"/>
      <c r="M431" s="896"/>
      <c r="N431" s="889"/>
      <c r="O431" s="896"/>
      <c r="P431" s="889"/>
      <c r="Q431" s="900"/>
      <c r="R431" s="896"/>
      <c r="S431" s="896"/>
      <c r="T431" s="898"/>
      <c r="U431" s="898"/>
      <c r="V431" s="899"/>
      <c r="W431" s="899"/>
      <c r="X431" s="899"/>
      <c r="Y431" s="899"/>
      <c r="Z431" s="899"/>
      <c r="AA431" s="899"/>
      <c r="AB431" s="899"/>
      <c r="AC431" s="899"/>
      <c r="AD431" s="899"/>
      <c r="AE431" s="899"/>
      <c r="AF431" s="899"/>
      <c r="AG431" s="899"/>
    </row>
    <row r="432" spans="1:34" s="3" customFormat="1" ht="16" customHeight="1">
      <c r="A432" s="21"/>
      <c r="B432" s="22"/>
      <c r="C432" s="22"/>
      <c r="D432" s="23"/>
      <c r="E432" s="23"/>
      <c r="F432" s="24"/>
      <c r="G432" s="23"/>
      <c r="H432" s="24"/>
      <c r="I432" s="24"/>
      <c r="J432" s="23"/>
      <c r="K432" s="23"/>
      <c r="L432" s="286"/>
      <c r="M432" s="24"/>
      <c r="N432" s="24"/>
      <c r="O432" s="23"/>
      <c r="P432" s="24"/>
      <c r="Q432" s="24"/>
      <c r="R432" s="23"/>
      <c r="S432" s="24"/>
      <c r="T432" s="23"/>
      <c r="U432" s="23"/>
      <c r="V432" s="21"/>
      <c r="W432" s="21"/>
      <c r="X432" s="21"/>
      <c r="Y432" s="21"/>
      <c r="Z432" s="21"/>
      <c r="AA432" s="21"/>
      <c r="AB432" s="21"/>
      <c r="AC432" s="21"/>
      <c r="AD432" s="21"/>
      <c r="AE432" s="21"/>
      <c r="AF432" s="21"/>
      <c r="AG432" s="21"/>
    </row>
    <row r="433" spans="1:34" s="3" customFormat="1" ht="16" customHeight="1" thickBot="1">
      <c r="A433" s="7"/>
      <c r="B433" s="19" t="str">
        <f>"FA3 = "&amp;'FIG3'!$W$54&amp;" "&amp;'FIG3'!$X$54</f>
        <v>FA3 = FA3L1 FA3L2</v>
      </c>
      <c r="C433" s="7"/>
      <c r="D433" s="17"/>
      <c r="E433" s="17"/>
      <c r="F433" s="18"/>
      <c r="G433" s="17"/>
      <c r="H433" s="18"/>
      <c r="I433" s="18"/>
      <c r="J433" s="17"/>
      <c r="K433" s="17"/>
      <c r="L433" s="281"/>
      <c r="M433" s="18"/>
      <c r="N433" s="9"/>
      <c r="O433" s="17"/>
      <c r="P433" s="18"/>
      <c r="Q433" s="18"/>
      <c r="R433" s="17"/>
      <c r="S433" s="882"/>
      <c r="T433" s="883" t="str">
        <f>'$REV-DB'!$T$34</f>
        <v>Federal Revenues</v>
      </c>
      <c r="U433" s="883" t="str">
        <f>'$REV-DB'!$U$34</f>
        <v>local Revenues</v>
      </c>
      <c r="V433" s="883" t="str">
        <f>'$REV-DB'!$V$34</f>
        <v>Other Revenues</v>
      </c>
      <c r="W433" s="883" t="str">
        <f>'$REV-DB'!$W$34</f>
        <v>State revenues</v>
      </c>
      <c r="X433" s="883" t="str">
        <f>'$REV-DB'!$X$34</f>
        <v>UD5</v>
      </c>
      <c r="Y433" s="883" t="str">
        <f>'$REV-DB'!$Y$34</f>
        <v>UD6</v>
      </c>
      <c r="Z433" s="883" t="str">
        <f>'$REV-DB'!$Z$34</f>
        <v>UD7</v>
      </c>
      <c r="AA433" s="883" t="str">
        <f>'$REV-DB'!$AA$34</f>
        <v>UD8</v>
      </c>
      <c r="AB433" s="883" t="str">
        <f>'$REV-DB'!$AB$34</f>
        <v>UD9</v>
      </c>
      <c r="AC433" s="883" t="str">
        <f>'$REV-DB'!$AC$34</f>
        <v>UD10</v>
      </c>
      <c r="AD433" s="883" t="str">
        <f>'$REV-DB'!$AD$34</f>
        <v>UD11</v>
      </c>
      <c r="AE433" s="883" t="str">
        <f>'$REV-DB'!$AE$34</f>
        <v>UD12</v>
      </c>
      <c r="AF433" s="883" t="str">
        <f>'$REV-DB'!$AF$34</f>
        <v>UD13</v>
      </c>
      <c r="AG433" s="883" t="str">
        <f>'$REV-DB'!$AG$34</f>
        <v>UD14</v>
      </c>
    </row>
    <row r="434" spans="1:34" s="3" customFormat="1" ht="16" customHeight="1" thickTop="1" thickBot="1">
      <c r="A434" s="7"/>
      <c r="B434" s="20" t="s">
        <v>1399</v>
      </c>
      <c r="C434" s="15"/>
      <c r="D434" s="877" t="s">
        <v>1386</v>
      </c>
      <c r="E434" s="877" t="s">
        <v>1387</v>
      </c>
      <c r="F434" s="877" t="s">
        <v>1388</v>
      </c>
      <c r="G434" s="877" t="s">
        <v>1389</v>
      </c>
      <c r="H434" s="877" t="s">
        <v>1406</v>
      </c>
      <c r="I434" s="877" t="s">
        <v>1390</v>
      </c>
      <c r="J434" s="877" t="s">
        <v>1391</v>
      </c>
      <c r="K434" s="877" t="s">
        <v>1392</v>
      </c>
      <c r="L434" s="877" t="s">
        <v>1188</v>
      </c>
      <c r="M434" s="877" t="s">
        <v>1437</v>
      </c>
      <c r="N434" s="877" t="s">
        <v>1348</v>
      </c>
      <c r="O434" s="877" t="s">
        <v>1393</v>
      </c>
      <c r="P434" s="877" t="s">
        <v>1342</v>
      </c>
      <c r="Q434" s="877" t="s">
        <v>1394</v>
      </c>
      <c r="R434" s="112" t="s">
        <v>1341</v>
      </c>
      <c r="S434" s="112" t="s">
        <v>846</v>
      </c>
      <c r="T434" s="877" t="s">
        <v>935</v>
      </c>
      <c r="U434" s="877" t="s">
        <v>936</v>
      </c>
      <c r="V434" s="877" t="s">
        <v>937</v>
      </c>
      <c r="W434" s="877" t="s">
        <v>938</v>
      </c>
      <c r="X434" s="877" t="s">
        <v>939</v>
      </c>
      <c r="Y434" s="877" t="s">
        <v>940</v>
      </c>
      <c r="Z434" s="877" t="s">
        <v>941</v>
      </c>
      <c r="AA434" s="877" t="s">
        <v>942</v>
      </c>
      <c r="AB434" s="877" t="s">
        <v>943</v>
      </c>
      <c r="AC434" s="877" t="s">
        <v>944</v>
      </c>
      <c r="AD434" s="877" t="s">
        <v>945</v>
      </c>
      <c r="AE434" s="877" t="s">
        <v>946</v>
      </c>
      <c r="AF434" s="877" t="s">
        <v>947</v>
      </c>
      <c r="AG434" s="877" t="s">
        <v>948</v>
      </c>
      <c r="AH434" s="6"/>
    </row>
    <row r="435" spans="1:34" s="3" customFormat="1" ht="16" customHeight="1" thickTop="1">
      <c r="A435" s="7"/>
      <c r="B435" s="19" t="s">
        <v>1346</v>
      </c>
      <c r="C435" s="12"/>
      <c r="D435" s="196"/>
      <c r="E435" s="196"/>
      <c r="F435" s="196"/>
      <c r="G435" s="196"/>
      <c r="H435" s="196"/>
      <c r="I435" s="196"/>
      <c r="J435" s="196"/>
      <c r="K435" s="196"/>
      <c r="L435" s="287" t="s">
        <v>1429</v>
      </c>
      <c r="M435" s="196"/>
      <c r="N435" s="39" t="str">
        <f>J$6</f>
        <v>FY2010-11</v>
      </c>
      <c r="O435" s="39" t="s">
        <v>1354</v>
      </c>
      <c r="P435" s="39" t="s">
        <v>1338</v>
      </c>
      <c r="Q435" s="196"/>
      <c r="R435" s="196"/>
      <c r="S435" s="196"/>
      <c r="T435" s="197"/>
      <c r="U435" s="197"/>
      <c r="V435" s="198"/>
      <c r="W435" s="198"/>
      <c r="X435" s="198"/>
      <c r="Y435" s="198"/>
      <c r="Z435" s="198"/>
      <c r="AA435" s="198"/>
      <c r="AB435" s="198"/>
      <c r="AC435" s="198"/>
      <c r="AD435" s="198"/>
      <c r="AE435" s="198"/>
      <c r="AF435" s="198"/>
      <c r="AG435" s="198"/>
      <c r="AH435" s="6"/>
    </row>
    <row r="436" spans="1:34" s="3" customFormat="1" ht="16" customHeight="1">
      <c r="A436" s="7"/>
      <c r="B436" s="16">
        <f>DSUM('$REV-DB'!D35:AG374,"AMOUNT",D434:AG436)</f>
        <v>0</v>
      </c>
      <c r="C436" s="12"/>
      <c r="D436" s="196"/>
      <c r="E436" s="196"/>
      <c r="F436" s="196"/>
      <c r="G436" s="196"/>
      <c r="H436" s="196"/>
      <c r="I436" s="196"/>
      <c r="J436" s="196"/>
      <c r="K436" s="196"/>
      <c r="L436" s="287" t="s">
        <v>1429</v>
      </c>
      <c r="M436" s="196"/>
      <c r="N436" s="39" t="str">
        <f>J$6</f>
        <v>FY2010-11</v>
      </c>
      <c r="O436" s="39" t="s">
        <v>1354</v>
      </c>
      <c r="P436" s="39" t="s">
        <v>1347</v>
      </c>
      <c r="Q436" s="196"/>
      <c r="R436" s="196"/>
      <c r="S436" s="196" t="s">
        <v>1303</v>
      </c>
      <c r="T436" s="197"/>
      <c r="U436" s="197"/>
      <c r="V436" s="198"/>
      <c r="W436" s="198"/>
      <c r="X436" s="198"/>
      <c r="Y436" s="198"/>
      <c r="Z436" s="198"/>
      <c r="AA436" s="198"/>
      <c r="AB436" s="198"/>
      <c r="AC436" s="198"/>
      <c r="AD436" s="198"/>
      <c r="AE436" s="198"/>
      <c r="AF436" s="198"/>
      <c r="AG436" s="198"/>
      <c r="AH436" s="6"/>
    </row>
    <row r="437" spans="1:34" s="3" customFormat="1" ht="16" customHeight="1">
      <c r="A437" s="7"/>
      <c r="B437" s="10"/>
      <c r="C437" s="12"/>
      <c r="D437" s="896"/>
      <c r="E437" s="896"/>
      <c r="F437" s="896"/>
      <c r="G437" s="896"/>
      <c r="H437" s="896"/>
      <c r="I437" s="896"/>
      <c r="J437" s="896"/>
      <c r="K437" s="896"/>
      <c r="L437" s="897"/>
      <c r="M437" s="896"/>
      <c r="N437" s="889"/>
      <c r="O437" s="889"/>
      <c r="P437" s="889"/>
      <c r="Q437" s="896"/>
      <c r="R437" s="896"/>
      <c r="S437" s="896"/>
      <c r="T437" s="898"/>
      <c r="U437" s="898"/>
      <c r="V437" s="899"/>
      <c r="W437" s="899"/>
      <c r="X437" s="899"/>
      <c r="Y437" s="899"/>
      <c r="Z437" s="899"/>
      <c r="AA437" s="899"/>
      <c r="AB437" s="899"/>
      <c r="AC437" s="899"/>
      <c r="AD437" s="899"/>
      <c r="AE437" s="899"/>
      <c r="AF437" s="899"/>
      <c r="AG437" s="899"/>
    </row>
    <row r="438" spans="1:34" s="3" customFormat="1" ht="16" customHeight="1">
      <c r="A438" s="7"/>
      <c r="B438" s="10"/>
      <c r="C438" s="12"/>
      <c r="D438" s="896"/>
      <c r="E438" s="896"/>
      <c r="F438" s="896"/>
      <c r="G438" s="896"/>
      <c r="H438" s="896"/>
      <c r="I438" s="896"/>
      <c r="J438" s="896"/>
      <c r="K438" s="896"/>
      <c r="L438" s="897"/>
      <c r="M438" s="896"/>
      <c r="N438" s="889"/>
      <c r="O438" s="889"/>
      <c r="P438" s="889"/>
      <c r="Q438" s="896"/>
      <c r="R438" s="896"/>
      <c r="S438" s="896"/>
      <c r="T438" s="898"/>
      <c r="U438" s="898"/>
      <c r="V438" s="899"/>
      <c r="W438" s="899"/>
      <c r="X438" s="899"/>
      <c r="Y438" s="899"/>
      <c r="Z438" s="899"/>
      <c r="AA438" s="899"/>
      <c r="AB438" s="899"/>
      <c r="AC438" s="899"/>
      <c r="AD438" s="899"/>
      <c r="AE438" s="899"/>
      <c r="AF438" s="899"/>
      <c r="AG438" s="899"/>
    </row>
    <row r="439" spans="1:34" s="3" customFormat="1" ht="16" customHeight="1">
      <c r="A439" s="7"/>
      <c r="B439" s="10"/>
      <c r="C439" s="12"/>
      <c r="D439" s="896"/>
      <c r="E439" s="896"/>
      <c r="F439" s="896"/>
      <c r="G439" s="896"/>
      <c r="H439" s="896"/>
      <c r="I439" s="896"/>
      <c r="J439" s="896"/>
      <c r="K439" s="896"/>
      <c r="L439" s="897"/>
      <c r="M439" s="896"/>
      <c r="N439" s="889"/>
      <c r="O439" s="889"/>
      <c r="P439" s="889"/>
      <c r="Q439" s="896"/>
      <c r="R439" s="896"/>
      <c r="S439" s="896"/>
      <c r="T439" s="898"/>
      <c r="U439" s="898"/>
      <c r="V439" s="899"/>
      <c r="W439" s="899"/>
      <c r="X439" s="899"/>
      <c r="Y439" s="899"/>
      <c r="Z439" s="899"/>
      <c r="AA439" s="899"/>
      <c r="AB439" s="899"/>
      <c r="AC439" s="899"/>
      <c r="AD439" s="899"/>
      <c r="AE439" s="899"/>
      <c r="AF439" s="899"/>
      <c r="AG439" s="899"/>
    </row>
    <row r="440" spans="1:34" s="3" customFormat="1" ht="16" customHeight="1">
      <c r="A440" s="7"/>
      <c r="B440" s="10"/>
      <c r="C440" s="12"/>
      <c r="D440" s="896"/>
      <c r="E440" s="896"/>
      <c r="F440" s="896"/>
      <c r="G440" s="896"/>
      <c r="H440" s="896"/>
      <c r="I440" s="896"/>
      <c r="J440" s="896"/>
      <c r="K440" s="896"/>
      <c r="L440" s="897"/>
      <c r="M440" s="896"/>
      <c r="N440" s="889"/>
      <c r="O440" s="889"/>
      <c r="P440" s="889"/>
      <c r="Q440" s="896"/>
      <c r="R440" s="896"/>
      <c r="S440" s="896"/>
      <c r="T440" s="898"/>
      <c r="U440" s="898"/>
      <c r="V440" s="899"/>
      <c r="W440" s="899"/>
      <c r="X440" s="899"/>
      <c r="Y440" s="899"/>
      <c r="Z440" s="899"/>
      <c r="AA440" s="899"/>
      <c r="AB440" s="899"/>
      <c r="AC440" s="899"/>
      <c r="AD440" s="899"/>
      <c r="AE440" s="899"/>
      <c r="AF440" s="899"/>
      <c r="AG440" s="899"/>
    </row>
    <row r="441" spans="1:34" s="3" customFormat="1" ht="16" customHeight="1">
      <c r="A441" s="7"/>
      <c r="B441" s="10"/>
      <c r="C441" s="12"/>
      <c r="D441" s="896"/>
      <c r="E441" s="896"/>
      <c r="F441" s="896"/>
      <c r="G441" s="896"/>
      <c r="H441" s="896"/>
      <c r="I441" s="896"/>
      <c r="J441" s="896"/>
      <c r="K441" s="896"/>
      <c r="L441" s="897"/>
      <c r="M441" s="896"/>
      <c r="N441" s="889"/>
      <c r="O441" s="889"/>
      <c r="P441" s="889"/>
      <c r="Q441" s="896"/>
      <c r="R441" s="896"/>
      <c r="S441" s="896"/>
      <c r="T441" s="898"/>
      <c r="U441" s="898"/>
      <c r="V441" s="899"/>
      <c r="W441" s="899"/>
      <c r="X441" s="899"/>
      <c r="Y441" s="899"/>
      <c r="Z441" s="899"/>
      <c r="AA441" s="899"/>
      <c r="AB441" s="899"/>
      <c r="AC441" s="899"/>
      <c r="AD441" s="899"/>
      <c r="AE441" s="899"/>
      <c r="AF441" s="899"/>
      <c r="AG441" s="899"/>
    </row>
    <row r="442" spans="1:34" s="3" customFormat="1" ht="16" customHeight="1">
      <c r="A442" s="21"/>
      <c r="B442" s="22"/>
      <c r="C442" s="22"/>
      <c r="D442" s="23"/>
      <c r="E442" s="23"/>
      <c r="F442" s="24"/>
      <c r="G442" s="23"/>
      <c r="H442" s="24"/>
      <c r="I442" s="24"/>
      <c r="J442" s="23"/>
      <c r="K442" s="23"/>
      <c r="L442" s="286"/>
      <c r="M442" s="24"/>
      <c r="N442" s="24"/>
      <c r="O442" s="23"/>
      <c r="P442" s="24"/>
      <c r="Q442" s="24"/>
      <c r="R442" s="23"/>
      <c r="S442" s="24"/>
      <c r="T442" s="23"/>
      <c r="U442" s="23"/>
      <c r="V442" s="21"/>
      <c r="W442" s="21"/>
      <c r="X442" s="21"/>
      <c r="Y442" s="21"/>
      <c r="Z442" s="21"/>
      <c r="AA442" s="21"/>
      <c r="AB442" s="21"/>
      <c r="AC442" s="21"/>
      <c r="AD442" s="21"/>
      <c r="AE442" s="21"/>
      <c r="AF442" s="21"/>
      <c r="AG442" s="21"/>
    </row>
    <row r="443" spans="1:34" s="3" customFormat="1" ht="16" customHeight="1" thickBot="1">
      <c r="A443" s="7"/>
      <c r="B443" s="19" t="str">
        <f>"FA3 = "&amp;'FIG3'!$W$54&amp;" "&amp;'FIG3'!$X$54</f>
        <v>FA3 = FA3L1 FA3L2</v>
      </c>
      <c r="C443" s="7"/>
      <c r="D443" s="8"/>
      <c r="E443" s="8"/>
      <c r="F443" s="9"/>
      <c r="G443" s="8"/>
      <c r="H443" s="9"/>
      <c r="I443" s="9"/>
      <c r="J443" s="8"/>
      <c r="K443" s="8"/>
      <c r="L443" s="280"/>
      <c r="M443" s="9"/>
      <c r="N443" s="9"/>
      <c r="O443" s="8"/>
      <c r="P443" s="9"/>
      <c r="Q443" s="9"/>
      <c r="R443" s="8"/>
      <c r="S443" s="882"/>
      <c r="T443" s="883" t="str">
        <f>'$REV-DB'!$T$34</f>
        <v>Federal Revenues</v>
      </c>
      <c r="U443" s="883" t="str">
        <f>'$REV-DB'!$U$34</f>
        <v>local Revenues</v>
      </c>
      <c r="V443" s="883" t="str">
        <f>'$REV-DB'!$V$34</f>
        <v>Other Revenues</v>
      </c>
      <c r="W443" s="883" t="str">
        <f>'$REV-DB'!$W$34</f>
        <v>State revenues</v>
      </c>
      <c r="X443" s="883" t="str">
        <f>'$REV-DB'!$X$34</f>
        <v>UD5</v>
      </c>
      <c r="Y443" s="883" t="str">
        <f>'$REV-DB'!$Y$34</f>
        <v>UD6</v>
      </c>
      <c r="Z443" s="883" t="str">
        <f>'$REV-DB'!$Z$34</f>
        <v>UD7</v>
      </c>
      <c r="AA443" s="883" t="str">
        <f>'$REV-DB'!$AA$34</f>
        <v>UD8</v>
      </c>
      <c r="AB443" s="883" t="str">
        <f>'$REV-DB'!$AB$34</f>
        <v>UD9</v>
      </c>
      <c r="AC443" s="883" t="str">
        <f>'$REV-DB'!$AC$34</f>
        <v>UD10</v>
      </c>
      <c r="AD443" s="883" t="str">
        <f>'$REV-DB'!$AD$34</f>
        <v>UD11</v>
      </c>
      <c r="AE443" s="883" t="str">
        <f>'$REV-DB'!$AE$34</f>
        <v>UD12</v>
      </c>
      <c r="AF443" s="883" t="str">
        <f>'$REV-DB'!$AF$34</f>
        <v>UD13</v>
      </c>
      <c r="AG443" s="883" t="str">
        <f>'$REV-DB'!$AG$34</f>
        <v>UD14</v>
      </c>
    </row>
    <row r="444" spans="1:34" s="3" customFormat="1" ht="16" customHeight="1" thickTop="1" thickBot="1">
      <c r="A444" s="7"/>
      <c r="B444" s="20" t="s">
        <v>1399</v>
      </c>
      <c r="C444" s="15"/>
      <c r="D444" s="877" t="s">
        <v>1386</v>
      </c>
      <c r="E444" s="877" t="s">
        <v>1387</v>
      </c>
      <c r="F444" s="877" t="s">
        <v>1388</v>
      </c>
      <c r="G444" s="877" t="s">
        <v>1389</v>
      </c>
      <c r="H444" s="877" t="s">
        <v>1406</v>
      </c>
      <c r="I444" s="877" t="s">
        <v>1390</v>
      </c>
      <c r="J444" s="877" t="s">
        <v>1391</v>
      </c>
      <c r="K444" s="877" t="s">
        <v>1392</v>
      </c>
      <c r="L444" s="877" t="s">
        <v>1188</v>
      </c>
      <c r="M444" s="877" t="s">
        <v>1437</v>
      </c>
      <c r="N444" s="877" t="s">
        <v>1348</v>
      </c>
      <c r="O444" s="877" t="s">
        <v>1393</v>
      </c>
      <c r="P444" s="877" t="s">
        <v>1342</v>
      </c>
      <c r="Q444" s="877" t="s">
        <v>1394</v>
      </c>
      <c r="R444" s="112" t="s">
        <v>1341</v>
      </c>
      <c r="S444" s="112" t="s">
        <v>846</v>
      </c>
      <c r="T444" s="877" t="s">
        <v>935</v>
      </c>
      <c r="U444" s="877" t="s">
        <v>936</v>
      </c>
      <c r="V444" s="877" t="s">
        <v>937</v>
      </c>
      <c r="W444" s="877" t="s">
        <v>938</v>
      </c>
      <c r="X444" s="877" t="s">
        <v>939</v>
      </c>
      <c r="Y444" s="877" t="s">
        <v>940</v>
      </c>
      <c r="Z444" s="877" t="s">
        <v>941</v>
      </c>
      <c r="AA444" s="877" t="s">
        <v>942</v>
      </c>
      <c r="AB444" s="877" t="s">
        <v>943</v>
      </c>
      <c r="AC444" s="877" t="s">
        <v>944</v>
      </c>
      <c r="AD444" s="877" t="s">
        <v>945</v>
      </c>
      <c r="AE444" s="877" t="s">
        <v>946</v>
      </c>
      <c r="AF444" s="877" t="s">
        <v>947</v>
      </c>
      <c r="AG444" s="877" t="s">
        <v>948</v>
      </c>
      <c r="AH444" s="6"/>
    </row>
    <row r="445" spans="1:34" s="3" customFormat="1" ht="16" customHeight="1" thickTop="1">
      <c r="A445" s="7"/>
      <c r="B445" s="19" t="s">
        <v>1345</v>
      </c>
      <c r="C445" s="12"/>
      <c r="D445" s="197"/>
      <c r="E445" s="197"/>
      <c r="F445" s="196"/>
      <c r="G445" s="197"/>
      <c r="H445" s="196"/>
      <c r="I445" s="196"/>
      <c r="J445" s="197"/>
      <c r="K445" s="197"/>
      <c r="L445" s="287" t="s">
        <v>1429</v>
      </c>
      <c r="M445" s="196"/>
      <c r="N445" s="39" t="str">
        <f>J$6</f>
        <v>FY2010-11</v>
      </c>
      <c r="O445" s="39" t="s">
        <v>1354</v>
      </c>
      <c r="P445" s="39" t="s">
        <v>1338</v>
      </c>
      <c r="Q445" s="39" t="s">
        <v>1380</v>
      </c>
      <c r="R445" s="197"/>
      <c r="S445" s="196"/>
      <c r="T445" s="197"/>
      <c r="U445" s="197"/>
      <c r="V445" s="198"/>
      <c r="W445" s="198"/>
      <c r="X445" s="198"/>
      <c r="Y445" s="198"/>
      <c r="Z445" s="198"/>
      <c r="AA445" s="198"/>
      <c r="AB445" s="198"/>
      <c r="AC445" s="198"/>
      <c r="AD445" s="198"/>
      <c r="AE445" s="198"/>
      <c r="AF445" s="198"/>
      <c r="AG445" s="198"/>
      <c r="AH445" s="6"/>
    </row>
    <row r="446" spans="1:34" s="3" customFormat="1" ht="16" customHeight="1">
      <c r="A446" s="7"/>
      <c r="B446" s="16">
        <f>DSUM('$REV-DB'!D35:AG374,"AMOUNT",D444:AG446)</f>
        <v>0</v>
      </c>
      <c r="C446" s="12"/>
      <c r="D446" s="197"/>
      <c r="E446" s="197"/>
      <c r="F446" s="196"/>
      <c r="G446" s="197"/>
      <c r="H446" s="196"/>
      <c r="I446" s="196"/>
      <c r="J446" s="197"/>
      <c r="K446" s="197"/>
      <c r="L446" s="287" t="s">
        <v>1429</v>
      </c>
      <c r="M446" s="196"/>
      <c r="N446" s="39" t="str">
        <f>J$6</f>
        <v>FY2010-11</v>
      </c>
      <c r="O446" s="39" t="s">
        <v>1354</v>
      </c>
      <c r="P446" s="39" t="s">
        <v>1347</v>
      </c>
      <c r="Q446" s="39" t="s">
        <v>1380</v>
      </c>
      <c r="R446" s="197"/>
      <c r="S446" s="196" t="s">
        <v>1303</v>
      </c>
      <c r="T446" s="197"/>
      <c r="U446" s="197"/>
      <c r="V446" s="198"/>
      <c r="W446" s="198"/>
      <c r="X446" s="198"/>
      <c r="Y446" s="198"/>
      <c r="Z446" s="198"/>
      <c r="AA446" s="198"/>
      <c r="AB446" s="198"/>
      <c r="AC446" s="198"/>
      <c r="AD446" s="198"/>
      <c r="AE446" s="198"/>
      <c r="AF446" s="198"/>
      <c r="AG446" s="198"/>
      <c r="AH446" s="6"/>
    </row>
    <row r="447" spans="1:34" s="3" customFormat="1" ht="16" customHeight="1">
      <c r="A447" s="7"/>
      <c r="B447" s="10"/>
      <c r="C447" s="12"/>
      <c r="D447" s="896"/>
      <c r="E447" s="896"/>
      <c r="F447" s="896"/>
      <c r="G447" s="896"/>
      <c r="H447" s="896"/>
      <c r="I447" s="896"/>
      <c r="J447" s="896"/>
      <c r="K447" s="896"/>
      <c r="L447" s="897"/>
      <c r="M447" s="896"/>
      <c r="N447" s="889"/>
      <c r="O447" s="889"/>
      <c r="P447" s="889"/>
      <c r="Q447" s="896"/>
      <c r="R447" s="896"/>
      <c r="S447" s="896"/>
      <c r="T447" s="898"/>
      <c r="U447" s="898"/>
      <c r="V447" s="899"/>
      <c r="W447" s="899"/>
      <c r="X447" s="899"/>
      <c r="Y447" s="899"/>
      <c r="Z447" s="899"/>
      <c r="AA447" s="899"/>
      <c r="AB447" s="899"/>
      <c r="AC447" s="899"/>
      <c r="AD447" s="899"/>
      <c r="AE447" s="899"/>
      <c r="AF447" s="899"/>
      <c r="AG447" s="899"/>
    </row>
    <row r="448" spans="1:34" s="3" customFormat="1" ht="16" customHeight="1">
      <c r="A448" s="7"/>
      <c r="B448" s="10"/>
      <c r="C448" s="12"/>
      <c r="D448" s="896"/>
      <c r="E448" s="896"/>
      <c r="F448" s="896"/>
      <c r="G448" s="896"/>
      <c r="H448" s="896"/>
      <c r="I448" s="896"/>
      <c r="J448" s="896"/>
      <c r="K448" s="896"/>
      <c r="L448" s="897"/>
      <c r="M448" s="896"/>
      <c r="N448" s="889"/>
      <c r="O448" s="889"/>
      <c r="P448" s="889"/>
      <c r="Q448" s="896"/>
      <c r="R448" s="896"/>
      <c r="S448" s="896"/>
      <c r="T448" s="898"/>
      <c r="U448" s="898"/>
      <c r="V448" s="899"/>
      <c r="W448" s="899"/>
      <c r="X448" s="899"/>
      <c r="Y448" s="899"/>
      <c r="Z448" s="899"/>
      <c r="AA448" s="899"/>
      <c r="AB448" s="899"/>
      <c r="AC448" s="899"/>
      <c r="AD448" s="899"/>
      <c r="AE448" s="899"/>
      <c r="AF448" s="899"/>
      <c r="AG448" s="899"/>
    </row>
    <row r="449" spans="1:34" s="3" customFormat="1" ht="16" customHeight="1">
      <c r="A449" s="7"/>
      <c r="B449" s="10"/>
      <c r="C449" s="12"/>
      <c r="D449" s="896"/>
      <c r="E449" s="896"/>
      <c r="F449" s="896"/>
      <c r="G449" s="896"/>
      <c r="H449" s="896"/>
      <c r="I449" s="896"/>
      <c r="J449" s="896"/>
      <c r="K449" s="896"/>
      <c r="L449" s="897"/>
      <c r="M449" s="896"/>
      <c r="N449" s="889"/>
      <c r="O449" s="889"/>
      <c r="P449" s="889"/>
      <c r="Q449" s="896"/>
      <c r="R449" s="896"/>
      <c r="S449" s="896"/>
      <c r="T449" s="898"/>
      <c r="U449" s="898"/>
      <c r="V449" s="899"/>
      <c r="W449" s="899"/>
      <c r="X449" s="899"/>
      <c r="Y449" s="899"/>
      <c r="Z449" s="899"/>
      <c r="AA449" s="899"/>
      <c r="AB449" s="899"/>
      <c r="AC449" s="899"/>
      <c r="AD449" s="899"/>
      <c r="AE449" s="899"/>
      <c r="AF449" s="899"/>
      <c r="AG449" s="899"/>
    </row>
    <row r="450" spans="1:34" s="3" customFormat="1" ht="16" customHeight="1">
      <c r="A450" s="7"/>
      <c r="B450" s="10"/>
      <c r="C450" s="12"/>
      <c r="D450" s="896"/>
      <c r="E450" s="896"/>
      <c r="F450" s="896"/>
      <c r="G450" s="896"/>
      <c r="H450" s="896"/>
      <c r="I450" s="896"/>
      <c r="J450" s="896"/>
      <c r="K450" s="896"/>
      <c r="L450" s="897"/>
      <c r="M450" s="896"/>
      <c r="N450" s="889"/>
      <c r="O450" s="889"/>
      <c r="P450" s="889"/>
      <c r="Q450" s="896"/>
      <c r="R450" s="896"/>
      <c r="S450" s="896"/>
      <c r="T450" s="898"/>
      <c r="U450" s="898"/>
      <c r="V450" s="899"/>
      <c r="W450" s="899"/>
      <c r="X450" s="899"/>
      <c r="Y450" s="899"/>
      <c r="Z450" s="899"/>
      <c r="AA450" s="899"/>
      <c r="AB450" s="899"/>
      <c r="AC450" s="899"/>
      <c r="AD450" s="899"/>
      <c r="AE450" s="899"/>
      <c r="AF450" s="899"/>
      <c r="AG450" s="899"/>
    </row>
    <row r="451" spans="1:34" s="3" customFormat="1" ht="16" customHeight="1">
      <c r="A451" s="7"/>
      <c r="B451" s="10"/>
      <c r="C451" s="12"/>
      <c r="D451" s="896"/>
      <c r="E451" s="896"/>
      <c r="F451" s="896"/>
      <c r="G451" s="896"/>
      <c r="H451" s="896"/>
      <c r="I451" s="896"/>
      <c r="J451" s="896"/>
      <c r="K451" s="896"/>
      <c r="L451" s="897"/>
      <c r="M451" s="896"/>
      <c r="N451" s="889"/>
      <c r="O451" s="889"/>
      <c r="P451" s="889"/>
      <c r="Q451" s="896"/>
      <c r="R451" s="896"/>
      <c r="S451" s="896"/>
      <c r="T451" s="898"/>
      <c r="U451" s="898"/>
      <c r="V451" s="899"/>
      <c r="W451" s="899"/>
      <c r="X451" s="899"/>
      <c r="Y451" s="899"/>
      <c r="Z451" s="899"/>
      <c r="AA451" s="899"/>
      <c r="AB451" s="899"/>
      <c r="AC451" s="899"/>
      <c r="AD451" s="899"/>
      <c r="AE451" s="899"/>
      <c r="AF451" s="899"/>
      <c r="AG451" s="899"/>
    </row>
    <row r="452" spans="1:34" s="3" customFormat="1" ht="16" customHeight="1">
      <c r="A452" s="21"/>
      <c r="B452" s="22"/>
      <c r="C452" s="22"/>
      <c r="D452" s="23"/>
      <c r="E452" s="23"/>
      <c r="F452" s="24"/>
      <c r="G452" s="23"/>
      <c r="H452" s="24"/>
      <c r="I452" s="24"/>
      <c r="J452" s="23"/>
      <c r="K452" s="23"/>
      <c r="L452" s="286"/>
      <c r="M452" s="24"/>
      <c r="N452" s="24"/>
      <c r="O452" s="23"/>
      <c r="P452" s="24"/>
      <c r="Q452" s="24"/>
      <c r="R452" s="23"/>
      <c r="S452" s="24"/>
      <c r="T452" s="23"/>
      <c r="U452" s="23"/>
      <c r="V452" s="21"/>
      <c r="W452" s="21"/>
      <c r="X452" s="21"/>
      <c r="Y452" s="21"/>
      <c r="Z452" s="21"/>
      <c r="AA452" s="21"/>
      <c r="AB452" s="21"/>
      <c r="AC452" s="21"/>
      <c r="AD452" s="21"/>
      <c r="AE452" s="21"/>
      <c r="AF452" s="21"/>
      <c r="AG452" s="21"/>
    </row>
    <row r="453" spans="1:34" s="3" customFormat="1" ht="16" customHeight="1" thickBot="1">
      <c r="A453" s="7"/>
      <c r="B453" s="19" t="str">
        <f>"FA3 = "&amp;'FIG3'!$W$54&amp;" "&amp;'FIG3'!$X$54</f>
        <v>FA3 = FA3L1 FA3L2</v>
      </c>
      <c r="C453" s="7"/>
      <c r="D453" s="8"/>
      <c r="E453" s="8"/>
      <c r="F453" s="9"/>
      <c r="G453" s="8"/>
      <c r="H453" s="9"/>
      <c r="I453" s="9"/>
      <c r="J453" s="8"/>
      <c r="K453" s="8"/>
      <c r="L453" s="280"/>
      <c r="M453" s="9"/>
      <c r="N453" s="9"/>
      <c r="O453" s="8"/>
      <c r="P453" s="9"/>
      <c r="Q453" s="9"/>
      <c r="R453" s="8"/>
      <c r="S453" s="882"/>
      <c r="T453" s="883" t="str">
        <f>'$REV-DB'!$T$34</f>
        <v>Federal Revenues</v>
      </c>
      <c r="U453" s="883" t="str">
        <f>'$REV-DB'!$U$34</f>
        <v>local Revenues</v>
      </c>
      <c r="V453" s="883" t="str">
        <f>'$REV-DB'!$V$34</f>
        <v>Other Revenues</v>
      </c>
      <c r="W453" s="883" t="str">
        <f>'$REV-DB'!$W$34</f>
        <v>State revenues</v>
      </c>
      <c r="X453" s="883" t="str">
        <f>'$REV-DB'!$X$34</f>
        <v>UD5</v>
      </c>
      <c r="Y453" s="883" t="str">
        <f>'$REV-DB'!$Y$34</f>
        <v>UD6</v>
      </c>
      <c r="Z453" s="883" t="str">
        <f>'$REV-DB'!$Z$34</f>
        <v>UD7</v>
      </c>
      <c r="AA453" s="883" t="str">
        <f>'$REV-DB'!$AA$34</f>
        <v>UD8</v>
      </c>
      <c r="AB453" s="883" t="str">
        <f>'$REV-DB'!$AB$34</f>
        <v>UD9</v>
      </c>
      <c r="AC453" s="883" t="str">
        <f>'$REV-DB'!$AC$34</f>
        <v>UD10</v>
      </c>
      <c r="AD453" s="883" t="str">
        <f>'$REV-DB'!$AD$34</f>
        <v>UD11</v>
      </c>
      <c r="AE453" s="883" t="str">
        <f>'$REV-DB'!$AE$34</f>
        <v>UD12</v>
      </c>
      <c r="AF453" s="883" t="str">
        <f>'$REV-DB'!$AF$34</f>
        <v>UD13</v>
      </c>
      <c r="AG453" s="883" t="str">
        <f>'$REV-DB'!$AG$34</f>
        <v>UD14</v>
      </c>
    </row>
    <row r="454" spans="1:34" s="3" customFormat="1" ht="16" customHeight="1" thickTop="1" thickBot="1">
      <c r="A454" s="7"/>
      <c r="B454" s="20" t="s">
        <v>1399</v>
      </c>
      <c r="C454" s="15"/>
      <c r="D454" s="877" t="s">
        <v>1386</v>
      </c>
      <c r="E454" s="877" t="s">
        <v>1387</v>
      </c>
      <c r="F454" s="877" t="s">
        <v>1388</v>
      </c>
      <c r="G454" s="877" t="s">
        <v>1389</v>
      </c>
      <c r="H454" s="877" t="s">
        <v>1406</v>
      </c>
      <c r="I454" s="877" t="s">
        <v>1390</v>
      </c>
      <c r="J454" s="877" t="s">
        <v>1391</v>
      </c>
      <c r="K454" s="877" t="s">
        <v>1392</v>
      </c>
      <c r="L454" s="877" t="s">
        <v>1188</v>
      </c>
      <c r="M454" s="877" t="s">
        <v>1437</v>
      </c>
      <c r="N454" s="877" t="s">
        <v>1348</v>
      </c>
      <c r="O454" s="877" t="s">
        <v>1393</v>
      </c>
      <c r="P454" s="877" t="s">
        <v>1342</v>
      </c>
      <c r="Q454" s="877" t="s">
        <v>1394</v>
      </c>
      <c r="R454" s="112" t="s">
        <v>1341</v>
      </c>
      <c r="S454" s="112" t="s">
        <v>846</v>
      </c>
      <c r="T454" s="877" t="s">
        <v>935</v>
      </c>
      <c r="U454" s="877" t="s">
        <v>936</v>
      </c>
      <c r="V454" s="877" t="s">
        <v>937</v>
      </c>
      <c r="W454" s="877" t="s">
        <v>938</v>
      </c>
      <c r="X454" s="877" t="s">
        <v>939</v>
      </c>
      <c r="Y454" s="877" t="s">
        <v>940</v>
      </c>
      <c r="Z454" s="877" t="s">
        <v>941</v>
      </c>
      <c r="AA454" s="877" t="s">
        <v>942</v>
      </c>
      <c r="AB454" s="877" t="s">
        <v>943</v>
      </c>
      <c r="AC454" s="877" t="s">
        <v>944</v>
      </c>
      <c r="AD454" s="877" t="s">
        <v>945</v>
      </c>
      <c r="AE454" s="877" t="s">
        <v>946</v>
      </c>
      <c r="AF454" s="877" t="s">
        <v>947</v>
      </c>
      <c r="AG454" s="877" t="s">
        <v>948</v>
      </c>
      <c r="AH454" s="6"/>
    </row>
    <row r="455" spans="1:34" s="3" customFormat="1" ht="16" customHeight="1" thickTop="1">
      <c r="A455" s="7"/>
      <c r="B455" s="19" t="s">
        <v>1344</v>
      </c>
      <c r="C455" s="12"/>
      <c r="D455" s="197"/>
      <c r="E455" s="197"/>
      <c r="F455" s="196"/>
      <c r="G455" s="197"/>
      <c r="H455" s="196"/>
      <c r="I455" s="196"/>
      <c r="J455" s="197"/>
      <c r="K455" s="197"/>
      <c r="L455" s="287" t="s">
        <v>1429</v>
      </c>
      <c r="M455" s="196"/>
      <c r="N455" s="39" t="str">
        <f>J$6</f>
        <v>FY2010-11</v>
      </c>
      <c r="O455" s="39" t="s">
        <v>1354</v>
      </c>
      <c r="P455" s="39" t="s">
        <v>1338</v>
      </c>
      <c r="Q455" s="39" t="s">
        <v>1339</v>
      </c>
      <c r="R455" s="197"/>
      <c r="S455" s="196"/>
      <c r="T455" s="197"/>
      <c r="U455" s="197"/>
      <c r="V455" s="198"/>
      <c r="W455" s="198"/>
      <c r="X455" s="198"/>
      <c r="Y455" s="198"/>
      <c r="Z455" s="198"/>
      <c r="AA455" s="198"/>
      <c r="AB455" s="198"/>
      <c r="AC455" s="198"/>
      <c r="AD455" s="198"/>
      <c r="AE455" s="198"/>
      <c r="AF455" s="198"/>
      <c r="AG455" s="198"/>
      <c r="AH455" s="6"/>
    </row>
    <row r="456" spans="1:34" s="3" customFormat="1" ht="16" customHeight="1">
      <c r="A456" s="7"/>
      <c r="B456" s="16">
        <f>DSUM('$REV-DB'!D35:AG374,"AMOUNT",D454:AG456)</f>
        <v>0</v>
      </c>
      <c r="C456" s="12"/>
      <c r="D456" s="197"/>
      <c r="E456" s="197"/>
      <c r="F456" s="196"/>
      <c r="G456" s="197"/>
      <c r="H456" s="196"/>
      <c r="I456" s="196"/>
      <c r="J456" s="197"/>
      <c r="K456" s="197"/>
      <c r="L456" s="287" t="s">
        <v>1429</v>
      </c>
      <c r="M456" s="196"/>
      <c r="N456" s="39" t="str">
        <f>J$6</f>
        <v>FY2010-11</v>
      </c>
      <c r="O456" s="39" t="s">
        <v>1354</v>
      </c>
      <c r="P456" s="39" t="s">
        <v>1347</v>
      </c>
      <c r="Q456" s="39" t="s">
        <v>1339</v>
      </c>
      <c r="R456" s="197"/>
      <c r="S456" s="196" t="s">
        <v>1303</v>
      </c>
      <c r="T456" s="197"/>
      <c r="U456" s="197"/>
      <c r="V456" s="198"/>
      <c r="W456" s="198"/>
      <c r="X456" s="198"/>
      <c r="Y456" s="198"/>
      <c r="Z456" s="198"/>
      <c r="AA456" s="198"/>
      <c r="AB456" s="198"/>
      <c r="AC456" s="198"/>
      <c r="AD456" s="198"/>
      <c r="AE456" s="198"/>
      <c r="AF456" s="198"/>
      <c r="AG456" s="198"/>
      <c r="AH456" s="6"/>
    </row>
    <row r="457" spans="1:34" s="3" customFormat="1" ht="16" customHeight="1">
      <c r="A457" s="7"/>
      <c r="B457" s="10"/>
      <c r="C457" s="12"/>
      <c r="D457" s="896"/>
      <c r="E457" s="896"/>
      <c r="F457" s="896"/>
      <c r="G457" s="896"/>
      <c r="H457" s="896"/>
      <c r="I457" s="896"/>
      <c r="J457" s="896"/>
      <c r="K457" s="896"/>
      <c r="L457" s="897"/>
      <c r="M457" s="896"/>
      <c r="N457" s="889"/>
      <c r="O457" s="889"/>
      <c r="P457" s="889"/>
      <c r="Q457" s="896"/>
      <c r="R457" s="896"/>
      <c r="S457" s="896"/>
      <c r="T457" s="898"/>
      <c r="U457" s="898"/>
      <c r="V457" s="899"/>
      <c r="W457" s="899"/>
      <c r="X457" s="899"/>
      <c r="Y457" s="899"/>
      <c r="Z457" s="899"/>
      <c r="AA457" s="899"/>
      <c r="AB457" s="899"/>
      <c r="AC457" s="899"/>
      <c r="AD457" s="899"/>
      <c r="AE457" s="899"/>
      <c r="AF457" s="899"/>
      <c r="AG457" s="899"/>
    </row>
    <row r="458" spans="1:34" s="3" customFormat="1" ht="16" customHeight="1">
      <c r="A458" s="7"/>
      <c r="B458" s="10"/>
      <c r="C458" s="12"/>
      <c r="D458" s="896"/>
      <c r="E458" s="896"/>
      <c r="F458" s="896"/>
      <c r="G458" s="896"/>
      <c r="H458" s="896"/>
      <c r="I458" s="896"/>
      <c r="J458" s="896"/>
      <c r="K458" s="896"/>
      <c r="L458" s="897"/>
      <c r="M458" s="896"/>
      <c r="N458" s="889"/>
      <c r="O458" s="889"/>
      <c r="P458" s="889"/>
      <c r="Q458" s="896"/>
      <c r="R458" s="896"/>
      <c r="S458" s="896"/>
      <c r="T458" s="898"/>
      <c r="U458" s="898"/>
      <c r="V458" s="899"/>
      <c r="W458" s="899"/>
      <c r="X458" s="899"/>
      <c r="Y458" s="899"/>
      <c r="Z458" s="899"/>
      <c r="AA458" s="899"/>
      <c r="AB458" s="899"/>
      <c r="AC458" s="899"/>
      <c r="AD458" s="899"/>
      <c r="AE458" s="899"/>
      <c r="AF458" s="899"/>
      <c r="AG458" s="899"/>
    </row>
    <row r="459" spans="1:34" s="3" customFormat="1" ht="16" customHeight="1">
      <c r="A459" s="7"/>
      <c r="B459" s="10"/>
      <c r="C459" s="12"/>
      <c r="D459" s="896"/>
      <c r="E459" s="896"/>
      <c r="F459" s="896"/>
      <c r="G459" s="896"/>
      <c r="H459" s="896"/>
      <c r="I459" s="896"/>
      <c r="J459" s="896"/>
      <c r="K459" s="896"/>
      <c r="L459" s="897"/>
      <c r="M459" s="896"/>
      <c r="N459" s="889"/>
      <c r="O459" s="889"/>
      <c r="P459" s="889"/>
      <c r="Q459" s="896"/>
      <c r="R459" s="896"/>
      <c r="S459" s="896"/>
      <c r="T459" s="898"/>
      <c r="U459" s="898"/>
      <c r="V459" s="899"/>
      <c r="W459" s="899"/>
      <c r="X459" s="899"/>
      <c r="Y459" s="899"/>
      <c r="Z459" s="899"/>
      <c r="AA459" s="899"/>
      <c r="AB459" s="899"/>
      <c r="AC459" s="899"/>
      <c r="AD459" s="899"/>
      <c r="AE459" s="899"/>
      <c r="AF459" s="899"/>
      <c r="AG459" s="899"/>
    </row>
    <row r="460" spans="1:34" s="3" customFormat="1" ht="16" customHeight="1">
      <c r="A460" s="7"/>
      <c r="B460" s="10"/>
      <c r="C460" s="12"/>
      <c r="D460" s="896"/>
      <c r="E460" s="896"/>
      <c r="F460" s="896"/>
      <c r="G460" s="896"/>
      <c r="H460" s="896"/>
      <c r="I460" s="896"/>
      <c r="J460" s="896"/>
      <c r="K460" s="896"/>
      <c r="L460" s="897"/>
      <c r="M460" s="896"/>
      <c r="N460" s="889"/>
      <c r="O460" s="889"/>
      <c r="P460" s="889"/>
      <c r="Q460" s="896"/>
      <c r="R460" s="896"/>
      <c r="S460" s="896"/>
      <c r="T460" s="898"/>
      <c r="U460" s="898"/>
      <c r="V460" s="899"/>
      <c r="W460" s="899"/>
      <c r="X460" s="899"/>
      <c r="Y460" s="899"/>
      <c r="Z460" s="899"/>
      <c r="AA460" s="899"/>
      <c r="AB460" s="899"/>
      <c r="AC460" s="899"/>
      <c r="AD460" s="899"/>
      <c r="AE460" s="899"/>
      <c r="AF460" s="899"/>
      <c r="AG460" s="899"/>
    </row>
    <row r="461" spans="1:34" s="3" customFormat="1" ht="16" customHeight="1">
      <c r="A461" s="7"/>
      <c r="B461" s="10"/>
      <c r="C461" s="12"/>
      <c r="D461" s="896"/>
      <c r="E461" s="896"/>
      <c r="F461" s="896"/>
      <c r="G461" s="896"/>
      <c r="H461" s="896"/>
      <c r="I461" s="896"/>
      <c r="J461" s="896"/>
      <c r="K461" s="896"/>
      <c r="L461" s="897"/>
      <c r="M461" s="896"/>
      <c r="N461" s="889"/>
      <c r="O461" s="889"/>
      <c r="P461" s="889"/>
      <c r="Q461" s="896"/>
      <c r="R461" s="896"/>
      <c r="S461" s="896"/>
      <c r="T461" s="898"/>
      <c r="U461" s="898"/>
      <c r="V461" s="899"/>
      <c r="W461" s="899"/>
      <c r="X461" s="899"/>
      <c r="Y461" s="899"/>
      <c r="Z461" s="899"/>
      <c r="AA461" s="899"/>
      <c r="AB461" s="899"/>
      <c r="AC461" s="899"/>
      <c r="AD461" s="899"/>
      <c r="AE461" s="899"/>
      <c r="AF461" s="899"/>
      <c r="AG461" s="899"/>
    </row>
    <row r="462" spans="1:34" s="3" customFormat="1" ht="16" customHeight="1">
      <c r="A462" s="21"/>
      <c r="B462" s="22"/>
      <c r="C462" s="22"/>
      <c r="D462" s="23"/>
      <c r="E462" s="23"/>
      <c r="F462" s="24"/>
      <c r="G462" s="23"/>
      <c r="H462" s="24"/>
      <c r="I462" s="24"/>
      <c r="J462" s="23"/>
      <c r="K462" s="23"/>
      <c r="L462" s="286"/>
      <c r="M462" s="24"/>
      <c r="N462" s="24"/>
      <c r="O462" s="23"/>
      <c r="P462" s="24"/>
      <c r="Q462" s="24"/>
      <c r="R462" s="23"/>
      <c r="S462" s="24"/>
      <c r="T462" s="23"/>
      <c r="U462" s="23"/>
      <c r="V462" s="21"/>
      <c r="W462" s="21"/>
      <c r="X462" s="21"/>
      <c r="Y462" s="21"/>
      <c r="Z462" s="21"/>
      <c r="AA462" s="21"/>
      <c r="AB462" s="21"/>
      <c r="AC462" s="21"/>
      <c r="AD462" s="21"/>
      <c r="AE462" s="21"/>
      <c r="AF462" s="21"/>
      <c r="AG462" s="21"/>
    </row>
    <row r="463" spans="1:34" s="3" customFormat="1" ht="16" customHeight="1" thickBot="1">
      <c r="A463" s="7"/>
      <c r="B463" s="19" t="str">
        <f>"FA3 = "&amp;'FIG3'!$W$54&amp;" "&amp;'FIG3'!$X$54</f>
        <v>FA3 = FA3L1 FA3L2</v>
      </c>
      <c r="C463" s="7"/>
      <c r="D463" s="8"/>
      <c r="E463" s="8"/>
      <c r="F463" s="9"/>
      <c r="G463" s="8"/>
      <c r="H463" s="9"/>
      <c r="I463" s="9"/>
      <c r="J463" s="8"/>
      <c r="K463" s="8"/>
      <c r="L463" s="280"/>
      <c r="M463" s="9"/>
      <c r="N463" s="9"/>
      <c r="O463" s="8"/>
      <c r="P463" s="9"/>
      <c r="Q463" s="9"/>
      <c r="R463" s="8"/>
      <c r="S463" s="882"/>
      <c r="T463" s="883" t="str">
        <f>'$REV-DB'!$T$34</f>
        <v>Federal Revenues</v>
      </c>
      <c r="U463" s="883" t="str">
        <f>'$REV-DB'!$U$34</f>
        <v>local Revenues</v>
      </c>
      <c r="V463" s="883" t="str">
        <f>'$REV-DB'!$V$34</f>
        <v>Other Revenues</v>
      </c>
      <c r="W463" s="883" t="str">
        <f>'$REV-DB'!$W$34</f>
        <v>State revenues</v>
      </c>
      <c r="X463" s="883" t="str">
        <f>'$REV-DB'!$X$34</f>
        <v>UD5</v>
      </c>
      <c r="Y463" s="883" t="str">
        <f>'$REV-DB'!$Y$34</f>
        <v>UD6</v>
      </c>
      <c r="Z463" s="883" t="str">
        <f>'$REV-DB'!$Z$34</f>
        <v>UD7</v>
      </c>
      <c r="AA463" s="883" t="str">
        <f>'$REV-DB'!$AA$34</f>
        <v>UD8</v>
      </c>
      <c r="AB463" s="883" t="str">
        <f>'$REV-DB'!$AB$34</f>
        <v>UD9</v>
      </c>
      <c r="AC463" s="883" t="str">
        <f>'$REV-DB'!$AC$34</f>
        <v>UD10</v>
      </c>
      <c r="AD463" s="883" t="str">
        <f>'$REV-DB'!$AD$34</f>
        <v>UD11</v>
      </c>
      <c r="AE463" s="883" t="str">
        <f>'$REV-DB'!$AE$34</f>
        <v>UD12</v>
      </c>
      <c r="AF463" s="883" t="str">
        <f>'$REV-DB'!$AF$34</f>
        <v>UD13</v>
      </c>
      <c r="AG463" s="883" t="str">
        <f>'$REV-DB'!$AG$34</f>
        <v>UD14</v>
      </c>
    </row>
    <row r="464" spans="1:34" s="3" customFormat="1" ht="16" customHeight="1" thickTop="1" thickBot="1">
      <c r="A464" s="7"/>
      <c r="B464" s="20" t="s">
        <v>1399</v>
      </c>
      <c r="C464" s="15"/>
      <c r="D464" s="877" t="s">
        <v>1386</v>
      </c>
      <c r="E464" s="877" t="s">
        <v>1387</v>
      </c>
      <c r="F464" s="877" t="s">
        <v>1388</v>
      </c>
      <c r="G464" s="877" t="s">
        <v>1389</v>
      </c>
      <c r="H464" s="877" t="s">
        <v>1406</v>
      </c>
      <c r="I464" s="877" t="s">
        <v>1390</v>
      </c>
      <c r="J464" s="877" t="s">
        <v>1391</v>
      </c>
      <c r="K464" s="877" t="s">
        <v>1392</v>
      </c>
      <c r="L464" s="877" t="s">
        <v>1188</v>
      </c>
      <c r="M464" s="877" t="s">
        <v>1437</v>
      </c>
      <c r="N464" s="877" t="s">
        <v>1348</v>
      </c>
      <c r="O464" s="877" t="s">
        <v>1393</v>
      </c>
      <c r="P464" s="877" t="s">
        <v>1342</v>
      </c>
      <c r="Q464" s="877" t="s">
        <v>1394</v>
      </c>
      <c r="R464" s="112" t="s">
        <v>1341</v>
      </c>
      <c r="S464" s="112" t="s">
        <v>846</v>
      </c>
      <c r="T464" s="877" t="s">
        <v>935</v>
      </c>
      <c r="U464" s="877" t="s">
        <v>936</v>
      </c>
      <c r="V464" s="877" t="s">
        <v>937</v>
      </c>
      <c r="W464" s="877" t="s">
        <v>938</v>
      </c>
      <c r="X464" s="877" t="s">
        <v>939</v>
      </c>
      <c r="Y464" s="877" t="s">
        <v>940</v>
      </c>
      <c r="Z464" s="877" t="s">
        <v>941</v>
      </c>
      <c r="AA464" s="877" t="s">
        <v>942</v>
      </c>
      <c r="AB464" s="877" t="s">
        <v>943</v>
      </c>
      <c r="AC464" s="877" t="s">
        <v>944</v>
      </c>
      <c r="AD464" s="877" t="s">
        <v>945</v>
      </c>
      <c r="AE464" s="877" t="s">
        <v>946</v>
      </c>
      <c r="AF464" s="877" t="s">
        <v>947</v>
      </c>
      <c r="AG464" s="877" t="s">
        <v>948</v>
      </c>
      <c r="AH464" s="6"/>
    </row>
    <row r="465" spans="1:34" s="3" customFormat="1" ht="16" customHeight="1" thickTop="1">
      <c r="A465" s="7"/>
      <c r="B465" s="19" t="s">
        <v>1343</v>
      </c>
      <c r="C465" s="12"/>
      <c r="D465" s="197"/>
      <c r="E465" s="197"/>
      <c r="F465" s="196"/>
      <c r="G465" s="197"/>
      <c r="H465" s="196"/>
      <c r="I465" s="196"/>
      <c r="J465" s="197"/>
      <c r="K465" s="197"/>
      <c r="L465" s="287" t="s">
        <v>1429</v>
      </c>
      <c r="M465" s="196"/>
      <c r="N465" s="39" t="str">
        <f>J$6</f>
        <v>FY2010-11</v>
      </c>
      <c r="O465" s="39" t="s">
        <v>1354</v>
      </c>
      <c r="P465" s="39" t="s">
        <v>1338</v>
      </c>
      <c r="Q465" s="39" t="s">
        <v>1379</v>
      </c>
      <c r="R465" s="197"/>
      <c r="S465" s="196"/>
      <c r="T465" s="197"/>
      <c r="U465" s="197"/>
      <c r="V465" s="198"/>
      <c r="W465" s="198"/>
      <c r="X465" s="198"/>
      <c r="Y465" s="198"/>
      <c r="Z465" s="198"/>
      <c r="AA465" s="198"/>
      <c r="AB465" s="198"/>
      <c r="AC465" s="198"/>
      <c r="AD465" s="198"/>
      <c r="AE465" s="198"/>
      <c r="AF465" s="198"/>
      <c r="AG465" s="198"/>
      <c r="AH465" s="6"/>
    </row>
    <row r="466" spans="1:34" s="3" customFormat="1" ht="16" customHeight="1">
      <c r="A466" s="7"/>
      <c r="B466" s="16">
        <f>DSUM('$REV-DB'!D35:AG374,"AMOUNT",D464:AG466)</f>
        <v>0</v>
      </c>
      <c r="C466" s="12"/>
      <c r="D466" s="197"/>
      <c r="E466" s="197"/>
      <c r="F466" s="196"/>
      <c r="G466" s="197"/>
      <c r="H466" s="196"/>
      <c r="I466" s="196"/>
      <c r="J466" s="197"/>
      <c r="K466" s="197"/>
      <c r="L466" s="287" t="s">
        <v>1429</v>
      </c>
      <c r="M466" s="196"/>
      <c r="N466" s="39" t="str">
        <f>J$6</f>
        <v>FY2010-11</v>
      </c>
      <c r="O466" s="39" t="s">
        <v>1354</v>
      </c>
      <c r="P466" s="39" t="s">
        <v>1347</v>
      </c>
      <c r="Q466" s="39" t="s">
        <v>1379</v>
      </c>
      <c r="R466" s="197"/>
      <c r="S466" s="196" t="s">
        <v>1303</v>
      </c>
      <c r="T466" s="197"/>
      <c r="U466" s="197"/>
      <c r="V466" s="198"/>
      <c r="W466" s="198"/>
      <c r="X466" s="198"/>
      <c r="Y466" s="198"/>
      <c r="Z466" s="198"/>
      <c r="AA466" s="198"/>
      <c r="AB466" s="198"/>
      <c r="AC466" s="198"/>
      <c r="AD466" s="198"/>
      <c r="AE466" s="198"/>
      <c r="AF466" s="198"/>
      <c r="AG466" s="198"/>
      <c r="AH466" s="6"/>
    </row>
    <row r="467" spans="1:34" s="3" customFormat="1" ht="16" customHeight="1">
      <c r="A467" s="7"/>
      <c r="B467" s="10"/>
      <c r="C467" s="12"/>
      <c r="D467" s="896"/>
      <c r="E467" s="896"/>
      <c r="F467" s="896"/>
      <c r="G467" s="896"/>
      <c r="H467" s="896"/>
      <c r="I467" s="896"/>
      <c r="J467" s="896"/>
      <c r="K467" s="896"/>
      <c r="L467" s="897"/>
      <c r="M467" s="896"/>
      <c r="N467" s="889"/>
      <c r="O467" s="889"/>
      <c r="P467" s="889"/>
      <c r="Q467" s="896"/>
      <c r="R467" s="896"/>
      <c r="S467" s="896"/>
      <c r="T467" s="898"/>
      <c r="U467" s="898"/>
      <c r="V467" s="899"/>
      <c r="W467" s="899"/>
      <c r="X467" s="899"/>
      <c r="Y467" s="899"/>
      <c r="Z467" s="899"/>
      <c r="AA467" s="899"/>
      <c r="AB467" s="899"/>
      <c r="AC467" s="899"/>
      <c r="AD467" s="899"/>
      <c r="AE467" s="899"/>
      <c r="AF467" s="899"/>
      <c r="AG467" s="899"/>
    </row>
    <row r="468" spans="1:34" s="3" customFormat="1" ht="16" customHeight="1">
      <c r="A468" s="7"/>
      <c r="B468" s="10"/>
      <c r="C468" s="12"/>
      <c r="D468" s="896"/>
      <c r="E468" s="896"/>
      <c r="F468" s="896"/>
      <c r="G468" s="896"/>
      <c r="H468" s="896"/>
      <c r="I468" s="896"/>
      <c r="J468" s="896"/>
      <c r="K468" s="896"/>
      <c r="L468" s="897"/>
      <c r="M468" s="896"/>
      <c r="N468" s="889"/>
      <c r="O468" s="889"/>
      <c r="P468" s="889"/>
      <c r="Q468" s="896"/>
      <c r="R468" s="896"/>
      <c r="S468" s="896"/>
      <c r="T468" s="898"/>
      <c r="U468" s="898"/>
      <c r="V468" s="899"/>
      <c r="W468" s="899"/>
      <c r="X468" s="899"/>
      <c r="Y468" s="899"/>
      <c r="Z468" s="899"/>
      <c r="AA468" s="899"/>
      <c r="AB468" s="899"/>
      <c r="AC468" s="899"/>
      <c r="AD468" s="899"/>
      <c r="AE468" s="899"/>
      <c r="AF468" s="899"/>
      <c r="AG468" s="899"/>
    </row>
    <row r="469" spans="1:34" s="3" customFormat="1" ht="16" customHeight="1">
      <c r="A469" s="7"/>
      <c r="B469" s="10"/>
      <c r="C469" s="12"/>
      <c r="D469" s="896"/>
      <c r="E469" s="896"/>
      <c r="F469" s="896"/>
      <c r="G469" s="896"/>
      <c r="H469" s="896"/>
      <c r="I469" s="896"/>
      <c r="J469" s="896"/>
      <c r="K469" s="896"/>
      <c r="L469" s="897"/>
      <c r="M469" s="896"/>
      <c r="N469" s="889"/>
      <c r="O469" s="889"/>
      <c r="P469" s="889"/>
      <c r="Q469" s="896"/>
      <c r="R469" s="896"/>
      <c r="S469" s="896"/>
      <c r="T469" s="898"/>
      <c r="U469" s="898"/>
      <c r="V469" s="899"/>
      <c r="W469" s="899"/>
      <c r="X469" s="899"/>
      <c r="Y469" s="899"/>
      <c r="Z469" s="899"/>
      <c r="AA469" s="899"/>
      <c r="AB469" s="899"/>
      <c r="AC469" s="899"/>
      <c r="AD469" s="899"/>
      <c r="AE469" s="899"/>
      <c r="AF469" s="899"/>
      <c r="AG469" s="899"/>
    </row>
    <row r="470" spans="1:34" s="3" customFormat="1" ht="16" customHeight="1">
      <c r="A470" s="7"/>
      <c r="B470" s="10"/>
      <c r="C470" s="12"/>
      <c r="D470" s="896"/>
      <c r="E470" s="896"/>
      <c r="F470" s="896"/>
      <c r="G470" s="896"/>
      <c r="H470" s="896"/>
      <c r="I470" s="896"/>
      <c r="J470" s="896"/>
      <c r="K470" s="896"/>
      <c r="L470" s="897"/>
      <c r="M470" s="896"/>
      <c r="N470" s="889"/>
      <c r="O470" s="889"/>
      <c r="P470" s="889"/>
      <c r="Q470" s="896"/>
      <c r="R470" s="896"/>
      <c r="S470" s="896"/>
      <c r="T470" s="898"/>
      <c r="U470" s="898"/>
      <c r="V470" s="899"/>
      <c r="W470" s="899"/>
      <c r="X470" s="899"/>
      <c r="Y470" s="899"/>
      <c r="Z470" s="899"/>
      <c r="AA470" s="899"/>
      <c r="AB470" s="899"/>
      <c r="AC470" s="899"/>
      <c r="AD470" s="899"/>
      <c r="AE470" s="899"/>
      <c r="AF470" s="899"/>
      <c r="AG470" s="899"/>
    </row>
    <row r="471" spans="1:34" s="3" customFormat="1" ht="16" customHeight="1">
      <c r="A471" s="7"/>
      <c r="B471" s="10"/>
      <c r="C471" s="12"/>
      <c r="D471" s="896"/>
      <c r="E471" s="896"/>
      <c r="F471" s="896"/>
      <c r="G471" s="896"/>
      <c r="H471" s="896"/>
      <c r="I471" s="896"/>
      <c r="J471" s="896"/>
      <c r="K471" s="896"/>
      <c r="L471" s="897"/>
      <c r="M471" s="896"/>
      <c r="N471" s="889"/>
      <c r="O471" s="889"/>
      <c r="P471" s="889"/>
      <c r="Q471" s="896"/>
      <c r="R471" s="896"/>
      <c r="S471" s="896"/>
      <c r="T471" s="898"/>
      <c r="U471" s="898"/>
      <c r="V471" s="899"/>
      <c r="W471" s="899"/>
      <c r="X471" s="899"/>
      <c r="Y471" s="899"/>
      <c r="Z471" s="899"/>
      <c r="AA471" s="899"/>
      <c r="AB471" s="899"/>
      <c r="AC471" s="899"/>
      <c r="AD471" s="899"/>
      <c r="AE471" s="899"/>
      <c r="AF471" s="899"/>
      <c r="AG471" s="899"/>
    </row>
    <row r="472" spans="1:34" s="3" customFormat="1" ht="16" customHeight="1">
      <c r="A472" s="21"/>
      <c r="B472" s="22"/>
      <c r="C472" s="22"/>
      <c r="D472" s="23"/>
      <c r="E472" s="23"/>
      <c r="F472" s="24"/>
      <c r="G472" s="23"/>
      <c r="H472" s="24"/>
      <c r="I472" s="24"/>
      <c r="J472" s="23"/>
      <c r="K472" s="23"/>
      <c r="L472" s="286"/>
      <c r="M472" s="24"/>
      <c r="N472" s="24"/>
      <c r="O472" s="23"/>
      <c r="P472" s="24"/>
      <c r="Q472" s="24"/>
      <c r="R472" s="23"/>
      <c r="S472" s="24"/>
      <c r="T472" s="23"/>
      <c r="U472" s="23"/>
      <c r="V472" s="21"/>
      <c r="W472" s="21"/>
      <c r="X472" s="21"/>
      <c r="Y472" s="21"/>
      <c r="Z472" s="21"/>
      <c r="AA472" s="21"/>
      <c r="AB472" s="21"/>
      <c r="AC472" s="21"/>
      <c r="AD472" s="21"/>
      <c r="AE472" s="21"/>
      <c r="AF472" s="21"/>
      <c r="AG472" s="21"/>
    </row>
    <row r="473" spans="1:34" s="3" customFormat="1" ht="16" customHeight="1" thickBot="1">
      <c r="A473" s="7"/>
      <c r="B473" s="19" t="str">
        <f>"FA3 = "&amp;'FIG3'!$W$54&amp;" "&amp;'FIG3'!$X$54</f>
        <v>FA3 = FA3L1 FA3L2</v>
      </c>
      <c r="C473" s="7"/>
      <c r="D473" s="8"/>
      <c r="E473" s="8"/>
      <c r="F473" s="9"/>
      <c r="G473" s="8"/>
      <c r="H473" s="9"/>
      <c r="I473" s="9"/>
      <c r="J473" s="8"/>
      <c r="K473" s="8"/>
      <c r="L473" s="280"/>
      <c r="M473" s="9"/>
      <c r="N473" s="9"/>
      <c r="O473" s="8"/>
      <c r="P473" s="9"/>
      <c r="Q473" s="9"/>
      <c r="R473" s="8"/>
      <c r="S473" s="882"/>
      <c r="T473" s="883" t="str">
        <f>'$REV-DB'!$T$34</f>
        <v>Federal Revenues</v>
      </c>
      <c r="U473" s="883" t="str">
        <f>'$REV-DB'!$U$34</f>
        <v>local Revenues</v>
      </c>
      <c r="V473" s="883" t="str">
        <f>'$REV-DB'!$V$34</f>
        <v>Other Revenues</v>
      </c>
      <c r="W473" s="883" t="str">
        <f>'$REV-DB'!$W$34</f>
        <v>State revenues</v>
      </c>
      <c r="X473" s="883" t="str">
        <f>'$REV-DB'!$X$34</f>
        <v>UD5</v>
      </c>
      <c r="Y473" s="883" t="str">
        <f>'$REV-DB'!$Y$34</f>
        <v>UD6</v>
      </c>
      <c r="Z473" s="883" t="str">
        <f>'$REV-DB'!$Z$34</f>
        <v>UD7</v>
      </c>
      <c r="AA473" s="883" t="str">
        <f>'$REV-DB'!$AA$34</f>
        <v>UD8</v>
      </c>
      <c r="AB473" s="883" t="str">
        <f>'$REV-DB'!$AB$34</f>
        <v>UD9</v>
      </c>
      <c r="AC473" s="883" t="str">
        <f>'$REV-DB'!$AC$34</f>
        <v>UD10</v>
      </c>
      <c r="AD473" s="883" t="str">
        <f>'$REV-DB'!$AD$34</f>
        <v>UD11</v>
      </c>
      <c r="AE473" s="883" t="str">
        <f>'$REV-DB'!$AE$34</f>
        <v>UD12</v>
      </c>
      <c r="AF473" s="883" t="str">
        <f>'$REV-DB'!$AF$34</f>
        <v>UD13</v>
      </c>
      <c r="AG473" s="883" t="str">
        <f>'$REV-DB'!$AG$34</f>
        <v>UD14</v>
      </c>
    </row>
    <row r="474" spans="1:34" s="3" customFormat="1" ht="16" customHeight="1" thickTop="1" thickBot="1">
      <c r="A474" s="7"/>
      <c r="B474" s="20" t="s">
        <v>1399</v>
      </c>
      <c r="C474" s="15"/>
      <c r="D474" s="877" t="s">
        <v>1386</v>
      </c>
      <c r="E474" s="877" t="s">
        <v>1387</v>
      </c>
      <c r="F474" s="877" t="s">
        <v>1388</v>
      </c>
      <c r="G474" s="877" t="s">
        <v>1389</v>
      </c>
      <c r="H474" s="877" t="s">
        <v>1406</v>
      </c>
      <c r="I474" s="877" t="s">
        <v>1390</v>
      </c>
      <c r="J474" s="877" t="s">
        <v>1391</v>
      </c>
      <c r="K474" s="877" t="s">
        <v>1392</v>
      </c>
      <c r="L474" s="877" t="s">
        <v>1188</v>
      </c>
      <c r="M474" s="877" t="s">
        <v>1437</v>
      </c>
      <c r="N474" s="877" t="s">
        <v>1348</v>
      </c>
      <c r="O474" s="877" t="s">
        <v>1393</v>
      </c>
      <c r="P474" s="877" t="s">
        <v>1342</v>
      </c>
      <c r="Q474" s="877" t="s">
        <v>1394</v>
      </c>
      <c r="R474" s="112" t="s">
        <v>1341</v>
      </c>
      <c r="S474" s="112" t="s">
        <v>846</v>
      </c>
      <c r="T474" s="877" t="s">
        <v>935</v>
      </c>
      <c r="U474" s="877" t="s">
        <v>936</v>
      </c>
      <c r="V474" s="877" t="s">
        <v>937</v>
      </c>
      <c r="W474" s="877" t="s">
        <v>938</v>
      </c>
      <c r="X474" s="877" t="s">
        <v>939</v>
      </c>
      <c r="Y474" s="877" t="s">
        <v>940</v>
      </c>
      <c r="Z474" s="877" t="s">
        <v>941</v>
      </c>
      <c r="AA474" s="877" t="s">
        <v>942</v>
      </c>
      <c r="AB474" s="877" t="s">
        <v>943</v>
      </c>
      <c r="AC474" s="877" t="s">
        <v>944</v>
      </c>
      <c r="AD474" s="877" t="s">
        <v>945</v>
      </c>
      <c r="AE474" s="877" t="s">
        <v>946</v>
      </c>
      <c r="AF474" s="877" t="s">
        <v>947</v>
      </c>
      <c r="AG474" s="877" t="s">
        <v>948</v>
      </c>
      <c r="AH474" s="6"/>
    </row>
    <row r="475" spans="1:34" s="3" customFormat="1" ht="16" customHeight="1" thickTop="1">
      <c r="A475" s="7"/>
      <c r="B475" s="19" t="s">
        <v>1349</v>
      </c>
      <c r="C475" s="12"/>
      <c r="D475" s="197"/>
      <c r="E475" s="197"/>
      <c r="F475" s="196"/>
      <c r="G475" s="197"/>
      <c r="H475" s="196"/>
      <c r="I475" s="196"/>
      <c r="J475" s="197"/>
      <c r="K475" s="197"/>
      <c r="L475" s="287" t="s">
        <v>1429</v>
      </c>
      <c r="M475" s="196"/>
      <c r="N475" s="39" t="str">
        <f>J$6</f>
        <v>FY2010-11</v>
      </c>
      <c r="O475" s="39" t="s">
        <v>1354</v>
      </c>
      <c r="P475" s="39" t="s">
        <v>1338</v>
      </c>
      <c r="Q475" s="39" t="s">
        <v>1397</v>
      </c>
      <c r="R475" s="197"/>
      <c r="S475" s="196"/>
      <c r="T475" s="197"/>
      <c r="U475" s="197"/>
      <c r="V475" s="198"/>
      <c r="W475" s="198"/>
      <c r="X475" s="198"/>
      <c r="Y475" s="198"/>
      <c r="Z475" s="198"/>
      <c r="AA475" s="198"/>
      <c r="AB475" s="198"/>
      <c r="AC475" s="198"/>
      <c r="AD475" s="198"/>
      <c r="AE475" s="198"/>
      <c r="AF475" s="198"/>
      <c r="AG475" s="198"/>
      <c r="AH475" s="6"/>
    </row>
    <row r="476" spans="1:34" s="3" customFormat="1" ht="16" customHeight="1">
      <c r="A476" s="7"/>
      <c r="B476" s="16">
        <f>DSUM('$REV-DB'!D35:AG374,"AMOUNT",D474:AG476)</f>
        <v>0</v>
      </c>
      <c r="C476" s="12"/>
      <c r="D476" s="197"/>
      <c r="E476" s="197"/>
      <c r="F476" s="196"/>
      <c r="G476" s="197"/>
      <c r="H476" s="196"/>
      <c r="I476" s="196"/>
      <c r="J476" s="197"/>
      <c r="K476" s="197"/>
      <c r="L476" s="287" t="s">
        <v>1429</v>
      </c>
      <c r="M476" s="196"/>
      <c r="N476" s="39" t="str">
        <f>J$6</f>
        <v>FY2010-11</v>
      </c>
      <c r="O476" s="39" t="s">
        <v>1354</v>
      </c>
      <c r="P476" s="39" t="s">
        <v>1347</v>
      </c>
      <c r="Q476" s="39" t="s">
        <v>1397</v>
      </c>
      <c r="R476" s="197"/>
      <c r="S476" s="196" t="s">
        <v>1303</v>
      </c>
      <c r="T476" s="197"/>
      <c r="U476" s="197"/>
      <c r="V476" s="198"/>
      <c r="W476" s="198"/>
      <c r="X476" s="198"/>
      <c r="Y476" s="198"/>
      <c r="Z476" s="198"/>
      <c r="AA476" s="198"/>
      <c r="AB476" s="198"/>
      <c r="AC476" s="198"/>
      <c r="AD476" s="198"/>
      <c r="AE476" s="198"/>
      <c r="AF476" s="198"/>
      <c r="AG476" s="198"/>
      <c r="AH476" s="6"/>
    </row>
    <row r="477" spans="1:34" s="3" customFormat="1" ht="16" customHeight="1">
      <c r="A477" s="7"/>
      <c r="B477" s="10"/>
      <c r="C477" s="12"/>
      <c r="D477" s="896"/>
      <c r="E477" s="896"/>
      <c r="F477" s="896"/>
      <c r="G477" s="896"/>
      <c r="H477" s="896"/>
      <c r="I477" s="896"/>
      <c r="J477" s="896"/>
      <c r="K477" s="896"/>
      <c r="L477" s="897"/>
      <c r="M477" s="896"/>
      <c r="N477" s="889"/>
      <c r="O477" s="889"/>
      <c r="P477" s="889"/>
      <c r="Q477" s="896"/>
      <c r="R477" s="896"/>
      <c r="S477" s="896"/>
      <c r="T477" s="898"/>
      <c r="U477" s="898"/>
      <c r="V477" s="899"/>
      <c r="W477" s="899"/>
      <c r="X477" s="899"/>
      <c r="Y477" s="899"/>
      <c r="Z477" s="899"/>
      <c r="AA477" s="899"/>
      <c r="AB477" s="899"/>
      <c r="AC477" s="899"/>
      <c r="AD477" s="899"/>
      <c r="AE477" s="899"/>
      <c r="AF477" s="899"/>
      <c r="AG477" s="899"/>
    </row>
    <row r="478" spans="1:34" s="3" customFormat="1" ht="16" customHeight="1">
      <c r="A478" s="7"/>
      <c r="B478" s="10"/>
      <c r="C478" s="12"/>
      <c r="D478" s="896"/>
      <c r="E478" s="896"/>
      <c r="F478" s="896"/>
      <c r="G478" s="896"/>
      <c r="H478" s="896"/>
      <c r="I478" s="896"/>
      <c r="J478" s="896"/>
      <c r="K478" s="896"/>
      <c r="L478" s="897"/>
      <c r="M478" s="896"/>
      <c r="N478" s="889"/>
      <c r="O478" s="889"/>
      <c r="P478" s="889"/>
      <c r="Q478" s="896"/>
      <c r="R478" s="896"/>
      <c r="S478" s="896"/>
      <c r="T478" s="898"/>
      <c r="U478" s="898"/>
      <c r="V478" s="899"/>
      <c r="W478" s="899"/>
      <c r="X478" s="899"/>
      <c r="Y478" s="899"/>
      <c r="Z478" s="899"/>
      <c r="AA478" s="899"/>
      <c r="AB478" s="899"/>
      <c r="AC478" s="899"/>
      <c r="AD478" s="899"/>
      <c r="AE478" s="899"/>
      <c r="AF478" s="899"/>
      <c r="AG478" s="899"/>
    </row>
    <row r="479" spans="1:34" s="3" customFormat="1" ht="16" customHeight="1">
      <c r="A479" s="7"/>
      <c r="B479" s="10"/>
      <c r="C479" s="12"/>
      <c r="D479" s="896"/>
      <c r="E479" s="896"/>
      <c r="F479" s="896"/>
      <c r="G479" s="896"/>
      <c r="H479" s="896"/>
      <c r="I479" s="896"/>
      <c r="J479" s="896"/>
      <c r="K479" s="896"/>
      <c r="L479" s="897"/>
      <c r="M479" s="896"/>
      <c r="N479" s="889"/>
      <c r="O479" s="889"/>
      <c r="P479" s="889"/>
      <c r="Q479" s="896"/>
      <c r="R479" s="896"/>
      <c r="S479" s="896"/>
      <c r="T479" s="898"/>
      <c r="U479" s="898"/>
      <c r="V479" s="899"/>
      <c r="W479" s="899"/>
      <c r="X479" s="899"/>
      <c r="Y479" s="899"/>
      <c r="Z479" s="899"/>
      <c r="AA479" s="899"/>
      <c r="AB479" s="899"/>
      <c r="AC479" s="899"/>
      <c r="AD479" s="899"/>
      <c r="AE479" s="899"/>
      <c r="AF479" s="899"/>
      <c r="AG479" s="899"/>
    </row>
    <row r="480" spans="1:34" s="3" customFormat="1" ht="16" customHeight="1">
      <c r="A480" s="7"/>
      <c r="B480" s="10"/>
      <c r="C480" s="12"/>
      <c r="D480" s="896"/>
      <c r="E480" s="896"/>
      <c r="F480" s="896"/>
      <c r="G480" s="896"/>
      <c r="H480" s="896"/>
      <c r="I480" s="896"/>
      <c r="J480" s="896"/>
      <c r="K480" s="896"/>
      <c r="L480" s="897"/>
      <c r="M480" s="896"/>
      <c r="N480" s="889"/>
      <c r="O480" s="889"/>
      <c r="P480" s="889"/>
      <c r="Q480" s="896"/>
      <c r="R480" s="896"/>
      <c r="S480" s="896"/>
      <c r="T480" s="898"/>
      <c r="U480" s="898"/>
      <c r="V480" s="899"/>
      <c r="W480" s="899"/>
      <c r="X480" s="899"/>
      <c r="Y480" s="899"/>
      <c r="Z480" s="899"/>
      <c r="AA480" s="899"/>
      <c r="AB480" s="899"/>
      <c r="AC480" s="899"/>
      <c r="AD480" s="899"/>
      <c r="AE480" s="899"/>
      <c r="AF480" s="899"/>
      <c r="AG480" s="899"/>
    </row>
    <row r="481" spans="1:34" s="3" customFormat="1" ht="16" customHeight="1">
      <c r="A481" s="7"/>
      <c r="B481" s="10"/>
      <c r="C481" s="12"/>
      <c r="D481" s="896"/>
      <c r="E481" s="896"/>
      <c r="F481" s="896"/>
      <c r="G481" s="896"/>
      <c r="H481" s="896"/>
      <c r="I481" s="896"/>
      <c r="J481" s="896"/>
      <c r="K481" s="896"/>
      <c r="L481" s="897"/>
      <c r="M481" s="896"/>
      <c r="N481" s="889"/>
      <c r="O481" s="889"/>
      <c r="P481" s="889"/>
      <c r="Q481" s="896"/>
      <c r="R481" s="896"/>
      <c r="S481" s="896"/>
      <c r="T481" s="898"/>
      <c r="U481" s="898"/>
      <c r="V481" s="899"/>
      <c r="W481" s="899"/>
      <c r="X481" s="899"/>
      <c r="Y481" s="899"/>
      <c r="Z481" s="899"/>
      <c r="AA481" s="899"/>
      <c r="AB481" s="899"/>
      <c r="AC481" s="899"/>
      <c r="AD481" s="899"/>
      <c r="AE481" s="899"/>
      <c r="AF481" s="899"/>
      <c r="AG481" s="899"/>
    </row>
    <row r="482" spans="1:34" s="3" customFormat="1" ht="16" customHeight="1">
      <c r="A482" s="21"/>
      <c r="B482" s="22"/>
      <c r="C482" s="22"/>
      <c r="D482" s="23"/>
      <c r="E482" s="23"/>
      <c r="F482" s="24"/>
      <c r="G482" s="23"/>
      <c r="H482" s="24"/>
      <c r="I482" s="24"/>
      <c r="J482" s="23"/>
      <c r="K482" s="23"/>
      <c r="L482" s="286"/>
      <c r="M482" s="24"/>
      <c r="N482" s="24"/>
      <c r="O482" s="23"/>
      <c r="P482" s="24"/>
      <c r="Q482" s="24"/>
      <c r="R482" s="23"/>
      <c r="S482" s="24"/>
      <c r="T482" s="23"/>
      <c r="U482" s="23"/>
      <c r="V482" s="21"/>
      <c r="W482" s="21"/>
      <c r="X482" s="21"/>
      <c r="Y482" s="21"/>
      <c r="Z482" s="21"/>
      <c r="AA482" s="21"/>
      <c r="AB482" s="21"/>
      <c r="AC482" s="21"/>
      <c r="AD482" s="21"/>
      <c r="AE482" s="21"/>
      <c r="AF482" s="21"/>
      <c r="AG482" s="21"/>
    </row>
    <row r="483" spans="1:34" s="3" customFormat="1" ht="16" customHeight="1" thickBot="1">
      <c r="A483" s="7"/>
      <c r="B483" s="19" t="str">
        <f>"FA3 = "&amp;'FIG3'!$W$54&amp;" "&amp;'FIG3'!$X$54</f>
        <v>FA3 = FA3L1 FA3L2</v>
      </c>
      <c r="C483" s="7"/>
      <c r="D483" s="8"/>
      <c r="E483" s="8"/>
      <c r="F483" s="9"/>
      <c r="G483" s="8"/>
      <c r="H483" s="9"/>
      <c r="I483" s="9"/>
      <c r="J483" s="8"/>
      <c r="K483" s="8"/>
      <c r="L483" s="280"/>
      <c r="M483" s="9"/>
      <c r="N483" s="9"/>
      <c r="O483" s="8"/>
      <c r="P483" s="9"/>
      <c r="Q483" s="9"/>
      <c r="R483" s="8"/>
      <c r="S483" s="882"/>
      <c r="T483" s="883" t="str">
        <f>'$REV-DB'!$T$34</f>
        <v>Federal Revenues</v>
      </c>
      <c r="U483" s="883" t="str">
        <f>'$REV-DB'!$U$34</f>
        <v>local Revenues</v>
      </c>
      <c r="V483" s="883" t="str">
        <f>'$REV-DB'!$V$34</f>
        <v>Other Revenues</v>
      </c>
      <c r="W483" s="883" t="str">
        <f>'$REV-DB'!$W$34</f>
        <v>State revenues</v>
      </c>
      <c r="X483" s="883" t="str">
        <f>'$REV-DB'!$X$34</f>
        <v>UD5</v>
      </c>
      <c r="Y483" s="883" t="str">
        <f>'$REV-DB'!$Y$34</f>
        <v>UD6</v>
      </c>
      <c r="Z483" s="883" t="str">
        <f>'$REV-DB'!$Z$34</f>
        <v>UD7</v>
      </c>
      <c r="AA483" s="883" t="str">
        <f>'$REV-DB'!$AA$34</f>
        <v>UD8</v>
      </c>
      <c r="AB483" s="883" t="str">
        <f>'$REV-DB'!$AB$34</f>
        <v>UD9</v>
      </c>
      <c r="AC483" s="883" t="str">
        <f>'$REV-DB'!$AC$34</f>
        <v>UD10</v>
      </c>
      <c r="AD483" s="883" t="str">
        <f>'$REV-DB'!$AD$34</f>
        <v>UD11</v>
      </c>
      <c r="AE483" s="883" t="str">
        <f>'$REV-DB'!$AE$34</f>
        <v>UD12</v>
      </c>
      <c r="AF483" s="883" t="str">
        <f>'$REV-DB'!$AF$34</f>
        <v>UD13</v>
      </c>
      <c r="AG483" s="883" t="str">
        <f>'$REV-DB'!$AG$34</f>
        <v>UD14</v>
      </c>
    </row>
    <row r="484" spans="1:34" s="3" customFormat="1" ht="16" customHeight="1" thickTop="1" thickBot="1">
      <c r="A484" s="7"/>
      <c r="B484" s="20" t="s">
        <v>1399</v>
      </c>
      <c r="C484" s="15"/>
      <c r="D484" s="877" t="s">
        <v>1386</v>
      </c>
      <c r="E484" s="877" t="s">
        <v>1387</v>
      </c>
      <c r="F484" s="877" t="s">
        <v>1388</v>
      </c>
      <c r="G484" s="877" t="s">
        <v>1389</v>
      </c>
      <c r="H484" s="877" t="s">
        <v>1406</v>
      </c>
      <c r="I484" s="877" t="s">
        <v>1390</v>
      </c>
      <c r="J484" s="877" t="s">
        <v>1391</v>
      </c>
      <c r="K484" s="877" t="s">
        <v>1392</v>
      </c>
      <c r="L484" s="877" t="s">
        <v>1188</v>
      </c>
      <c r="M484" s="877" t="s">
        <v>1437</v>
      </c>
      <c r="N484" s="877" t="s">
        <v>1348</v>
      </c>
      <c r="O484" s="877" t="s">
        <v>1393</v>
      </c>
      <c r="P484" s="877" t="s">
        <v>1342</v>
      </c>
      <c r="Q484" s="877" t="s">
        <v>1394</v>
      </c>
      <c r="R484" s="112" t="s">
        <v>1341</v>
      </c>
      <c r="S484" s="112" t="s">
        <v>846</v>
      </c>
      <c r="T484" s="877" t="s">
        <v>935</v>
      </c>
      <c r="U484" s="877" t="s">
        <v>936</v>
      </c>
      <c r="V484" s="877" t="s">
        <v>937</v>
      </c>
      <c r="W484" s="877" t="s">
        <v>938</v>
      </c>
      <c r="X484" s="877" t="s">
        <v>939</v>
      </c>
      <c r="Y484" s="877" t="s">
        <v>940</v>
      </c>
      <c r="Z484" s="877" t="s">
        <v>941</v>
      </c>
      <c r="AA484" s="877" t="s">
        <v>942</v>
      </c>
      <c r="AB484" s="877" t="s">
        <v>943</v>
      </c>
      <c r="AC484" s="877" t="s">
        <v>944</v>
      </c>
      <c r="AD484" s="877" t="s">
        <v>945</v>
      </c>
      <c r="AE484" s="877" t="s">
        <v>946</v>
      </c>
      <c r="AF484" s="877" t="s">
        <v>947</v>
      </c>
      <c r="AG484" s="877" t="s">
        <v>948</v>
      </c>
      <c r="AH484" s="6"/>
    </row>
    <row r="485" spans="1:34" s="3" customFormat="1" ht="16" customHeight="1" thickTop="1">
      <c r="A485" s="7"/>
      <c r="B485" s="19" t="s">
        <v>1178</v>
      </c>
      <c r="C485" s="12"/>
      <c r="D485" s="197"/>
      <c r="E485" s="197"/>
      <c r="F485" s="196"/>
      <c r="G485" s="197"/>
      <c r="H485" s="196"/>
      <c r="I485" s="196"/>
      <c r="J485" s="197"/>
      <c r="K485" s="197"/>
      <c r="L485" s="287" t="s">
        <v>1429</v>
      </c>
      <c r="M485" s="196"/>
      <c r="N485" s="39" t="str">
        <f>J$6</f>
        <v>FY2010-11</v>
      </c>
      <c r="O485" s="39" t="s">
        <v>1354</v>
      </c>
      <c r="P485" s="39" t="s">
        <v>1338</v>
      </c>
      <c r="Q485" s="39" t="s">
        <v>1465</v>
      </c>
      <c r="R485" s="197"/>
      <c r="S485" s="196"/>
      <c r="T485" s="197"/>
      <c r="U485" s="197"/>
      <c r="V485" s="198"/>
      <c r="W485" s="198"/>
      <c r="X485" s="198"/>
      <c r="Y485" s="198"/>
      <c r="Z485" s="198"/>
      <c r="AA485" s="198"/>
      <c r="AB485" s="198"/>
      <c r="AC485" s="198"/>
      <c r="AD485" s="198"/>
      <c r="AE485" s="198"/>
      <c r="AF485" s="198"/>
      <c r="AG485" s="198"/>
      <c r="AH485" s="6"/>
    </row>
    <row r="486" spans="1:34" s="3" customFormat="1" ht="16" customHeight="1">
      <c r="A486" s="7"/>
      <c r="B486" s="16">
        <f>DSUM('$REV-DB'!D35:AG374,"AMOUNT",D484:AG486)</f>
        <v>0</v>
      </c>
      <c r="C486" s="12"/>
      <c r="D486" s="197"/>
      <c r="E486" s="197"/>
      <c r="F486" s="196"/>
      <c r="G486" s="197"/>
      <c r="H486" s="196"/>
      <c r="I486" s="196"/>
      <c r="J486" s="197"/>
      <c r="K486" s="197"/>
      <c r="L486" s="287" t="s">
        <v>1429</v>
      </c>
      <c r="M486" s="196"/>
      <c r="N486" s="39" t="str">
        <f>J$6</f>
        <v>FY2010-11</v>
      </c>
      <c r="O486" s="39" t="s">
        <v>1354</v>
      </c>
      <c r="P486" s="39" t="s">
        <v>1347</v>
      </c>
      <c r="Q486" s="39" t="s">
        <v>1465</v>
      </c>
      <c r="R486" s="197"/>
      <c r="S486" s="196" t="s">
        <v>1303</v>
      </c>
      <c r="T486" s="197"/>
      <c r="U486" s="197"/>
      <c r="V486" s="198"/>
      <c r="W486" s="198"/>
      <c r="X486" s="198"/>
      <c r="Y486" s="198"/>
      <c r="Z486" s="198"/>
      <c r="AA486" s="198"/>
      <c r="AB486" s="198"/>
      <c r="AC486" s="198"/>
      <c r="AD486" s="198"/>
      <c r="AE486" s="198"/>
      <c r="AF486" s="198"/>
      <c r="AG486" s="198"/>
      <c r="AH486" s="6"/>
    </row>
    <row r="487" spans="1:34" s="3" customFormat="1" ht="16" customHeight="1">
      <c r="A487" s="7"/>
      <c r="B487" s="10"/>
      <c r="C487" s="12"/>
      <c r="D487" s="896"/>
      <c r="E487" s="896"/>
      <c r="F487" s="896"/>
      <c r="G487" s="896"/>
      <c r="H487" s="896"/>
      <c r="I487" s="896"/>
      <c r="J487" s="896"/>
      <c r="K487" s="896"/>
      <c r="L487" s="897"/>
      <c r="M487" s="896"/>
      <c r="N487" s="889"/>
      <c r="O487" s="889"/>
      <c r="P487" s="889"/>
      <c r="Q487" s="896"/>
      <c r="R487" s="896"/>
      <c r="S487" s="896"/>
      <c r="T487" s="898"/>
      <c r="U487" s="898"/>
      <c r="V487" s="899"/>
      <c r="W487" s="899"/>
      <c r="X487" s="899"/>
      <c r="Y487" s="899"/>
      <c r="Z487" s="899"/>
      <c r="AA487" s="899"/>
      <c r="AB487" s="899"/>
      <c r="AC487" s="899"/>
      <c r="AD487" s="899"/>
      <c r="AE487" s="899"/>
      <c r="AF487" s="899"/>
      <c r="AG487" s="899"/>
    </row>
    <row r="488" spans="1:34" s="3" customFormat="1" ht="16" customHeight="1">
      <c r="A488" s="7"/>
      <c r="B488" s="10"/>
      <c r="C488" s="12"/>
      <c r="D488" s="896"/>
      <c r="E488" s="896"/>
      <c r="F488" s="896"/>
      <c r="G488" s="896"/>
      <c r="H488" s="896"/>
      <c r="I488" s="896"/>
      <c r="J488" s="896"/>
      <c r="K488" s="896"/>
      <c r="L488" s="897"/>
      <c r="M488" s="896"/>
      <c r="N488" s="889"/>
      <c r="O488" s="889"/>
      <c r="P488" s="889"/>
      <c r="Q488" s="896"/>
      <c r="R488" s="896"/>
      <c r="S488" s="896"/>
      <c r="T488" s="898"/>
      <c r="U488" s="898"/>
      <c r="V488" s="899"/>
      <c r="W488" s="899"/>
      <c r="X488" s="899"/>
      <c r="Y488" s="899"/>
      <c r="Z488" s="899"/>
      <c r="AA488" s="899"/>
      <c r="AB488" s="899"/>
      <c r="AC488" s="899"/>
      <c r="AD488" s="899"/>
      <c r="AE488" s="899"/>
      <c r="AF488" s="899"/>
      <c r="AG488" s="899"/>
    </row>
    <row r="489" spans="1:34" s="3" customFormat="1" ht="16" customHeight="1">
      <c r="A489" s="7"/>
      <c r="B489" s="10"/>
      <c r="C489" s="12"/>
      <c r="D489" s="896"/>
      <c r="E489" s="896"/>
      <c r="F489" s="896"/>
      <c r="G489" s="896"/>
      <c r="H489" s="896"/>
      <c r="I489" s="896"/>
      <c r="J489" s="896"/>
      <c r="K489" s="896"/>
      <c r="L489" s="897"/>
      <c r="M489" s="896"/>
      <c r="N489" s="889"/>
      <c r="O489" s="889"/>
      <c r="P489" s="889"/>
      <c r="Q489" s="896"/>
      <c r="R489" s="896"/>
      <c r="S489" s="896"/>
      <c r="T489" s="898"/>
      <c r="U489" s="898"/>
      <c r="V489" s="899"/>
      <c r="W489" s="899"/>
      <c r="X489" s="899"/>
      <c r="Y489" s="899"/>
      <c r="Z489" s="899"/>
      <c r="AA489" s="899"/>
      <c r="AB489" s="899"/>
      <c r="AC489" s="899"/>
      <c r="AD489" s="899"/>
      <c r="AE489" s="899"/>
      <c r="AF489" s="899"/>
      <c r="AG489" s="899"/>
    </row>
    <row r="490" spans="1:34" s="3" customFormat="1" ht="16" customHeight="1">
      <c r="A490" s="7"/>
      <c r="B490" s="10"/>
      <c r="C490" s="12"/>
      <c r="D490" s="896"/>
      <c r="E490" s="896"/>
      <c r="F490" s="896"/>
      <c r="G490" s="896"/>
      <c r="H490" s="896"/>
      <c r="I490" s="896"/>
      <c r="J490" s="896"/>
      <c r="K490" s="896"/>
      <c r="L490" s="897"/>
      <c r="M490" s="896"/>
      <c r="N490" s="889"/>
      <c r="O490" s="889"/>
      <c r="P490" s="889"/>
      <c r="Q490" s="896"/>
      <c r="R490" s="896"/>
      <c r="S490" s="896"/>
      <c r="T490" s="898"/>
      <c r="U490" s="898"/>
      <c r="V490" s="899"/>
      <c r="W490" s="899"/>
      <c r="X490" s="899"/>
      <c r="Y490" s="899"/>
      <c r="Z490" s="899"/>
      <c r="AA490" s="899"/>
      <c r="AB490" s="899"/>
      <c r="AC490" s="899"/>
      <c r="AD490" s="899"/>
      <c r="AE490" s="899"/>
      <c r="AF490" s="899"/>
      <c r="AG490" s="899"/>
    </row>
    <row r="491" spans="1:34" s="3" customFormat="1" ht="16" customHeight="1">
      <c r="A491" s="7"/>
      <c r="B491" s="10"/>
      <c r="C491" s="12"/>
      <c r="D491" s="896"/>
      <c r="E491" s="896"/>
      <c r="F491" s="896"/>
      <c r="G491" s="896"/>
      <c r="H491" s="896"/>
      <c r="I491" s="896"/>
      <c r="J491" s="896"/>
      <c r="K491" s="896"/>
      <c r="L491" s="897"/>
      <c r="M491" s="896"/>
      <c r="N491" s="889"/>
      <c r="O491" s="889"/>
      <c r="P491" s="889"/>
      <c r="Q491" s="896"/>
      <c r="R491" s="896"/>
      <c r="S491" s="896"/>
      <c r="T491" s="898"/>
      <c r="U491" s="898"/>
      <c r="V491" s="899"/>
      <c r="W491" s="899"/>
      <c r="X491" s="899"/>
      <c r="Y491" s="899"/>
      <c r="Z491" s="899"/>
      <c r="AA491" s="899"/>
      <c r="AB491" s="899"/>
      <c r="AC491" s="899"/>
      <c r="AD491" s="899"/>
      <c r="AE491" s="899"/>
      <c r="AF491" s="899"/>
      <c r="AG491" s="899"/>
    </row>
    <row r="492" spans="1:34" s="3" customFormat="1" ht="16" customHeight="1">
      <c r="A492" s="21"/>
      <c r="B492" s="22"/>
      <c r="C492" s="22"/>
      <c r="D492" s="23"/>
      <c r="E492" s="23"/>
      <c r="F492" s="24"/>
      <c r="G492" s="23"/>
      <c r="H492" s="24"/>
      <c r="I492" s="24"/>
      <c r="J492" s="23"/>
      <c r="K492" s="23"/>
      <c r="L492" s="286"/>
      <c r="M492" s="24"/>
      <c r="N492" s="24"/>
      <c r="O492" s="23"/>
      <c r="P492" s="24"/>
      <c r="Q492" s="24"/>
      <c r="R492" s="23"/>
      <c r="S492" s="24"/>
      <c r="T492" s="23"/>
      <c r="U492" s="23"/>
      <c r="V492" s="21"/>
      <c r="W492" s="21"/>
      <c r="X492" s="21"/>
      <c r="Y492" s="21"/>
      <c r="Z492" s="21"/>
      <c r="AA492" s="21"/>
      <c r="AB492" s="21"/>
      <c r="AC492" s="21"/>
      <c r="AD492" s="21"/>
      <c r="AE492" s="21"/>
      <c r="AF492" s="21"/>
      <c r="AG492" s="21"/>
    </row>
    <row r="493" spans="1:34" s="3" customFormat="1" ht="16" customHeight="1" thickBot="1">
      <c r="A493" s="7"/>
      <c r="B493" s="19" t="str">
        <f>"FA3 = "&amp;'FIG3'!$W$54&amp;" "&amp;'FIG3'!$X$54</f>
        <v>FA3 = FA3L1 FA3L2</v>
      </c>
      <c r="C493" s="7"/>
      <c r="D493" s="8"/>
      <c r="E493" s="8"/>
      <c r="F493" s="9"/>
      <c r="G493" s="8"/>
      <c r="H493" s="9"/>
      <c r="I493" s="9"/>
      <c r="J493" s="8"/>
      <c r="K493" s="8"/>
      <c r="L493" s="280"/>
      <c r="M493" s="9"/>
      <c r="N493" s="9"/>
      <c r="O493" s="8"/>
      <c r="P493" s="9"/>
      <c r="Q493" s="9"/>
      <c r="R493" s="8"/>
      <c r="S493" s="882"/>
      <c r="T493" s="883" t="str">
        <f>'$REV-DB'!$T$34</f>
        <v>Federal Revenues</v>
      </c>
      <c r="U493" s="883" t="str">
        <f>'$REV-DB'!$U$34</f>
        <v>local Revenues</v>
      </c>
      <c r="V493" s="883" t="str">
        <f>'$REV-DB'!$V$34</f>
        <v>Other Revenues</v>
      </c>
      <c r="W493" s="883" t="str">
        <f>'$REV-DB'!$W$34</f>
        <v>State revenues</v>
      </c>
      <c r="X493" s="883" t="str">
        <f>'$REV-DB'!$X$34</f>
        <v>UD5</v>
      </c>
      <c r="Y493" s="883" t="str">
        <f>'$REV-DB'!$Y$34</f>
        <v>UD6</v>
      </c>
      <c r="Z493" s="883" t="str">
        <f>'$REV-DB'!$Z$34</f>
        <v>UD7</v>
      </c>
      <c r="AA493" s="883" t="str">
        <f>'$REV-DB'!$AA$34</f>
        <v>UD8</v>
      </c>
      <c r="AB493" s="883" t="str">
        <f>'$REV-DB'!$AB$34</f>
        <v>UD9</v>
      </c>
      <c r="AC493" s="883" t="str">
        <f>'$REV-DB'!$AC$34</f>
        <v>UD10</v>
      </c>
      <c r="AD493" s="883" t="str">
        <f>'$REV-DB'!$AD$34</f>
        <v>UD11</v>
      </c>
      <c r="AE493" s="883" t="str">
        <f>'$REV-DB'!$AE$34</f>
        <v>UD12</v>
      </c>
      <c r="AF493" s="883" t="str">
        <f>'$REV-DB'!$AF$34</f>
        <v>UD13</v>
      </c>
      <c r="AG493" s="883" t="str">
        <f>'$REV-DB'!$AG$34</f>
        <v>UD14</v>
      </c>
    </row>
    <row r="494" spans="1:34" s="3" customFormat="1" ht="16" customHeight="1" thickTop="1" thickBot="1">
      <c r="A494" s="7"/>
      <c r="B494" s="20" t="s">
        <v>1399</v>
      </c>
      <c r="C494" s="15"/>
      <c r="D494" s="877" t="s">
        <v>1386</v>
      </c>
      <c r="E494" s="877" t="s">
        <v>1387</v>
      </c>
      <c r="F494" s="877" t="s">
        <v>1388</v>
      </c>
      <c r="G494" s="877" t="s">
        <v>1389</v>
      </c>
      <c r="H494" s="877" t="s">
        <v>1406</v>
      </c>
      <c r="I494" s="877" t="s">
        <v>1390</v>
      </c>
      <c r="J494" s="877" t="s">
        <v>1391</v>
      </c>
      <c r="K494" s="877" t="s">
        <v>1392</v>
      </c>
      <c r="L494" s="877" t="s">
        <v>1188</v>
      </c>
      <c r="M494" s="877" t="s">
        <v>1437</v>
      </c>
      <c r="N494" s="877" t="s">
        <v>1348</v>
      </c>
      <c r="O494" s="877" t="s">
        <v>1393</v>
      </c>
      <c r="P494" s="877" t="s">
        <v>1342</v>
      </c>
      <c r="Q494" s="877" t="s">
        <v>1394</v>
      </c>
      <c r="R494" s="112" t="s">
        <v>1341</v>
      </c>
      <c r="S494" s="112" t="s">
        <v>846</v>
      </c>
      <c r="T494" s="877" t="s">
        <v>935</v>
      </c>
      <c r="U494" s="877" t="s">
        <v>936</v>
      </c>
      <c r="V494" s="877" t="s">
        <v>937</v>
      </c>
      <c r="W494" s="877" t="s">
        <v>938</v>
      </c>
      <c r="X494" s="877" t="s">
        <v>939</v>
      </c>
      <c r="Y494" s="877" t="s">
        <v>940</v>
      </c>
      <c r="Z494" s="877" t="s">
        <v>941</v>
      </c>
      <c r="AA494" s="877" t="s">
        <v>942</v>
      </c>
      <c r="AB494" s="877" t="s">
        <v>943</v>
      </c>
      <c r="AC494" s="877" t="s">
        <v>944</v>
      </c>
      <c r="AD494" s="877" t="s">
        <v>945</v>
      </c>
      <c r="AE494" s="877" t="s">
        <v>946</v>
      </c>
      <c r="AF494" s="877" t="s">
        <v>947</v>
      </c>
      <c r="AG494" s="877" t="s">
        <v>948</v>
      </c>
      <c r="AH494" s="6"/>
    </row>
    <row r="495" spans="1:34" s="3" customFormat="1" ht="16" customHeight="1" thickTop="1">
      <c r="A495" s="7"/>
      <c r="B495" s="19" t="s">
        <v>1350</v>
      </c>
      <c r="C495" s="12"/>
      <c r="D495" s="197"/>
      <c r="E495" s="197"/>
      <c r="F495" s="196"/>
      <c r="G495" s="197"/>
      <c r="H495" s="196"/>
      <c r="I495" s="196"/>
      <c r="J495" s="197"/>
      <c r="K495" s="197"/>
      <c r="L495" s="287" t="s">
        <v>1429</v>
      </c>
      <c r="M495" s="196"/>
      <c r="N495" s="39" t="str">
        <f>J$6</f>
        <v>FY2010-11</v>
      </c>
      <c r="O495" s="39" t="s">
        <v>1354</v>
      </c>
      <c r="P495" s="39" t="s">
        <v>1338</v>
      </c>
      <c r="Q495" s="39" t="s">
        <v>1340</v>
      </c>
      <c r="R495" s="197"/>
      <c r="S495" s="196"/>
      <c r="T495" s="197"/>
      <c r="U495" s="197"/>
      <c r="V495" s="198"/>
      <c r="W495" s="198"/>
      <c r="X495" s="198"/>
      <c r="Y495" s="198"/>
      <c r="Z495" s="198"/>
      <c r="AA495" s="198"/>
      <c r="AB495" s="198"/>
      <c r="AC495" s="198"/>
      <c r="AD495" s="198"/>
      <c r="AE495" s="198"/>
      <c r="AF495" s="198"/>
      <c r="AG495" s="198"/>
      <c r="AH495" s="6"/>
    </row>
    <row r="496" spans="1:34" s="3" customFormat="1" ht="16" customHeight="1">
      <c r="A496" s="7"/>
      <c r="B496" s="16">
        <f>DSUM('$REV-DB'!D35:AG374,"AMOUNT",D494:AG496)</f>
        <v>0</v>
      </c>
      <c r="C496" s="12"/>
      <c r="D496" s="197"/>
      <c r="E496" s="197"/>
      <c r="F496" s="196"/>
      <c r="G496" s="197"/>
      <c r="H496" s="196"/>
      <c r="I496" s="196"/>
      <c r="J496" s="197"/>
      <c r="K496" s="197"/>
      <c r="L496" s="287" t="s">
        <v>1429</v>
      </c>
      <c r="M496" s="196"/>
      <c r="N496" s="39" t="str">
        <f>J$6</f>
        <v>FY2010-11</v>
      </c>
      <c r="O496" s="39" t="s">
        <v>1354</v>
      </c>
      <c r="P496" s="39" t="s">
        <v>1347</v>
      </c>
      <c r="Q496" s="39" t="s">
        <v>1340</v>
      </c>
      <c r="R496" s="197"/>
      <c r="S496" s="196" t="s">
        <v>1303</v>
      </c>
      <c r="T496" s="197"/>
      <c r="U496" s="197"/>
      <c r="V496" s="198"/>
      <c r="W496" s="198"/>
      <c r="X496" s="198"/>
      <c r="Y496" s="198"/>
      <c r="Z496" s="198"/>
      <c r="AA496" s="198"/>
      <c r="AB496" s="198"/>
      <c r="AC496" s="198"/>
      <c r="AD496" s="198"/>
      <c r="AE496" s="198"/>
      <c r="AF496" s="198"/>
      <c r="AG496" s="198"/>
      <c r="AH496" s="6"/>
    </row>
    <row r="497" spans="1:34" s="3" customFormat="1" ht="16" customHeight="1">
      <c r="A497" s="7"/>
      <c r="B497" s="10"/>
      <c r="C497" s="12"/>
      <c r="D497" s="896"/>
      <c r="E497" s="896"/>
      <c r="F497" s="896"/>
      <c r="G497" s="896"/>
      <c r="H497" s="896"/>
      <c r="I497" s="896"/>
      <c r="J497" s="896"/>
      <c r="K497" s="896"/>
      <c r="L497" s="897"/>
      <c r="M497" s="896"/>
      <c r="N497" s="889"/>
      <c r="O497" s="889"/>
      <c r="P497" s="889"/>
      <c r="Q497" s="896"/>
      <c r="R497" s="896"/>
      <c r="S497" s="896"/>
      <c r="T497" s="898"/>
      <c r="U497" s="898"/>
      <c r="V497" s="899"/>
      <c r="W497" s="899"/>
      <c r="X497" s="899"/>
      <c r="Y497" s="899"/>
      <c r="Z497" s="899"/>
      <c r="AA497" s="899"/>
      <c r="AB497" s="899"/>
      <c r="AC497" s="899"/>
      <c r="AD497" s="899"/>
      <c r="AE497" s="899"/>
      <c r="AF497" s="899"/>
      <c r="AG497" s="899"/>
    </row>
    <row r="498" spans="1:34" s="3" customFormat="1" ht="16" customHeight="1">
      <c r="A498" s="7"/>
      <c r="B498" s="10"/>
      <c r="C498" s="12"/>
      <c r="D498" s="896"/>
      <c r="E498" s="896"/>
      <c r="F498" s="896"/>
      <c r="G498" s="896"/>
      <c r="H498" s="896"/>
      <c r="I498" s="896"/>
      <c r="J498" s="896"/>
      <c r="K498" s="896"/>
      <c r="L498" s="897"/>
      <c r="M498" s="896"/>
      <c r="N498" s="889"/>
      <c r="O498" s="889"/>
      <c r="P498" s="889"/>
      <c r="Q498" s="896"/>
      <c r="R498" s="896"/>
      <c r="S498" s="896"/>
      <c r="T498" s="898"/>
      <c r="U498" s="898"/>
      <c r="V498" s="899"/>
      <c r="W498" s="899"/>
      <c r="X498" s="899"/>
      <c r="Y498" s="899"/>
      <c r="Z498" s="899"/>
      <c r="AA498" s="899"/>
      <c r="AB498" s="899"/>
      <c r="AC498" s="899"/>
      <c r="AD498" s="899"/>
      <c r="AE498" s="899"/>
      <c r="AF498" s="899"/>
      <c r="AG498" s="899"/>
    </row>
    <row r="499" spans="1:34" s="3" customFormat="1" ht="16" customHeight="1">
      <c r="A499" s="7"/>
      <c r="B499" s="10"/>
      <c r="C499" s="12"/>
      <c r="D499" s="896"/>
      <c r="E499" s="896"/>
      <c r="F499" s="896"/>
      <c r="G499" s="896"/>
      <c r="H499" s="896"/>
      <c r="I499" s="896"/>
      <c r="J499" s="896"/>
      <c r="K499" s="896"/>
      <c r="L499" s="897"/>
      <c r="M499" s="896"/>
      <c r="N499" s="889"/>
      <c r="O499" s="889"/>
      <c r="P499" s="889"/>
      <c r="Q499" s="896"/>
      <c r="R499" s="896"/>
      <c r="S499" s="896"/>
      <c r="T499" s="898"/>
      <c r="U499" s="898"/>
      <c r="V499" s="899"/>
      <c r="W499" s="899"/>
      <c r="X499" s="899"/>
      <c r="Y499" s="899"/>
      <c r="Z499" s="899"/>
      <c r="AA499" s="899"/>
      <c r="AB499" s="899"/>
      <c r="AC499" s="899"/>
      <c r="AD499" s="899"/>
      <c r="AE499" s="899"/>
      <c r="AF499" s="899"/>
      <c r="AG499" s="899"/>
    </row>
    <row r="500" spans="1:34" s="3" customFormat="1" ht="16" customHeight="1">
      <c r="A500" s="7"/>
      <c r="B500" s="10"/>
      <c r="C500" s="12"/>
      <c r="D500" s="896"/>
      <c r="E500" s="896"/>
      <c r="F500" s="896"/>
      <c r="G500" s="896"/>
      <c r="H500" s="896"/>
      <c r="I500" s="896"/>
      <c r="J500" s="896"/>
      <c r="K500" s="896"/>
      <c r="L500" s="897"/>
      <c r="M500" s="896"/>
      <c r="N500" s="889"/>
      <c r="O500" s="889"/>
      <c r="P500" s="889"/>
      <c r="Q500" s="896"/>
      <c r="R500" s="896"/>
      <c r="S500" s="896"/>
      <c r="T500" s="898"/>
      <c r="U500" s="898"/>
      <c r="V500" s="899"/>
      <c r="W500" s="899"/>
      <c r="X500" s="899"/>
      <c r="Y500" s="899"/>
      <c r="Z500" s="899"/>
      <c r="AA500" s="899"/>
      <c r="AB500" s="899"/>
      <c r="AC500" s="899"/>
      <c r="AD500" s="899"/>
      <c r="AE500" s="899"/>
      <c r="AF500" s="899"/>
      <c r="AG500" s="899"/>
    </row>
    <row r="501" spans="1:34" s="3" customFormat="1" ht="16" customHeight="1">
      <c r="A501" s="7"/>
      <c r="B501" s="10"/>
      <c r="C501" s="12"/>
      <c r="D501" s="896"/>
      <c r="E501" s="896"/>
      <c r="F501" s="896"/>
      <c r="G501" s="896"/>
      <c r="H501" s="896"/>
      <c r="I501" s="896"/>
      <c r="J501" s="896"/>
      <c r="K501" s="896"/>
      <c r="L501" s="897"/>
      <c r="M501" s="896"/>
      <c r="N501" s="889"/>
      <c r="O501" s="889"/>
      <c r="P501" s="889"/>
      <c r="Q501" s="896"/>
      <c r="R501" s="896"/>
      <c r="S501" s="896"/>
      <c r="T501" s="898"/>
      <c r="U501" s="898"/>
      <c r="V501" s="899"/>
      <c r="W501" s="899"/>
      <c r="X501" s="899"/>
      <c r="Y501" s="899"/>
      <c r="Z501" s="899"/>
      <c r="AA501" s="899"/>
      <c r="AB501" s="899"/>
      <c r="AC501" s="899"/>
      <c r="AD501" s="899"/>
      <c r="AE501" s="899"/>
      <c r="AF501" s="899"/>
      <c r="AG501" s="899"/>
    </row>
    <row r="502" spans="1:34" s="3" customFormat="1" ht="16" customHeight="1">
      <c r="A502" s="21"/>
      <c r="B502" s="22"/>
      <c r="C502" s="22"/>
      <c r="D502" s="23"/>
      <c r="E502" s="23"/>
      <c r="F502" s="24"/>
      <c r="G502" s="23"/>
      <c r="H502" s="24"/>
      <c r="I502" s="24"/>
      <c r="J502" s="23"/>
      <c r="K502" s="23"/>
      <c r="L502" s="286"/>
      <c r="M502" s="24"/>
      <c r="N502" s="24"/>
      <c r="O502" s="23"/>
      <c r="P502" s="24"/>
      <c r="Q502" s="24"/>
      <c r="R502" s="23"/>
      <c r="S502" s="24"/>
      <c r="T502" s="23"/>
      <c r="U502" s="23"/>
      <c r="V502" s="21"/>
      <c r="W502" s="21"/>
      <c r="X502" s="21"/>
      <c r="Y502" s="21"/>
      <c r="Z502" s="21"/>
      <c r="AA502" s="21"/>
      <c r="AB502" s="21"/>
      <c r="AC502" s="21"/>
      <c r="AD502" s="21"/>
      <c r="AE502" s="21"/>
      <c r="AF502" s="21"/>
      <c r="AG502" s="21"/>
    </row>
    <row r="503" spans="1:34" s="3" customFormat="1" ht="16" customHeight="1" thickBot="1">
      <c r="A503" s="7"/>
      <c r="B503" s="19" t="str">
        <f>"FA3 = "&amp;'FIG3'!$W$54&amp;" "&amp;'FIG3'!$X$54</f>
        <v>FA3 = FA3L1 FA3L2</v>
      </c>
      <c r="C503" s="7"/>
      <c r="D503" s="17"/>
      <c r="E503" s="17"/>
      <c r="F503" s="18"/>
      <c r="G503" s="17"/>
      <c r="H503" s="18"/>
      <c r="I503" s="18"/>
      <c r="J503" s="17"/>
      <c r="K503" s="17"/>
      <c r="L503" s="281"/>
      <c r="M503" s="18"/>
      <c r="N503" s="9"/>
      <c r="O503" s="17"/>
      <c r="P503" s="18"/>
      <c r="Q503" s="18"/>
      <c r="R503" s="17"/>
      <c r="S503" s="882"/>
      <c r="T503" s="883" t="str">
        <f>'$REV-DB'!$T$34</f>
        <v>Federal Revenues</v>
      </c>
      <c r="U503" s="883" t="str">
        <f>'$REV-DB'!$U$34</f>
        <v>local Revenues</v>
      </c>
      <c r="V503" s="883" t="str">
        <f>'$REV-DB'!$V$34</f>
        <v>Other Revenues</v>
      </c>
      <c r="W503" s="883" t="str">
        <f>'$REV-DB'!$W$34</f>
        <v>State revenues</v>
      </c>
      <c r="X503" s="883" t="str">
        <f>'$REV-DB'!$X$34</f>
        <v>UD5</v>
      </c>
      <c r="Y503" s="883" t="str">
        <f>'$REV-DB'!$Y$34</f>
        <v>UD6</v>
      </c>
      <c r="Z503" s="883" t="str">
        <f>'$REV-DB'!$Z$34</f>
        <v>UD7</v>
      </c>
      <c r="AA503" s="883" t="str">
        <f>'$REV-DB'!$AA$34</f>
        <v>UD8</v>
      </c>
      <c r="AB503" s="883" t="str">
        <f>'$REV-DB'!$AB$34</f>
        <v>UD9</v>
      </c>
      <c r="AC503" s="883" t="str">
        <f>'$REV-DB'!$AC$34</f>
        <v>UD10</v>
      </c>
      <c r="AD503" s="883" t="str">
        <f>'$REV-DB'!$AD$34</f>
        <v>UD11</v>
      </c>
      <c r="AE503" s="883" t="str">
        <f>'$REV-DB'!$AE$34</f>
        <v>UD12</v>
      </c>
      <c r="AF503" s="883" t="str">
        <f>'$REV-DB'!$AF$34</f>
        <v>UD13</v>
      </c>
      <c r="AG503" s="883" t="str">
        <f>'$REV-DB'!$AG$34</f>
        <v>UD14</v>
      </c>
    </row>
    <row r="504" spans="1:34" s="3" customFormat="1" ht="16" customHeight="1" thickTop="1" thickBot="1">
      <c r="A504" s="7"/>
      <c r="B504" s="20" t="s">
        <v>1375</v>
      </c>
      <c r="C504" s="15"/>
      <c r="D504" s="877" t="s">
        <v>1386</v>
      </c>
      <c r="E504" s="877" t="s">
        <v>1387</v>
      </c>
      <c r="F504" s="877" t="s">
        <v>1388</v>
      </c>
      <c r="G504" s="877" t="s">
        <v>1389</v>
      </c>
      <c r="H504" s="877" t="s">
        <v>1406</v>
      </c>
      <c r="I504" s="877" t="s">
        <v>1390</v>
      </c>
      <c r="J504" s="877" t="s">
        <v>1391</v>
      </c>
      <c r="K504" s="877" t="s">
        <v>1392</v>
      </c>
      <c r="L504" s="877" t="s">
        <v>1188</v>
      </c>
      <c r="M504" s="877" t="s">
        <v>1437</v>
      </c>
      <c r="N504" s="877" t="s">
        <v>1348</v>
      </c>
      <c r="O504" s="877" t="s">
        <v>1393</v>
      </c>
      <c r="P504" s="877" t="s">
        <v>1342</v>
      </c>
      <c r="Q504" s="877" t="s">
        <v>1394</v>
      </c>
      <c r="R504" s="112" t="s">
        <v>1341</v>
      </c>
      <c r="S504" s="112" t="s">
        <v>846</v>
      </c>
      <c r="T504" s="877" t="s">
        <v>935</v>
      </c>
      <c r="U504" s="877" t="s">
        <v>936</v>
      </c>
      <c r="V504" s="877" t="s">
        <v>937</v>
      </c>
      <c r="W504" s="877" t="s">
        <v>938</v>
      </c>
      <c r="X504" s="877" t="s">
        <v>939</v>
      </c>
      <c r="Y504" s="877" t="s">
        <v>940</v>
      </c>
      <c r="Z504" s="877" t="s">
        <v>941</v>
      </c>
      <c r="AA504" s="877" t="s">
        <v>942</v>
      </c>
      <c r="AB504" s="877" t="s">
        <v>943</v>
      </c>
      <c r="AC504" s="877" t="s">
        <v>944</v>
      </c>
      <c r="AD504" s="877" t="s">
        <v>945</v>
      </c>
      <c r="AE504" s="877" t="s">
        <v>946</v>
      </c>
      <c r="AF504" s="877" t="s">
        <v>947</v>
      </c>
      <c r="AG504" s="877" t="s">
        <v>948</v>
      </c>
      <c r="AH504" s="6"/>
    </row>
    <row r="505" spans="1:34" s="3" customFormat="1" ht="16" customHeight="1" thickTop="1">
      <c r="A505" s="7"/>
      <c r="B505" s="19" t="s">
        <v>1346</v>
      </c>
      <c r="C505" s="12"/>
      <c r="D505" s="197"/>
      <c r="E505" s="197"/>
      <c r="F505" s="196"/>
      <c r="G505" s="197"/>
      <c r="H505" s="196"/>
      <c r="I505" s="196"/>
      <c r="J505" s="197"/>
      <c r="K505" s="197"/>
      <c r="L505" s="287" t="s">
        <v>1429</v>
      </c>
      <c r="M505" s="196"/>
      <c r="N505" s="39" t="str">
        <f>J$6</f>
        <v>FY2010-11</v>
      </c>
      <c r="O505" s="39" t="s">
        <v>1354</v>
      </c>
      <c r="P505" s="39" t="s">
        <v>1347</v>
      </c>
      <c r="Q505" s="39"/>
      <c r="R505" s="197"/>
      <c r="S505" s="196" t="s">
        <v>871</v>
      </c>
      <c r="T505" s="197"/>
      <c r="U505" s="197"/>
      <c r="V505" s="198"/>
      <c r="W505" s="198"/>
      <c r="X505" s="198"/>
      <c r="Y505" s="198"/>
      <c r="Z505" s="198"/>
      <c r="AA505" s="198"/>
      <c r="AB505" s="198"/>
      <c r="AC505" s="198"/>
      <c r="AD505" s="198"/>
      <c r="AE505" s="198"/>
      <c r="AF505" s="198"/>
      <c r="AG505" s="198"/>
      <c r="AH505" s="6"/>
    </row>
    <row r="506" spans="1:34" s="3" customFormat="1" ht="16" customHeight="1">
      <c r="A506" s="7"/>
      <c r="B506" s="16">
        <f>DSUM('$REV-DB'!D35:AG374,"AMOUNT",D504:AG505)</f>
        <v>0</v>
      </c>
      <c r="C506" s="12"/>
      <c r="D506" s="896"/>
      <c r="E506" s="896"/>
      <c r="F506" s="896"/>
      <c r="G506" s="896"/>
      <c r="H506" s="896"/>
      <c r="I506" s="896"/>
      <c r="J506" s="896"/>
      <c r="K506" s="896"/>
      <c r="L506" s="897"/>
      <c r="M506" s="896"/>
      <c r="N506" s="889"/>
      <c r="O506" s="896"/>
      <c r="P506" s="889"/>
      <c r="Q506" s="900"/>
      <c r="R506" s="896"/>
      <c r="S506" s="896"/>
      <c r="T506" s="898"/>
      <c r="U506" s="898"/>
      <c r="V506" s="899"/>
      <c r="W506" s="899"/>
      <c r="X506" s="899"/>
      <c r="Y506" s="899"/>
      <c r="Z506" s="899"/>
      <c r="AA506" s="899"/>
      <c r="AB506" s="899"/>
      <c r="AC506" s="899"/>
      <c r="AD506" s="899"/>
      <c r="AE506" s="899"/>
      <c r="AF506" s="899"/>
      <c r="AG506" s="899"/>
      <c r="AH506" s="6"/>
    </row>
    <row r="507" spans="1:34" s="3" customFormat="1" ht="16" customHeight="1">
      <c r="A507" s="7"/>
      <c r="B507" s="10"/>
      <c r="C507" s="12"/>
      <c r="D507" s="896"/>
      <c r="E507" s="896"/>
      <c r="F507" s="896"/>
      <c r="G507" s="896"/>
      <c r="H507" s="896"/>
      <c r="I507" s="896"/>
      <c r="J507" s="896"/>
      <c r="K507" s="896"/>
      <c r="L507" s="897"/>
      <c r="M507" s="896"/>
      <c r="N507" s="889"/>
      <c r="O507" s="896"/>
      <c r="P507" s="889"/>
      <c r="Q507" s="900"/>
      <c r="R507" s="896"/>
      <c r="S507" s="896"/>
      <c r="T507" s="898"/>
      <c r="U507" s="898"/>
      <c r="V507" s="899"/>
      <c r="W507" s="899"/>
      <c r="X507" s="899"/>
      <c r="Y507" s="899"/>
      <c r="Z507" s="899"/>
      <c r="AA507" s="899"/>
      <c r="AB507" s="899"/>
      <c r="AC507" s="899"/>
      <c r="AD507" s="899"/>
      <c r="AE507" s="899"/>
      <c r="AF507" s="899"/>
      <c r="AG507" s="899"/>
    </row>
    <row r="508" spans="1:34" s="3" customFormat="1" ht="16" customHeight="1">
      <c r="A508" s="7"/>
      <c r="B508" s="10"/>
      <c r="C508" s="12"/>
      <c r="D508" s="896"/>
      <c r="E508" s="896"/>
      <c r="F508" s="896"/>
      <c r="G508" s="896"/>
      <c r="H508" s="896"/>
      <c r="I508" s="896"/>
      <c r="J508" s="896"/>
      <c r="K508" s="896"/>
      <c r="L508" s="897"/>
      <c r="M508" s="896"/>
      <c r="N508" s="889"/>
      <c r="O508" s="896"/>
      <c r="P508" s="889"/>
      <c r="Q508" s="900"/>
      <c r="R508" s="896"/>
      <c r="S508" s="896"/>
      <c r="T508" s="898"/>
      <c r="U508" s="898"/>
      <c r="V508" s="899"/>
      <c r="W508" s="899"/>
      <c r="X508" s="899"/>
      <c r="Y508" s="899"/>
      <c r="Z508" s="899"/>
      <c r="AA508" s="899"/>
      <c r="AB508" s="899"/>
      <c r="AC508" s="899"/>
      <c r="AD508" s="899"/>
      <c r="AE508" s="899"/>
      <c r="AF508" s="899"/>
      <c r="AG508" s="899"/>
    </row>
    <row r="509" spans="1:34" s="3" customFormat="1" ht="16" customHeight="1">
      <c r="A509" s="7"/>
      <c r="B509" s="10"/>
      <c r="C509" s="12"/>
      <c r="D509" s="896"/>
      <c r="E509" s="896"/>
      <c r="F509" s="896"/>
      <c r="G509" s="896"/>
      <c r="H509" s="896"/>
      <c r="I509" s="896"/>
      <c r="J509" s="896"/>
      <c r="K509" s="896"/>
      <c r="L509" s="897"/>
      <c r="M509" s="896"/>
      <c r="N509" s="889"/>
      <c r="O509" s="896"/>
      <c r="P509" s="889"/>
      <c r="Q509" s="900"/>
      <c r="R509" s="896"/>
      <c r="S509" s="896"/>
      <c r="T509" s="898"/>
      <c r="U509" s="898"/>
      <c r="V509" s="899"/>
      <c r="W509" s="899"/>
      <c r="X509" s="899"/>
      <c r="Y509" s="899"/>
      <c r="Z509" s="899"/>
      <c r="AA509" s="899"/>
      <c r="AB509" s="899"/>
      <c r="AC509" s="899"/>
      <c r="AD509" s="899"/>
      <c r="AE509" s="899"/>
      <c r="AF509" s="899"/>
      <c r="AG509" s="899"/>
    </row>
    <row r="510" spans="1:34" s="3" customFormat="1" ht="16" customHeight="1">
      <c r="A510" s="7"/>
      <c r="B510" s="10"/>
      <c r="C510" s="12"/>
      <c r="D510" s="896"/>
      <c r="E510" s="896"/>
      <c r="F510" s="896"/>
      <c r="G510" s="896"/>
      <c r="H510" s="896"/>
      <c r="I510" s="896"/>
      <c r="J510" s="896"/>
      <c r="K510" s="896"/>
      <c r="L510" s="897"/>
      <c r="M510" s="896"/>
      <c r="N510" s="889"/>
      <c r="O510" s="896"/>
      <c r="P510" s="889"/>
      <c r="Q510" s="900"/>
      <c r="R510" s="896"/>
      <c r="S510" s="896"/>
      <c r="T510" s="898"/>
      <c r="U510" s="898"/>
      <c r="V510" s="899"/>
      <c r="W510" s="899"/>
      <c r="X510" s="899"/>
      <c r="Y510" s="899"/>
      <c r="Z510" s="899"/>
      <c r="AA510" s="899"/>
      <c r="AB510" s="899"/>
      <c r="AC510" s="899"/>
      <c r="AD510" s="899"/>
      <c r="AE510" s="899"/>
      <c r="AF510" s="899"/>
      <c r="AG510" s="899"/>
    </row>
    <row r="511" spans="1:34" s="3" customFormat="1" ht="16" customHeight="1">
      <c r="A511" s="7"/>
      <c r="B511" s="10"/>
      <c r="C511" s="12"/>
      <c r="D511" s="896"/>
      <c r="E511" s="896"/>
      <c r="F511" s="896"/>
      <c r="G511" s="896"/>
      <c r="H511" s="896"/>
      <c r="I511" s="896"/>
      <c r="J511" s="896"/>
      <c r="K511" s="896"/>
      <c r="L511" s="897"/>
      <c r="M511" s="896"/>
      <c r="N511" s="889"/>
      <c r="O511" s="896"/>
      <c r="P511" s="889"/>
      <c r="Q511" s="900"/>
      <c r="R511" s="896"/>
      <c r="S511" s="896"/>
      <c r="T511" s="898"/>
      <c r="U511" s="898"/>
      <c r="V511" s="899"/>
      <c r="W511" s="899"/>
      <c r="X511" s="899"/>
      <c r="Y511" s="899"/>
      <c r="Z511" s="899"/>
      <c r="AA511" s="899"/>
      <c r="AB511" s="899"/>
      <c r="AC511" s="899"/>
      <c r="AD511" s="899"/>
      <c r="AE511" s="899"/>
      <c r="AF511" s="899"/>
      <c r="AG511" s="899"/>
    </row>
    <row r="512" spans="1:34" s="3" customFormat="1" ht="16" customHeight="1">
      <c r="A512" s="21"/>
      <c r="B512" s="22"/>
      <c r="C512" s="22"/>
      <c r="D512" s="23"/>
      <c r="E512" s="23"/>
      <c r="F512" s="24"/>
      <c r="G512" s="23"/>
      <c r="H512" s="24"/>
      <c r="I512" s="24"/>
      <c r="J512" s="23"/>
      <c r="K512" s="23"/>
      <c r="L512" s="286"/>
      <c r="M512" s="24"/>
      <c r="N512" s="24"/>
      <c r="O512" s="23"/>
      <c r="P512" s="24"/>
      <c r="Q512" s="24"/>
      <c r="R512" s="23"/>
      <c r="S512" s="24"/>
      <c r="T512" s="23"/>
      <c r="U512" s="23"/>
      <c r="V512" s="21"/>
      <c r="W512" s="21"/>
      <c r="X512" s="21"/>
      <c r="Y512" s="21"/>
      <c r="Z512" s="21"/>
      <c r="AA512" s="21"/>
      <c r="AB512" s="21"/>
      <c r="AC512" s="21"/>
      <c r="AD512" s="21"/>
      <c r="AE512" s="21"/>
      <c r="AF512" s="21"/>
      <c r="AG512" s="21"/>
    </row>
    <row r="513" spans="1:34" s="3" customFormat="1" ht="16" customHeight="1" thickBot="1">
      <c r="A513" s="7"/>
      <c r="B513" s="19" t="str">
        <f>"FA3 = "&amp;'FIG3'!$W$54&amp;" "&amp;'FIG3'!$X$54</f>
        <v>FA3 = FA3L1 FA3L2</v>
      </c>
      <c r="C513" s="7"/>
      <c r="D513" s="8"/>
      <c r="E513" s="8"/>
      <c r="F513" s="9"/>
      <c r="G513" s="8"/>
      <c r="H513" s="9"/>
      <c r="I513" s="9"/>
      <c r="J513" s="8"/>
      <c r="K513" s="8"/>
      <c r="L513" s="280"/>
      <c r="M513" s="9"/>
      <c r="N513" s="9"/>
      <c r="O513" s="8"/>
      <c r="P513" s="9"/>
      <c r="Q513" s="9"/>
      <c r="R513" s="8"/>
      <c r="S513" s="882"/>
      <c r="T513" s="883" t="str">
        <f>'$REV-DB'!$T$34</f>
        <v>Federal Revenues</v>
      </c>
      <c r="U513" s="883" t="str">
        <f>'$REV-DB'!$U$34</f>
        <v>local Revenues</v>
      </c>
      <c r="V513" s="883" t="str">
        <f>'$REV-DB'!$V$34</f>
        <v>Other Revenues</v>
      </c>
      <c r="W513" s="883" t="str">
        <f>'$REV-DB'!$W$34</f>
        <v>State revenues</v>
      </c>
      <c r="X513" s="883" t="str">
        <f>'$REV-DB'!$X$34</f>
        <v>UD5</v>
      </c>
      <c r="Y513" s="883" t="str">
        <f>'$REV-DB'!$Y$34</f>
        <v>UD6</v>
      </c>
      <c r="Z513" s="883" t="str">
        <f>'$REV-DB'!$Z$34</f>
        <v>UD7</v>
      </c>
      <c r="AA513" s="883" t="str">
        <f>'$REV-DB'!$AA$34</f>
        <v>UD8</v>
      </c>
      <c r="AB513" s="883" t="str">
        <f>'$REV-DB'!$AB$34</f>
        <v>UD9</v>
      </c>
      <c r="AC513" s="883" t="str">
        <f>'$REV-DB'!$AC$34</f>
        <v>UD10</v>
      </c>
      <c r="AD513" s="883" t="str">
        <f>'$REV-DB'!$AD$34</f>
        <v>UD11</v>
      </c>
      <c r="AE513" s="883" t="str">
        <f>'$REV-DB'!$AE$34</f>
        <v>UD12</v>
      </c>
      <c r="AF513" s="883" t="str">
        <f>'$REV-DB'!$AF$34</f>
        <v>UD13</v>
      </c>
      <c r="AG513" s="883" t="str">
        <f>'$REV-DB'!$AG$34</f>
        <v>UD14</v>
      </c>
    </row>
    <row r="514" spans="1:34" s="3" customFormat="1" ht="16" customHeight="1" thickTop="1" thickBot="1">
      <c r="A514" s="7"/>
      <c r="B514" s="20" t="s">
        <v>1375</v>
      </c>
      <c r="C514" s="15"/>
      <c r="D514" s="877" t="s">
        <v>1386</v>
      </c>
      <c r="E514" s="877" t="s">
        <v>1387</v>
      </c>
      <c r="F514" s="877" t="s">
        <v>1388</v>
      </c>
      <c r="G514" s="877" t="s">
        <v>1389</v>
      </c>
      <c r="H514" s="877" t="s">
        <v>1406</v>
      </c>
      <c r="I514" s="877" t="s">
        <v>1390</v>
      </c>
      <c r="J514" s="877" t="s">
        <v>1391</v>
      </c>
      <c r="K514" s="877" t="s">
        <v>1392</v>
      </c>
      <c r="L514" s="877" t="s">
        <v>1188</v>
      </c>
      <c r="M514" s="877" t="s">
        <v>1437</v>
      </c>
      <c r="N514" s="877" t="s">
        <v>1348</v>
      </c>
      <c r="O514" s="877" t="s">
        <v>1393</v>
      </c>
      <c r="P514" s="877" t="s">
        <v>1342</v>
      </c>
      <c r="Q514" s="877" t="s">
        <v>1394</v>
      </c>
      <c r="R514" s="112" t="s">
        <v>1341</v>
      </c>
      <c r="S514" s="112" t="s">
        <v>846</v>
      </c>
      <c r="T514" s="877" t="s">
        <v>935</v>
      </c>
      <c r="U514" s="877" t="s">
        <v>936</v>
      </c>
      <c r="V514" s="877" t="s">
        <v>937</v>
      </c>
      <c r="W514" s="877" t="s">
        <v>938</v>
      </c>
      <c r="X514" s="877" t="s">
        <v>939</v>
      </c>
      <c r="Y514" s="877" t="s">
        <v>940</v>
      </c>
      <c r="Z514" s="877" t="s">
        <v>941</v>
      </c>
      <c r="AA514" s="877" t="s">
        <v>942</v>
      </c>
      <c r="AB514" s="877" t="s">
        <v>943</v>
      </c>
      <c r="AC514" s="877" t="s">
        <v>944</v>
      </c>
      <c r="AD514" s="877" t="s">
        <v>945</v>
      </c>
      <c r="AE514" s="877" t="s">
        <v>946</v>
      </c>
      <c r="AF514" s="877" t="s">
        <v>947</v>
      </c>
      <c r="AG514" s="877" t="s">
        <v>948</v>
      </c>
      <c r="AH514" s="6"/>
    </row>
    <row r="515" spans="1:34" s="3" customFormat="1" ht="16" customHeight="1" thickTop="1">
      <c r="A515" s="7"/>
      <c r="B515" s="19" t="s">
        <v>1345</v>
      </c>
      <c r="C515" s="12"/>
      <c r="D515" s="197"/>
      <c r="E515" s="197"/>
      <c r="F515" s="196"/>
      <c r="G515" s="197"/>
      <c r="H515" s="196"/>
      <c r="I515" s="196"/>
      <c r="J515" s="197"/>
      <c r="K515" s="197"/>
      <c r="L515" s="287" t="s">
        <v>1429</v>
      </c>
      <c r="M515" s="196"/>
      <c r="N515" s="39" t="str">
        <f>J$6</f>
        <v>FY2010-11</v>
      </c>
      <c r="O515" s="39" t="s">
        <v>1354</v>
      </c>
      <c r="P515" s="39" t="s">
        <v>1347</v>
      </c>
      <c r="Q515" s="39" t="s">
        <v>1380</v>
      </c>
      <c r="R515" s="197"/>
      <c r="S515" s="196" t="s">
        <v>871</v>
      </c>
      <c r="T515" s="197"/>
      <c r="U515" s="197"/>
      <c r="V515" s="198"/>
      <c r="W515" s="198"/>
      <c r="X515" s="198"/>
      <c r="Y515" s="198"/>
      <c r="Z515" s="198"/>
      <c r="AA515" s="198"/>
      <c r="AB515" s="198"/>
      <c r="AC515" s="198"/>
      <c r="AD515" s="198"/>
      <c r="AE515" s="198"/>
      <c r="AF515" s="198"/>
      <c r="AG515" s="198"/>
      <c r="AH515" s="6"/>
    </row>
    <row r="516" spans="1:34" s="3" customFormat="1" ht="16" customHeight="1">
      <c r="A516" s="7"/>
      <c r="B516" s="16">
        <f>DSUM('$REV-DB'!D35:AG374,"AMOUNT",D514:AG515)</f>
        <v>0</v>
      </c>
      <c r="C516" s="12"/>
      <c r="D516" s="896"/>
      <c r="E516" s="896"/>
      <c r="F516" s="896"/>
      <c r="G516" s="896"/>
      <c r="H516" s="896"/>
      <c r="I516" s="896"/>
      <c r="J516" s="896"/>
      <c r="K516" s="896"/>
      <c r="L516" s="897"/>
      <c r="M516" s="896"/>
      <c r="N516" s="889"/>
      <c r="O516" s="896"/>
      <c r="P516" s="889"/>
      <c r="Q516" s="900"/>
      <c r="R516" s="896"/>
      <c r="S516" s="896"/>
      <c r="T516" s="898"/>
      <c r="U516" s="898"/>
      <c r="V516" s="899"/>
      <c r="W516" s="899"/>
      <c r="X516" s="899"/>
      <c r="Y516" s="899"/>
      <c r="Z516" s="899"/>
      <c r="AA516" s="899"/>
      <c r="AB516" s="899"/>
      <c r="AC516" s="899"/>
      <c r="AD516" s="899"/>
      <c r="AE516" s="899"/>
      <c r="AF516" s="899"/>
      <c r="AG516" s="899"/>
      <c r="AH516" s="6"/>
    </row>
    <row r="517" spans="1:34" s="3" customFormat="1" ht="16" customHeight="1">
      <c r="A517" s="7"/>
      <c r="B517" s="10"/>
      <c r="C517" s="12"/>
      <c r="D517" s="896"/>
      <c r="E517" s="896"/>
      <c r="F517" s="896"/>
      <c r="G517" s="896"/>
      <c r="H517" s="896"/>
      <c r="I517" s="896"/>
      <c r="J517" s="896"/>
      <c r="K517" s="896"/>
      <c r="L517" s="897"/>
      <c r="M517" s="896"/>
      <c r="N517" s="889"/>
      <c r="O517" s="896"/>
      <c r="P517" s="889"/>
      <c r="Q517" s="900"/>
      <c r="R517" s="896"/>
      <c r="S517" s="896"/>
      <c r="T517" s="898"/>
      <c r="U517" s="898"/>
      <c r="V517" s="899"/>
      <c r="W517" s="899"/>
      <c r="X517" s="899"/>
      <c r="Y517" s="899"/>
      <c r="Z517" s="899"/>
      <c r="AA517" s="899"/>
      <c r="AB517" s="899"/>
      <c r="AC517" s="899"/>
      <c r="AD517" s="899"/>
      <c r="AE517" s="899"/>
      <c r="AF517" s="899"/>
      <c r="AG517" s="899"/>
    </row>
    <row r="518" spans="1:34" s="3" customFormat="1" ht="16" customHeight="1">
      <c r="A518" s="7"/>
      <c r="B518" s="10"/>
      <c r="C518" s="12"/>
      <c r="D518" s="896"/>
      <c r="E518" s="896"/>
      <c r="F518" s="896"/>
      <c r="G518" s="896"/>
      <c r="H518" s="896"/>
      <c r="I518" s="896"/>
      <c r="J518" s="896"/>
      <c r="K518" s="896"/>
      <c r="L518" s="897"/>
      <c r="M518" s="896"/>
      <c r="N518" s="889"/>
      <c r="O518" s="896"/>
      <c r="P518" s="889"/>
      <c r="Q518" s="900"/>
      <c r="R518" s="896"/>
      <c r="S518" s="896"/>
      <c r="T518" s="898"/>
      <c r="U518" s="898"/>
      <c r="V518" s="899"/>
      <c r="W518" s="899"/>
      <c r="X518" s="899"/>
      <c r="Y518" s="899"/>
      <c r="Z518" s="899"/>
      <c r="AA518" s="899"/>
      <c r="AB518" s="899"/>
      <c r="AC518" s="899"/>
      <c r="AD518" s="899"/>
      <c r="AE518" s="899"/>
      <c r="AF518" s="899"/>
      <c r="AG518" s="899"/>
    </row>
    <row r="519" spans="1:34" s="3" customFormat="1" ht="16" customHeight="1">
      <c r="A519" s="7"/>
      <c r="B519" s="10"/>
      <c r="C519" s="12"/>
      <c r="D519" s="896"/>
      <c r="E519" s="896"/>
      <c r="F519" s="896"/>
      <c r="G519" s="896"/>
      <c r="H519" s="896"/>
      <c r="I519" s="896"/>
      <c r="J519" s="896"/>
      <c r="K519" s="896"/>
      <c r="L519" s="897"/>
      <c r="M519" s="896"/>
      <c r="N519" s="889"/>
      <c r="O519" s="896"/>
      <c r="P519" s="889"/>
      <c r="Q519" s="900"/>
      <c r="R519" s="896"/>
      <c r="S519" s="896"/>
      <c r="T519" s="898"/>
      <c r="U519" s="898"/>
      <c r="V519" s="899"/>
      <c r="W519" s="899"/>
      <c r="X519" s="899"/>
      <c r="Y519" s="899"/>
      <c r="Z519" s="899"/>
      <c r="AA519" s="899"/>
      <c r="AB519" s="899"/>
      <c r="AC519" s="899"/>
      <c r="AD519" s="899"/>
      <c r="AE519" s="899"/>
      <c r="AF519" s="899"/>
      <c r="AG519" s="899"/>
    </row>
    <row r="520" spans="1:34" s="3" customFormat="1" ht="16" customHeight="1">
      <c r="A520" s="7"/>
      <c r="B520" s="10"/>
      <c r="C520" s="12"/>
      <c r="D520" s="896"/>
      <c r="E520" s="896"/>
      <c r="F520" s="896"/>
      <c r="G520" s="896"/>
      <c r="H520" s="896"/>
      <c r="I520" s="896"/>
      <c r="J520" s="896"/>
      <c r="K520" s="896"/>
      <c r="L520" s="897"/>
      <c r="M520" s="896"/>
      <c r="N520" s="889"/>
      <c r="O520" s="896"/>
      <c r="P520" s="889"/>
      <c r="Q520" s="900"/>
      <c r="R520" s="896"/>
      <c r="S520" s="896"/>
      <c r="T520" s="898"/>
      <c r="U520" s="898"/>
      <c r="V520" s="899"/>
      <c r="W520" s="899"/>
      <c r="X520" s="899"/>
      <c r="Y520" s="899"/>
      <c r="Z520" s="899"/>
      <c r="AA520" s="899"/>
      <c r="AB520" s="899"/>
      <c r="AC520" s="899"/>
      <c r="AD520" s="899"/>
      <c r="AE520" s="899"/>
      <c r="AF520" s="899"/>
      <c r="AG520" s="899"/>
    </row>
    <row r="521" spans="1:34" s="3" customFormat="1" ht="16" customHeight="1">
      <c r="A521" s="7"/>
      <c r="B521" s="10"/>
      <c r="C521" s="12"/>
      <c r="D521" s="896"/>
      <c r="E521" s="896"/>
      <c r="F521" s="896"/>
      <c r="G521" s="896"/>
      <c r="H521" s="896"/>
      <c r="I521" s="896"/>
      <c r="J521" s="896"/>
      <c r="K521" s="896"/>
      <c r="L521" s="897"/>
      <c r="M521" s="896"/>
      <c r="N521" s="889"/>
      <c r="O521" s="896"/>
      <c r="P521" s="889"/>
      <c r="Q521" s="900"/>
      <c r="R521" s="896"/>
      <c r="S521" s="896"/>
      <c r="T521" s="898"/>
      <c r="U521" s="898"/>
      <c r="V521" s="899"/>
      <c r="W521" s="899"/>
      <c r="X521" s="899"/>
      <c r="Y521" s="899"/>
      <c r="Z521" s="899"/>
      <c r="AA521" s="899"/>
      <c r="AB521" s="899"/>
      <c r="AC521" s="899"/>
      <c r="AD521" s="899"/>
      <c r="AE521" s="899"/>
      <c r="AF521" s="899"/>
      <c r="AG521" s="899"/>
    </row>
    <row r="522" spans="1:34" s="3" customFormat="1" ht="16" customHeight="1">
      <c r="A522" s="21"/>
      <c r="B522" s="22"/>
      <c r="C522" s="22"/>
      <c r="D522" s="23"/>
      <c r="E522" s="23"/>
      <c r="F522" s="24"/>
      <c r="G522" s="23"/>
      <c r="H522" s="24"/>
      <c r="I522" s="24"/>
      <c r="J522" s="23"/>
      <c r="K522" s="23"/>
      <c r="L522" s="286"/>
      <c r="M522" s="24"/>
      <c r="N522" s="24"/>
      <c r="O522" s="23"/>
      <c r="P522" s="24"/>
      <c r="Q522" s="24"/>
      <c r="R522" s="23"/>
      <c r="S522" s="24"/>
      <c r="T522" s="23"/>
      <c r="U522" s="23"/>
      <c r="V522" s="21"/>
      <c r="W522" s="21"/>
      <c r="X522" s="21"/>
      <c r="Y522" s="21"/>
      <c r="Z522" s="21"/>
      <c r="AA522" s="21"/>
      <c r="AB522" s="21"/>
      <c r="AC522" s="21"/>
      <c r="AD522" s="21"/>
      <c r="AE522" s="21"/>
      <c r="AF522" s="21"/>
      <c r="AG522" s="21"/>
    </row>
    <row r="523" spans="1:34" s="3" customFormat="1" ht="16" customHeight="1" thickBot="1">
      <c r="A523" s="7"/>
      <c r="B523" s="19" t="str">
        <f>"FA3 = "&amp;'FIG3'!$W$54&amp;" "&amp;'FIG3'!$X$54</f>
        <v>FA3 = FA3L1 FA3L2</v>
      </c>
      <c r="C523" s="7"/>
      <c r="D523" s="8"/>
      <c r="E523" s="8"/>
      <c r="F523" s="9"/>
      <c r="G523" s="8"/>
      <c r="H523" s="9"/>
      <c r="I523" s="9"/>
      <c r="J523" s="8"/>
      <c r="K523" s="8"/>
      <c r="L523" s="280"/>
      <c r="M523" s="9"/>
      <c r="N523" s="9"/>
      <c r="O523" s="8"/>
      <c r="P523" s="9"/>
      <c r="Q523" s="9"/>
      <c r="R523" s="8"/>
      <c r="S523" s="882"/>
      <c r="T523" s="883" t="str">
        <f>'$REV-DB'!$T$34</f>
        <v>Federal Revenues</v>
      </c>
      <c r="U523" s="883" t="str">
        <f>'$REV-DB'!$U$34</f>
        <v>local Revenues</v>
      </c>
      <c r="V523" s="883" t="str">
        <f>'$REV-DB'!$V$34</f>
        <v>Other Revenues</v>
      </c>
      <c r="W523" s="883" t="str">
        <f>'$REV-DB'!$W$34</f>
        <v>State revenues</v>
      </c>
      <c r="X523" s="883" t="str">
        <f>'$REV-DB'!$X$34</f>
        <v>UD5</v>
      </c>
      <c r="Y523" s="883" t="str">
        <f>'$REV-DB'!$Y$34</f>
        <v>UD6</v>
      </c>
      <c r="Z523" s="883" t="str">
        <f>'$REV-DB'!$Z$34</f>
        <v>UD7</v>
      </c>
      <c r="AA523" s="883" t="str">
        <f>'$REV-DB'!$AA$34</f>
        <v>UD8</v>
      </c>
      <c r="AB523" s="883" t="str">
        <f>'$REV-DB'!$AB$34</f>
        <v>UD9</v>
      </c>
      <c r="AC523" s="883" t="str">
        <f>'$REV-DB'!$AC$34</f>
        <v>UD10</v>
      </c>
      <c r="AD523" s="883" t="str">
        <f>'$REV-DB'!$AD$34</f>
        <v>UD11</v>
      </c>
      <c r="AE523" s="883" t="str">
        <f>'$REV-DB'!$AE$34</f>
        <v>UD12</v>
      </c>
      <c r="AF523" s="883" t="str">
        <f>'$REV-DB'!$AF$34</f>
        <v>UD13</v>
      </c>
      <c r="AG523" s="883" t="str">
        <f>'$REV-DB'!$AG$34</f>
        <v>UD14</v>
      </c>
    </row>
    <row r="524" spans="1:34" s="3" customFormat="1" ht="16" customHeight="1" thickTop="1" thickBot="1">
      <c r="A524" s="7"/>
      <c r="B524" s="20" t="s">
        <v>1375</v>
      </c>
      <c r="C524" s="15"/>
      <c r="D524" s="877" t="s">
        <v>1386</v>
      </c>
      <c r="E524" s="877" t="s">
        <v>1387</v>
      </c>
      <c r="F524" s="877" t="s">
        <v>1388</v>
      </c>
      <c r="G524" s="877" t="s">
        <v>1389</v>
      </c>
      <c r="H524" s="877" t="s">
        <v>1406</v>
      </c>
      <c r="I524" s="877" t="s">
        <v>1390</v>
      </c>
      <c r="J524" s="877" t="s">
        <v>1391</v>
      </c>
      <c r="K524" s="877" t="s">
        <v>1392</v>
      </c>
      <c r="L524" s="877" t="s">
        <v>1188</v>
      </c>
      <c r="M524" s="877" t="s">
        <v>1437</v>
      </c>
      <c r="N524" s="877" t="s">
        <v>1348</v>
      </c>
      <c r="O524" s="877" t="s">
        <v>1393</v>
      </c>
      <c r="P524" s="877" t="s">
        <v>1342</v>
      </c>
      <c r="Q524" s="877" t="s">
        <v>1394</v>
      </c>
      <c r="R524" s="112" t="s">
        <v>1341</v>
      </c>
      <c r="S524" s="112" t="s">
        <v>846</v>
      </c>
      <c r="T524" s="877" t="s">
        <v>935</v>
      </c>
      <c r="U524" s="877" t="s">
        <v>936</v>
      </c>
      <c r="V524" s="877" t="s">
        <v>937</v>
      </c>
      <c r="W524" s="877" t="s">
        <v>938</v>
      </c>
      <c r="X524" s="877" t="s">
        <v>939</v>
      </c>
      <c r="Y524" s="877" t="s">
        <v>940</v>
      </c>
      <c r="Z524" s="877" t="s">
        <v>941</v>
      </c>
      <c r="AA524" s="877" t="s">
        <v>942</v>
      </c>
      <c r="AB524" s="877" t="s">
        <v>943</v>
      </c>
      <c r="AC524" s="877" t="s">
        <v>944</v>
      </c>
      <c r="AD524" s="877" t="s">
        <v>945</v>
      </c>
      <c r="AE524" s="877" t="s">
        <v>946</v>
      </c>
      <c r="AF524" s="877" t="s">
        <v>947</v>
      </c>
      <c r="AG524" s="877" t="s">
        <v>948</v>
      </c>
      <c r="AH524" s="6"/>
    </row>
    <row r="525" spans="1:34" s="3" customFormat="1" ht="16" customHeight="1" thickTop="1">
      <c r="A525" s="7"/>
      <c r="B525" s="19" t="s">
        <v>1344</v>
      </c>
      <c r="C525" s="12"/>
      <c r="D525" s="197"/>
      <c r="E525" s="197"/>
      <c r="F525" s="196"/>
      <c r="G525" s="197"/>
      <c r="H525" s="196"/>
      <c r="I525" s="196"/>
      <c r="J525" s="197"/>
      <c r="K525" s="197"/>
      <c r="L525" s="287" t="s">
        <v>1429</v>
      </c>
      <c r="M525" s="196"/>
      <c r="N525" s="39" t="str">
        <f>J$6</f>
        <v>FY2010-11</v>
      </c>
      <c r="O525" s="39" t="s">
        <v>1354</v>
      </c>
      <c r="P525" s="39" t="s">
        <v>1347</v>
      </c>
      <c r="Q525" s="39" t="s">
        <v>1339</v>
      </c>
      <c r="R525" s="197"/>
      <c r="S525" s="196" t="s">
        <v>871</v>
      </c>
      <c r="T525" s="197"/>
      <c r="U525" s="197"/>
      <c r="V525" s="198"/>
      <c r="W525" s="198"/>
      <c r="X525" s="198"/>
      <c r="Y525" s="198"/>
      <c r="Z525" s="198"/>
      <c r="AA525" s="198"/>
      <c r="AB525" s="198"/>
      <c r="AC525" s="198"/>
      <c r="AD525" s="198"/>
      <c r="AE525" s="198"/>
      <c r="AF525" s="198"/>
      <c r="AG525" s="198"/>
      <c r="AH525" s="6"/>
    </row>
    <row r="526" spans="1:34" s="3" customFormat="1" ht="16" customHeight="1">
      <c r="A526" s="7"/>
      <c r="B526" s="16">
        <f>DSUM('$REV-DB'!D35:AG374,"AMOUNT",D524:AG525)</f>
        <v>0</v>
      </c>
      <c r="C526" s="12"/>
      <c r="D526" s="896"/>
      <c r="E526" s="896"/>
      <c r="F526" s="896"/>
      <c r="G526" s="896"/>
      <c r="H526" s="896"/>
      <c r="I526" s="896"/>
      <c r="J526" s="896"/>
      <c r="K526" s="896"/>
      <c r="L526" s="897"/>
      <c r="M526" s="896"/>
      <c r="N526" s="889"/>
      <c r="O526" s="896"/>
      <c r="P526" s="889"/>
      <c r="Q526" s="900"/>
      <c r="R526" s="896"/>
      <c r="S526" s="896"/>
      <c r="T526" s="898"/>
      <c r="U526" s="898"/>
      <c r="V526" s="899"/>
      <c r="W526" s="899"/>
      <c r="X526" s="899"/>
      <c r="Y526" s="899"/>
      <c r="Z526" s="899"/>
      <c r="AA526" s="899"/>
      <c r="AB526" s="899"/>
      <c r="AC526" s="899"/>
      <c r="AD526" s="899"/>
      <c r="AE526" s="899"/>
      <c r="AF526" s="899"/>
      <c r="AG526" s="899"/>
      <c r="AH526" s="6"/>
    </row>
    <row r="527" spans="1:34" s="3" customFormat="1" ht="16" customHeight="1">
      <c r="A527" s="7"/>
      <c r="B527" s="10"/>
      <c r="C527" s="12"/>
      <c r="D527" s="896"/>
      <c r="E527" s="896"/>
      <c r="F527" s="896"/>
      <c r="G527" s="896"/>
      <c r="H527" s="896"/>
      <c r="I527" s="896"/>
      <c r="J527" s="896"/>
      <c r="K527" s="896"/>
      <c r="L527" s="897"/>
      <c r="M527" s="896"/>
      <c r="N527" s="889"/>
      <c r="O527" s="896"/>
      <c r="P527" s="889"/>
      <c r="Q527" s="900"/>
      <c r="R527" s="896"/>
      <c r="S527" s="896"/>
      <c r="T527" s="898"/>
      <c r="U527" s="898"/>
      <c r="V527" s="899"/>
      <c r="W527" s="899"/>
      <c r="X527" s="899"/>
      <c r="Y527" s="899"/>
      <c r="Z527" s="899"/>
      <c r="AA527" s="899"/>
      <c r="AB527" s="899"/>
      <c r="AC527" s="899"/>
      <c r="AD527" s="899"/>
      <c r="AE527" s="899"/>
      <c r="AF527" s="899"/>
      <c r="AG527" s="899"/>
    </row>
    <row r="528" spans="1:34" s="3" customFormat="1" ht="16" customHeight="1">
      <c r="A528" s="7"/>
      <c r="B528" s="10"/>
      <c r="C528" s="12"/>
      <c r="D528" s="896"/>
      <c r="E528" s="896"/>
      <c r="F528" s="896"/>
      <c r="G528" s="896"/>
      <c r="H528" s="896"/>
      <c r="I528" s="896"/>
      <c r="J528" s="896"/>
      <c r="K528" s="896"/>
      <c r="L528" s="897"/>
      <c r="M528" s="896"/>
      <c r="N528" s="889"/>
      <c r="O528" s="896"/>
      <c r="P528" s="889"/>
      <c r="Q528" s="900"/>
      <c r="R528" s="896"/>
      <c r="S528" s="896"/>
      <c r="T528" s="898"/>
      <c r="U528" s="898"/>
      <c r="V528" s="899"/>
      <c r="W528" s="899"/>
      <c r="X528" s="899"/>
      <c r="Y528" s="899"/>
      <c r="Z528" s="899"/>
      <c r="AA528" s="899"/>
      <c r="AB528" s="899"/>
      <c r="AC528" s="899"/>
      <c r="AD528" s="899"/>
      <c r="AE528" s="899"/>
      <c r="AF528" s="899"/>
      <c r="AG528" s="899"/>
    </row>
    <row r="529" spans="1:34" s="3" customFormat="1" ht="16" customHeight="1">
      <c r="A529" s="7"/>
      <c r="B529" s="10"/>
      <c r="C529" s="12"/>
      <c r="D529" s="896"/>
      <c r="E529" s="896"/>
      <c r="F529" s="896"/>
      <c r="G529" s="896"/>
      <c r="H529" s="896"/>
      <c r="I529" s="896"/>
      <c r="J529" s="896"/>
      <c r="K529" s="896"/>
      <c r="L529" s="897"/>
      <c r="M529" s="896"/>
      <c r="N529" s="889"/>
      <c r="O529" s="896"/>
      <c r="P529" s="889"/>
      <c r="Q529" s="900"/>
      <c r="R529" s="896"/>
      <c r="S529" s="896"/>
      <c r="T529" s="898"/>
      <c r="U529" s="898"/>
      <c r="V529" s="899"/>
      <c r="W529" s="899"/>
      <c r="X529" s="899"/>
      <c r="Y529" s="899"/>
      <c r="Z529" s="899"/>
      <c r="AA529" s="899"/>
      <c r="AB529" s="899"/>
      <c r="AC529" s="899"/>
      <c r="AD529" s="899"/>
      <c r="AE529" s="899"/>
      <c r="AF529" s="899"/>
      <c r="AG529" s="899"/>
    </row>
    <row r="530" spans="1:34" s="3" customFormat="1" ht="16" customHeight="1">
      <c r="A530" s="7"/>
      <c r="B530" s="10"/>
      <c r="C530" s="12"/>
      <c r="D530" s="896"/>
      <c r="E530" s="896"/>
      <c r="F530" s="896"/>
      <c r="G530" s="896"/>
      <c r="H530" s="896"/>
      <c r="I530" s="896"/>
      <c r="J530" s="896"/>
      <c r="K530" s="896"/>
      <c r="L530" s="897"/>
      <c r="M530" s="896"/>
      <c r="N530" s="889"/>
      <c r="O530" s="896"/>
      <c r="P530" s="889"/>
      <c r="Q530" s="900"/>
      <c r="R530" s="896"/>
      <c r="S530" s="896"/>
      <c r="T530" s="898"/>
      <c r="U530" s="898"/>
      <c r="V530" s="899"/>
      <c r="W530" s="899"/>
      <c r="X530" s="899"/>
      <c r="Y530" s="899"/>
      <c r="Z530" s="899"/>
      <c r="AA530" s="899"/>
      <c r="AB530" s="899"/>
      <c r="AC530" s="899"/>
      <c r="AD530" s="899"/>
      <c r="AE530" s="899"/>
      <c r="AF530" s="899"/>
      <c r="AG530" s="899"/>
    </row>
    <row r="531" spans="1:34" s="3" customFormat="1" ht="16" customHeight="1">
      <c r="A531" s="7"/>
      <c r="B531" s="10"/>
      <c r="C531" s="12"/>
      <c r="D531" s="896"/>
      <c r="E531" s="896"/>
      <c r="F531" s="896"/>
      <c r="G531" s="896"/>
      <c r="H531" s="896"/>
      <c r="I531" s="896"/>
      <c r="J531" s="896"/>
      <c r="K531" s="896"/>
      <c r="L531" s="897"/>
      <c r="M531" s="896"/>
      <c r="N531" s="889"/>
      <c r="O531" s="896"/>
      <c r="P531" s="889"/>
      <c r="Q531" s="900"/>
      <c r="R531" s="896"/>
      <c r="S531" s="896"/>
      <c r="T531" s="898"/>
      <c r="U531" s="898"/>
      <c r="V531" s="899"/>
      <c r="W531" s="899"/>
      <c r="X531" s="899"/>
      <c r="Y531" s="899"/>
      <c r="Z531" s="899"/>
      <c r="AA531" s="899"/>
      <c r="AB531" s="899"/>
      <c r="AC531" s="899"/>
      <c r="AD531" s="899"/>
      <c r="AE531" s="899"/>
      <c r="AF531" s="899"/>
      <c r="AG531" s="899"/>
    </row>
    <row r="532" spans="1:34" s="3" customFormat="1" ht="16" customHeight="1">
      <c r="A532" s="21"/>
      <c r="B532" s="22"/>
      <c r="C532" s="22"/>
      <c r="D532" s="23"/>
      <c r="E532" s="23"/>
      <c r="F532" s="24"/>
      <c r="G532" s="23"/>
      <c r="H532" s="24"/>
      <c r="I532" s="24"/>
      <c r="J532" s="23"/>
      <c r="K532" s="23"/>
      <c r="L532" s="286"/>
      <c r="M532" s="24"/>
      <c r="N532" s="24"/>
      <c r="O532" s="23"/>
      <c r="P532" s="24"/>
      <c r="Q532" s="24"/>
      <c r="R532" s="23"/>
      <c r="S532" s="24"/>
      <c r="T532" s="23"/>
      <c r="U532" s="23"/>
      <c r="V532" s="21"/>
      <c r="W532" s="21"/>
      <c r="X532" s="21"/>
      <c r="Y532" s="21"/>
      <c r="Z532" s="21"/>
      <c r="AA532" s="21"/>
      <c r="AB532" s="21"/>
      <c r="AC532" s="21"/>
      <c r="AD532" s="21"/>
      <c r="AE532" s="21"/>
      <c r="AF532" s="21"/>
      <c r="AG532" s="21"/>
    </row>
    <row r="533" spans="1:34" s="3" customFormat="1" ht="16" customHeight="1" thickBot="1">
      <c r="A533" s="7"/>
      <c r="B533" s="19" t="str">
        <f>"FA3 = "&amp;'FIG3'!$W$54&amp;" "&amp;'FIG3'!$X$54</f>
        <v>FA3 = FA3L1 FA3L2</v>
      </c>
      <c r="C533" s="7"/>
      <c r="D533" s="8"/>
      <c r="E533" s="8"/>
      <c r="F533" s="9"/>
      <c r="G533" s="8"/>
      <c r="H533" s="9"/>
      <c r="I533" s="9"/>
      <c r="J533" s="8"/>
      <c r="K533" s="8"/>
      <c r="L533" s="280"/>
      <c r="M533" s="9"/>
      <c r="N533" s="9"/>
      <c r="O533" s="8"/>
      <c r="P533" s="9"/>
      <c r="Q533" s="9"/>
      <c r="R533" s="8"/>
      <c r="S533" s="882"/>
      <c r="T533" s="883" t="str">
        <f>'$REV-DB'!$T$34</f>
        <v>Federal Revenues</v>
      </c>
      <c r="U533" s="883" t="str">
        <f>'$REV-DB'!$U$34</f>
        <v>local Revenues</v>
      </c>
      <c r="V533" s="883" t="str">
        <f>'$REV-DB'!$V$34</f>
        <v>Other Revenues</v>
      </c>
      <c r="W533" s="883" t="str">
        <f>'$REV-DB'!$W$34</f>
        <v>State revenues</v>
      </c>
      <c r="X533" s="883" t="str">
        <f>'$REV-DB'!$X$34</f>
        <v>UD5</v>
      </c>
      <c r="Y533" s="883" t="str">
        <f>'$REV-DB'!$Y$34</f>
        <v>UD6</v>
      </c>
      <c r="Z533" s="883" t="str">
        <f>'$REV-DB'!$Z$34</f>
        <v>UD7</v>
      </c>
      <c r="AA533" s="883" t="str">
        <f>'$REV-DB'!$AA$34</f>
        <v>UD8</v>
      </c>
      <c r="AB533" s="883" t="str">
        <f>'$REV-DB'!$AB$34</f>
        <v>UD9</v>
      </c>
      <c r="AC533" s="883" t="str">
        <f>'$REV-DB'!$AC$34</f>
        <v>UD10</v>
      </c>
      <c r="AD533" s="883" t="str">
        <f>'$REV-DB'!$AD$34</f>
        <v>UD11</v>
      </c>
      <c r="AE533" s="883" t="str">
        <f>'$REV-DB'!$AE$34</f>
        <v>UD12</v>
      </c>
      <c r="AF533" s="883" t="str">
        <f>'$REV-DB'!$AF$34</f>
        <v>UD13</v>
      </c>
      <c r="AG533" s="883" t="str">
        <f>'$REV-DB'!$AG$34</f>
        <v>UD14</v>
      </c>
    </row>
    <row r="534" spans="1:34" s="3" customFormat="1" ht="16" customHeight="1" thickTop="1" thickBot="1">
      <c r="A534" s="7"/>
      <c r="B534" s="20" t="s">
        <v>1375</v>
      </c>
      <c r="C534" s="15"/>
      <c r="D534" s="877" t="s">
        <v>1386</v>
      </c>
      <c r="E534" s="877" t="s">
        <v>1387</v>
      </c>
      <c r="F534" s="877" t="s">
        <v>1388</v>
      </c>
      <c r="G534" s="877" t="s">
        <v>1389</v>
      </c>
      <c r="H534" s="877" t="s">
        <v>1406</v>
      </c>
      <c r="I534" s="877" t="s">
        <v>1390</v>
      </c>
      <c r="J534" s="877" t="s">
        <v>1391</v>
      </c>
      <c r="K534" s="877" t="s">
        <v>1392</v>
      </c>
      <c r="L534" s="877" t="s">
        <v>1188</v>
      </c>
      <c r="M534" s="877" t="s">
        <v>1437</v>
      </c>
      <c r="N534" s="877" t="s">
        <v>1348</v>
      </c>
      <c r="O534" s="877" t="s">
        <v>1393</v>
      </c>
      <c r="P534" s="877" t="s">
        <v>1342</v>
      </c>
      <c r="Q534" s="877" t="s">
        <v>1394</v>
      </c>
      <c r="R534" s="112" t="s">
        <v>1341</v>
      </c>
      <c r="S534" s="112" t="s">
        <v>846</v>
      </c>
      <c r="T534" s="877" t="s">
        <v>935</v>
      </c>
      <c r="U534" s="877" t="s">
        <v>936</v>
      </c>
      <c r="V534" s="877" t="s">
        <v>937</v>
      </c>
      <c r="W534" s="877" t="s">
        <v>938</v>
      </c>
      <c r="X534" s="877" t="s">
        <v>939</v>
      </c>
      <c r="Y534" s="877" t="s">
        <v>940</v>
      </c>
      <c r="Z534" s="877" t="s">
        <v>941</v>
      </c>
      <c r="AA534" s="877" t="s">
        <v>942</v>
      </c>
      <c r="AB534" s="877" t="s">
        <v>943</v>
      </c>
      <c r="AC534" s="877" t="s">
        <v>944</v>
      </c>
      <c r="AD534" s="877" t="s">
        <v>945</v>
      </c>
      <c r="AE534" s="877" t="s">
        <v>946</v>
      </c>
      <c r="AF534" s="877" t="s">
        <v>947</v>
      </c>
      <c r="AG534" s="877" t="s">
        <v>948</v>
      </c>
      <c r="AH534" s="6"/>
    </row>
    <row r="535" spans="1:34" s="3" customFormat="1" ht="16" customHeight="1" thickTop="1">
      <c r="A535" s="7"/>
      <c r="B535" s="19" t="s">
        <v>1343</v>
      </c>
      <c r="C535" s="12"/>
      <c r="D535" s="197"/>
      <c r="E535" s="197"/>
      <c r="F535" s="196"/>
      <c r="G535" s="197"/>
      <c r="H535" s="196"/>
      <c r="I535" s="196"/>
      <c r="J535" s="197"/>
      <c r="K535" s="197"/>
      <c r="L535" s="287" t="s">
        <v>1429</v>
      </c>
      <c r="M535" s="196"/>
      <c r="N535" s="39" t="str">
        <f>J$6</f>
        <v>FY2010-11</v>
      </c>
      <c r="O535" s="39" t="s">
        <v>1354</v>
      </c>
      <c r="P535" s="39" t="s">
        <v>1347</v>
      </c>
      <c r="Q535" s="39" t="s">
        <v>1379</v>
      </c>
      <c r="R535" s="197"/>
      <c r="S535" s="196" t="s">
        <v>871</v>
      </c>
      <c r="T535" s="197"/>
      <c r="U535" s="197"/>
      <c r="V535" s="198"/>
      <c r="W535" s="198"/>
      <c r="X535" s="198"/>
      <c r="Y535" s="198"/>
      <c r="Z535" s="198"/>
      <c r="AA535" s="198"/>
      <c r="AB535" s="198"/>
      <c r="AC535" s="198"/>
      <c r="AD535" s="198"/>
      <c r="AE535" s="198"/>
      <c r="AF535" s="198"/>
      <c r="AG535" s="198"/>
      <c r="AH535" s="6"/>
    </row>
    <row r="536" spans="1:34" s="3" customFormat="1" ht="16" customHeight="1">
      <c r="A536" s="7"/>
      <c r="B536" s="16">
        <f>DSUM('$REV-DB'!D35:AG374,"AMOUNT",D534:AG535)</f>
        <v>0</v>
      </c>
      <c r="C536" s="12"/>
      <c r="D536" s="896"/>
      <c r="E536" s="896"/>
      <c r="F536" s="896"/>
      <c r="G536" s="896"/>
      <c r="H536" s="896"/>
      <c r="I536" s="896"/>
      <c r="J536" s="896"/>
      <c r="K536" s="896"/>
      <c r="L536" s="897"/>
      <c r="M536" s="896"/>
      <c r="N536" s="889"/>
      <c r="O536" s="896"/>
      <c r="P536" s="889"/>
      <c r="Q536" s="900"/>
      <c r="R536" s="896"/>
      <c r="S536" s="896"/>
      <c r="T536" s="898"/>
      <c r="U536" s="898"/>
      <c r="V536" s="899"/>
      <c r="W536" s="899"/>
      <c r="X536" s="899"/>
      <c r="Y536" s="899"/>
      <c r="Z536" s="899"/>
      <c r="AA536" s="899"/>
      <c r="AB536" s="899"/>
      <c r="AC536" s="899"/>
      <c r="AD536" s="899"/>
      <c r="AE536" s="899"/>
      <c r="AF536" s="899"/>
      <c r="AG536" s="899"/>
      <c r="AH536" s="6"/>
    </row>
    <row r="537" spans="1:34" s="3" customFormat="1" ht="16" customHeight="1">
      <c r="A537" s="7"/>
      <c r="B537" s="10"/>
      <c r="C537" s="12"/>
      <c r="D537" s="896"/>
      <c r="E537" s="896"/>
      <c r="F537" s="896"/>
      <c r="G537" s="896"/>
      <c r="H537" s="896"/>
      <c r="I537" s="896"/>
      <c r="J537" s="896"/>
      <c r="K537" s="896"/>
      <c r="L537" s="897"/>
      <c r="M537" s="896"/>
      <c r="N537" s="889"/>
      <c r="O537" s="896"/>
      <c r="P537" s="889"/>
      <c r="Q537" s="900"/>
      <c r="R537" s="896"/>
      <c r="S537" s="896"/>
      <c r="T537" s="898"/>
      <c r="U537" s="898"/>
      <c r="V537" s="899"/>
      <c r="W537" s="899"/>
      <c r="X537" s="899"/>
      <c r="Y537" s="899"/>
      <c r="Z537" s="899"/>
      <c r="AA537" s="899"/>
      <c r="AB537" s="899"/>
      <c r="AC537" s="899"/>
      <c r="AD537" s="899"/>
      <c r="AE537" s="899"/>
      <c r="AF537" s="899"/>
      <c r="AG537" s="899"/>
    </row>
    <row r="538" spans="1:34" s="3" customFormat="1" ht="16" customHeight="1">
      <c r="A538" s="7"/>
      <c r="B538" s="10"/>
      <c r="C538" s="12"/>
      <c r="D538" s="896"/>
      <c r="E538" s="896"/>
      <c r="F538" s="896"/>
      <c r="G538" s="896"/>
      <c r="H538" s="896"/>
      <c r="I538" s="896"/>
      <c r="J538" s="896"/>
      <c r="K538" s="896"/>
      <c r="L538" s="897"/>
      <c r="M538" s="896"/>
      <c r="N538" s="889"/>
      <c r="O538" s="896"/>
      <c r="P538" s="889"/>
      <c r="Q538" s="900"/>
      <c r="R538" s="896"/>
      <c r="S538" s="896"/>
      <c r="T538" s="898"/>
      <c r="U538" s="898"/>
      <c r="V538" s="899"/>
      <c r="W538" s="899"/>
      <c r="X538" s="899"/>
      <c r="Y538" s="899"/>
      <c r="Z538" s="899"/>
      <c r="AA538" s="899"/>
      <c r="AB538" s="899"/>
      <c r="AC538" s="899"/>
      <c r="AD538" s="899"/>
      <c r="AE538" s="899"/>
      <c r="AF538" s="899"/>
      <c r="AG538" s="899"/>
    </row>
    <row r="539" spans="1:34" s="3" customFormat="1" ht="16" customHeight="1">
      <c r="A539" s="7"/>
      <c r="B539" s="10"/>
      <c r="C539" s="12"/>
      <c r="D539" s="896"/>
      <c r="E539" s="896"/>
      <c r="F539" s="896"/>
      <c r="G539" s="896"/>
      <c r="H539" s="896"/>
      <c r="I539" s="896"/>
      <c r="J539" s="896"/>
      <c r="K539" s="896"/>
      <c r="L539" s="897"/>
      <c r="M539" s="896"/>
      <c r="N539" s="889"/>
      <c r="O539" s="896"/>
      <c r="P539" s="889"/>
      <c r="Q539" s="900"/>
      <c r="R539" s="896"/>
      <c r="S539" s="896"/>
      <c r="T539" s="898"/>
      <c r="U539" s="898"/>
      <c r="V539" s="899"/>
      <c r="W539" s="899"/>
      <c r="X539" s="899"/>
      <c r="Y539" s="899"/>
      <c r="Z539" s="899"/>
      <c r="AA539" s="899"/>
      <c r="AB539" s="899"/>
      <c r="AC539" s="899"/>
      <c r="AD539" s="899"/>
      <c r="AE539" s="899"/>
      <c r="AF539" s="899"/>
      <c r="AG539" s="899"/>
    </row>
    <row r="540" spans="1:34" s="3" customFormat="1" ht="16" customHeight="1">
      <c r="A540" s="7"/>
      <c r="B540" s="10"/>
      <c r="C540" s="12"/>
      <c r="D540" s="896"/>
      <c r="E540" s="896"/>
      <c r="F540" s="896"/>
      <c r="G540" s="896"/>
      <c r="H540" s="896"/>
      <c r="I540" s="896"/>
      <c r="J540" s="896"/>
      <c r="K540" s="896"/>
      <c r="L540" s="897"/>
      <c r="M540" s="896"/>
      <c r="N540" s="889"/>
      <c r="O540" s="896"/>
      <c r="P540" s="889"/>
      <c r="Q540" s="900"/>
      <c r="R540" s="896"/>
      <c r="S540" s="896"/>
      <c r="T540" s="898"/>
      <c r="U540" s="898"/>
      <c r="V540" s="899"/>
      <c r="W540" s="899"/>
      <c r="X540" s="899"/>
      <c r="Y540" s="899"/>
      <c r="Z540" s="899"/>
      <c r="AA540" s="899"/>
      <c r="AB540" s="899"/>
      <c r="AC540" s="899"/>
      <c r="AD540" s="899"/>
      <c r="AE540" s="899"/>
      <c r="AF540" s="899"/>
      <c r="AG540" s="899"/>
    </row>
    <row r="541" spans="1:34" s="3" customFormat="1" ht="16" customHeight="1">
      <c r="A541" s="7"/>
      <c r="B541" s="10"/>
      <c r="C541" s="12"/>
      <c r="D541" s="896"/>
      <c r="E541" s="896"/>
      <c r="F541" s="896"/>
      <c r="G541" s="896"/>
      <c r="H541" s="896"/>
      <c r="I541" s="896"/>
      <c r="J541" s="896"/>
      <c r="K541" s="896"/>
      <c r="L541" s="897"/>
      <c r="M541" s="896"/>
      <c r="N541" s="889"/>
      <c r="O541" s="896"/>
      <c r="P541" s="889"/>
      <c r="Q541" s="900"/>
      <c r="R541" s="896"/>
      <c r="S541" s="896"/>
      <c r="T541" s="898"/>
      <c r="U541" s="898"/>
      <c r="V541" s="899"/>
      <c r="W541" s="899"/>
      <c r="X541" s="899"/>
      <c r="Y541" s="899"/>
      <c r="Z541" s="899"/>
      <c r="AA541" s="899"/>
      <c r="AB541" s="899"/>
      <c r="AC541" s="899"/>
      <c r="AD541" s="899"/>
      <c r="AE541" s="899"/>
      <c r="AF541" s="899"/>
      <c r="AG541" s="899"/>
    </row>
    <row r="542" spans="1:34" s="3" customFormat="1" ht="16" customHeight="1">
      <c r="A542" s="21"/>
      <c r="B542" s="22"/>
      <c r="C542" s="22"/>
      <c r="D542" s="23"/>
      <c r="E542" s="23"/>
      <c r="F542" s="24"/>
      <c r="G542" s="23"/>
      <c r="H542" s="24"/>
      <c r="I542" s="24"/>
      <c r="J542" s="23"/>
      <c r="K542" s="23"/>
      <c r="L542" s="286"/>
      <c r="M542" s="24"/>
      <c r="N542" s="24"/>
      <c r="O542" s="23"/>
      <c r="P542" s="24"/>
      <c r="Q542" s="24"/>
      <c r="R542" s="23"/>
      <c r="S542" s="24"/>
      <c r="T542" s="23"/>
      <c r="U542" s="23"/>
      <c r="V542" s="21"/>
      <c r="W542" s="21"/>
      <c r="X542" s="21"/>
      <c r="Y542" s="21"/>
      <c r="Z542" s="21"/>
      <c r="AA542" s="21"/>
      <c r="AB542" s="21"/>
      <c r="AC542" s="21"/>
      <c r="AD542" s="21"/>
      <c r="AE542" s="21"/>
      <c r="AF542" s="21"/>
      <c r="AG542" s="21"/>
    </row>
    <row r="543" spans="1:34" s="3" customFormat="1" ht="16" customHeight="1" thickBot="1">
      <c r="A543" s="7"/>
      <c r="B543" s="19" t="str">
        <f>"FA3 = "&amp;'FIG3'!$W$54&amp;" "&amp;'FIG3'!$X$54</f>
        <v>FA3 = FA3L1 FA3L2</v>
      </c>
      <c r="C543" s="7"/>
      <c r="D543" s="8"/>
      <c r="E543" s="8"/>
      <c r="F543" s="9"/>
      <c r="G543" s="8"/>
      <c r="H543" s="9"/>
      <c r="I543" s="9"/>
      <c r="J543" s="8"/>
      <c r="K543" s="8"/>
      <c r="L543" s="280"/>
      <c r="M543" s="9"/>
      <c r="N543" s="9"/>
      <c r="O543" s="8"/>
      <c r="P543" s="9"/>
      <c r="Q543" s="9"/>
      <c r="R543" s="8"/>
      <c r="S543" s="882"/>
      <c r="T543" s="883" t="str">
        <f>'$REV-DB'!$T$34</f>
        <v>Federal Revenues</v>
      </c>
      <c r="U543" s="883" t="str">
        <f>'$REV-DB'!$U$34</f>
        <v>local Revenues</v>
      </c>
      <c r="V543" s="883" t="str">
        <f>'$REV-DB'!$V$34</f>
        <v>Other Revenues</v>
      </c>
      <c r="W543" s="883" t="str">
        <f>'$REV-DB'!$W$34</f>
        <v>State revenues</v>
      </c>
      <c r="X543" s="883" t="str">
        <f>'$REV-DB'!$X$34</f>
        <v>UD5</v>
      </c>
      <c r="Y543" s="883" t="str">
        <f>'$REV-DB'!$Y$34</f>
        <v>UD6</v>
      </c>
      <c r="Z543" s="883" t="str">
        <f>'$REV-DB'!$Z$34</f>
        <v>UD7</v>
      </c>
      <c r="AA543" s="883" t="str">
        <f>'$REV-DB'!$AA$34</f>
        <v>UD8</v>
      </c>
      <c r="AB543" s="883" t="str">
        <f>'$REV-DB'!$AB$34</f>
        <v>UD9</v>
      </c>
      <c r="AC543" s="883" t="str">
        <f>'$REV-DB'!$AC$34</f>
        <v>UD10</v>
      </c>
      <c r="AD543" s="883" t="str">
        <f>'$REV-DB'!$AD$34</f>
        <v>UD11</v>
      </c>
      <c r="AE543" s="883" t="str">
        <f>'$REV-DB'!$AE$34</f>
        <v>UD12</v>
      </c>
      <c r="AF543" s="883" t="str">
        <f>'$REV-DB'!$AF$34</f>
        <v>UD13</v>
      </c>
      <c r="AG543" s="883" t="str">
        <f>'$REV-DB'!$AG$34</f>
        <v>UD14</v>
      </c>
    </row>
    <row r="544" spans="1:34" s="3" customFormat="1" ht="16" customHeight="1" thickTop="1" thickBot="1">
      <c r="A544" s="7"/>
      <c r="B544" s="20" t="s">
        <v>1375</v>
      </c>
      <c r="C544" s="15"/>
      <c r="D544" s="877" t="s">
        <v>1386</v>
      </c>
      <c r="E544" s="877" t="s">
        <v>1387</v>
      </c>
      <c r="F544" s="877" t="s">
        <v>1388</v>
      </c>
      <c r="G544" s="877" t="s">
        <v>1389</v>
      </c>
      <c r="H544" s="877" t="s">
        <v>1406</v>
      </c>
      <c r="I544" s="877" t="s">
        <v>1390</v>
      </c>
      <c r="J544" s="877" t="s">
        <v>1391</v>
      </c>
      <c r="K544" s="877" t="s">
        <v>1392</v>
      </c>
      <c r="L544" s="877" t="s">
        <v>1188</v>
      </c>
      <c r="M544" s="877" t="s">
        <v>1437</v>
      </c>
      <c r="N544" s="877" t="s">
        <v>1348</v>
      </c>
      <c r="O544" s="877" t="s">
        <v>1393</v>
      </c>
      <c r="P544" s="877" t="s">
        <v>1342</v>
      </c>
      <c r="Q544" s="877" t="s">
        <v>1394</v>
      </c>
      <c r="R544" s="112" t="s">
        <v>1341</v>
      </c>
      <c r="S544" s="112" t="s">
        <v>846</v>
      </c>
      <c r="T544" s="877" t="s">
        <v>935</v>
      </c>
      <c r="U544" s="877" t="s">
        <v>936</v>
      </c>
      <c r="V544" s="877" t="s">
        <v>937</v>
      </c>
      <c r="W544" s="877" t="s">
        <v>938</v>
      </c>
      <c r="X544" s="877" t="s">
        <v>939</v>
      </c>
      <c r="Y544" s="877" t="s">
        <v>940</v>
      </c>
      <c r="Z544" s="877" t="s">
        <v>941</v>
      </c>
      <c r="AA544" s="877" t="s">
        <v>942</v>
      </c>
      <c r="AB544" s="877" t="s">
        <v>943</v>
      </c>
      <c r="AC544" s="877" t="s">
        <v>944</v>
      </c>
      <c r="AD544" s="877" t="s">
        <v>945</v>
      </c>
      <c r="AE544" s="877" t="s">
        <v>946</v>
      </c>
      <c r="AF544" s="877" t="s">
        <v>947</v>
      </c>
      <c r="AG544" s="877" t="s">
        <v>948</v>
      </c>
      <c r="AH544" s="6"/>
    </row>
    <row r="545" spans="1:34" s="3" customFormat="1" ht="16" customHeight="1" thickTop="1">
      <c r="A545" s="7"/>
      <c r="B545" s="19" t="s">
        <v>1349</v>
      </c>
      <c r="C545" s="12"/>
      <c r="D545" s="197"/>
      <c r="E545" s="197"/>
      <c r="F545" s="196"/>
      <c r="G545" s="197"/>
      <c r="H545" s="196"/>
      <c r="I545" s="196"/>
      <c r="J545" s="197"/>
      <c r="K545" s="197"/>
      <c r="L545" s="287" t="s">
        <v>1429</v>
      </c>
      <c r="M545" s="196"/>
      <c r="N545" s="39" t="str">
        <f>J$6</f>
        <v>FY2010-11</v>
      </c>
      <c r="O545" s="39" t="s">
        <v>1354</v>
      </c>
      <c r="P545" s="39" t="s">
        <v>1347</v>
      </c>
      <c r="Q545" s="39" t="s">
        <v>1397</v>
      </c>
      <c r="R545" s="197"/>
      <c r="S545" s="196" t="s">
        <v>871</v>
      </c>
      <c r="T545" s="197"/>
      <c r="U545" s="197"/>
      <c r="V545" s="198"/>
      <c r="W545" s="198"/>
      <c r="X545" s="198"/>
      <c r="Y545" s="198"/>
      <c r="Z545" s="198"/>
      <c r="AA545" s="198"/>
      <c r="AB545" s="198"/>
      <c r="AC545" s="198"/>
      <c r="AD545" s="198"/>
      <c r="AE545" s="198"/>
      <c r="AF545" s="198"/>
      <c r="AG545" s="198"/>
      <c r="AH545" s="6"/>
    </row>
    <row r="546" spans="1:34" s="3" customFormat="1" ht="16" customHeight="1">
      <c r="A546" s="7"/>
      <c r="B546" s="16">
        <f>DSUM('$REV-DB'!D35:AG374,"AMOUNT",D544:AG545)</f>
        <v>0</v>
      </c>
      <c r="C546" s="12"/>
      <c r="D546" s="896"/>
      <c r="E546" s="896"/>
      <c r="F546" s="896"/>
      <c r="G546" s="896"/>
      <c r="H546" s="896"/>
      <c r="I546" s="896"/>
      <c r="J546" s="896"/>
      <c r="K546" s="896"/>
      <c r="L546" s="897"/>
      <c r="M546" s="896"/>
      <c r="N546" s="889"/>
      <c r="O546" s="896"/>
      <c r="P546" s="889"/>
      <c r="Q546" s="900"/>
      <c r="R546" s="896"/>
      <c r="S546" s="896"/>
      <c r="T546" s="898"/>
      <c r="U546" s="898"/>
      <c r="V546" s="899"/>
      <c r="W546" s="899"/>
      <c r="X546" s="899"/>
      <c r="Y546" s="899"/>
      <c r="Z546" s="899"/>
      <c r="AA546" s="899"/>
      <c r="AB546" s="899"/>
      <c r="AC546" s="899"/>
      <c r="AD546" s="899"/>
      <c r="AE546" s="899"/>
      <c r="AF546" s="899"/>
      <c r="AG546" s="899"/>
      <c r="AH546" s="6"/>
    </row>
    <row r="547" spans="1:34" s="3" customFormat="1" ht="16" customHeight="1">
      <c r="A547" s="7"/>
      <c r="B547" s="10"/>
      <c r="C547" s="12"/>
      <c r="D547" s="896"/>
      <c r="E547" s="896"/>
      <c r="F547" s="896"/>
      <c r="G547" s="896"/>
      <c r="H547" s="896"/>
      <c r="I547" s="896"/>
      <c r="J547" s="896"/>
      <c r="K547" s="896"/>
      <c r="L547" s="897"/>
      <c r="M547" s="896"/>
      <c r="N547" s="889"/>
      <c r="O547" s="896"/>
      <c r="P547" s="889"/>
      <c r="Q547" s="900"/>
      <c r="R547" s="896"/>
      <c r="S547" s="896"/>
      <c r="T547" s="898"/>
      <c r="U547" s="898"/>
      <c r="V547" s="899"/>
      <c r="W547" s="899"/>
      <c r="X547" s="899"/>
      <c r="Y547" s="899"/>
      <c r="Z547" s="899"/>
      <c r="AA547" s="899"/>
      <c r="AB547" s="899"/>
      <c r="AC547" s="899"/>
      <c r="AD547" s="899"/>
      <c r="AE547" s="899"/>
      <c r="AF547" s="899"/>
      <c r="AG547" s="899"/>
    </row>
    <row r="548" spans="1:34" s="3" customFormat="1" ht="16" customHeight="1">
      <c r="A548" s="7"/>
      <c r="B548" s="10"/>
      <c r="C548" s="12"/>
      <c r="D548" s="896"/>
      <c r="E548" s="896"/>
      <c r="F548" s="896"/>
      <c r="G548" s="896"/>
      <c r="H548" s="896"/>
      <c r="I548" s="896"/>
      <c r="J548" s="896"/>
      <c r="K548" s="896"/>
      <c r="L548" s="897"/>
      <c r="M548" s="896"/>
      <c r="N548" s="889"/>
      <c r="O548" s="896"/>
      <c r="P548" s="889"/>
      <c r="Q548" s="900"/>
      <c r="R548" s="896"/>
      <c r="S548" s="896"/>
      <c r="T548" s="898"/>
      <c r="U548" s="898"/>
      <c r="V548" s="899"/>
      <c r="W548" s="899"/>
      <c r="X548" s="899"/>
      <c r="Y548" s="899"/>
      <c r="Z548" s="899"/>
      <c r="AA548" s="899"/>
      <c r="AB548" s="899"/>
      <c r="AC548" s="899"/>
      <c r="AD548" s="899"/>
      <c r="AE548" s="899"/>
      <c r="AF548" s="899"/>
      <c r="AG548" s="899"/>
    </row>
    <row r="549" spans="1:34" s="3" customFormat="1" ht="16" customHeight="1">
      <c r="A549" s="7"/>
      <c r="B549" s="10"/>
      <c r="C549" s="12"/>
      <c r="D549" s="896"/>
      <c r="E549" s="896"/>
      <c r="F549" s="896"/>
      <c r="G549" s="896"/>
      <c r="H549" s="896"/>
      <c r="I549" s="896"/>
      <c r="J549" s="896"/>
      <c r="K549" s="896"/>
      <c r="L549" s="897"/>
      <c r="M549" s="896"/>
      <c r="N549" s="889"/>
      <c r="O549" s="896"/>
      <c r="P549" s="889"/>
      <c r="Q549" s="900"/>
      <c r="R549" s="896"/>
      <c r="S549" s="896"/>
      <c r="T549" s="898"/>
      <c r="U549" s="898"/>
      <c r="V549" s="899"/>
      <c r="W549" s="899"/>
      <c r="X549" s="899"/>
      <c r="Y549" s="899"/>
      <c r="Z549" s="899"/>
      <c r="AA549" s="899"/>
      <c r="AB549" s="899"/>
      <c r="AC549" s="899"/>
      <c r="AD549" s="899"/>
      <c r="AE549" s="899"/>
      <c r="AF549" s="899"/>
      <c r="AG549" s="899"/>
    </row>
    <row r="550" spans="1:34" s="3" customFormat="1" ht="16" customHeight="1">
      <c r="A550" s="7"/>
      <c r="B550" s="10"/>
      <c r="C550" s="12"/>
      <c r="D550" s="896"/>
      <c r="E550" s="896"/>
      <c r="F550" s="896"/>
      <c r="G550" s="896"/>
      <c r="H550" s="896"/>
      <c r="I550" s="896"/>
      <c r="J550" s="896"/>
      <c r="K550" s="896"/>
      <c r="L550" s="897"/>
      <c r="M550" s="896"/>
      <c r="N550" s="889"/>
      <c r="O550" s="896"/>
      <c r="P550" s="889"/>
      <c r="Q550" s="900"/>
      <c r="R550" s="896"/>
      <c r="S550" s="896"/>
      <c r="T550" s="898"/>
      <c r="U550" s="898"/>
      <c r="V550" s="899"/>
      <c r="W550" s="899"/>
      <c r="X550" s="899"/>
      <c r="Y550" s="899"/>
      <c r="Z550" s="899"/>
      <c r="AA550" s="899"/>
      <c r="AB550" s="899"/>
      <c r="AC550" s="899"/>
      <c r="AD550" s="899"/>
      <c r="AE550" s="899"/>
      <c r="AF550" s="899"/>
      <c r="AG550" s="899"/>
    </row>
    <row r="551" spans="1:34" s="3" customFormat="1" ht="16" customHeight="1">
      <c r="A551" s="7"/>
      <c r="B551" s="10"/>
      <c r="C551" s="12"/>
      <c r="D551" s="896"/>
      <c r="E551" s="896"/>
      <c r="F551" s="896"/>
      <c r="G551" s="896"/>
      <c r="H551" s="896"/>
      <c r="I551" s="896"/>
      <c r="J551" s="896"/>
      <c r="K551" s="896"/>
      <c r="L551" s="897"/>
      <c r="M551" s="896"/>
      <c r="N551" s="889"/>
      <c r="O551" s="896"/>
      <c r="P551" s="889"/>
      <c r="Q551" s="900"/>
      <c r="R551" s="896"/>
      <c r="S551" s="896"/>
      <c r="T551" s="898"/>
      <c r="U551" s="898"/>
      <c r="V551" s="899"/>
      <c r="W551" s="899"/>
      <c r="X551" s="899"/>
      <c r="Y551" s="899"/>
      <c r="Z551" s="899"/>
      <c r="AA551" s="899"/>
      <c r="AB551" s="899"/>
      <c r="AC551" s="899"/>
      <c r="AD551" s="899"/>
      <c r="AE551" s="899"/>
      <c r="AF551" s="899"/>
      <c r="AG551" s="899"/>
    </row>
    <row r="552" spans="1:34" s="3" customFormat="1" ht="16" customHeight="1">
      <c r="A552" s="21"/>
      <c r="B552" s="22"/>
      <c r="C552" s="22"/>
      <c r="D552" s="23"/>
      <c r="E552" s="23"/>
      <c r="F552" s="24"/>
      <c r="G552" s="23"/>
      <c r="H552" s="24"/>
      <c r="I552" s="24"/>
      <c r="J552" s="23"/>
      <c r="K552" s="23"/>
      <c r="L552" s="286"/>
      <c r="M552" s="24"/>
      <c r="N552" s="24"/>
      <c r="O552" s="23"/>
      <c r="P552" s="24"/>
      <c r="Q552" s="24"/>
      <c r="R552" s="23"/>
      <c r="S552" s="24"/>
      <c r="T552" s="23"/>
      <c r="U552" s="23"/>
      <c r="V552" s="21"/>
      <c r="W552" s="21"/>
      <c r="X552" s="21"/>
      <c r="Y552" s="21"/>
      <c r="Z552" s="21"/>
      <c r="AA552" s="21"/>
      <c r="AB552" s="21"/>
      <c r="AC552" s="21"/>
      <c r="AD552" s="21"/>
      <c r="AE552" s="21"/>
      <c r="AF552" s="21"/>
      <c r="AG552" s="21"/>
    </row>
    <row r="553" spans="1:34" s="3" customFormat="1" ht="16" customHeight="1" thickBot="1">
      <c r="A553" s="7"/>
      <c r="B553" s="19" t="str">
        <f>"FA3 = "&amp;'FIG3'!$W$54&amp;" "&amp;'FIG3'!$X$54</f>
        <v>FA3 = FA3L1 FA3L2</v>
      </c>
      <c r="C553" s="7"/>
      <c r="D553" s="8"/>
      <c r="E553" s="8"/>
      <c r="F553" s="9"/>
      <c r="G553" s="8"/>
      <c r="H553" s="9"/>
      <c r="I553" s="9"/>
      <c r="J553" s="8"/>
      <c r="K553" s="8"/>
      <c r="L553" s="280"/>
      <c r="M553" s="9"/>
      <c r="N553" s="9"/>
      <c r="O553" s="8"/>
      <c r="P553" s="9"/>
      <c r="Q553" s="9"/>
      <c r="R553" s="8"/>
      <c r="S553" s="882"/>
      <c r="T553" s="883" t="str">
        <f>'$REV-DB'!$T$34</f>
        <v>Federal Revenues</v>
      </c>
      <c r="U553" s="883" t="str">
        <f>'$REV-DB'!$U$34</f>
        <v>local Revenues</v>
      </c>
      <c r="V553" s="883" t="str">
        <f>'$REV-DB'!$V$34</f>
        <v>Other Revenues</v>
      </c>
      <c r="W553" s="883" t="str">
        <f>'$REV-DB'!$W$34</f>
        <v>State revenues</v>
      </c>
      <c r="X553" s="883" t="str">
        <f>'$REV-DB'!$X$34</f>
        <v>UD5</v>
      </c>
      <c r="Y553" s="883" t="str">
        <f>'$REV-DB'!$Y$34</f>
        <v>UD6</v>
      </c>
      <c r="Z553" s="883" t="str">
        <f>'$REV-DB'!$Z$34</f>
        <v>UD7</v>
      </c>
      <c r="AA553" s="883" t="str">
        <f>'$REV-DB'!$AA$34</f>
        <v>UD8</v>
      </c>
      <c r="AB553" s="883" t="str">
        <f>'$REV-DB'!$AB$34</f>
        <v>UD9</v>
      </c>
      <c r="AC553" s="883" t="str">
        <f>'$REV-DB'!$AC$34</f>
        <v>UD10</v>
      </c>
      <c r="AD553" s="883" t="str">
        <f>'$REV-DB'!$AD$34</f>
        <v>UD11</v>
      </c>
      <c r="AE553" s="883" t="str">
        <f>'$REV-DB'!$AE$34</f>
        <v>UD12</v>
      </c>
      <c r="AF553" s="883" t="str">
        <f>'$REV-DB'!$AF$34</f>
        <v>UD13</v>
      </c>
      <c r="AG553" s="883" t="str">
        <f>'$REV-DB'!$AG$34</f>
        <v>UD14</v>
      </c>
    </row>
    <row r="554" spans="1:34" s="3" customFormat="1" ht="16" customHeight="1" thickTop="1" thickBot="1">
      <c r="A554" s="7"/>
      <c r="B554" s="20" t="s">
        <v>1375</v>
      </c>
      <c r="C554" s="15"/>
      <c r="D554" s="877" t="s">
        <v>1386</v>
      </c>
      <c r="E554" s="877" t="s">
        <v>1387</v>
      </c>
      <c r="F554" s="877" t="s">
        <v>1388</v>
      </c>
      <c r="G554" s="877" t="s">
        <v>1389</v>
      </c>
      <c r="H554" s="877" t="s">
        <v>1406</v>
      </c>
      <c r="I554" s="877" t="s">
        <v>1390</v>
      </c>
      <c r="J554" s="877" t="s">
        <v>1391</v>
      </c>
      <c r="K554" s="877" t="s">
        <v>1392</v>
      </c>
      <c r="L554" s="877" t="s">
        <v>1188</v>
      </c>
      <c r="M554" s="877" t="s">
        <v>1437</v>
      </c>
      <c r="N554" s="877" t="s">
        <v>1348</v>
      </c>
      <c r="O554" s="877" t="s">
        <v>1393</v>
      </c>
      <c r="P554" s="877" t="s">
        <v>1342</v>
      </c>
      <c r="Q554" s="877" t="s">
        <v>1394</v>
      </c>
      <c r="R554" s="112" t="s">
        <v>1341</v>
      </c>
      <c r="S554" s="112" t="s">
        <v>846</v>
      </c>
      <c r="T554" s="877" t="s">
        <v>935</v>
      </c>
      <c r="U554" s="877" t="s">
        <v>936</v>
      </c>
      <c r="V554" s="877" t="s">
        <v>937</v>
      </c>
      <c r="W554" s="877" t="s">
        <v>938</v>
      </c>
      <c r="X554" s="877" t="s">
        <v>939</v>
      </c>
      <c r="Y554" s="877" t="s">
        <v>940</v>
      </c>
      <c r="Z554" s="877" t="s">
        <v>941</v>
      </c>
      <c r="AA554" s="877" t="s">
        <v>942</v>
      </c>
      <c r="AB554" s="877" t="s">
        <v>943</v>
      </c>
      <c r="AC554" s="877" t="s">
        <v>944</v>
      </c>
      <c r="AD554" s="877" t="s">
        <v>945</v>
      </c>
      <c r="AE554" s="877" t="s">
        <v>946</v>
      </c>
      <c r="AF554" s="877" t="s">
        <v>947</v>
      </c>
      <c r="AG554" s="877" t="s">
        <v>948</v>
      </c>
      <c r="AH554" s="6"/>
    </row>
    <row r="555" spans="1:34" s="3" customFormat="1" ht="16" customHeight="1" thickTop="1">
      <c r="A555" s="7"/>
      <c r="B555" s="19" t="s">
        <v>1178</v>
      </c>
      <c r="C555" s="12"/>
      <c r="D555" s="197"/>
      <c r="E555" s="197"/>
      <c r="F555" s="196"/>
      <c r="G555" s="197"/>
      <c r="H555" s="196"/>
      <c r="I555" s="196"/>
      <c r="J555" s="197"/>
      <c r="K555" s="197"/>
      <c r="L555" s="287" t="s">
        <v>1429</v>
      </c>
      <c r="M555" s="196"/>
      <c r="N555" s="39" t="str">
        <f>J$6</f>
        <v>FY2010-11</v>
      </c>
      <c r="O555" s="39" t="s">
        <v>1354</v>
      </c>
      <c r="P555" s="39" t="s">
        <v>1347</v>
      </c>
      <c r="Q555" s="39" t="s">
        <v>1465</v>
      </c>
      <c r="R555" s="197"/>
      <c r="S555" s="196" t="s">
        <v>871</v>
      </c>
      <c r="T555" s="197"/>
      <c r="U555" s="197"/>
      <c r="V555" s="198"/>
      <c r="W555" s="198"/>
      <c r="X555" s="198"/>
      <c r="Y555" s="198"/>
      <c r="Z555" s="198"/>
      <c r="AA555" s="198"/>
      <c r="AB555" s="198"/>
      <c r="AC555" s="198"/>
      <c r="AD555" s="198"/>
      <c r="AE555" s="198"/>
      <c r="AF555" s="198"/>
      <c r="AG555" s="198"/>
      <c r="AH555" s="6"/>
    </row>
    <row r="556" spans="1:34" s="3" customFormat="1" ht="16" customHeight="1">
      <c r="A556" s="7"/>
      <c r="B556" s="16">
        <f>DSUM('$REV-DB'!D35:AG374,"AMOUNT",D554:AG555)</f>
        <v>0</v>
      </c>
      <c r="C556" s="12"/>
      <c r="D556" s="896"/>
      <c r="E556" s="896"/>
      <c r="F556" s="896"/>
      <c r="G556" s="896"/>
      <c r="H556" s="896"/>
      <c r="I556" s="896"/>
      <c r="J556" s="896"/>
      <c r="K556" s="896"/>
      <c r="L556" s="897"/>
      <c r="M556" s="896"/>
      <c r="N556" s="889"/>
      <c r="O556" s="896"/>
      <c r="P556" s="889"/>
      <c r="Q556" s="900"/>
      <c r="R556" s="896"/>
      <c r="S556" s="896"/>
      <c r="T556" s="898"/>
      <c r="U556" s="898"/>
      <c r="V556" s="899"/>
      <c r="W556" s="899"/>
      <c r="X556" s="899"/>
      <c r="Y556" s="899"/>
      <c r="Z556" s="899"/>
      <c r="AA556" s="899"/>
      <c r="AB556" s="899"/>
      <c r="AC556" s="899"/>
      <c r="AD556" s="899"/>
      <c r="AE556" s="899"/>
      <c r="AF556" s="899"/>
      <c r="AG556" s="899"/>
      <c r="AH556" s="6"/>
    </row>
    <row r="557" spans="1:34" s="3" customFormat="1" ht="16" customHeight="1">
      <c r="A557" s="7"/>
      <c r="B557" s="10"/>
      <c r="C557" s="12"/>
      <c r="D557" s="896"/>
      <c r="E557" s="896"/>
      <c r="F557" s="896"/>
      <c r="G557" s="896"/>
      <c r="H557" s="896"/>
      <c r="I557" s="896"/>
      <c r="J557" s="896"/>
      <c r="K557" s="896"/>
      <c r="L557" s="897"/>
      <c r="M557" s="896"/>
      <c r="N557" s="889"/>
      <c r="O557" s="896"/>
      <c r="P557" s="889"/>
      <c r="Q557" s="900"/>
      <c r="R557" s="896"/>
      <c r="S557" s="896"/>
      <c r="T557" s="898"/>
      <c r="U557" s="898"/>
      <c r="V557" s="899"/>
      <c r="W557" s="899"/>
      <c r="X557" s="899"/>
      <c r="Y557" s="899"/>
      <c r="Z557" s="899"/>
      <c r="AA557" s="899"/>
      <c r="AB557" s="899"/>
      <c r="AC557" s="899"/>
      <c r="AD557" s="899"/>
      <c r="AE557" s="899"/>
      <c r="AF557" s="899"/>
      <c r="AG557" s="899"/>
    </row>
    <row r="558" spans="1:34" s="3" customFormat="1" ht="16" customHeight="1">
      <c r="A558" s="7"/>
      <c r="B558" s="10"/>
      <c r="C558" s="12"/>
      <c r="D558" s="896"/>
      <c r="E558" s="896"/>
      <c r="F558" s="896"/>
      <c r="G558" s="896"/>
      <c r="H558" s="896"/>
      <c r="I558" s="896"/>
      <c r="J558" s="896"/>
      <c r="K558" s="896"/>
      <c r="L558" s="897"/>
      <c r="M558" s="896"/>
      <c r="N558" s="889"/>
      <c r="O558" s="896"/>
      <c r="P558" s="889"/>
      <c r="Q558" s="900"/>
      <c r="R558" s="896"/>
      <c r="S558" s="896"/>
      <c r="T558" s="898"/>
      <c r="U558" s="898"/>
      <c r="V558" s="899"/>
      <c r="W558" s="899"/>
      <c r="X558" s="899"/>
      <c r="Y558" s="899"/>
      <c r="Z558" s="899"/>
      <c r="AA558" s="899"/>
      <c r="AB558" s="899"/>
      <c r="AC558" s="899"/>
      <c r="AD558" s="899"/>
      <c r="AE558" s="899"/>
      <c r="AF558" s="899"/>
      <c r="AG558" s="899"/>
    </row>
    <row r="559" spans="1:34" s="3" customFormat="1" ht="16" customHeight="1">
      <c r="A559" s="7"/>
      <c r="B559" s="10"/>
      <c r="C559" s="12"/>
      <c r="D559" s="896"/>
      <c r="E559" s="896"/>
      <c r="F559" s="896"/>
      <c r="G559" s="896"/>
      <c r="H559" s="896"/>
      <c r="I559" s="896"/>
      <c r="J559" s="896"/>
      <c r="K559" s="896"/>
      <c r="L559" s="897"/>
      <c r="M559" s="896"/>
      <c r="N559" s="889"/>
      <c r="O559" s="896"/>
      <c r="P559" s="889"/>
      <c r="Q559" s="900"/>
      <c r="R559" s="896"/>
      <c r="S559" s="896"/>
      <c r="T559" s="898"/>
      <c r="U559" s="898"/>
      <c r="V559" s="899"/>
      <c r="W559" s="899"/>
      <c r="X559" s="899"/>
      <c r="Y559" s="899"/>
      <c r="Z559" s="899"/>
      <c r="AA559" s="899"/>
      <c r="AB559" s="899"/>
      <c r="AC559" s="899"/>
      <c r="AD559" s="899"/>
      <c r="AE559" s="899"/>
      <c r="AF559" s="899"/>
      <c r="AG559" s="899"/>
    </row>
    <row r="560" spans="1:34" s="3" customFormat="1" ht="16" customHeight="1">
      <c r="A560" s="7"/>
      <c r="B560" s="10"/>
      <c r="C560" s="12"/>
      <c r="D560" s="896"/>
      <c r="E560" s="896"/>
      <c r="F560" s="896"/>
      <c r="G560" s="896"/>
      <c r="H560" s="896"/>
      <c r="I560" s="896"/>
      <c r="J560" s="896"/>
      <c r="K560" s="896"/>
      <c r="L560" s="897"/>
      <c r="M560" s="896"/>
      <c r="N560" s="889"/>
      <c r="O560" s="896"/>
      <c r="P560" s="889"/>
      <c r="Q560" s="900"/>
      <c r="R560" s="896"/>
      <c r="S560" s="896"/>
      <c r="T560" s="898"/>
      <c r="U560" s="898"/>
      <c r="V560" s="899"/>
      <c r="W560" s="899"/>
      <c r="X560" s="899"/>
      <c r="Y560" s="899"/>
      <c r="Z560" s="899"/>
      <c r="AA560" s="899"/>
      <c r="AB560" s="899"/>
      <c r="AC560" s="899"/>
      <c r="AD560" s="899"/>
      <c r="AE560" s="899"/>
      <c r="AF560" s="899"/>
      <c r="AG560" s="899"/>
    </row>
    <row r="561" spans="1:34" s="3" customFormat="1" ht="16" customHeight="1">
      <c r="A561" s="7"/>
      <c r="B561" s="10"/>
      <c r="C561" s="12"/>
      <c r="D561" s="896"/>
      <c r="E561" s="896"/>
      <c r="F561" s="896"/>
      <c r="G561" s="896"/>
      <c r="H561" s="896"/>
      <c r="I561" s="896"/>
      <c r="J561" s="896"/>
      <c r="K561" s="896"/>
      <c r="L561" s="897"/>
      <c r="M561" s="896"/>
      <c r="N561" s="889"/>
      <c r="O561" s="896"/>
      <c r="P561" s="889"/>
      <c r="Q561" s="900"/>
      <c r="R561" s="896"/>
      <c r="S561" s="896"/>
      <c r="T561" s="898"/>
      <c r="U561" s="898"/>
      <c r="V561" s="899"/>
      <c r="W561" s="899"/>
      <c r="X561" s="899"/>
      <c r="Y561" s="899"/>
      <c r="Z561" s="899"/>
      <c r="AA561" s="899"/>
      <c r="AB561" s="899"/>
      <c r="AC561" s="899"/>
      <c r="AD561" s="899"/>
      <c r="AE561" s="899"/>
      <c r="AF561" s="899"/>
      <c r="AG561" s="899"/>
    </row>
    <row r="562" spans="1:34" s="3" customFormat="1" ht="16" customHeight="1">
      <c r="A562" s="21"/>
      <c r="B562" s="22"/>
      <c r="C562" s="22"/>
      <c r="D562" s="23"/>
      <c r="E562" s="23"/>
      <c r="F562" s="24"/>
      <c r="G562" s="23"/>
      <c r="H562" s="24"/>
      <c r="I562" s="24"/>
      <c r="J562" s="23"/>
      <c r="K562" s="23"/>
      <c r="L562" s="286"/>
      <c r="M562" s="24"/>
      <c r="N562" s="24"/>
      <c r="O562" s="23"/>
      <c r="P562" s="24"/>
      <c r="Q562" s="24"/>
      <c r="R562" s="23"/>
      <c r="S562" s="24"/>
      <c r="T562" s="23"/>
      <c r="U562" s="23"/>
      <c r="V562" s="21"/>
      <c r="W562" s="21"/>
      <c r="X562" s="21"/>
      <c r="Y562" s="21"/>
      <c r="Z562" s="21"/>
      <c r="AA562" s="21"/>
      <c r="AB562" s="21"/>
      <c r="AC562" s="21"/>
      <c r="AD562" s="21"/>
      <c r="AE562" s="21"/>
      <c r="AF562" s="21"/>
      <c r="AG562" s="21"/>
    </row>
    <row r="563" spans="1:34" s="3" customFormat="1" ht="16" customHeight="1" thickBot="1">
      <c r="A563" s="7"/>
      <c r="B563" s="19" t="str">
        <f>"FA3 = "&amp;'FIG3'!$W$54&amp;" "&amp;'FIG3'!$X$54</f>
        <v>FA3 = FA3L1 FA3L2</v>
      </c>
      <c r="C563" s="7"/>
      <c r="D563" s="8"/>
      <c r="E563" s="8"/>
      <c r="F563" s="9"/>
      <c r="G563" s="8"/>
      <c r="H563" s="9"/>
      <c r="I563" s="9"/>
      <c r="J563" s="8"/>
      <c r="K563" s="8"/>
      <c r="L563" s="280"/>
      <c r="M563" s="9"/>
      <c r="N563" s="9"/>
      <c r="O563" s="8"/>
      <c r="P563" s="9"/>
      <c r="Q563" s="9"/>
      <c r="R563" s="8"/>
      <c r="S563" s="882"/>
      <c r="T563" s="883" t="str">
        <f>'$REV-DB'!$T$34</f>
        <v>Federal Revenues</v>
      </c>
      <c r="U563" s="883" t="str">
        <f>'$REV-DB'!$U$34</f>
        <v>local Revenues</v>
      </c>
      <c r="V563" s="883" t="str">
        <f>'$REV-DB'!$V$34</f>
        <v>Other Revenues</v>
      </c>
      <c r="W563" s="883" t="str">
        <f>'$REV-DB'!$W$34</f>
        <v>State revenues</v>
      </c>
      <c r="X563" s="883" t="str">
        <f>'$REV-DB'!$X$34</f>
        <v>UD5</v>
      </c>
      <c r="Y563" s="883" t="str">
        <f>'$REV-DB'!$Y$34</f>
        <v>UD6</v>
      </c>
      <c r="Z563" s="883" t="str">
        <f>'$REV-DB'!$Z$34</f>
        <v>UD7</v>
      </c>
      <c r="AA563" s="883" t="str">
        <f>'$REV-DB'!$AA$34</f>
        <v>UD8</v>
      </c>
      <c r="AB563" s="883" t="str">
        <f>'$REV-DB'!$AB$34</f>
        <v>UD9</v>
      </c>
      <c r="AC563" s="883" t="str">
        <f>'$REV-DB'!$AC$34</f>
        <v>UD10</v>
      </c>
      <c r="AD563" s="883" t="str">
        <f>'$REV-DB'!$AD$34</f>
        <v>UD11</v>
      </c>
      <c r="AE563" s="883" t="str">
        <f>'$REV-DB'!$AE$34</f>
        <v>UD12</v>
      </c>
      <c r="AF563" s="883" t="str">
        <f>'$REV-DB'!$AF$34</f>
        <v>UD13</v>
      </c>
      <c r="AG563" s="883" t="str">
        <f>'$REV-DB'!$AG$34</f>
        <v>UD14</v>
      </c>
    </row>
    <row r="564" spans="1:34" s="3" customFormat="1" ht="16" customHeight="1" thickTop="1" thickBot="1">
      <c r="A564" s="7"/>
      <c r="B564" s="20" t="s">
        <v>1375</v>
      </c>
      <c r="C564" s="15"/>
      <c r="D564" s="877" t="s">
        <v>1386</v>
      </c>
      <c r="E564" s="877" t="s">
        <v>1387</v>
      </c>
      <c r="F564" s="877" t="s">
        <v>1388</v>
      </c>
      <c r="G564" s="877" t="s">
        <v>1389</v>
      </c>
      <c r="H564" s="877" t="s">
        <v>1406</v>
      </c>
      <c r="I564" s="877" t="s">
        <v>1390</v>
      </c>
      <c r="J564" s="877" t="s">
        <v>1391</v>
      </c>
      <c r="K564" s="877" t="s">
        <v>1392</v>
      </c>
      <c r="L564" s="877" t="s">
        <v>1188</v>
      </c>
      <c r="M564" s="877" t="s">
        <v>1437</v>
      </c>
      <c r="N564" s="877" t="s">
        <v>1348</v>
      </c>
      <c r="O564" s="877" t="s">
        <v>1393</v>
      </c>
      <c r="P564" s="877" t="s">
        <v>1342</v>
      </c>
      <c r="Q564" s="877" t="s">
        <v>1394</v>
      </c>
      <c r="R564" s="112" t="s">
        <v>1341</v>
      </c>
      <c r="S564" s="112" t="s">
        <v>846</v>
      </c>
      <c r="T564" s="877" t="s">
        <v>935</v>
      </c>
      <c r="U564" s="877" t="s">
        <v>936</v>
      </c>
      <c r="V564" s="877" t="s">
        <v>937</v>
      </c>
      <c r="W564" s="877" t="s">
        <v>938</v>
      </c>
      <c r="X564" s="877" t="s">
        <v>939</v>
      </c>
      <c r="Y564" s="877" t="s">
        <v>940</v>
      </c>
      <c r="Z564" s="877" t="s">
        <v>941</v>
      </c>
      <c r="AA564" s="877" t="s">
        <v>942</v>
      </c>
      <c r="AB564" s="877" t="s">
        <v>943</v>
      </c>
      <c r="AC564" s="877" t="s">
        <v>944</v>
      </c>
      <c r="AD564" s="877" t="s">
        <v>945</v>
      </c>
      <c r="AE564" s="877" t="s">
        <v>946</v>
      </c>
      <c r="AF564" s="877" t="s">
        <v>947</v>
      </c>
      <c r="AG564" s="877" t="s">
        <v>948</v>
      </c>
      <c r="AH564" s="6"/>
    </row>
    <row r="565" spans="1:34" s="3" customFormat="1" ht="16" customHeight="1" thickTop="1">
      <c r="A565" s="7"/>
      <c r="B565" s="19" t="s">
        <v>1350</v>
      </c>
      <c r="C565" s="12"/>
      <c r="D565" s="197"/>
      <c r="E565" s="197"/>
      <c r="F565" s="196"/>
      <c r="G565" s="197"/>
      <c r="H565" s="196"/>
      <c r="I565" s="196"/>
      <c r="J565" s="197"/>
      <c r="K565" s="197"/>
      <c r="L565" s="287" t="s">
        <v>1429</v>
      </c>
      <c r="M565" s="196"/>
      <c r="N565" s="39" t="str">
        <f>J$6</f>
        <v>FY2010-11</v>
      </c>
      <c r="O565" s="39" t="s">
        <v>1354</v>
      </c>
      <c r="P565" s="39" t="s">
        <v>1347</v>
      </c>
      <c r="Q565" s="39" t="s">
        <v>1340</v>
      </c>
      <c r="R565" s="197"/>
      <c r="S565" s="196" t="s">
        <v>871</v>
      </c>
      <c r="T565" s="197"/>
      <c r="U565" s="197"/>
      <c r="V565" s="198"/>
      <c r="W565" s="198"/>
      <c r="X565" s="198"/>
      <c r="Y565" s="198"/>
      <c r="Z565" s="198"/>
      <c r="AA565" s="198"/>
      <c r="AB565" s="198"/>
      <c r="AC565" s="198"/>
      <c r="AD565" s="198"/>
      <c r="AE565" s="198"/>
      <c r="AF565" s="198"/>
      <c r="AG565" s="198"/>
      <c r="AH565" s="6"/>
    </row>
    <row r="566" spans="1:34" s="3" customFormat="1" ht="16" customHeight="1">
      <c r="A566" s="7"/>
      <c r="B566" s="16">
        <f>DSUM('$REV-DB'!D35:AG374,"AMOUNT",D564:AG565)</f>
        <v>0</v>
      </c>
      <c r="C566" s="12"/>
      <c r="D566" s="896"/>
      <c r="E566" s="896"/>
      <c r="F566" s="896"/>
      <c r="G566" s="896"/>
      <c r="H566" s="896"/>
      <c r="I566" s="896"/>
      <c r="J566" s="896"/>
      <c r="K566" s="896"/>
      <c r="L566" s="897"/>
      <c r="M566" s="896"/>
      <c r="N566" s="889"/>
      <c r="O566" s="896"/>
      <c r="P566" s="889"/>
      <c r="Q566" s="900"/>
      <c r="R566" s="896"/>
      <c r="S566" s="896"/>
      <c r="T566" s="898"/>
      <c r="U566" s="898"/>
      <c r="V566" s="899"/>
      <c r="W566" s="899"/>
      <c r="X566" s="899"/>
      <c r="Y566" s="899"/>
      <c r="Z566" s="899"/>
      <c r="AA566" s="899"/>
      <c r="AB566" s="899"/>
      <c r="AC566" s="899"/>
      <c r="AD566" s="899"/>
      <c r="AE566" s="899"/>
      <c r="AF566" s="899"/>
      <c r="AG566" s="899"/>
      <c r="AH566" s="6"/>
    </row>
    <row r="567" spans="1:34" s="3" customFormat="1" ht="16" customHeight="1">
      <c r="A567" s="7"/>
      <c r="B567" s="10"/>
      <c r="C567" s="12"/>
      <c r="D567" s="896"/>
      <c r="E567" s="896"/>
      <c r="F567" s="896"/>
      <c r="G567" s="896"/>
      <c r="H567" s="896"/>
      <c r="I567" s="896"/>
      <c r="J567" s="896"/>
      <c r="K567" s="896"/>
      <c r="L567" s="897"/>
      <c r="M567" s="896"/>
      <c r="N567" s="889"/>
      <c r="O567" s="896"/>
      <c r="P567" s="889"/>
      <c r="Q567" s="900"/>
      <c r="R567" s="896"/>
      <c r="S567" s="896"/>
      <c r="T567" s="898"/>
      <c r="U567" s="898"/>
      <c r="V567" s="899"/>
      <c r="W567" s="899"/>
      <c r="X567" s="899"/>
      <c r="Y567" s="899"/>
      <c r="Z567" s="899"/>
      <c r="AA567" s="899"/>
      <c r="AB567" s="899"/>
      <c r="AC567" s="899"/>
      <c r="AD567" s="899"/>
      <c r="AE567" s="899"/>
      <c r="AF567" s="899"/>
      <c r="AG567" s="899"/>
    </row>
    <row r="568" spans="1:34" s="3" customFormat="1" ht="16" customHeight="1">
      <c r="A568" s="7"/>
      <c r="B568" s="10"/>
      <c r="C568" s="12"/>
      <c r="D568" s="896"/>
      <c r="E568" s="896"/>
      <c r="F568" s="896"/>
      <c r="G568" s="896"/>
      <c r="H568" s="896"/>
      <c r="I568" s="896"/>
      <c r="J568" s="896"/>
      <c r="K568" s="896"/>
      <c r="L568" s="897"/>
      <c r="M568" s="896"/>
      <c r="N568" s="889"/>
      <c r="O568" s="896"/>
      <c r="P568" s="889"/>
      <c r="Q568" s="900"/>
      <c r="R568" s="896"/>
      <c r="S568" s="896"/>
      <c r="T568" s="898"/>
      <c r="U568" s="898"/>
      <c r="V568" s="899"/>
      <c r="W568" s="899"/>
      <c r="X568" s="899"/>
      <c r="Y568" s="899"/>
      <c r="Z568" s="899"/>
      <c r="AA568" s="899"/>
      <c r="AB568" s="899"/>
      <c r="AC568" s="899"/>
      <c r="AD568" s="899"/>
      <c r="AE568" s="899"/>
      <c r="AF568" s="899"/>
      <c r="AG568" s="899"/>
    </row>
    <row r="569" spans="1:34" s="3" customFormat="1" ht="16" customHeight="1">
      <c r="A569" s="7"/>
      <c r="B569" s="10"/>
      <c r="C569" s="12"/>
      <c r="D569" s="896"/>
      <c r="E569" s="896"/>
      <c r="F569" s="896"/>
      <c r="G569" s="896"/>
      <c r="H569" s="896"/>
      <c r="I569" s="896"/>
      <c r="J569" s="896"/>
      <c r="K569" s="896"/>
      <c r="L569" s="897"/>
      <c r="M569" s="896"/>
      <c r="N569" s="889"/>
      <c r="O569" s="896"/>
      <c r="P569" s="889"/>
      <c r="Q569" s="900"/>
      <c r="R569" s="896"/>
      <c r="S569" s="896"/>
      <c r="T569" s="898"/>
      <c r="U569" s="898"/>
      <c r="V569" s="899"/>
      <c r="W569" s="899"/>
      <c r="X569" s="899"/>
      <c r="Y569" s="899"/>
      <c r="Z569" s="899"/>
      <c r="AA569" s="899"/>
      <c r="AB569" s="899"/>
      <c r="AC569" s="899"/>
      <c r="AD569" s="899"/>
      <c r="AE569" s="899"/>
      <c r="AF569" s="899"/>
      <c r="AG569" s="899"/>
    </row>
    <row r="570" spans="1:34" s="3" customFormat="1" ht="16" customHeight="1">
      <c r="A570" s="7"/>
      <c r="B570" s="10"/>
      <c r="C570" s="12"/>
      <c r="D570" s="896"/>
      <c r="E570" s="896"/>
      <c r="F570" s="896"/>
      <c r="G570" s="896"/>
      <c r="H570" s="896"/>
      <c r="I570" s="896"/>
      <c r="J570" s="896"/>
      <c r="K570" s="896"/>
      <c r="L570" s="897"/>
      <c r="M570" s="896"/>
      <c r="N570" s="889"/>
      <c r="O570" s="896"/>
      <c r="P570" s="889"/>
      <c r="Q570" s="900"/>
      <c r="R570" s="896"/>
      <c r="S570" s="896"/>
      <c r="T570" s="898"/>
      <c r="U570" s="898"/>
      <c r="V570" s="899"/>
      <c r="W570" s="899"/>
      <c r="X570" s="899"/>
      <c r="Y570" s="899"/>
      <c r="Z570" s="899"/>
      <c r="AA570" s="899"/>
      <c r="AB570" s="899"/>
      <c r="AC570" s="899"/>
      <c r="AD570" s="899"/>
      <c r="AE570" s="899"/>
      <c r="AF570" s="899"/>
      <c r="AG570" s="899"/>
    </row>
    <row r="571" spans="1:34" s="3" customFormat="1" ht="16" customHeight="1">
      <c r="A571" s="7"/>
      <c r="B571" s="10"/>
      <c r="C571" s="12"/>
      <c r="D571" s="896"/>
      <c r="E571" s="896"/>
      <c r="F571" s="896"/>
      <c r="G571" s="896"/>
      <c r="H571" s="896"/>
      <c r="I571" s="896"/>
      <c r="J571" s="896"/>
      <c r="K571" s="896"/>
      <c r="L571" s="897"/>
      <c r="M571" s="896"/>
      <c r="N571" s="889"/>
      <c r="O571" s="896"/>
      <c r="P571" s="889"/>
      <c r="Q571" s="900"/>
      <c r="R571" s="896"/>
      <c r="S571" s="896"/>
      <c r="T571" s="898"/>
      <c r="U571" s="898"/>
      <c r="V571" s="899"/>
      <c r="W571" s="899"/>
      <c r="X571" s="899"/>
      <c r="Y571" s="899"/>
      <c r="Z571" s="899"/>
      <c r="AA571" s="899"/>
      <c r="AB571" s="899"/>
      <c r="AC571" s="899"/>
      <c r="AD571" s="899"/>
      <c r="AE571" s="899"/>
      <c r="AF571" s="899"/>
      <c r="AG571" s="899"/>
    </row>
    <row r="572" spans="1:34" s="3" customFormat="1" ht="16" customHeight="1">
      <c r="A572" s="36"/>
      <c r="B572" s="33"/>
      <c r="C572" s="33"/>
      <c r="D572" s="34"/>
      <c r="E572" s="34"/>
      <c r="F572" s="35"/>
      <c r="G572" s="34"/>
      <c r="H572" s="35"/>
      <c r="I572" s="35"/>
      <c r="J572" s="34"/>
      <c r="K572" s="34"/>
      <c r="L572" s="288"/>
      <c r="M572" s="35"/>
      <c r="N572" s="35"/>
      <c r="O572" s="34"/>
      <c r="P572" s="35"/>
      <c r="Q572" s="35"/>
      <c r="R572" s="34"/>
      <c r="S572" s="35"/>
      <c r="T572" s="34"/>
      <c r="U572" s="34"/>
      <c r="V572" s="36"/>
      <c r="W572" s="36"/>
      <c r="X572" s="36"/>
      <c r="Y572" s="36"/>
      <c r="Z572" s="36"/>
      <c r="AA572" s="36"/>
      <c r="AB572" s="36"/>
      <c r="AC572" s="36"/>
      <c r="AD572" s="36"/>
      <c r="AE572" s="36"/>
      <c r="AF572" s="36"/>
      <c r="AG572" s="36"/>
    </row>
    <row r="573" spans="1:34" s="3" customFormat="1" ht="16" customHeight="1" thickBot="1">
      <c r="A573" s="7"/>
      <c r="B573" s="19" t="str">
        <f>"FA4 = "&amp;'FIG3'!$W$55&amp;" "&amp;'FIG3'!$X$55</f>
        <v>FA4 = FA4L1 FA4L2</v>
      </c>
      <c r="C573" s="7"/>
      <c r="D573" s="17"/>
      <c r="E573" s="17"/>
      <c r="F573" s="18"/>
      <c r="G573" s="17"/>
      <c r="H573" s="18"/>
      <c r="I573" s="18"/>
      <c r="J573" s="17"/>
      <c r="K573" s="17"/>
      <c r="L573" s="281"/>
      <c r="M573" s="18"/>
      <c r="N573" s="9"/>
      <c r="O573" s="17"/>
      <c r="P573" s="18"/>
      <c r="Q573" s="18"/>
      <c r="R573" s="17"/>
      <c r="S573" s="882"/>
      <c r="T573" s="883" t="str">
        <f>'$REV-DB'!$T$34</f>
        <v>Federal Revenues</v>
      </c>
      <c r="U573" s="883" t="str">
        <f>'$REV-DB'!$U$34</f>
        <v>local Revenues</v>
      </c>
      <c r="V573" s="883" t="str">
        <f>'$REV-DB'!$V$34</f>
        <v>Other Revenues</v>
      </c>
      <c r="W573" s="883" t="str">
        <f>'$REV-DB'!$W$34</f>
        <v>State revenues</v>
      </c>
      <c r="X573" s="883" t="str">
        <f>'$REV-DB'!$X$34</f>
        <v>UD5</v>
      </c>
      <c r="Y573" s="883" t="str">
        <f>'$REV-DB'!$Y$34</f>
        <v>UD6</v>
      </c>
      <c r="Z573" s="883" t="str">
        <f>'$REV-DB'!$Z$34</f>
        <v>UD7</v>
      </c>
      <c r="AA573" s="883" t="str">
        <f>'$REV-DB'!$AA$34</f>
        <v>UD8</v>
      </c>
      <c r="AB573" s="883" t="str">
        <f>'$REV-DB'!$AB$34</f>
        <v>UD9</v>
      </c>
      <c r="AC573" s="883" t="str">
        <f>'$REV-DB'!$AC$34</f>
        <v>UD10</v>
      </c>
      <c r="AD573" s="883" t="str">
        <f>'$REV-DB'!$AD$34</f>
        <v>UD11</v>
      </c>
      <c r="AE573" s="883" t="str">
        <f>'$REV-DB'!$AE$34</f>
        <v>UD12</v>
      </c>
      <c r="AF573" s="883" t="str">
        <f>'$REV-DB'!$AF$34</f>
        <v>UD13</v>
      </c>
      <c r="AG573" s="883" t="str">
        <f>'$REV-DB'!$AG$34</f>
        <v>UD14</v>
      </c>
    </row>
    <row r="574" spans="1:34" s="3" customFormat="1" ht="16" customHeight="1" thickTop="1" thickBot="1">
      <c r="A574" s="7"/>
      <c r="B574" s="20" t="s">
        <v>1399</v>
      </c>
      <c r="C574" s="15"/>
      <c r="D574" s="877" t="s">
        <v>1386</v>
      </c>
      <c r="E574" s="877" t="s">
        <v>1387</v>
      </c>
      <c r="F574" s="877" t="s">
        <v>1388</v>
      </c>
      <c r="G574" s="877" t="s">
        <v>1389</v>
      </c>
      <c r="H574" s="877" t="s">
        <v>1406</v>
      </c>
      <c r="I574" s="877" t="s">
        <v>1390</v>
      </c>
      <c r="J574" s="877" t="s">
        <v>1391</v>
      </c>
      <c r="K574" s="877" t="s">
        <v>1392</v>
      </c>
      <c r="L574" s="877" t="s">
        <v>1188</v>
      </c>
      <c r="M574" s="877" t="s">
        <v>1437</v>
      </c>
      <c r="N574" s="877" t="s">
        <v>1348</v>
      </c>
      <c r="O574" s="877" t="s">
        <v>1393</v>
      </c>
      <c r="P574" s="877" t="s">
        <v>1342</v>
      </c>
      <c r="Q574" s="877" t="s">
        <v>1394</v>
      </c>
      <c r="R574" s="112" t="s">
        <v>1341</v>
      </c>
      <c r="S574" s="112" t="s">
        <v>846</v>
      </c>
      <c r="T574" s="877" t="s">
        <v>935</v>
      </c>
      <c r="U574" s="877" t="s">
        <v>936</v>
      </c>
      <c r="V574" s="877" t="s">
        <v>937</v>
      </c>
      <c r="W574" s="877" t="s">
        <v>938</v>
      </c>
      <c r="X574" s="877" t="s">
        <v>939</v>
      </c>
      <c r="Y574" s="877" t="s">
        <v>940</v>
      </c>
      <c r="Z574" s="877" t="s">
        <v>941</v>
      </c>
      <c r="AA574" s="877" t="s">
        <v>942</v>
      </c>
      <c r="AB574" s="877" t="s">
        <v>943</v>
      </c>
      <c r="AC574" s="877" t="s">
        <v>944</v>
      </c>
      <c r="AD574" s="877" t="s">
        <v>945</v>
      </c>
      <c r="AE574" s="877" t="s">
        <v>946</v>
      </c>
      <c r="AF574" s="877" t="s">
        <v>947</v>
      </c>
      <c r="AG574" s="877" t="s">
        <v>948</v>
      </c>
      <c r="AH574" s="6"/>
    </row>
    <row r="575" spans="1:34" s="3" customFormat="1" ht="16" customHeight="1" thickTop="1">
      <c r="A575" s="7"/>
      <c r="B575" s="19" t="s">
        <v>1346</v>
      </c>
      <c r="C575" s="12"/>
      <c r="D575" s="199"/>
      <c r="E575" s="199"/>
      <c r="F575" s="199"/>
      <c r="G575" s="199"/>
      <c r="H575" s="199"/>
      <c r="I575" s="199"/>
      <c r="J575" s="199"/>
      <c r="K575" s="199"/>
      <c r="L575" s="289" t="s">
        <v>1429</v>
      </c>
      <c r="M575" s="199"/>
      <c r="N575" s="40" t="str">
        <f>J$6</f>
        <v>FY2010-11</v>
      </c>
      <c r="O575" s="40" t="s">
        <v>1355</v>
      </c>
      <c r="P575" s="40" t="s">
        <v>1338</v>
      </c>
      <c r="Q575" s="199"/>
      <c r="R575" s="199"/>
      <c r="S575" s="199"/>
      <c r="T575" s="200"/>
      <c r="U575" s="200"/>
      <c r="V575" s="201"/>
      <c r="W575" s="201"/>
      <c r="X575" s="201"/>
      <c r="Y575" s="201"/>
      <c r="Z575" s="201"/>
      <c r="AA575" s="201"/>
      <c r="AB575" s="201"/>
      <c r="AC575" s="201"/>
      <c r="AD575" s="201"/>
      <c r="AE575" s="201"/>
      <c r="AF575" s="201"/>
      <c r="AG575" s="201"/>
      <c r="AH575" s="6"/>
    </row>
    <row r="576" spans="1:34" s="3" customFormat="1" ht="16" customHeight="1">
      <c r="A576" s="7"/>
      <c r="B576" s="16">
        <f>DSUM('$REV-DB'!D35:AG374,"AMOUNT",D574:AG576)</f>
        <v>0</v>
      </c>
      <c r="C576" s="12"/>
      <c r="D576" s="199"/>
      <c r="E576" s="199"/>
      <c r="F576" s="199"/>
      <c r="G576" s="199"/>
      <c r="H576" s="199"/>
      <c r="I576" s="199"/>
      <c r="J576" s="199"/>
      <c r="K576" s="199"/>
      <c r="L576" s="289" t="s">
        <v>1429</v>
      </c>
      <c r="M576" s="199"/>
      <c r="N576" s="40" t="str">
        <f>J$6</f>
        <v>FY2010-11</v>
      </c>
      <c r="O576" s="40" t="s">
        <v>1355</v>
      </c>
      <c r="P576" s="40" t="s">
        <v>1347</v>
      </c>
      <c r="Q576" s="199"/>
      <c r="R576" s="199"/>
      <c r="S576" s="199" t="s">
        <v>1303</v>
      </c>
      <c r="T576" s="200"/>
      <c r="U576" s="200"/>
      <c r="V576" s="201"/>
      <c r="W576" s="201"/>
      <c r="X576" s="201"/>
      <c r="Y576" s="201"/>
      <c r="Z576" s="201"/>
      <c r="AA576" s="201"/>
      <c r="AB576" s="201"/>
      <c r="AC576" s="201"/>
      <c r="AD576" s="201"/>
      <c r="AE576" s="201"/>
      <c r="AF576" s="201"/>
      <c r="AG576" s="201"/>
      <c r="AH576" s="6"/>
    </row>
    <row r="577" spans="1:34" s="3" customFormat="1" ht="16" customHeight="1">
      <c r="A577" s="7"/>
      <c r="B577" s="10"/>
      <c r="C577" s="12"/>
      <c r="D577" s="896"/>
      <c r="E577" s="896"/>
      <c r="F577" s="896"/>
      <c r="G577" s="896"/>
      <c r="H577" s="896"/>
      <c r="I577" s="896"/>
      <c r="J577" s="896"/>
      <c r="K577" s="896"/>
      <c r="L577" s="897"/>
      <c r="M577" s="896"/>
      <c r="N577" s="889"/>
      <c r="O577" s="889"/>
      <c r="P577" s="889"/>
      <c r="Q577" s="896"/>
      <c r="R577" s="896"/>
      <c r="S577" s="896"/>
      <c r="T577" s="898"/>
      <c r="U577" s="898"/>
      <c r="V577" s="899"/>
      <c r="W577" s="899"/>
      <c r="X577" s="899"/>
      <c r="Y577" s="899"/>
      <c r="Z577" s="899"/>
      <c r="AA577" s="899"/>
      <c r="AB577" s="899"/>
      <c r="AC577" s="899"/>
      <c r="AD577" s="899"/>
      <c r="AE577" s="899"/>
      <c r="AF577" s="899"/>
      <c r="AG577" s="899"/>
    </row>
    <row r="578" spans="1:34" s="3" customFormat="1" ht="16" customHeight="1">
      <c r="A578" s="7"/>
      <c r="B578" s="10"/>
      <c r="C578" s="12"/>
      <c r="D578" s="896"/>
      <c r="E578" s="896"/>
      <c r="F578" s="896"/>
      <c r="G578" s="896"/>
      <c r="H578" s="896"/>
      <c r="I578" s="896"/>
      <c r="J578" s="896"/>
      <c r="K578" s="896"/>
      <c r="L578" s="897"/>
      <c r="M578" s="896"/>
      <c r="N578" s="889"/>
      <c r="O578" s="889"/>
      <c r="P578" s="889"/>
      <c r="Q578" s="896"/>
      <c r="R578" s="896"/>
      <c r="S578" s="896"/>
      <c r="T578" s="898"/>
      <c r="U578" s="898"/>
      <c r="V578" s="899"/>
      <c r="W578" s="899"/>
      <c r="X578" s="899"/>
      <c r="Y578" s="899"/>
      <c r="Z578" s="899"/>
      <c r="AA578" s="899"/>
      <c r="AB578" s="899"/>
      <c r="AC578" s="899"/>
      <c r="AD578" s="899"/>
      <c r="AE578" s="899"/>
      <c r="AF578" s="899"/>
      <c r="AG578" s="899"/>
    </row>
    <row r="579" spans="1:34" s="3" customFormat="1" ht="16" customHeight="1">
      <c r="A579" s="7"/>
      <c r="B579" s="10"/>
      <c r="C579" s="12"/>
      <c r="D579" s="896"/>
      <c r="E579" s="896"/>
      <c r="F579" s="896"/>
      <c r="G579" s="896"/>
      <c r="H579" s="896"/>
      <c r="I579" s="896"/>
      <c r="J579" s="896"/>
      <c r="K579" s="896"/>
      <c r="L579" s="897"/>
      <c r="M579" s="896"/>
      <c r="N579" s="889"/>
      <c r="O579" s="889"/>
      <c r="P579" s="889"/>
      <c r="Q579" s="896"/>
      <c r="R579" s="896"/>
      <c r="S579" s="896"/>
      <c r="T579" s="898"/>
      <c r="U579" s="898"/>
      <c r="V579" s="899"/>
      <c r="W579" s="899"/>
      <c r="X579" s="899"/>
      <c r="Y579" s="899"/>
      <c r="Z579" s="899"/>
      <c r="AA579" s="899"/>
      <c r="AB579" s="899"/>
      <c r="AC579" s="899"/>
      <c r="AD579" s="899"/>
      <c r="AE579" s="899"/>
      <c r="AF579" s="899"/>
      <c r="AG579" s="899"/>
    </row>
    <row r="580" spans="1:34" s="3" customFormat="1" ht="16" customHeight="1">
      <c r="A580" s="7"/>
      <c r="B580" s="10"/>
      <c r="C580" s="12"/>
      <c r="D580" s="896"/>
      <c r="E580" s="896"/>
      <c r="F580" s="896"/>
      <c r="G580" s="896"/>
      <c r="H580" s="896"/>
      <c r="I580" s="896"/>
      <c r="J580" s="896"/>
      <c r="K580" s="896"/>
      <c r="L580" s="897"/>
      <c r="M580" s="896"/>
      <c r="N580" s="889"/>
      <c r="O580" s="889"/>
      <c r="P580" s="889"/>
      <c r="Q580" s="896"/>
      <c r="R580" s="896"/>
      <c r="S580" s="896"/>
      <c r="T580" s="898"/>
      <c r="U580" s="898"/>
      <c r="V580" s="899"/>
      <c r="W580" s="899"/>
      <c r="X580" s="899"/>
      <c r="Y580" s="899"/>
      <c r="Z580" s="899"/>
      <c r="AA580" s="899"/>
      <c r="AB580" s="899"/>
      <c r="AC580" s="899"/>
      <c r="AD580" s="899"/>
      <c r="AE580" s="899"/>
      <c r="AF580" s="899"/>
      <c r="AG580" s="899"/>
    </row>
    <row r="581" spans="1:34" s="3" customFormat="1" ht="16" customHeight="1">
      <c r="A581" s="7"/>
      <c r="B581" s="10"/>
      <c r="C581" s="12"/>
      <c r="D581" s="896"/>
      <c r="E581" s="896"/>
      <c r="F581" s="896"/>
      <c r="G581" s="896"/>
      <c r="H581" s="896"/>
      <c r="I581" s="896"/>
      <c r="J581" s="896"/>
      <c r="K581" s="896"/>
      <c r="L581" s="897"/>
      <c r="M581" s="896"/>
      <c r="N581" s="889"/>
      <c r="O581" s="889"/>
      <c r="P581" s="889"/>
      <c r="Q581" s="896"/>
      <c r="R581" s="896"/>
      <c r="S581" s="896"/>
      <c r="T581" s="898"/>
      <c r="U581" s="898"/>
      <c r="V581" s="899"/>
      <c r="W581" s="899"/>
      <c r="X581" s="899"/>
      <c r="Y581" s="899"/>
      <c r="Z581" s="899"/>
      <c r="AA581" s="899"/>
      <c r="AB581" s="899"/>
      <c r="AC581" s="899"/>
      <c r="AD581" s="899"/>
      <c r="AE581" s="899"/>
      <c r="AF581" s="899"/>
      <c r="AG581" s="899"/>
    </row>
    <row r="582" spans="1:34" s="3" customFormat="1" ht="16" customHeight="1">
      <c r="A582" s="36"/>
      <c r="B582" s="33"/>
      <c r="C582" s="33"/>
      <c r="D582" s="34"/>
      <c r="E582" s="34"/>
      <c r="F582" s="35"/>
      <c r="G582" s="34"/>
      <c r="H582" s="35"/>
      <c r="I582" s="35"/>
      <c r="J582" s="34"/>
      <c r="K582" s="34"/>
      <c r="L582" s="288"/>
      <c r="M582" s="35"/>
      <c r="N582" s="35"/>
      <c r="O582" s="34"/>
      <c r="P582" s="35"/>
      <c r="Q582" s="35"/>
      <c r="R582" s="34"/>
      <c r="S582" s="35"/>
      <c r="T582" s="34"/>
      <c r="U582" s="34"/>
      <c r="V582" s="36"/>
      <c r="W582" s="36"/>
      <c r="X582" s="36"/>
      <c r="Y582" s="36"/>
      <c r="Z582" s="36"/>
      <c r="AA582" s="36"/>
      <c r="AB582" s="36"/>
      <c r="AC582" s="36"/>
      <c r="AD582" s="36"/>
      <c r="AE582" s="36"/>
      <c r="AF582" s="36"/>
      <c r="AG582" s="36"/>
    </row>
    <row r="583" spans="1:34" s="3" customFormat="1" ht="16" customHeight="1" thickBot="1">
      <c r="A583" s="7"/>
      <c r="B583" s="19" t="str">
        <f>"FA4 = "&amp;'FIG3'!$W$55&amp;" "&amp;'FIG3'!$X$55</f>
        <v>FA4 = FA4L1 FA4L2</v>
      </c>
      <c r="C583" s="7"/>
      <c r="D583" s="8"/>
      <c r="E583" s="8"/>
      <c r="F583" s="9"/>
      <c r="G583" s="8"/>
      <c r="H583" s="9"/>
      <c r="I583" s="9"/>
      <c r="J583" s="8"/>
      <c r="K583" s="8"/>
      <c r="L583" s="280"/>
      <c r="M583" s="9"/>
      <c r="N583" s="9"/>
      <c r="O583" s="8"/>
      <c r="P583" s="9"/>
      <c r="Q583" s="9"/>
      <c r="R583" s="8"/>
      <c r="S583" s="882"/>
      <c r="T583" s="883" t="str">
        <f>'$REV-DB'!$T$34</f>
        <v>Federal Revenues</v>
      </c>
      <c r="U583" s="883" t="str">
        <f>'$REV-DB'!$U$34</f>
        <v>local Revenues</v>
      </c>
      <c r="V583" s="883" t="str">
        <f>'$REV-DB'!$V$34</f>
        <v>Other Revenues</v>
      </c>
      <c r="W583" s="883" t="str">
        <f>'$REV-DB'!$W$34</f>
        <v>State revenues</v>
      </c>
      <c r="X583" s="883" t="str">
        <f>'$REV-DB'!$X$34</f>
        <v>UD5</v>
      </c>
      <c r="Y583" s="883" t="str">
        <f>'$REV-DB'!$Y$34</f>
        <v>UD6</v>
      </c>
      <c r="Z583" s="883" t="str">
        <f>'$REV-DB'!$Z$34</f>
        <v>UD7</v>
      </c>
      <c r="AA583" s="883" t="str">
        <f>'$REV-DB'!$AA$34</f>
        <v>UD8</v>
      </c>
      <c r="AB583" s="883" t="str">
        <f>'$REV-DB'!$AB$34</f>
        <v>UD9</v>
      </c>
      <c r="AC583" s="883" t="str">
        <f>'$REV-DB'!$AC$34</f>
        <v>UD10</v>
      </c>
      <c r="AD583" s="883" t="str">
        <f>'$REV-DB'!$AD$34</f>
        <v>UD11</v>
      </c>
      <c r="AE583" s="883" t="str">
        <f>'$REV-DB'!$AE$34</f>
        <v>UD12</v>
      </c>
      <c r="AF583" s="883" t="str">
        <f>'$REV-DB'!$AF$34</f>
        <v>UD13</v>
      </c>
      <c r="AG583" s="883" t="str">
        <f>'$REV-DB'!$AG$34</f>
        <v>UD14</v>
      </c>
    </row>
    <row r="584" spans="1:34" s="3" customFormat="1" ht="16" customHeight="1" thickTop="1" thickBot="1">
      <c r="A584" s="7"/>
      <c r="B584" s="20" t="s">
        <v>1399</v>
      </c>
      <c r="C584" s="15"/>
      <c r="D584" s="877" t="s">
        <v>1386</v>
      </c>
      <c r="E584" s="877" t="s">
        <v>1387</v>
      </c>
      <c r="F584" s="877" t="s">
        <v>1388</v>
      </c>
      <c r="G584" s="877" t="s">
        <v>1389</v>
      </c>
      <c r="H584" s="877" t="s">
        <v>1406</v>
      </c>
      <c r="I584" s="877" t="s">
        <v>1390</v>
      </c>
      <c r="J584" s="877" t="s">
        <v>1391</v>
      </c>
      <c r="K584" s="877" t="s">
        <v>1392</v>
      </c>
      <c r="L584" s="877" t="s">
        <v>1188</v>
      </c>
      <c r="M584" s="877" t="s">
        <v>1437</v>
      </c>
      <c r="N584" s="877" t="s">
        <v>1348</v>
      </c>
      <c r="O584" s="877" t="s">
        <v>1393</v>
      </c>
      <c r="P584" s="877" t="s">
        <v>1342</v>
      </c>
      <c r="Q584" s="877" t="s">
        <v>1394</v>
      </c>
      <c r="R584" s="112" t="s">
        <v>1341</v>
      </c>
      <c r="S584" s="112" t="s">
        <v>846</v>
      </c>
      <c r="T584" s="877" t="s">
        <v>935</v>
      </c>
      <c r="U584" s="877" t="s">
        <v>936</v>
      </c>
      <c r="V584" s="877" t="s">
        <v>937</v>
      </c>
      <c r="W584" s="877" t="s">
        <v>938</v>
      </c>
      <c r="X584" s="877" t="s">
        <v>939</v>
      </c>
      <c r="Y584" s="877" t="s">
        <v>940</v>
      </c>
      <c r="Z584" s="877" t="s">
        <v>941</v>
      </c>
      <c r="AA584" s="877" t="s">
        <v>942</v>
      </c>
      <c r="AB584" s="877" t="s">
        <v>943</v>
      </c>
      <c r="AC584" s="877" t="s">
        <v>944</v>
      </c>
      <c r="AD584" s="877" t="s">
        <v>945</v>
      </c>
      <c r="AE584" s="877" t="s">
        <v>946</v>
      </c>
      <c r="AF584" s="877" t="s">
        <v>947</v>
      </c>
      <c r="AG584" s="877" t="s">
        <v>948</v>
      </c>
      <c r="AH584" s="6"/>
    </row>
    <row r="585" spans="1:34" s="3" customFormat="1" ht="16" customHeight="1" thickTop="1">
      <c r="A585" s="7"/>
      <c r="B585" s="19" t="s">
        <v>1345</v>
      </c>
      <c r="C585" s="12"/>
      <c r="D585" s="200"/>
      <c r="E585" s="200"/>
      <c r="F585" s="199"/>
      <c r="G585" s="200"/>
      <c r="H585" s="199"/>
      <c r="I585" s="199"/>
      <c r="J585" s="200"/>
      <c r="K585" s="200"/>
      <c r="L585" s="289" t="s">
        <v>1429</v>
      </c>
      <c r="M585" s="199"/>
      <c r="N585" s="40" t="str">
        <f>J$6</f>
        <v>FY2010-11</v>
      </c>
      <c r="O585" s="40" t="s">
        <v>1355</v>
      </c>
      <c r="P585" s="40" t="s">
        <v>1338</v>
      </c>
      <c r="Q585" s="40" t="s">
        <v>1380</v>
      </c>
      <c r="R585" s="200"/>
      <c r="S585" s="199"/>
      <c r="T585" s="200"/>
      <c r="U585" s="200"/>
      <c r="V585" s="201"/>
      <c r="W585" s="201"/>
      <c r="X585" s="201"/>
      <c r="Y585" s="201"/>
      <c r="Z585" s="201"/>
      <c r="AA585" s="201"/>
      <c r="AB585" s="201"/>
      <c r="AC585" s="201"/>
      <c r="AD585" s="201"/>
      <c r="AE585" s="201"/>
      <c r="AF585" s="201"/>
      <c r="AG585" s="201"/>
      <c r="AH585" s="6"/>
    </row>
    <row r="586" spans="1:34" s="3" customFormat="1" ht="16" customHeight="1">
      <c r="A586" s="7"/>
      <c r="B586" s="16">
        <f>DSUM('$REV-DB'!D35:AG374,"AMOUNT",D584:AG586)</f>
        <v>0</v>
      </c>
      <c r="C586" s="12"/>
      <c r="D586" s="200"/>
      <c r="E586" s="200"/>
      <c r="F586" s="199"/>
      <c r="G586" s="200"/>
      <c r="H586" s="199"/>
      <c r="I586" s="199"/>
      <c r="J586" s="200"/>
      <c r="K586" s="200"/>
      <c r="L586" s="289" t="s">
        <v>1429</v>
      </c>
      <c r="M586" s="199"/>
      <c r="N586" s="40" t="str">
        <f>J$6</f>
        <v>FY2010-11</v>
      </c>
      <c r="O586" s="40" t="s">
        <v>1355</v>
      </c>
      <c r="P586" s="40" t="s">
        <v>1347</v>
      </c>
      <c r="Q586" s="40" t="s">
        <v>1380</v>
      </c>
      <c r="R586" s="200"/>
      <c r="S586" s="199" t="s">
        <v>1303</v>
      </c>
      <c r="T586" s="200"/>
      <c r="U586" s="200"/>
      <c r="V586" s="201"/>
      <c r="W586" s="201"/>
      <c r="X586" s="201"/>
      <c r="Y586" s="201"/>
      <c r="Z586" s="201"/>
      <c r="AA586" s="201"/>
      <c r="AB586" s="201"/>
      <c r="AC586" s="201"/>
      <c r="AD586" s="201"/>
      <c r="AE586" s="201"/>
      <c r="AF586" s="201"/>
      <c r="AG586" s="201"/>
      <c r="AH586" s="6"/>
    </row>
    <row r="587" spans="1:34" s="3" customFormat="1" ht="16" customHeight="1">
      <c r="A587" s="7"/>
      <c r="B587" s="10"/>
      <c r="C587" s="12"/>
      <c r="D587" s="896"/>
      <c r="E587" s="896"/>
      <c r="F587" s="896"/>
      <c r="G587" s="896"/>
      <c r="H587" s="896"/>
      <c r="I587" s="896"/>
      <c r="J587" s="896"/>
      <c r="K587" s="896"/>
      <c r="L587" s="897"/>
      <c r="M587" s="896"/>
      <c r="N587" s="889"/>
      <c r="O587" s="889"/>
      <c r="P587" s="889"/>
      <c r="Q587" s="896"/>
      <c r="R587" s="896"/>
      <c r="S587" s="896"/>
      <c r="T587" s="898"/>
      <c r="U587" s="898"/>
      <c r="V587" s="899"/>
      <c r="W587" s="899"/>
      <c r="X587" s="899"/>
      <c r="Y587" s="899"/>
      <c r="Z587" s="899"/>
      <c r="AA587" s="899"/>
      <c r="AB587" s="899"/>
      <c r="AC587" s="899"/>
      <c r="AD587" s="899"/>
      <c r="AE587" s="899"/>
      <c r="AF587" s="899"/>
      <c r="AG587" s="899"/>
    </row>
    <row r="588" spans="1:34" s="3" customFormat="1" ht="16" customHeight="1">
      <c r="A588" s="7"/>
      <c r="B588" s="10"/>
      <c r="C588" s="12"/>
      <c r="D588" s="896"/>
      <c r="E588" s="896"/>
      <c r="F588" s="896"/>
      <c r="G588" s="896"/>
      <c r="H588" s="896"/>
      <c r="I588" s="896"/>
      <c r="J588" s="896"/>
      <c r="K588" s="896"/>
      <c r="L588" s="897"/>
      <c r="M588" s="896"/>
      <c r="N588" s="889"/>
      <c r="O588" s="889"/>
      <c r="P588" s="889"/>
      <c r="Q588" s="896"/>
      <c r="R588" s="896"/>
      <c r="S588" s="896"/>
      <c r="T588" s="898"/>
      <c r="U588" s="898"/>
      <c r="V588" s="899"/>
      <c r="W588" s="899"/>
      <c r="X588" s="899"/>
      <c r="Y588" s="899"/>
      <c r="Z588" s="899"/>
      <c r="AA588" s="899"/>
      <c r="AB588" s="899"/>
      <c r="AC588" s="899"/>
      <c r="AD588" s="899"/>
      <c r="AE588" s="899"/>
      <c r="AF588" s="899"/>
      <c r="AG588" s="899"/>
    </row>
    <row r="589" spans="1:34" s="3" customFormat="1" ht="16" customHeight="1">
      <c r="A589" s="7"/>
      <c r="B589" s="10"/>
      <c r="C589" s="12"/>
      <c r="D589" s="896"/>
      <c r="E589" s="896"/>
      <c r="F589" s="896"/>
      <c r="G589" s="896"/>
      <c r="H589" s="896"/>
      <c r="I589" s="896"/>
      <c r="J589" s="896"/>
      <c r="K589" s="896"/>
      <c r="L589" s="897"/>
      <c r="M589" s="896"/>
      <c r="N589" s="889"/>
      <c r="O589" s="889"/>
      <c r="P589" s="889"/>
      <c r="Q589" s="896"/>
      <c r="R589" s="896"/>
      <c r="S589" s="896"/>
      <c r="T589" s="898"/>
      <c r="U589" s="898"/>
      <c r="V589" s="899"/>
      <c r="W589" s="899"/>
      <c r="X589" s="899"/>
      <c r="Y589" s="899"/>
      <c r="Z589" s="899"/>
      <c r="AA589" s="899"/>
      <c r="AB589" s="899"/>
      <c r="AC589" s="899"/>
      <c r="AD589" s="899"/>
      <c r="AE589" s="899"/>
      <c r="AF589" s="899"/>
      <c r="AG589" s="899"/>
    </row>
    <row r="590" spans="1:34" s="3" customFormat="1" ht="16" customHeight="1">
      <c r="A590" s="7"/>
      <c r="B590" s="10"/>
      <c r="C590" s="12"/>
      <c r="D590" s="896"/>
      <c r="E590" s="896"/>
      <c r="F590" s="896"/>
      <c r="G590" s="896"/>
      <c r="H590" s="896"/>
      <c r="I590" s="896"/>
      <c r="J590" s="896"/>
      <c r="K590" s="896"/>
      <c r="L590" s="897"/>
      <c r="M590" s="896"/>
      <c r="N590" s="889"/>
      <c r="O590" s="889"/>
      <c r="P590" s="889"/>
      <c r="Q590" s="896"/>
      <c r="R590" s="896"/>
      <c r="S590" s="896"/>
      <c r="T590" s="898"/>
      <c r="U590" s="898"/>
      <c r="V590" s="899"/>
      <c r="W590" s="899"/>
      <c r="X590" s="899"/>
      <c r="Y590" s="899"/>
      <c r="Z590" s="899"/>
      <c r="AA590" s="899"/>
      <c r="AB590" s="899"/>
      <c r="AC590" s="899"/>
      <c r="AD590" s="899"/>
      <c r="AE590" s="899"/>
      <c r="AF590" s="899"/>
      <c r="AG590" s="899"/>
    </row>
    <row r="591" spans="1:34" s="3" customFormat="1" ht="16" customHeight="1">
      <c r="A591" s="7"/>
      <c r="B591" s="10"/>
      <c r="C591" s="12"/>
      <c r="D591" s="896"/>
      <c r="E591" s="896"/>
      <c r="F591" s="896"/>
      <c r="G591" s="896"/>
      <c r="H591" s="896"/>
      <c r="I591" s="896"/>
      <c r="J591" s="896"/>
      <c r="K591" s="896"/>
      <c r="L591" s="897"/>
      <c r="M591" s="896"/>
      <c r="N591" s="889"/>
      <c r="O591" s="889"/>
      <c r="P591" s="889"/>
      <c r="Q591" s="896"/>
      <c r="R591" s="896"/>
      <c r="S591" s="896"/>
      <c r="T591" s="898"/>
      <c r="U591" s="898"/>
      <c r="V591" s="899"/>
      <c r="W591" s="899"/>
      <c r="X591" s="899"/>
      <c r="Y591" s="899"/>
      <c r="Z591" s="899"/>
      <c r="AA591" s="899"/>
      <c r="AB591" s="899"/>
      <c r="AC591" s="899"/>
      <c r="AD591" s="899"/>
      <c r="AE591" s="899"/>
      <c r="AF591" s="899"/>
      <c r="AG591" s="899"/>
    </row>
    <row r="592" spans="1:34" s="3" customFormat="1" ht="16" customHeight="1">
      <c r="A592" s="36"/>
      <c r="B592" s="33"/>
      <c r="C592" s="33"/>
      <c r="D592" s="34"/>
      <c r="E592" s="34"/>
      <c r="F592" s="35"/>
      <c r="G592" s="34"/>
      <c r="H592" s="35"/>
      <c r="I592" s="35"/>
      <c r="J592" s="34"/>
      <c r="K592" s="34"/>
      <c r="L592" s="288"/>
      <c r="M592" s="35"/>
      <c r="N592" s="35"/>
      <c r="O592" s="34"/>
      <c r="P592" s="35"/>
      <c r="Q592" s="35"/>
      <c r="R592" s="34"/>
      <c r="S592" s="35"/>
      <c r="T592" s="34"/>
      <c r="U592" s="34"/>
      <c r="V592" s="36"/>
      <c r="W592" s="36"/>
      <c r="X592" s="36"/>
      <c r="Y592" s="36"/>
      <c r="Z592" s="36"/>
      <c r="AA592" s="36"/>
      <c r="AB592" s="36"/>
      <c r="AC592" s="36"/>
      <c r="AD592" s="36"/>
      <c r="AE592" s="36"/>
      <c r="AF592" s="36"/>
      <c r="AG592" s="36"/>
    </row>
    <row r="593" spans="1:34" s="3" customFormat="1" ht="16" customHeight="1" thickBot="1">
      <c r="A593" s="7"/>
      <c r="B593" s="19" t="str">
        <f>"FA4 = "&amp;'FIG3'!$W$55&amp;" "&amp;'FIG3'!$X$55</f>
        <v>FA4 = FA4L1 FA4L2</v>
      </c>
      <c r="C593" s="7"/>
      <c r="D593" s="8"/>
      <c r="E593" s="8"/>
      <c r="F593" s="9"/>
      <c r="G593" s="8"/>
      <c r="H593" s="9"/>
      <c r="I593" s="9"/>
      <c r="J593" s="8"/>
      <c r="K593" s="8"/>
      <c r="L593" s="280"/>
      <c r="M593" s="9"/>
      <c r="N593" s="9"/>
      <c r="O593" s="8"/>
      <c r="P593" s="9"/>
      <c r="Q593" s="9"/>
      <c r="R593" s="8"/>
      <c r="S593" s="882"/>
      <c r="T593" s="883" t="str">
        <f>'$REV-DB'!$T$34</f>
        <v>Federal Revenues</v>
      </c>
      <c r="U593" s="883" t="str">
        <f>'$REV-DB'!$U$34</f>
        <v>local Revenues</v>
      </c>
      <c r="V593" s="883" t="str">
        <f>'$REV-DB'!$V$34</f>
        <v>Other Revenues</v>
      </c>
      <c r="W593" s="883" t="str">
        <f>'$REV-DB'!$W$34</f>
        <v>State revenues</v>
      </c>
      <c r="X593" s="883" t="str">
        <f>'$REV-DB'!$X$34</f>
        <v>UD5</v>
      </c>
      <c r="Y593" s="883" t="str">
        <f>'$REV-DB'!$Y$34</f>
        <v>UD6</v>
      </c>
      <c r="Z593" s="883" t="str">
        <f>'$REV-DB'!$Z$34</f>
        <v>UD7</v>
      </c>
      <c r="AA593" s="883" t="str">
        <f>'$REV-DB'!$AA$34</f>
        <v>UD8</v>
      </c>
      <c r="AB593" s="883" t="str">
        <f>'$REV-DB'!$AB$34</f>
        <v>UD9</v>
      </c>
      <c r="AC593" s="883" t="str">
        <f>'$REV-DB'!$AC$34</f>
        <v>UD10</v>
      </c>
      <c r="AD593" s="883" t="str">
        <f>'$REV-DB'!$AD$34</f>
        <v>UD11</v>
      </c>
      <c r="AE593" s="883" t="str">
        <f>'$REV-DB'!$AE$34</f>
        <v>UD12</v>
      </c>
      <c r="AF593" s="883" t="str">
        <f>'$REV-DB'!$AF$34</f>
        <v>UD13</v>
      </c>
      <c r="AG593" s="883" t="str">
        <f>'$REV-DB'!$AG$34</f>
        <v>UD14</v>
      </c>
    </row>
    <row r="594" spans="1:34" s="3" customFormat="1" ht="16" customHeight="1" thickTop="1" thickBot="1">
      <c r="A594" s="7"/>
      <c r="B594" s="20" t="s">
        <v>1399</v>
      </c>
      <c r="C594" s="15"/>
      <c r="D594" s="877" t="s">
        <v>1386</v>
      </c>
      <c r="E594" s="877" t="s">
        <v>1387</v>
      </c>
      <c r="F594" s="877" t="s">
        <v>1388</v>
      </c>
      <c r="G594" s="877" t="s">
        <v>1389</v>
      </c>
      <c r="H594" s="877" t="s">
        <v>1406</v>
      </c>
      <c r="I594" s="877" t="s">
        <v>1390</v>
      </c>
      <c r="J594" s="877" t="s">
        <v>1391</v>
      </c>
      <c r="K594" s="877" t="s">
        <v>1392</v>
      </c>
      <c r="L594" s="877" t="s">
        <v>1188</v>
      </c>
      <c r="M594" s="877" t="s">
        <v>1437</v>
      </c>
      <c r="N594" s="877" t="s">
        <v>1348</v>
      </c>
      <c r="O594" s="877" t="s">
        <v>1393</v>
      </c>
      <c r="P594" s="877" t="s">
        <v>1342</v>
      </c>
      <c r="Q594" s="877" t="s">
        <v>1394</v>
      </c>
      <c r="R594" s="112" t="s">
        <v>1341</v>
      </c>
      <c r="S594" s="112" t="s">
        <v>846</v>
      </c>
      <c r="T594" s="877" t="s">
        <v>935</v>
      </c>
      <c r="U594" s="877" t="s">
        <v>936</v>
      </c>
      <c r="V594" s="877" t="s">
        <v>937</v>
      </c>
      <c r="W594" s="877" t="s">
        <v>938</v>
      </c>
      <c r="X594" s="877" t="s">
        <v>939</v>
      </c>
      <c r="Y594" s="877" t="s">
        <v>940</v>
      </c>
      <c r="Z594" s="877" t="s">
        <v>941</v>
      </c>
      <c r="AA594" s="877" t="s">
        <v>942</v>
      </c>
      <c r="AB594" s="877" t="s">
        <v>943</v>
      </c>
      <c r="AC594" s="877" t="s">
        <v>944</v>
      </c>
      <c r="AD594" s="877" t="s">
        <v>945</v>
      </c>
      <c r="AE594" s="877" t="s">
        <v>946</v>
      </c>
      <c r="AF594" s="877" t="s">
        <v>947</v>
      </c>
      <c r="AG594" s="877" t="s">
        <v>948</v>
      </c>
      <c r="AH594" s="6"/>
    </row>
    <row r="595" spans="1:34" s="3" customFormat="1" ht="16" customHeight="1" thickTop="1">
      <c r="A595" s="7"/>
      <c r="B595" s="19" t="s">
        <v>1344</v>
      </c>
      <c r="C595" s="12"/>
      <c r="D595" s="200"/>
      <c r="E595" s="200"/>
      <c r="F595" s="199"/>
      <c r="G595" s="200"/>
      <c r="H595" s="199"/>
      <c r="I595" s="199"/>
      <c r="J595" s="200"/>
      <c r="K595" s="200"/>
      <c r="L595" s="289" t="s">
        <v>1429</v>
      </c>
      <c r="M595" s="199"/>
      <c r="N595" s="40" t="str">
        <f>J$6</f>
        <v>FY2010-11</v>
      </c>
      <c r="O595" s="40" t="s">
        <v>1355</v>
      </c>
      <c r="P595" s="40" t="s">
        <v>1338</v>
      </c>
      <c r="Q595" s="40" t="s">
        <v>1339</v>
      </c>
      <c r="R595" s="200"/>
      <c r="S595" s="199"/>
      <c r="T595" s="200"/>
      <c r="U595" s="200"/>
      <c r="V595" s="201"/>
      <c r="W595" s="201"/>
      <c r="X595" s="201"/>
      <c r="Y595" s="201"/>
      <c r="Z595" s="201"/>
      <c r="AA595" s="201"/>
      <c r="AB595" s="201"/>
      <c r="AC595" s="201"/>
      <c r="AD595" s="201"/>
      <c r="AE595" s="201"/>
      <c r="AF595" s="201"/>
      <c r="AG595" s="201"/>
      <c r="AH595" s="6"/>
    </row>
    <row r="596" spans="1:34" s="3" customFormat="1" ht="16" customHeight="1">
      <c r="A596" s="7"/>
      <c r="B596" s="16">
        <f>DSUM('$REV-DB'!D35:AG374,"AMOUNT",D594:AG596)</f>
        <v>0</v>
      </c>
      <c r="C596" s="12"/>
      <c r="D596" s="200"/>
      <c r="E596" s="200"/>
      <c r="F596" s="199"/>
      <c r="G596" s="200"/>
      <c r="H596" s="199"/>
      <c r="I596" s="199"/>
      <c r="J596" s="200"/>
      <c r="K596" s="200"/>
      <c r="L596" s="289" t="s">
        <v>1429</v>
      </c>
      <c r="M596" s="199"/>
      <c r="N596" s="40" t="str">
        <f>J$6</f>
        <v>FY2010-11</v>
      </c>
      <c r="O596" s="40" t="s">
        <v>1355</v>
      </c>
      <c r="P596" s="40" t="s">
        <v>1347</v>
      </c>
      <c r="Q596" s="40" t="s">
        <v>1339</v>
      </c>
      <c r="R596" s="200"/>
      <c r="S596" s="199" t="s">
        <v>1303</v>
      </c>
      <c r="T596" s="200"/>
      <c r="U596" s="200"/>
      <c r="V596" s="201"/>
      <c r="W596" s="201"/>
      <c r="X596" s="201"/>
      <c r="Y596" s="201"/>
      <c r="Z596" s="201"/>
      <c r="AA596" s="201"/>
      <c r="AB596" s="201"/>
      <c r="AC596" s="201"/>
      <c r="AD596" s="201"/>
      <c r="AE596" s="201"/>
      <c r="AF596" s="201"/>
      <c r="AG596" s="201"/>
      <c r="AH596" s="6"/>
    </row>
    <row r="597" spans="1:34" s="3" customFormat="1" ht="16" customHeight="1">
      <c r="A597" s="7"/>
      <c r="B597" s="10"/>
      <c r="C597" s="12"/>
      <c r="D597" s="896"/>
      <c r="E597" s="896"/>
      <c r="F597" s="896"/>
      <c r="G597" s="896"/>
      <c r="H597" s="896"/>
      <c r="I597" s="896"/>
      <c r="J597" s="896"/>
      <c r="K597" s="896"/>
      <c r="L597" s="897"/>
      <c r="M597" s="896"/>
      <c r="N597" s="889"/>
      <c r="O597" s="889"/>
      <c r="P597" s="889"/>
      <c r="Q597" s="896"/>
      <c r="R597" s="896"/>
      <c r="S597" s="896"/>
      <c r="T597" s="898"/>
      <c r="U597" s="898"/>
      <c r="V597" s="899"/>
      <c r="W597" s="899"/>
      <c r="X597" s="899"/>
      <c r="Y597" s="899"/>
      <c r="Z597" s="899"/>
      <c r="AA597" s="899"/>
      <c r="AB597" s="899"/>
      <c r="AC597" s="899"/>
      <c r="AD597" s="899"/>
      <c r="AE597" s="899"/>
      <c r="AF597" s="899"/>
      <c r="AG597" s="899"/>
    </row>
    <row r="598" spans="1:34" s="3" customFormat="1" ht="16" customHeight="1">
      <c r="A598" s="7"/>
      <c r="B598" s="10"/>
      <c r="C598" s="12"/>
      <c r="D598" s="896"/>
      <c r="E598" s="896"/>
      <c r="F598" s="896"/>
      <c r="G598" s="896"/>
      <c r="H598" s="896"/>
      <c r="I598" s="896"/>
      <c r="J598" s="896"/>
      <c r="K598" s="896"/>
      <c r="L598" s="897"/>
      <c r="M598" s="896"/>
      <c r="N598" s="889"/>
      <c r="O598" s="889"/>
      <c r="P598" s="889"/>
      <c r="Q598" s="896"/>
      <c r="R598" s="896"/>
      <c r="S598" s="896"/>
      <c r="T598" s="898"/>
      <c r="U598" s="898"/>
      <c r="V598" s="899"/>
      <c r="W598" s="899"/>
      <c r="X598" s="899"/>
      <c r="Y598" s="899"/>
      <c r="Z598" s="899"/>
      <c r="AA598" s="899"/>
      <c r="AB598" s="899"/>
      <c r="AC598" s="899"/>
      <c r="AD598" s="899"/>
      <c r="AE598" s="899"/>
      <c r="AF598" s="899"/>
      <c r="AG598" s="899"/>
    </row>
    <row r="599" spans="1:34" s="3" customFormat="1" ht="16" customHeight="1">
      <c r="A599" s="7"/>
      <c r="B599" s="10"/>
      <c r="C599" s="12"/>
      <c r="D599" s="896"/>
      <c r="E599" s="896"/>
      <c r="F599" s="896"/>
      <c r="G599" s="896"/>
      <c r="H599" s="896"/>
      <c r="I599" s="896"/>
      <c r="J599" s="896"/>
      <c r="K599" s="896"/>
      <c r="L599" s="897"/>
      <c r="M599" s="896"/>
      <c r="N599" s="889"/>
      <c r="O599" s="889"/>
      <c r="P599" s="889"/>
      <c r="Q599" s="896"/>
      <c r="R599" s="896"/>
      <c r="S599" s="896"/>
      <c r="T599" s="898"/>
      <c r="U599" s="898"/>
      <c r="V599" s="899"/>
      <c r="W599" s="899"/>
      <c r="X599" s="899"/>
      <c r="Y599" s="899"/>
      <c r="Z599" s="899"/>
      <c r="AA599" s="899"/>
      <c r="AB599" s="899"/>
      <c r="AC599" s="899"/>
      <c r="AD599" s="899"/>
      <c r="AE599" s="899"/>
      <c r="AF599" s="899"/>
      <c r="AG599" s="899"/>
    </row>
    <row r="600" spans="1:34" s="3" customFormat="1" ht="16" customHeight="1">
      <c r="A600" s="7"/>
      <c r="B600" s="10"/>
      <c r="C600" s="12"/>
      <c r="D600" s="896"/>
      <c r="E600" s="896"/>
      <c r="F600" s="896"/>
      <c r="G600" s="896"/>
      <c r="H600" s="896"/>
      <c r="I600" s="896"/>
      <c r="J600" s="896"/>
      <c r="K600" s="896"/>
      <c r="L600" s="897"/>
      <c r="M600" s="896"/>
      <c r="N600" s="889"/>
      <c r="O600" s="889"/>
      <c r="P600" s="889"/>
      <c r="Q600" s="896"/>
      <c r="R600" s="896"/>
      <c r="S600" s="896"/>
      <c r="T600" s="898"/>
      <c r="U600" s="898"/>
      <c r="V600" s="899"/>
      <c r="W600" s="899"/>
      <c r="X600" s="899"/>
      <c r="Y600" s="899"/>
      <c r="Z600" s="899"/>
      <c r="AA600" s="899"/>
      <c r="AB600" s="899"/>
      <c r="AC600" s="899"/>
      <c r="AD600" s="899"/>
      <c r="AE600" s="899"/>
      <c r="AF600" s="899"/>
      <c r="AG600" s="899"/>
    </row>
    <row r="601" spans="1:34" s="3" customFormat="1" ht="16" customHeight="1">
      <c r="A601" s="7"/>
      <c r="B601" s="10"/>
      <c r="C601" s="12"/>
      <c r="D601" s="896"/>
      <c r="E601" s="896"/>
      <c r="F601" s="896"/>
      <c r="G601" s="896"/>
      <c r="H601" s="896"/>
      <c r="I601" s="896"/>
      <c r="J601" s="896"/>
      <c r="K601" s="896"/>
      <c r="L601" s="897"/>
      <c r="M601" s="896"/>
      <c r="N601" s="889"/>
      <c r="O601" s="889"/>
      <c r="P601" s="889"/>
      <c r="Q601" s="896"/>
      <c r="R601" s="896"/>
      <c r="S601" s="896"/>
      <c r="T601" s="898"/>
      <c r="U601" s="898"/>
      <c r="V601" s="899"/>
      <c r="W601" s="899"/>
      <c r="X601" s="899"/>
      <c r="Y601" s="899"/>
      <c r="Z601" s="899"/>
      <c r="AA601" s="899"/>
      <c r="AB601" s="899"/>
      <c r="AC601" s="899"/>
      <c r="AD601" s="899"/>
      <c r="AE601" s="899"/>
      <c r="AF601" s="899"/>
      <c r="AG601" s="899"/>
    </row>
    <row r="602" spans="1:34" s="3" customFormat="1" ht="16" customHeight="1">
      <c r="A602" s="36"/>
      <c r="B602" s="33"/>
      <c r="C602" s="33"/>
      <c r="D602" s="34"/>
      <c r="E602" s="34"/>
      <c r="F602" s="35"/>
      <c r="G602" s="34"/>
      <c r="H602" s="35"/>
      <c r="I602" s="35"/>
      <c r="J602" s="34"/>
      <c r="K602" s="34"/>
      <c r="L602" s="288"/>
      <c r="M602" s="35"/>
      <c r="N602" s="35"/>
      <c r="O602" s="34"/>
      <c r="P602" s="35"/>
      <c r="Q602" s="35"/>
      <c r="R602" s="34"/>
      <c r="S602" s="35"/>
      <c r="T602" s="34"/>
      <c r="U602" s="34"/>
      <c r="V602" s="36"/>
      <c r="W602" s="36"/>
      <c r="X602" s="36"/>
      <c r="Y602" s="36"/>
      <c r="Z602" s="36"/>
      <c r="AA602" s="36"/>
      <c r="AB602" s="36"/>
      <c r="AC602" s="36"/>
      <c r="AD602" s="36"/>
      <c r="AE602" s="36"/>
      <c r="AF602" s="36"/>
      <c r="AG602" s="36"/>
    </row>
    <row r="603" spans="1:34" s="3" customFormat="1" ht="16" customHeight="1" thickBot="1">
      <c r="A603" s="7"/>
      <c r="B603" s="19" t="str">
        <f>"FA4 = "&amp;'FIG3'!$W$55&amp;" "&amp;'FIG3'!$X$55</f>
        <v>FA4 = FA4L1 FA4L2</v>
      </c>
      <c r="C603" s="7"/>
      <c r="D603" s="8"/>
      <c r="E603" s="8"/>
      <c r="F603" s="9"/>
      <c r="G603" s="8"/>
      <c r="H603" s="9"/>
      <c r="I603" s="9"/>
      <c r="J603" s="8"/>
      <c r="K603" s="8"/>
      <c r="L603" s="280"/>
      <c r="M603" s="9"/>
      <c r="N603" s="9"/>
      <c r="O603" s="8"/>
      <c r="P603" s="9"/>
      <c r="Q603" s="9"/>
      <c r="R603" s="8"/>
      <c r="S603" s="882"/>
      <c r="T603" s="883" t="str">
        <f>'$REV-DB'!$T$34</f>
        <v>Federal Revenues</v>
      </c>
      <c r="U603" s="883" t="str">
        <f>'$REV-DB'!$U$34</f>
        <v>local Revenues</v>
      </c>
      <c r="V603" s="883" t="str">
        <f>'$REV-DB'!$V$34</f>
        <v>Other Revenues</v>
      </c>
      <c r="W603" s="883" t="str">
        <f>'$REV-DB'!$W$34</f>
        <v>State revenues</v>
      </c>
      <c r="X603" s="883" t="str">
        <f>'$REV-DB'!$X$34</f>
        <v>UD5</v>
      </c>
      <c r="Y603" s="883" t="str">
        <f>'$REV-DB'!$Y$34</f>
        <v>UD6</v>
      </c>
      <c r="Z603" s="883" t="str">
        <f>'$REV-DB'!$Z$34</f>
        <v>UD7</v>
      </c>
      <c r="AA603" s="883" t="str">
        <f>'$REV-DB'!$AA$34</f>
        <v>UD8</v>
      </c>
      <c r="AB603" s="883" t="str">
        <f>'$REV-DB'!$AB$34</f>
        <v>UD9</v>
      </c>
      <c r="AC603" s="883" t="str">
        <f>'$REV-DB'!$AC$34</f>
        <v>UD10</v>
      </c>
      <c r="AD603" s="883" t="str">
        <f>'$REV-DB'!$AD$34</f>
        <v>UD11</v>
      </c>
      <c r="AE603" s="883" t="str">
        <f>'$REV-DB'!$AE$34</f>
        <v>UD12</v>
      </c>
      <c r="AF603" s="883" t="str">
        <f>'$REV-DB'!$AF$34</f>
        <v>UD13</v>
      </c>
      <c r="AG603" s="883" t="str">
        <f>'$REV-DB'!$AG$34</f>
        <v>UD14</v>
      </c>
    </row>
    <row r="604" spans="1:34" s="3" customFormat="1" ht="16" customHeight="1" thickTop="1" thickBot="1">
      <c r="A604" s="7"/>
      <c r="B604" s="20" t="s">
        <v>1399</v>
      </c>
      <c r="C604" s="15"/>
      <c r="D604" s="877" t="s">
        <v>1386</v>
      </c>
      <c r="E604" s="877" t="s">
        <v>1387</v>
      </c>
      <c r="F604" s="877" t="s">
        <v>1388</v>
      </c>
      <c r="G604" s="877" t="s">
        <v>1389</v>
      </c>
      <c r="H604" s="877" t="s">
        <v>1406</v>
      </c>
      <c r="I604" s="877" t="s">
        <v>1390</v>
      </c>
      <c r="J604" s="877" t="s">
        <v>1391</v>
      </c>
      <c r="K604" s="877" t="s">
        <v>1392</v>
      </c>
      <c r="L604" s="877" t="s">
        <v>1188</v>
      </c>
      <c r="M604" s="877" t="s">
        <v>1437</v>
      </c>
      <c r="N604" s="877" t="s">
        <v>1348</v>
      </c>
      <c r="O604" s="877" t="s">
        <v>1393</v>
      </c>
      <c r="P604" s="877" t="s">
        <v>1342</v>
      </c>
      <c r="Q604" s="877" t="s">
        <v>1394</v>
      </c>
      <c r="R604" s="112" t="s">
        <v>1341</v>
      </c>
      <c r="S604" s="112" t="s">
        <v>846</v>
      </c>
      <c r="T604" s="877" t="s">
        <v>935</v>
      </c>
      <c r="U604" s="877" t="s">
        <v>936</v>
      </c>
      <c r="V604" s="877" t="s">
        <v>937</v>
      </c>
      <c r="W604" s="877" t="s">
        <v>938</v>
      </c>
      <c r="X604" s="877" t="s">
        <v>939</v>
      </c>
      <c r="Y604" s="877" t="s">
        <v>940</v>
      </c>
      <c r="Z604" s="877" t="s">
        <v>941</v>
      </c>
      <c r="AA604" s="877" t="s">
        <v>942</v>
      </c>
      <c r="AB604" s="877" t="s">
        <v>943</v>
      </c>
      <c r="AC604" s="877" t="s">
        <v>944</v>
      </c>
      <c r="AD604" s="877" t="s">
        <v>945</v>
      </c>
      <c r="AE604" s="877" t="s">
        <v>946</v>
      </c>
      <c r="AF604" s="877" t="s">
        <v>947</v>
      </c>
      <c r="AG604" s="877" t="s">
        <v>948</v>
      </c>
      <c r="AH604" s="6"/>
    </row>
    <row r="605" spans="1:34" s="3" customFormat="1" ht="16" customHeight="1" thickTop="1">
      <c r="A605" s="7"/>
      <c r="B605" s="19" t="s">
        <v>1343</v>
      </c>
      <c r="C605" s="12"/>
      <c r="D605" s="200"/>
      <c r="E605" s="200"/>
      <c r="F605" s="199"/>
      <c r="G605" s="200"/>
      <c r="H605" s="199"/>
      <c r="I605" s="199"/>
      <c r="J605" s="200"/>
      <c r="K605" s="200"/>
      <c r="L605" s="289" t="s">
        <v>1429</v>
      </c>
      <c r="M605" s="199"/>
      <c r="N605" s="40" t="str">
        <f>J$6</f>
        <v>FY2010-11</v>
      </c>
      <c r="O605" s="40" t="s">
        <v>1355</v>
      </c>
      <c r="P605" s="40" t="s">
        <v>1338</v>
      </c>
      <c r="Q605" s="40" t="s">
        <v>1379</v>
      </c>
      <c r="R605" s="200"/>
      <c r="S605" s="199"/>
      <c r="T605" s="200"/>
      <c r="U605" s="200"/>
      <c r="V605" s="201"/>
      <c r="W605" s="201"/>
      <c r="X605" s="201"/>
      <c r="Y605" s="201"/>
      <c r="Z605" s="201"/>
      <c r="AA605" s="201"/>
      <c r="AB605" s="201"/>
      <c r="AC605" s="201"/>
      <c r="AD605" s="201"/>
      <c r="AE605" s="201"/>
      <c r="AF605" s="201"/>
      <c r="AG605" s="201"/>
      <c r="AH605" s="6"/>
    </row>
    <row r="606" spans="1:34" s="3" customFormat="1" ht="16" customHeight="1">
      <c r="A606" s="7"/>
      <c r="B606" s="16">
        <f>DSUM('$REV-DB'!D35:AG374,"AMOUNT",D604:AG606)</f>
        <v>0</v>
      </c>
      <c r="C606" s="12"/>
      <c r="D606" s="200"/>
      <c r="E606" s="200"/>
      <c r="F606" s="199"/>
      <c r="G606" s="200"/>
      <c r="H606" s="199"/>
      <c r="I606" s="199"/>
      <c r="J606" s="200"/>
      <c r="K606" s="200"/>
      <c r="L606" s="289" t="s">
        <v>1429</v>
      </c>
      <c r="M606" s="199"/>
      <c r="N606" s="40" t="str">
        <f>J$6</f>
        <v>FY2010-11</v>
      </c>
      <c r="O606" s="40" t="s">
        <v>1355</v>
      </c>
      <c r="P606" s="40" t="s">
        <v>1347</v>
      </c>
      <c r="Q606" s="40" t="s">
        <v>1379</v>
      </c>
      <c r="R606" s="200"/>
      <c r="S606" s="199" t="s">
        <v>1303</v>
      </c>
      <c r="T606" s="200"/>
      <c r="U606" s="200"/>
      <c r="V606" s="201"/>
      <c r="W606" s="201"/>
      <c r="X606" s="201"/>
      <c r="Y606" s="201"/>
      <c r="Z606" s="201"/>
      <c r="AA606" s="201"/>
      <c r="AB606" s="201"/>
      <c r="AC606" s="201"/>
      <c r="AD606" s="201"/>
      <c r="AE606" s="201"/>
      <c r="AF606" s="201"/>
      <c r="AG606" s="201"/>
      <c r="AH606" s="6"/>
    </row>
    <row r="607" spans="1:34" s="3" customFormat="1" ht="16" customHeight="1">
      <c r="A607" s="7"/>
      <c r="B607" s="10"/>
      <c r="C607" s="12"/>
      <c r="D607" s="896"/>
      <c r="E607" s="896"/>
      <c r="F607" s="896"/>
      <c r="G607" s="896"/>
      <c r="H607" s="896"/>
      <c r="I607" s="896"/>
      <c r="J607" s="896"/>
      <c r="K607" s="896"/>
      <c r="L607" s="897"/>
      <c r="M607" s="896"/>
      <c r="N607" s="889"/>
      <c r="O607" s="889"/>
      <c r="P607" s="889"/>
      <c r="Q607" s="896"/>
      <c r="R607" s="896"/>
      <c r="S607" s="896"/>
      <c r="T607" s="898"/>
      <c r="U607" s="898"/>
      <c r="V607" s="899"/>
      <c r="W607" s="899"/>
      <c r="X607" s="899"/>
      <c r="Y607" s="899"/>
      <c r="Z607" s="899"/>
      <c r="AA607" s="899"/>
      <c r="AB607" s="899"/>
      <c r="AC607" s="899"/>
      <c r="AD607" s="899"/>
      <c r="AE607" s="899"/>
      <c r="AF607" s="899"/>
      <c r="AG607" s="899"/>
    </row>
    <row r="608" spans="1:34" s="3" customFormat="1" ht="16" customHeight="1">
      <c r="A608" s="7"/>
      <c r="B608" s="10"/>
      <c r="C608" s="12"/>
      <c r="D608" s="896"/>
      <c r="E608" s="896"/>
      <c r="F608" s="896"/>
      <c r="G608" s="896"/>
      <c r="H608" s="896"/>
      <c r="I608" s="896"/>
      <c r="J608" s="896"/>
      <c r="K608" s="896"/>
      <c r="L608" s="897"/>
      <c r="M608" s="896"/>
      <c r="N608" s="889"/>
      <c r="O608" s="889"/>
      <c r="P608" s="889"/>
      <c r="Q608" s="896"/>
      <c r="R608" s="896"/>
      <c r="S608" s="896"/>
      <c r="T608" s="898"/>
      <c r="U608" s="898"/>
      <c r="V608" s="899"/>
      <c r="W608" s="899"/>
      <c r="X608" s="899"/>
      <c r="Y608" s="899"/>
      <c r="Z608" s="899"/>
      <c r="AA608" s="899"/>
      <c r="AB608" s="899"/>
      <c r="AC608" s="899"/>
      <c r="AD608" s="899"/>
      <c r="AE608" s="899"/>
      <c r="AF608" s="899"/>
      <c r="AG608" s="899"/>
    </row>
    <row r="609" spans="1:34" s="3" customFormat="1" ht="16" customHeight="1">
      <c r="A609" s="7"/>
      <c r="B609" s="10"/>
      <c r="C609" s="12"/>
      <c r="D609" s="896"/>
      <c r="E609" s="896"/>
      <c r="F609" s="896"/>
      <c r="G609" s="896"/>
      <c r="H609" s="896"/>
      <c r="I609" s="896"/>
      <c r="J609" s="896"/>
      <c r="K609" s="896"/>
      <c r="L609" s="897"/>
      <c r="M609" s="896"/>
      <c r="N609" s="889"/>
      <c r="O609" s="889"/>
      <c r="P609" s="889"/>
      <c r="Q609" s="896"/>
      <c r="R609" s="896"/>
      <c r="S609" s="896"/>
      <c r="T609" s="898"/>
      <c r="U609" s="898"/>
      <c r="V609" s="899"/>
      <c r="W609" s="899"/>
      <c r="X609" s="899"/>
      <c r="Y609" s="899"/>
      <c r="Z609" s="899"/>
      <c r="AA609" s="899"/>
      <c r="AB609" s="899"/>
      <c r="AC609" s="899"/>
      <c r="AD609" s="899"/>
      <c r="AE609" s="899"/>
      <c r="AF609" s="899"/>
      <c r="AG609" s="899"/>
    </row>
    <row r="610" spans="1:34" s="3" customFormat="1" ht="16" customHeight="1">
      <c r="A610" s="7"/>
      <c r="B610" s="10"/>
      <c r="C610" s="12"/>
      <c r="D610" s="896"/>
      <c r="E610" s="896"/>
      <c r="F610" s="896"/>
      <c r="G610" s="896"/>
      <c r="H610" s="896"/>
      <c r="I610" s="896"/>
      <c r="J610" s="896"/>
      <c r="K610" s="896"/>
      <c r="L610" s="897"/>
      <c r="M610" s="896"/>
      <c r="N610" s="889"/>
      <c r="O610" s="889"/>
      <c r="P610" s="889"/>
      <c r="Q610" s="896"/>
      <c r="R610" s="896"/>
      <c r="S610" s="896"/>
      <c r="T610" s="898"/>
      <c r="U610" s="898"/>
      <c r="V610" s="899"/>
      <c r="W610" s="899"/>
      <c r="X610" s="899"/>
      <c r="Y610" s="899"/>
      <c r="Z610" s="899"/>
      <c r="AA610" s="899"/>
      <c r="AB610" s="899"/>
      <c r="AC610" s="899"/>
      <c r="AD610" s="899"/>
      <c r="AE610" s="899"/>
      <c r="AF610" s="899"/>
      <c r="AG610" s="899"/>
    </row>
    <row r="611" spans="1:34" s="3" customFormat="1" ht="16" customHeight="1">
      <c r="A611" s="7"/>
      <c r="B611" s="10"/>
      <c r="C611" s="12"/>
      <c r="D611" s="896"/>
      <c r="E611" s="896"/>
      <c r="F611" s="896"/>
      <c r="G611" s="896"/>
      <c r="H611" s="896"/>
      <c r="I611" s="896"/>
      <c r="J611" s="896"/>
      <c r="K611" s="896"/>
      <c r="L611" s="897"/>
      <c r="M611" s="896"/>
      <c r="N611" s="889"/>
      <c r="O611" s="889"/>
      <c r="P611" s="889"/>
      <c r="Q611" s="896"/>
      <c r="R611" s="896"/>
      <c r="S611" s="896"/>
      <c r="T611" s="898"/>
      <c r="U611" s="898"/>
      <c r="V611" s="899"/>
      <c r="W611" s="899"/>
      <c r="X611" s="899"/>
      <c r="Y611" s="899"/>
      <c r="Z611" s="899"/>
      <c r="AA611" s="899"/>
      <c r="AB611" s="899"/>
      <c r="AC611" s="899"/>
      <c r="AD611" s="899"/>
      <c r="AE611" s="899"/>
      <c r="AF611" s="899"/>
      <c r="AG611" s="899"/>
    </row>
    <row r="612" spans="1:34" s="3" customFormat="1" ht="16" customHeight="1">
      <c r="A612" s="36"/>
      <c r="B612" s="33"/>
      <c r="C612" s="33"/>
      <c r="D612" s="34"/>
      <c r="E612" s="34"/>
      <c r="F612" s="35"/>
      <c r="G612" s="34"/>
      <c r="H612" s="35"/>
      <c r="I612" s="35"/>
      <c r="J612" s="34"/>
      <c r="K612" s="34"/>
      <c r="L612" s="288"/>
      <c r="M612" s="35"/>
      <c r="N612" s="35"/>
      <c r="O612" s="34"/>
      <c r="P612" s="35"/>
      <c r="Q612" s="35"/>
      <c r="R612" s="34"/>
      <c r="S612" s="35"/>
      <c r="T612" s="34"/>
      <c r="U612" s="34"/>
      <c r="V612" s="36"/>
      <c r="W612" s="36"/>
      <c r="X612" s="36"/>
      <c r="Y612" s="36"/>
      <c r="Z612" s="36"/>
      <c r="AA612" s="36"/>
      <c r="AB612" s="36"/>
      <c r="AC612" s="36"/>
      <c r="AD612" s="36"/>
      <c r="AE612" s="36"/>
      <c r="AF612" s="36"/>
      <c r="AG612" s="36"/>
    </row>
    <row r="613" spans="1:34" s="3" customFormat="1" ht="16" customHeight="1" thickBot="1">
      <c r="A613" s="7"/>
      <c r="B613" s="19" t="str">
        <f>"FA4 = "&amp;'FIG3'!$W$55&amp;" "&amp;'FIG3'!$X$55</f>
        <v>FA4 = FA4L1 FA4L2</v>
      </c>
      <c r="C613" s="7"/>
      <c r="D613" s="8"/>
      <c r="E613" s="8"/>
      <c r="F613" s="9"/>
      <c r="G613" s="8"/>
      <c r="H613" s="9"/>
      <c r="I613" s="9"/>
      <c r="J613" s="8"/>
      <c r="K613" s="8"/>
      <c r="L613" s="280"/>
      <c r="M613" s="9"/>
      <c r="N613" s="9"/>
      <c r="O613" s="8"/>
      <c r="P613" s="9"/>
      <c r="Q613" s="9"/>
      <c r="R613" s="8"/>
      <c r="S613" s="882"/>
      <c r="T613" s="883" t="str">
        <f>'$REV-DB'!$T$34</f>
        <v>Federal Revenues</v>
      </c>
      <c r="U613" s="883" t="str">
        <f>'$REV-DB'!$U$34</f>
        <v>local Revenues</v>
      </c>
      <c r="V613" s="883" t="str">
        <f>'$REV-DB'!$V$34</f>
        <v>Other Revenues</v>
      </c>
      <c r="W613" s="883" t="str">
        <f>'$REV-DB'!$W$34</f>
        <v>State revenues</v>
      </c>
      <c r="X613" s="883" t="str">
        <f>'$REV-DB'!$X$34</f>
        <v>UD5</v>
      </c>
      <c r="Y613" s="883" t="str">
        <f>'$REV-DB'!$Y$34</f>
        <v>UD6</v>
      </c>
      <c r="Z613" s="883" t="str">
        <f>'$REV-DB'!$Z$34</f>
        <v>UD7</v>
      </c>
      <c r="AA613" s="883" t="str">
        <f>'$REV-DB'!$AA$34</f>
        <v>UD8</v>
      </c>
      <c r="AB613" s="883" t="str">
        <f>'$REV-DB'!$AB$34</f>
        <v>UD9</v>
      </c>
      <c r="AC613" s="883" t="str">
        <f>'$REV-DB'!$AC$34</f>
        <v>UD10</v>
      </c>
      <c r="AD613" s="883" t="str">
        <f>'$REV-DB'!$AD$34</f>
        <v>UD11</v>
      </c>
      <c r="AE613" s="883" t="str">
        <f>'$REV-DB'!$AE$34</f>
        <v>UD12</v>
      </c>
      <c r="AF613" s="883" t="str">
        <f>'$REV-DB'!$AF$34</f>
        <v>UD13</v>
      </c>
      <c r="AG613" s="883" t="str">
        <f>'$REV-DB'!$AG$34</f>
        <v>UD14</v>
      </c>
    </row>
    <row r="614" spans="1:34" s="3" customFormat="1" ht="16" customHeight="1" thickTop="1" thickBot="1">
      <c r="A614" s="7"/>
      <c r="B614" s="20" t="s">
        <v>1399</v>
      </c>
      <c r="C614" s="15"/>
      <c r="D614" s="877" t="s">
        <v>1386</v>
      </c>
      <c r="E614" s="877" t="s">
        <v>1387</v>
      </c>
      <c r="F614" s="877" t="s">
        <v>1388</v>
      </c>
      <c r="G614" s="877" t="s">
        <v>1389</v>
      </c>
      <c r="H614" s="877" t="s">
        <v>1406</v>
      </c>
      <c r="I614" s="877" t="s">
        <v>1390</v>
      </c>
      <c r="J614" s="877" t="s">
        <v>1391</v>
      </c>
      <c r="K614" s="877" t="s">
        <v>1392</v>
      </c>
      <c r="L614" s="877" t="s">
        <v>1188</v>
      </c>
      <c r="M614" s="877" t="s">
        <v>1437</v>
      </c>
      <c r="N614" s="877" t="s">
        <v>1348</v>
      </c>
      <c r="O614" s="877" t="s">
        <v>1393</v>
      </c>
      <c r="P614" s="877" t="s">
        <v>1342</v>
      </c>
      <c r="Q614" s="877" t="s">
        <v>1394</v>
      </c>
      <c r="R614" s="112" t="s">
        <v>1341</v>
      </c>
      <c r="S614" s="112" t="s">
        <v>846</v>
      </c>
      <c r="T614" s="877" t="s">
        <v>935</v>
      </c>
      <c r="U614" s="877" t="s">
        <v>936</v>
      </c>
      <c r="V614" s="877" t="s">
        <v>937</v>
      </c>
      <c r="W614" s="877" t="s">
        <v>938</v>
      </c>
      <c r="X614" s="877" t="s">
        <v>939</v>
      </c>
      <c r="Y614" s="877" t="s">
        <v>940</v>
      </c>
      <c r="Z614" s="877" t="s">
        <v>941</v>
      </c>
      <c r="AA614" s="877" t="s">
        <v>942</v>
      </c>
      <c r="AB614" s="877" t="s">
        <v>943</v>
      </c>
      <c r="AC614" s="877" t="s">
        <v>944</v>
      </c>
      <c r="AD614" s="877" t="s">
        <v>945</v>
      </c>
      <c r="AE614" s="877" t="s">
        <v>946</v>
      </c>
      <c r="AF614" s="877" t="s">
        <v>947</v>
      </c>
      <c r="AG614" s="877" t="s">
        <v>948</v>
      </c>
      <c r="AH614" s="6"/>
    </row>
    <row r="615" spans="1:34" s="3" customFormat="1" ht="16" customHeight="1" thickTop="1">
      <c r="A615" s="7"/>
      <c r="B615" s="19" t="s">
        <v>1349</v>
      </c>
      <c r="C615" s="12"/>
      <c r="D615" s="200"/>
      <c r="E615" s="200"/>
      <c r="F615" s="199"/>
      <c r="G615" s="200"/>
      <c r="H615" s="199"/>
      <c r="I615" s="199"/>
      <c r="J615" s="200"/>
      <c r="K615" s="200"/>
      <c r="L615" s="289" t="s">
        <v>1429</v>
      </c>
      <c r="M615" s="199"/>
      <c r="N615" s="40" t="str">
        <f>J$6</f>
        <v>FY2010-11</v>
      </c>
      <c r="O615" s="40" t="s">
        <v>1355</v>
      </c>
      <c r="P615" s="40" t="s">
        <v>1338</v>
      </c>
      <c r="Q615" s="40" t="s">
        <v>1397</v>
      </c>
      <c r="R615" s="200"/>
      <c r="S615" s="199"/>
      <c r="T615" s="200"/>
      <c r="U615" s="200"/>
      <c r="V615" s="201"/>
      <c r="W615" s="201"/>
      <c r="X615" s="201"/>
      <c r="Y615" s="201"/>
      <c r="Z615" s="201"/>
      <c r="AA615" s="201"/>
      <c r="AB615" s="201"/>
      <c r="AC615" s="201"/>
      <c r="AD615" s="201"/>
      <c r="AE615" s="201"/>
      <c r="AF615" s="201"/>
      <c r="AG615" s="201"/>
      <c r="AH615" s="6"/>
    </row>
    <row r="616" spans="1:34" s="3" customFormat="1" ht="16" customHeight="1">
      <c r="A616" s="7"/>
      <c r="B616" s="16">
        <f>DSUM('$REV-DB'!D35:AG374,"AMOUNT",D614:AG616)</f>
        <v>0</v>
      </c>
      <c r="C616" s="12"/>
      <c r="D616" s="200"/>
      <c r="E616" s="200"/>
      <c r="F616" s="199"/>
      <c r="G616" s="200"/>
      <c r="H616" s="199"/>
      <c r="I616" s="199"/>
      <c r="J616" s="200"/>
      <c r="K616" s="200"/>
      <c r="L616" s="289" t="s">
        <v>1429</v>
      </c>
      <c r="M616" s="199"/>
      <c r="N616" s="40" t="str">
        <f>J$6</f>
        <v>FY2010-11</v>
      </c>
      <c r="O616" s="40" t="s">
        <v>1355</v>
      </c>
      <c r="P616" s="40" t="s">
        <v>1347</v>
      </c>
      <c r="Q616" s="40" t="s">
        <v>1397</v>
      </c>
      <c r="R616" s="200"/>
      <c r="S616" s="199" t="s">
        <v>1303</v>
      </c>
      <c r="T616" s="200"/>
      <c r="U616" s="200"/>
      <c r="V616" s="201"/>
      <c r="W616" s="201"/>
      <c r="X616" s="201"/>
      <c r="Y616" s="201"/>
      <c r="Z616" s="201"/>
      <c r="AA616" s="201"/>
      <c r="AB616" s="201"/>
      <c r="AC616" s="201"/>
      <c r="AD616" s="201"/>
      <c r="AE616" s="201"/>
      <c r="AF616" s="201"/>
      <c r="AG616" s="201"/>
      <c r="AH616" s="6"/>
    </row>
    <row r="617" spans="1:34" s="3" customFormat="1" ht="16" customHeight="1">
      <c r="A617" s="7"/>
      <c r="B617" s="10"/>
      <c r="C617" s="12"/>
      <c r="D617" s="896"/>
      <c r="E617" s="896"/>
      <c r="F617" s="896"/>
      <c r="G617" s="896"/>
      <c r="H617" s="896"/>
      <c r="I617" s="896"/>
      <c r="J617" s="896"/>
      <c r="K617" s="896"/>
      <c r="L617" s="897"/>
      <c r="M617" s="896"/>
      <c r="N617" s="889"/>
      <c r="O617" s="889"/>
      <c r="P617" s="889"/>
      <c r="Q617" s="896"/>
      <c r="R617" s="896"/>
      <c r="S617" s="896"/>
      <c r="T617" s="898"/>
      <c r="U617" s="898"/>
      <c r="V617" s="899"/>
      <c r="W617" s="899"/>
      <c r="X617" s="899"/>
      <c r="Y617" s="899"/>
      <c r="Z617" s="899"/>
      <c r="AA617" s="899"/>
      <c r="AB617" s="899"/>
      <c r="AC617" s="899"/>
      <c r="AD617" s="899"/>
      <c r="AE617" s="899"/>
      <c r="AF617" s="899"/>
      <c r="AG617" s="899"/>
    </row>
    <row r="618" spans="1:34" s="3" customFormat="1" ht="16" customHeight="1">
      <c r="A618" s="7"/>
      <c r="B618" s="10"/>
      <c r="C618" s="12"/>
      <c r="D618" s="896"/>
      <c r="E618" s="896"/>
      <c r="F618" s="896"/>
      <c r="G618" s="896"/>
      <c r="H618" s="896"/>
      <c r="I618" s="896"/>
      <c r="J618" s="896"/>
      <c r="K618" s="896"/>
      <c r="L618" s="897"/>
      <c r="M618" s="896"/>
      <c r="N618" s="889"/>
      <c r="O618" s="889"/>
      <c r="P618" s="889"/>
      <c r="Q618" s="896"/>
      <c r="R618" s="896"/>
      <c r="S618" s="896"/>
      <c r="T618" s="898"/>
      <c r="U618" s="898"/>
      <c r="V618" s="899"/>
      <c r="W618" s="899"/>
      <c r="X618" s="899"/>
      <c r="Y618" s="899"/>
      <c r="Z618" s="899"/>
      <c r="AA618" s="899"/>
      <c r="AB618" s="899"/>
      <c r="AC618" s="899"/>
      <c r="AD618" s="899"/>
      <c r="AE618" s="899"/>
      <c r="AF618" s="899"/>
      <c r="AG618" s="899"/>
    </row>
    <row r="619" spans="1:34" s="3" customFormat="1" ht="16" customHeight="1">
      <c r="A619" s="7"/>
      <c r="B619" s="10"/>
      <c r="C619" s="12"/>
      <c r="D619" s="896"/>
      <c r="E619" s="896"/>
      <c r="F619" s="896"/>
      <c r="G619" s="896"/>
      <c r="H619" s="896"/>
      <c r="I619" s="896"/>
      <c r="J619" s="896"/>
      <c r="K619" s="896"/>
      <c r="L619" s="897"/>
      <c r="M619" s="896"/>
      <c r="N619" s="889"/>
      <c r="O619" s="889"/>
      <c r="P619" s="889"/>
      <c r="Q619" s="896"/>
      <c r="R619" s="896"/>
      <c r="S619" s="896"/>
      <c r="T619" s="898"/>
      <c r="U619" s="898"/>
      <c r="V619" s="899"/>
      <c r="W619" s="899"/>
      <c r="X619" s="899"/>
      <c r="Y619" s="899"/>
      <c r="Z619" s="899"/>
      <c r="AA619" s="899"/>
      <c r="AB619" s="899"/>
      <c r="AC619" s="899"/>
      <c r="AD619" s="899"/>
      <c r="AE619" s="899"/>
      <c r="AF619" s="899"/>
      <c r="AG619" s="899"/>
    </row>
    <row r="620" spans="1:34" s="3" customFormat="1" ht="16" customHeight="1">
      <c r="A620" s="7"/>
      <c r="B620" s="10"/>
      <c r="C620" s="12"/>
      <c r="D620" s="896"/>
      <c r="E620" s="896"/>
      <c r="F620" s="896"/>
      <c r="G620" s="896"/>
      <c r="H620" s="896"/>
      <c r="I620" s="896"/>
      <c r="J620" s="896"/>
      <c r="K620" s="896"/>
      <c r="L620" s="897"/>
      <c r="M620" s="896"/>
      <c r="N620" s="889"/>
      <c r="O620" s="889"/>
      <c r="P620" s="889"/>
      <c r="Q620" s="896"/>
      <c r="R620" s="896"/>
      <c r="S620" s="896"/>
      <c r="T620" s="898"/>
      <c r="U620" s="898"/>
      <c r="V620" s="899"/>
      <c r="W620" s="899"/>
      <c r="X620" s="899"/>
      <c r="Y620" s="899"/>
      <c r="Z620" s="899"/>
      <c r="AA620" s="899"/>
      <c r="AB620" s="899"/>
      <c r="AC620" s="899"/>
      <c r="AD620" s="899"/>
      <c r="AE620" s="899"/>
      <c r="AF620" s="899"/>
      <c r="AG620" s="899"/>
    </row>
    <row r="621" spans="1:34" s="3" customFormat="1" ht="16" customHeight="1">
      <c r="A621" s="7"/>
      <c r="B621" s="10"/>
      <c r="C621" s="12"/>
      <c r="D621" s="896"/>
      <c r="E621" s="896"/>
      <c r="F621" s="896"/>
      <c r="G621" s="896"/>
      <c r="H621" s="896"/>
      <c r="I621" s="896"/>
      <c r="J621" s="896"/>
      <c r="K621" s="896"/>
      <c r="L621" s="897"/>
      <c r="M621" s="896"/>
      <c r="N621" s="889"/>
      <c r="O621" s="889"/>
      <c r="P621" s="889"/>
      <c r="Q621" s="896"/>
      <c r="R621" s="896"/>
      <c r="S621" s="896"/>
      <c r="T621" s="898"/>
      <c r="U621" s="898"/>
      <c r="V621" s="899"/>
      <c r="W621" s="899"/>
      <c r="X621" s="899"/>
      <c r="Y621" s="899"/>
      <c r="Z621" s="899"/>
      <c r="AA621" s="899"/>
      <c r="AB621" s="899"/>
      <c r="AC621" s="899"/>
      <c r="AD621" s="899"/>
      <c r="AE621" s="899"/>
      <c r="AF621" s="899"/>
      <c r="AG621" s="899"/>
    </row>
    <row r="622" spans="1:34" s="3" customFormat="1" ht="16" customHeight="1">
      <c r="A622" s="36"/>
      <c r="B622" s="33"/>
      <c r="C622" s="33"/>
      <c r="D622" s="34"/>
      <c r="E622" s="34"/>
      <c r="F622" s="35"/>
      <c r="G622" s="34"/>
      <c r="H622" s="35"/>
      <c r="I622" s="35"/>
      <c r="J622" s="34"/>
      <c r="K622" s="34"/>
      <c r="L622" s="288"/>
      <c r="M622" s="35"/>
      <c r="N622" s="35"/>
      <c r="O622" s="34"/>
      <c r="P622" s="35"/>
      <c r="Q622" s="35"/>
      <c r="R622" s="34"/>
      <c r="S622" s="35"/>
      <c r="T622" s="34"/>
      <c r="U622" s="34"/>
      <c r="V622" s="36"/>
      <c r="W622" s="36"/>
      <c r="X622" s="36"/>
      <c r="Y622" s="36"/>
      <c r="Z622" s="36"/>
      <c r="AA622" s="36"/>
      <c r="AB622" s="36"/>
      <c r="AC622" s="36"/>
      <c r="AD622" s="36"/>
      <c r="AE622" s="36"/>
      <c r="AF622" s="36"/>
      <c r="AG622" s="36"/>
    </row>
    <row r="623" spans="1:34" s="3" customFormat="1" ht="16" customHeight="1" thickBot="1">
      <c r="A623" s="7"/>
      <c r="B623" s="19" t="str">
        <f>"FA4 = "&amp;'FIG3'!$W$55&amp;" "&amp;'FIG3'!$X$55</f>
        <v>FA4 = FA4L1 FA4L2</v>
      </c>
      <c r="C623" s="7"/>
      <c r="D623" s="8"/>
      <c r="E623" s="8"/>
      <c r="F623" s="9"/>
      <c r="G623" s="8"/>
      <c r="H623" s="9"/>
      <c r="I623" s="9"/>
      <c r="J623" s="8"/>
      <c r="K623" s="8"/>
      <c r="L623" s="280"/>
      <c r="M623" s="9"/>
      <c r="N623" s="9"/>
      <c r="O623" s="8"/>
      <c r="P623" s="9"/>
      <c r="Q623" s="9"/>
      <c r="R623" s="8"/>
      <c r="S623" s="882"/>
      <c r="T623" s="883" t="str">
        <f>'$REV-DB'!$T$34</f>
        <v>Federal Revenues</v>
      </c>
      <c r="U623" s="883" t="str">
        <f>'$REV-DB'!$U$34</f>
        <v>local Revenues</v>
      </c>
      <c r="V623" s="883" t="str">
        <f>'$REV-DB'!$V$34</f>
        <v>Other Revenues</v>
      </c>
      <c r="W623" s="883" t="str">
        <f>'$REV-DB'!$W$34</f>
        <v>State revenues</v>
      </c>
      <c r="X623" s="883" t="str">
        <f>'$REV-DB'!$X$34</f>
        <v>UD5</v>
      </c>
      <c r="Y623" s="883" t="str">
        <f>'$REV-DB'!$Y$34</f>
        <v>UD6</v>
      </c>
      <c r="Z623" s="883" t="str">
        <f>'$REV-DB'!$Z$34</f>
        <v>UD7</v>
      </c>
      <c r="AA623" s="883" t="str">
        <f>'$REV-DB'!$AA$34</f>
        <v>UD8</v>
      </c>
      <c r="AB623" s="883" t="str">
        <f>'$REV-DB'!$AB$34</f>
        <v>UD9</v>
      </c>
      <c r="AC623" s="883" t="str">
        <f>'$REV-DB'!$AC$34</f>
        <v>UD10</v>
      </c>
      <c r="AD623" s="883" t="str">
        <f>'$REV-DB'!$AD$34</f>
        <v>UD11</v>
      </c>
      <c r="AE623" s="883" t="str">
        <f>'$REV-DB'!$AE$34</f>
        <v>UD12</v>
      </c>
      <c r="AF623" s="883" t="str">
        <f>'$REV-DB'!$AF$34</f>
        <v>UD13</v>
      </c>
      <c r="AG623" s="883" t="str">
        <f>'$REV-DB'!$AG$34</f>
        <v>UD14</v>
      </c>
    </row>
    <row r="624" spans="1:34" s="3" customFormat="1" ht="16" customHeight="1" thickTop="1" thickBot="1">
      <c r="A624" s="7"/>
      <c r="B624" s="20" t="s">
        <v>1399</v>
      </c>
      <c r="C624" s="15"/>
      <c r="D624" s="877" t="s">
        <v>1386</v>
      </c>
      <c r="E624" s="877" t="s">
        <v>1387</v>
      </c>
      <c r="F624" s="877" t="s">
        <v>1388</v>
      </c>
      <c r="G624" s="877" t="s">
        <v>1389</v>
      </c>
      <c r="H624" s="877" t="s">
        <v>1406</v>
      </c>
      <c r="I624" s="877" t="s">
        <v>1390</v>
      </c>
      <c r="J624" s="877" t="s">
        <v>1391</v>
      </c>
      <c r="K624" s="877" t="s">
        <v>1392</v>
      </c>
      <c r="L624" s="877" t="s">
        <v>1188</v>
      </c>
      <c r="M624" s="877" t="s">
        <v>1437</v>
      </c>
      <c r="N624" s="877" t="s">
        <v>1348</v>
      </c>
      <c r="O624" s="877" t="s">
        <v>1393</v>
      </c>
      <c r="P624" s="877" t="s">
        <v>1342</v>
      </c>
      <c r="Q624" s="877" t="s">
        <v>1394</v>
      </c>
      <c r="R624" s="112" t="s">
        <v>1341</v>
      </c>
      <c r="S624" s="112" t="s">
        <v>846</v>
      </c>
      <c r="T624" s="877" t="s">
        <v>935</v>
      </c>
      <c r="U624" s="877" t="s">
        <v>936</v>
      </c>
      <c r="V624" s="877" t="s">
        <v>937</v>
      </c>
      <c r="W624" s="877" t="s">
        <v>938</v>
      </c>
      <c r="X624" s="877" t="s">
        <v>939</v>
      </c>
      <c r="Y624" s="877" t="s">
        <v>940</v>
      </c>
      <c r="Z624" s="877" t="s">
        <v>941</v>
      </c>
      <c r="AA624" s="877" t="s">
        <v>942</v>
      </c>
      <c r="AB624" s="877" t="s">
        <v>943</v>
      </c>
      <c r="AC624" s="877" t="s">
        <v>944</v>
      </c>
      <c r="AD624" s="877" t="s">
        <v>945</v>
      </c>
      <c r="AE624" s="877" t="s">
        <v>946</v>
      </c>
      <c r="AF624" s="877" t="s">
        <v>947</v>
      </c>
      <c r="AG624" s="877" t="s">
        <v>948</v>
      </c>
      <c r="AH624" s="6"/>
    </row>
    <row r="625" spans="1:34" s="3" customFormat="1" ht="16" customHeight="1" thickTop="1">
      <c r="A625" s="7"/>
      <c r="B625" s="19" t="s">
        <v>1178</v>
      </c>
      <c r="C625" s="12"/>
      <c r="D625" s="200"/>
      <c r="E625" s="200"/>
      <c r="F625" s="199"/>
      <c r="G625" s="200"/>
      <c r="H625" s="199"/>
      <c r="I625" s="199"/>
      <c r="J625" s="200"/>
      <c r="K625" s="200"/>
      <c r="L625" s="289" t="s">
        <v>1429</v>
      </c>
      <c r="M625" s="199"/>
      <c r="N625" s="40" t="str">
        <f>J$6</f>
        <v>FY2010-11</v>
      </c>
      <c r="O625" s="40" t="s">
        <v>1355</v>
      </c>
      <c r="P625" s="40" t="s">
        <v>1338</v>
      </c>
      <c r="Q625" s="40" t="s">
        <v>1465</v>
      </c>
      <c r="R625" s="200"/>
      <c r="S625" s="199"/>
      <c r="T625" s="200"/>
      <c r="U625" s="200"/>
      <c r="V625" s="201"/>
      <c r="W625" s="201"/>
      <c r="X625" s="201"/>
      <c r="Y625" s="201"/>
      <c r="Z625" s="201"/>
      <c r="AA625" s="201"/>
      <c r="AB625" s="201"/>
      <c r="AC625" s="201"/>
      <c r="AD625" s="201"/>
      <c r="AE625" s="201"/>
      <c r="AF625" s="201"/>
      <c r="AG625" s="201"/>
      <c r="AH625" s="6"/>
    </row>
    <row r="626" spans="1:34" s="3" customFormat="1" ht="16" customHeight="1">
      <c r="A626" s="7"/>
      <c r="B626" s="16">
        <f>DSUM('$REV-DB'!D35:AG374,"AMOUNT",D624:AG626)</f>
        <v>0</v>
      </c>
      <c r="C626" s="12"/>
      <c r="D626" s="200"/>
      <c r="E626" s="200"/>
      <c r="F626" s="199"/>
      <c r="G626" s="200"/>
      <c r="H626" s="199"/>
      <c r="I626" s="199"/>
      <c r="J626" s="200"/>
      <c r="K626" s="200"/>
      <c r="L626" s="289" t="s">
        <v>1429</v>
      </c>
      <c r="M626" s="199"/>
      <c r="N626" s="40" t="str">
        <f>J$6</f>
        <v>FY2010-11</v>
      </c>
      <c r="O626" s="40" t="s">
        <v>1355</v>
      </c>
      <c r="P626" s="40" t="s">
        <v>1347</v>
      </c>
      <c r="Q626" s="40" t="s">
        <v>1465</v>
      </c>
      <c r="R626" s="200"/>
      <c r="S626" s="199" t="s">
        <v>1303</v>
      </c>
      <c r="T626" s="200"/>
      <c r="U626" s="200"/>
      <c r="V626" s="201"/>
      <c r="W626" s="201"/>
      <c r="X626" s="201"/>
      <c r="Y626" s="201"/>
      <c r="Z626" s="201"/>
      <c r="AA626" s="201"/>
      <c r="AB626" s="201"/>
      <c r="AC626" s="201"/>
      <c r="AD626" s="201"/>
      <c r="AE626" s="201"/>
      <c r="AF626" s="201"/>
      <c r="AG626" s="201"/>
      <c r="AH626" s="6"/>
    </row>
    <row r="627" spans="1:34" s="3" customFormat="1" ht="16" customHeight="1">
      <c r="A627" s="7"/>
      <c r="B627" s="10"/>
      <c r="C627" s="12"/>
      <c r="D627" s="896"/>
      <c r="E627" s="896"/>
      <c r="F627" s="896"/>
      <c r="G627" s="896"/>
      <c r="H627" s="896"/>
      <c r="I627" s="896"/>
      <c r="J627" s="896"/>
      <c r="K627" s="896"/>
      <c r="L627" s="897"/>
      <c r="M627" s="896"/>
      <c r="N627" s="889"/>
      <c r="O627" s="889"/>
      <c r="P627" s="889"/>
      <c r="Q627" s="896"/>
      <c r="R627" s="896"/>
      <c r="S627" s="896"/>
      <c r="T627" s="898"/>
      <c r="U627" s="898"/>
      <c r="V627" s="899"/>
      <c r="W627" s="899"/>
      <c r="X627" s="899"/>
      <c r="Y627" s="899"/>
      <c r="Z627" s="899"/>
      <c r="AA627" s="899"/>
      <c r="AB627" s="899"/>
      <c r="AC627" s="899"/>
      <c r="AD627" s="899"/>
      <c r="AE627" s="899"/>
      <c r="AF627" s="899"/>
      <c r="AG627" s="899"/>
    </row>
    <row r="628" spans="1:34" s="3" customFormat="1" ht="16" customHeight="1">
      <c r="A628" s="7"/>
      <c r="B628" s="10"/>
      <c r="C628" s="12"/>
      <c r="D628" s="896"/>
      <c r="E628" s="896"/>
      <c r="F628" s="896"/>
      <c r="G628" s="896"/>
      <c r="H628" s="896"/>
      <c r="I628" s="896"/>
      <c r="J628" s="896"/>
      <c r="K628" s="896"/>
      <c r="L628" s="897"/>
      <c r="M628" s="896"/>
      <c r="N628" s="889"/>
      <c r="O628" s="889"/>
      <c r="P628" s="889"/>
      <c r="Q628" s="896"/>
      <c r="R628" s="896"/>
      <c r="S628" s="896"/>
      <c r="T628" s="898"/>
      <c r="U628" s="898"/>
      <c r="V628" s="899"/>
      <c r="W628" s="899"/>
      <c r="X628" s="899"/>
      <c r="Y628" s="899"/>
      <c r="Z628" s="899"/>
      <c r="AA628" s="899"/>
      <c r="AB628" s="899"/>
      <c r="AC628" s="899"/>
      <c r="AD628" s="899"/>
      <c r="AE628" s="899"/>
      <c r="AF628" s="899"/>
      <c r="AG628" s="899"/>
    </row>
    <row r="629" spans="1:34" s="3" customFormat="1" ht="16" customHeight="1">
      <c r="A629" s="7"/>
      <c r="B629" s="10"/>
      <c r="C629" s="12"/>
      <c r="D629" s="896"/>
      <c r="E629" s="896"/>
      <c r="F629" s="896"/>
      <c r="G629" s="896"/>
      <c r="H629" s="896"/>
      <c r="I629" s="896"/>
      <c r="J629" s="896"/>
      <c r="K629" s="896"/>
      <c r="L629" s="897"/>
      <c r="M629" s="896"/>
      <c r="N629" s="889"/>
      <c r="O629" s="889"/>
      <c r="P629" s="889"/>
      <c r="Q629" s="896"/>
      <c r="R629" s="896"/>
      <c r="S629" s="896"/>
      <c r="T629" s="898"/>
      <c r="U629" s="898"/>
      <c r="V629" s="899"/>
      <c r="W629" s="899"/>
      <c r="X629" s="899"/>
      <c r="Y629" s="899"/>
      <c r="Z629" s="899"/>
      <c r="AA629" s="899"/>
      <c r="AB629" s="899"/>
      <c r="AC629" s="899"/>
      <c r="AD629" s="899"/>
      <c r="AE629" s="899"/>
      <c r="AF629" s="899"/>
      <c r="AG629" s="899"/>
    </row>
    <row r="630" spans="1:34" s="3" customFormat="1" ht="16" customHeight="1">
      <c r="A630" s="7"/>
      <c r="B630" s="10"/>
      <c r="C630" s="12"/>
      <c r="D630" s="896"/>
      <c r="E630" s="896"/>
      <c r="F630" s="896"/>
      <c r="G630" s="896"/>
      <c r="H630" s="896"/>
      <c r="I630" s="896"/>
      <c r="J630" s="896"/>
      <c r="K630" s="896"/>
      <c r="L630" s="897"/>
      <c r="M630" s="896"/>
      <c r="N630" s="889"/>
      <c r="O630" s="889"/>
      <c r="P630" s="889"/>
      <c r="Q630" s="896"/>
      <c r="R630" s="896"/>
      <c r="S630" s="896"/>
      <c r="T630" s="898"/>
      <c r="U630" s="898"/>
      <c r="V630" s="899"/>
      <c r="W630" s="899"/>
      <c r="X630" s="899"/>
      <c r="Y630" s="899"/>
      <c r="Z630" s="899"/>
      <c r="AA630" s="899"/>
      <c r="AB630" s="899"/>
      <c r="AC630" s="899"/>
      <c r="AD630" s="899"/>
      <c r="AE630" s="899"/>
      <c r="AF630" s="899"/>
      <c r="AG630" s="899"/>
    </row>
    <row r="631" spans="1:34" s="3" customFormat="1" ht="16" customHeight="1">
      <c r="A631" s="7"/>
      <c r="B631" s="10"/>
      <c r="C631" s="12"/>
      <c r="D631" s="896"/>
      <c r="E631" s="896"/>
      <c r="F631" s="896"/>
      <c r="G631" s="896"/>
      <c r="H631" s="896"/>
      <c r="I631" s="896"/>
      <c r="J631" s="896"/>
      <c r="K631" s="896"/>
      <c r="L631" s="897"/>
      <c r="M631" s="896"/>
      <c r="N631" s="889"/>
      <c r="O631" s="889"/>
      <c r="P631" s="889"/>
      <c r="Q631" s="896"/>
      <c r="R631" s="896"/>
      <c r="S631" s="896"/>
      <c r="T631" s="898"/>
      <c r="U631" s="898"/>
      <c r="V631" s="899"/>
      <c r="W631" s="899"/>
      <c r="X631" s="899"/>
      <c r="Y631" s="899"/>
      <c r="Z631" s="899"/>
      <c r="AA631" s="899"/>
      <c r="AB631" s="899"/>
      <c r="AC631" s="899"/>
      <c r="AD631" s="899"/>
      <c r="AE631" s="899"/>
      <c r="AF631" s="899"/>
      <c r="AG631" s="899"/>
    </row>
    <row r="632" spans="1:34" s="3" customFormat="1" ht="16" customHeight="1">
      <c r="A632" s="36"/>
      <c r="B632" s="33"/>
      <c r="C632" s="33"/>
      <c r="D632" s="34"/>
      <c r="E632" s="34"/>
      <c r="F632" s="35"/>
      <c r="G632" s="34"/>
      <c r="H632" s="35"/>
      <c r="I632" s="35"/>
      <c r="J632" s="34"/>
      <c r="K632" s="34"/>
      <c r="L632" s="288"/>
      <c r="M632" s="35"/>
      <c r="N632" s="35"/>
      <c r="O632" s="34"/>
      <c r="P632" s="35"/>
      <c r="Q632" s="35"/>
      <c r="R632" s="34"/>
      <c r="S632" s="35"/>
      <c r="T632" s="34"/>
      <c r="U632" s="34"/>
      <c r="V632" s="36"/>
      <c r="W632" s="36"/>
      <c r="X632" s="36"/>
      <c r="Y632" s="36"/>
      <c r="Z632" s="36"/>
      <c r="AA632" s="36"/>
      <c r="AB632" s="36"/>
      <c r="AC632" s="36"/>
      <c r="AD632" s="36"/>
      <c r="AE632" s="36"/>
      <c r="AF632" s="36"/>
      <c r="AG632" s="36"/>
    </row>
    <row r="633" spans="1:34" s="3" customFormat="1" ht="16" customHeight="1" thickBot="1">
      <c r="A633" s="7"/>
      <c r="B633" s="19" t="str">
        <f>"FA4 = "&amp;'FIG3'!$W$55&amp;" "&amp;'FIG3'!$X$55</f>
        <v>FA4 = FA4L1 FA4L2</v>
      </c>
      <c r="C633" s="7"/>
      <c r="D633" s="8"/>
      <c r="E633" s="8"/>
      <c r="F633" s="9"/>
      <c r="G633" s="8"/>
      <c r="H633" s="9"/>
      <c r="I633" s="9"/>
      <c r="J633" s="8"/>
      <c r="K633" s="8"/>
      <c r="L633" s="280"/>
      <c r="M633" s="9"/>
      <c r="N633" s="9"/>
      <c r="O633" s="8"/>
      <c r="P633" s="9"/>
      <c r="Q633" s="9"/>
      <c r="R633" s="8"/>
      <c r="S633" s="882"/>
      <c r="T633" s="883" t="str">
        <f>'$REV-DB'!$T$34</f>
        <v>Federal Revenues</v>
      </c>
      <c r="U633" s="883" t="str">
        <f>'$REV-DB'!$U$34</f>
        <v>local Revenues</v>
      </c>
      <c r="V633" s="883" t="str">
        <f>'$REV-DB'!$V$34</f>
        <v>Other Revenues</v>
      </c>
      <c r="W633" s="883" t="str">
        <f>'$REV-DB'!$W$34</f>
        <v>State revenues</v>
      </c>
      <c r="X633" s="883" t="str">
        <f>'$REV-DB'!$X$34</f>
        <v>UD5</v>
      </c>
      <c r="Y633" s="883" t="str">
        <f>'$REV-DB'!$Y$34</f>
        <v>UD6</v>
      </c>
      <c r="Z633" s="883" t="str">
        <f>'$REV-DB'!$Z$34</f>
        <v>UD7</v>
      </c>
      <c r="AA633" s="883" t="str">
        <f>'$REV-DB'!$AA$34</f>
        <v>UD8</v>
      </c>
      <c r="AB633" s="883" t="str">
        <f>'$REV-DB'!$AB$34</f>
        <v>UD9</v>
      </c>
      <c r="AC633" s="883" t="str">
        <f>'$REV-DB'!$AC$34</f>
        <v>UD10</v>
      </c>
      <c r="AD633" s="883" t="str">
        <f>'$REV-DB'!$AD$34</f>
        <v>UD11</v>
      </c>
      <c r="AE633" s="883" t="str">
        <f>'$REV-DB'!$AE$34</f>
        <v>UD12</v>
      </c>
      <c r="AF633" s="883" t="str">
        <f>'$REV-DB'!$AF$34</f>
        <v>UD13</v>
      </c>
      <c r="AG633" s="883" t="str">
        <f>'$REV-DB'!$AG$34</f>
        <v>UD14</v>
      </c>
    </row>
    <row r="634" spans="1:34" s="3" customFormat="1" ht="16" customHeight="1" thickTop="1" thickBot="1">
      <c r="A634" s="7"/>
      <c r="B634" s="20" t="s">
        <v>1399</v>
      </c>
      <c r="C634" s="15"/>
      <c r="D634" s="877" t="s">
        <v>1386</v>
      </c>
      <c r="E634" s="877" t="s">
        <v>1387</v>
      </c>
      <c r="F634" s="877" t="s">
        <v>1388</v>
      </c>
      <c r="G634" s="877" t="s">
        <v>1389</v>
      </c>
      <c r="H634" s="877" t="s">
        <v>1406</v>
      </c>
      <c r="I634" s="877" t="s">
        <v>1390</v>
      </c>
      <c r="J634" s="877" t="s">
        <v>1391</v>
      </c>
      <c r="K634" s="877" t="s">
        <v>1392</v>
      </c>
      <c r="L634" s="877" t="s">
        <v>1188</v>
      </c>
      <c r="M634" s="877" t="s">
        <v>1437</v>
      </c>
      <c r="N634" s="877" t="s">
        <v>1348</v>
      </c>
      <c r="O634" s="877" t="s">
        <v>1393</v>
      </c>
      <c r="P634" s="877" t="s">
        <v>1342</v>
      </c>
      <c r="Q634" s="877" t="s">
        <v>1394</v>
      </c>
      <c r="R634" s="112" t="s">
        <v>1341</v>
      </c>
      <c r="S634" s="112" t="s">
        <v>846</v>
      </c>
      <c r="T634" s="877" t="s">
        <v>935</v>
      </c>
      <c r="U634" s="877" t="s">
        <v>936</v>
      </c>
      <c r="V634" s="877" t="s">
        <v>937</v>
      </c>
      <c r="W634" s="877" t="s">
        <v>938</v>
      </c>
      <c r="X634" s="877" t="s">
        <v>939</v>
      </c>
      <c r="Y634" s="877" t="s">
        <v>940</v>
      </c>
      <c r="Z634" s="877" t="s">
        <v>941</v>
      </c>
      <c r="AA634" s="877" t="s">
        <v>942</v>
      </c>
      <c r="AB634" s="877" t="s">
        <v>943</v>
      </c>
      <c r="AC634" s="877" t="s">
        <v>944</v>
      </c>
      <c r="AD634" s="877" t="s">
        <v>945</v>
      </c>
      <c r="AE634" s="877" t="s">
        <v>946</v>
      </c>
      <c r="AF634" s="877" t="s">
        <v>947</v>
      </c>
      <c r="AG634" s="877" t="s">
        <v>948</v>
      </c>
      <c r="AH634" s="6"/>
    </row>
    <row r="635" spans="1:34" s="3" customFormat="1" ht="16" customHeight="1" thickTop="1">
      <c r="A635" s="7"/>
      <c r="B635" s="19" t="s">
        <v>1350</v>
      </c>
      <c r="C635" s="12"/>
      <c r="D635" s="200"/>
      <c r="E635" s="200"/>
      <c r="F635" s="199"/>
      <c r="G635" s="200"/>
      <c r="H635" s="199"/>
      <c r="I635" s="199"/>
      <c r="J635" s="200"/>
      <c r="K635" s="200"/>
      <c r="L635" s="289" t="s">
        <v>1429</v>
      </c>
      <c r="M635" s="199"/>
      <c r="N635" s="40" t="str">
        <f>J$6</f>
        <v>FY2010-11</v>
      </c>
      <c r="O635" s="40" t="s">
        <v>1355</v>
      </c>
      <c r="P635" s="40" t="s">
        <v>1338</v>
      </c>
      <c r="Q635" s="40" t="s">
        <v>1340</v>
      </c>
      <c r="R635" s="200"/>
      <c r="S635" s="199"/>
      <c r="T635" s="200"/>
      <c r="U635" s="200"/>
      <c r="V635" s="201"/>
      <c r="W635" s="201"/>
      <c r="X635" s="201"/>
      <c r="Y635" s="201"/>
      <c r="Z635" s="201"/>
      <c r="AA635" s="201"/>
      <c r="AB635" s="201"/>
      <c r="AC635" s="201"/>
      <c r="AD635" s="201"/>
      <c r="AE635" s="201"/>
      <c r="AF635" s="201"/>
      <c r="AG635" s="201"/>
      <c r="AH635" s="6"/>
    </row>
    <row r="636" spans="1:34" s="3" customFormat="1" ht="16" customHeight="1">
      <c r="A636" s="7"/>
      <c r="B636" s="16">
        <f>DSUM('$REV-DB'!D35:AG374,"AMOUNT",D634:AG636)</f>
        <v>0</v>
      </c>
      <c r="C636" s="12"/>
      <c r="D636" s="200"/>
      <c r="E636" s="200"/>
      <c r="F636" s="199"/>
      <c r="G636" s="200"/>
      <c r="H636" s="199"/>
      <c r="I636" s="199"/>
      <c r="J636" s="200"/>
      <c r="K636" s="200"/>
      <c r="L636" s="289" t="s">
        <v>1429</v>
      </c>
      <c r="M636" s="199"/>
      <c r="N636" s="40" t="str">
        <f>J$6</f>
        <v>FY2010-11</v>
      </c>
      <c r="O636" s="40" t="s">
        <v>1355</v>
      </c>
      <c r="P636" s="40" t="s">
        <v>1347</v>
      </c>
      <c r="Q636" s="40" t="s">
        <v>1340</v>
      </c>
      <c r="R636" s="200"/>
      <c r="S636" s="199" t="s">
        <v>1303</v>
      </c>
      <c r="T636" s="200"/>
      <c r="U636" s="200"/>
      <c r="V636" s="201"/>
      <c r="W636" s="201"/>
      <c r="X636" s="201"/>
      <c r="Y636" s="201"/>
      <c r="Z636" s="201"/>
      <c r="AA636" s="201"/>
      <c r="AB636" s="201"/>
      <c r="AC636" s="201"/>
      <c r="AD636" s="201"/>
      <c r="AE636" s="201"/>
      <c r="AF636" s="201"/>
      <c r="AG636" s="201"/>
      <c r="AH636" s="6"/>
    </row>
    <row r="637" spans="1:34" s="3" customFormat="1" ht="16" customHeight="1">
      <c r="A637" s="7"/>
      <c r="B637" s="10"/>
      <c r="C637" s="12"/>
      <c r="D637" s="896"/>
      <c r="E637" s="896"/>
      <c r="F637" s="896"/>
      <c r="G637" s="896"/>
      <c r="H637" s="896"/>
      <c r="I637" s="896"/>
      <c r="J637" s="896"/>
      <c r="K637" s="896"/>
      <c r="L637" s="897"/>
      <c r="M637" s="896"/>
      <c r="N637" s="889"/>
      <c r="O637" s="889"/>
      <c r="P637" s="889"/>
      <c r="Q637" s="896"/>
      <c r="R637" s="896"/>
      <c r="S637" s="896"/>
      <c r="T637" s="898"/>
      <c r="U637" s="898"/>
      <c r="V637" s="899"/>
      <c r="W637" s="899"/>
      <c r="X637" s="899"/>
      <c r="Y637" s="899"/>
      <c r="Z637" s="899"/>
      <c r="AA637" s="899"/>
      <c r="AB637" s="899"/>
      <c r="AC637" s="899"/>
      <c r="AD637" s="899"/>
      <c r="AE637" s="899"/>
      <c r="AF637" s="899"/>
      <c r="AG637" s="899"/>
    </row>
    <row r="638" spans="1:34" s="3" customFormat="1" ht="16" customHeight="1">
      <c r="A638" s="7"/>
      <c r="B638" s="10"/>
      <c r="C638" s="12"/>
      <c r="D638" s="896"/>
      <c r="E638" s="896"/>
      <c r="F638" s="896"/>
      <c r="G638" s="896"/>
      <c r="H638" s="896"/>
      <c r="I638" s="896"/>
      <c r="J638" s="896"/>
      <c r="K638" s="896"/>
      <c r="L638" s="897"/>
      <c r="M638" s="896"/>
      <c r="N638" s="889"/>
      <c r="O638" s="889"/>
      <c r="P638" s="889"/>
      <c r="Q638" s="896"/>
      <c r="R638" s="896"/>
      <c r="S638" s="896"/>
      <c r="T638" s="898"/>
      <c r="U638" s="898"/>
      <c r="V638" s="899"/>
      <c r="W638" s="899"/>
      <c r="X638" s="899"/>
      <c r="Y638" s="899"/>
      <c r="Z638" s="899"/>
      <c r="AA638" s="899"/>
      <c r="AB638" s="899"/>
      <c r="AC638" s="899"/>
      <c r="AD638" s="899"/>
      <c r="AE638" s="899"/>
      <c r="AF638" s="899"/>
      <c r="AG638" s="899"/>
    </row>
    <row r="639" spans="1:34" s="3" customFormat="1" ht="16" customHeight="1">
      <c r="A639" s="7"/>
      <c r="B639" s="10"/>
      <c r="C639" s="12"/>
      <c r="D639" s="896"/>
      <c r="E639" s="896"/>
      <c r="F639" s="896"/>
      <c r="G639" s="896"/>
      <c r="H639" s="896"/>
      <c r="I639" s="896"/>
      <c r="J639" s="896"/>
      <c r="K639" s="896"/>
      <c r="L639" s="897"/>
      <c r="M639" s="896"/>
      <c r="N639" s="889"/>
      <c r="O639" s="889"/>
      <c r="P639" s="889"/>
      <c r="Q639" s="896"/>
      <c r="R639" s="896"/>
      <c r="S639" s="896"/>
      <c r="T639" s="898"/>
      <c r="U639" s="898"/>
      <c r="V639" s="899"/>
      <c r="W639" s="899"/>
      <c r="X639" s="899"/>
      <c r="Y639" s="899"/>
      <c r="Z639" s="899"/>
      <c r="AA639" s="899"/>
      <c r="AB639" s="899"/>
      <c r="AC639" s="899"/>
      <c r="AD639" s="899"/>
      <c r="AE639" s="899"/>
      <c r="AF639" s="899"/>
      <c r="AG639" s="899"/>
    </row>
    <row r="640" spans="1:34" s="3" customFormat="1" ht="16" customHeight="1">
      <c r="A640" s="7"/>
      <c r="B640" s="10"/>
      <c r="C640" s="12"/>
      <c r="D640" s="896"/>
      <c r="E640" s="896"/>
      <c r="F640" s="896"/>
      <c r="G640" s="896"/>
      <c r="H640" s="896"/>
      <c r="I640" s="896"/>
      <c r="J640" s="896"/>
      <c r="K640" s="896"/>
      <c r="L640" s="897"/>
      <c r="M640" s="896"/>
      <c r="N640" s="889"/>
      <c r="O640" s="889"/>
      <c r="P640" s="889"/>
      <c r="Q640" s="896"/>
      <c r="R640" s="896"/>
      <c r="S640" s="896"/>
      <c r="T640" s="898"/>
      <c r="U640" s="898"/>
      <c r="V640" s="899"/>
      <c r="W640" s="899"/>
      <c r="X640" s="899"/>
      <c r="Y640" s="899"/>
      <c r="Z640" s="899"/>
      <c r="AA640" s="899"/>
      <c r="AB640" s="899"/>
      <c r="AC640" s="899"/>
      <c r="AD640" s="899"/>
      <c r="AE640" s="899"/>
      <c r="AF640" s="899"/>
      <c r="AG640" s="899"/>
    </row>
    <row r="641" spans="1:34" s="3" customFormat="1" ht="16" customHeight="1">
      <c r="A641" s="7"/>
      <c r="B641" s="10"/>
      <c r="C641" s="12"/>
      <c r="D641" s="896"/>
      <c r="E641" s="896"/>
      <c r="F641" s="896"/>
      <c r="G641" s="896"/>
      <c r="H641" s="896"/>
      <c r="I641" s="896"/>
      <c r="J641" s="896"/>
      <c r="K641" s="896"/>
      <c r="L641" s="897"/>
      <c r="M641" s="896"/>
      <c r="N641" s="889"/>
      <c r="O641" s="889"/>
      <c r="P641" s="889"/>
      <c r="Q641" s="896"/>
      <c r="R641" s="896"/>
      <c r="S641" s="896"/>
      <c r="T641" s="898"/>
      <c r="U641" s="898"/>
      <c r="V641" s="899"/>
      <c r="W641" s="899"/>
      <c r="X641" s="899"/>
      <c r="Y641" s="899"/>
      <c r="Z641" s="899"/>
      <c r="AA641" s="899"/>
      <c r="AB641" s="899"/>
      <c r="AC641" s="899"/>
      <c r="AD641" s="899"/>
      <c r="AE641" s="899"/>
      <c r="AF641" s="899"/>
      <c r="AG641" s="899"/>
    </row>
    <row r="642" spans="1:34" s="3" customFormat="1" ht="16" customHeight="1">
      <c r="A642" s="36"/>
      <c r="B642" s="33"/>
      <c r="C642" s="33"/>
      <c r="D642" s="34"/>
      <c r="E642" s="34"/>
      <c r="F642" s="35"/>
      <c r="G642" s="34"/>
      <c r="H642" s="35"/>
      <c r="I642" s="35"/>
      <c r="J642" s="34"/>
      <c r="K642" s="34"/>
      <c r="L642" s="288"/>
      <c r="M642" s="35"/>
      <c r="N642" s="35"/>
      <c r="O642" s="34"/>
      <c r="P642" s="35"/>
      <c r="Q642" s="35"/>
      <c r="R642" s="34"/>
      <c r="S642" s="35"/>
      <c r="T642" s="34"/>
      <c r="U642" s="34"/>
      <c r="V642" s="36"/>
      <c r="W642" s="36"/>
      <c r="X642" s="36"/>
      <c r="Y642" s="36"/>
      <c r="Z642" s="36"/>
      <c r="AA642" s="36"/>
      <c r="AB642" s="36"/>
      <c r="AC642" s="36"/>
      <c r="AD642" s="36"/>
      <c r="AE642" s="36"/>
      <c r="AF642" s="36"/>
      <c r="AG642" s="36"/>
    </row>
    <row r="643" spans="1:34" s="3" customFormat="1" ht="16" customHeight="1" thickBot="1">
      <c r="A643" s="7"/>
      <c r="B643" s="19" t="str">
        <f>"FA4 = "&amp;'FIG3'!$W$55&amp;" "&amp;'FIG3'!$X$55</f>
        <v>FA4 = FA4L1 FA4L2</v>
      </c>
      <c r="C643" s="7"/>
      <c r="D643" s="17"/>
      <c r="E643" s="17"/>
      <c r="F643" s="18"/>
      <c r="G643" s="17"/>
      <c r="H643" s="18"/>
      <c r="I643" s="18"/>
      <c r="J643" s="17"/>
      <c r="K643" s="17"/>
      <c r="L643" s="281"/>
      <c r="M643" s="18"/>
      <c r="N643" s="9"/>
      <c r="O643" s="17"/>
      <c r="P643" s="18"/>
      <c r="Q643" s="18"/>
      <c r="R643" s="17"/>
      <c r="S643" s="882"/>
      <c r="T643" s="883" t="str">
        <f>'$REV-DB'!$T$34</f>
        <v>Federal Revenues</v>
      </c>
      <c r="U643" s="883" t="str">
        <f>'$REV-DB'!$U$34</f>
        <v>local Revenues</v>
      </c>
      <c r="V643" s="883" t="str">
        <f>'$REV-DB'!$V$34</f>
        <v>Other Revenues</v>
      </c>
      <c r="W643" s="883" t="str">
        <f>'$REV-DB'!$W$34</f>
        <v>State revenues</v>
      </c>
      <c r="X643" s="883" t="str">
        <f>'$REV-DB'!$X$34</f>
        <v>UD5</v>
      </c>
      <c r="Y643" s="883" t="str">
        <f>'$REV-DB'!$Y$34</f>
        <v>UD6</v>
      </c>
      <c r="Z643" s="883" t="str">
        <f>'$REV-DB'!$Z$34</f>
        <v>UD7</v>
      </c>
      <c r="AA643" s="883" t="str">
        <f>'$REV-DB'!$AA$34</f>
        <v>UD8</v>
      </c>
      <c r="AB643" s="883" t="str">
        <f>'$REV-DB'!$AB$34</f>
        <v>UD9</v>
      </c>
      <c r="AC643" s="883" t="str">
        <f>'$REV-DB'!$AC$34</f>
        <v>UD10</v>
      </c>
      <c r="AD643" s="883" t="str">
        <f>'$REV-DB'!$AD$34</f>
        <v>UD11</v>
      </c>
      <c r="AE643" s="883" t="str">
        <f>'$REV-DB'!$AE$34</f>
        <v>UD12</v>
      </c>
      <c r="AF643" s="883" t="str">
        <f>'$REV-DB'!$AF$34</f>
        <v>UD13</v>
      </c>
      <c r="AG643" s="883" t="str">
        <f>'$REV-DB'!$AG$34</f>
        <v>UD14</v>
      </c>
    </row>
    <row r="644" spans="1:34" s="3" customFormat="1" ht="16" customHeight="1" thickTop="1" thickBot="1">
      <c r="A644" s="7"/>
      <c r="B644" s="20" t="s">
        <v>1375</v>
      </c>
      <c r="C644" s="15"/>
      <c r="D644" s="877" t="s">
        <v>1386</v>
      </c>
      <c r="E644" s="877" t="s">
        <v>1387</v>
      </c>
      <c r="F644" s="877" t="s">
        <v>1388</v>
      </c>
      <c r="G644" s="877" t="s">
        <v>1389</v>
      </c>
      <c r="H644" s="877" t="s">
        <v>1406</v>
      </c>
      <c r="I644" s="877" t="s">
        <v>1390</v>
      </c>
      <c r="J644" s="877" t="s">
        <v>1391</v>
      </c>
      <c r="K644" s="877" t="s">
        <v>1392</v>
      </c>
      <c r="L644" s="877" t="s">
        <v>1188</v>
      </c>
      <c r="M644" s="877" t="s">
        <v>1437</v>
      </c>
      <c r="N644" s="877" t="s">
        <v>1348</v>
      </c>
      <c r="O644" s="877" t="s">
        <v>1393</v>
      </c>
      <c r="P644" s="877" t="s">
        <v>1342</v>
      </c>
      <c r="Q644" s="877" t="s">
        <v>1394</v>
      </c>
      <c r="R644" s="112" t="s">
        <v>1341</v>
      </c>
      <c r="S644" s="112" t="s">
        <v>846</v>
      </c>
      <c r="T644" s="877" t="s">
        <v>935</v>
      </c>
      <c r="U644" s="877" t="s">
        <v>936</v>
      </c>
      <c r="V644" s="877" t="s">
        <v>937</v>
      </c>
      <c r="W644" s="877" t="s">
        <v>938</v>
      </c>
      <c r="X644" s="877" t="s">
        <v>939</v>
      </c>
      <c r="Y644" s="877" t="s">
        <v>940</v>
      </c>
      <c r="Z644" s="877" t="s">
        <v>941</v>
      </c>
      <c r="AA644" s="877" t="s">
        <v>942</v>
      </c>
      <c r="AB644" s="877" t="s">
        <v>943</v>
      </c>
      <c r="AC644" s="877" t="s">
        <v>944</v>
      </c>
      <c r="AD644" s="877" t="s">
        <v>945</v>
      </c>
      <c r="AE644" s="877" t="s">
        <v>946</v>
      </c>
      <c r="AF644" s="877" t="s">
        <v>947</v>
      </c>
      <c r="AG644" s="877" t="s">
        <v>948</v>
      </c>
      <c r="AH644" s="6"/>
    </row>
    <row r="645" spans="1:34" s="3" customFormat="1" ht="16" customHeight="1" thickTop="1">
      <c r="A645" s="7"/>
      <c r="B645" s="19" t="s">
        <v>1346</v>
      </c>
      <c r="C645" s="12"/>
      <c r="D645" s="200"/>
      <c r="E645" s="200"/>
      <c r="F645" s="199"/>
      <c r="G645" s="200"/>
      <c r="H645" s="199"/>
      <c r="I645" s="199"/>
      <c r="J645" s="200"/>
      <c r="K645" s="200"/>
      <c r="L645" s="289" t="s">
        <v>1429</v>
      </c>
      <c r="M645" s="199"/>
      <c r="N645" s="40" t="str">
        <f>J$6</f>
        <v>FY2010-11</v>
      </c>
      <c r="O645" s="40" t="s">
        <v>1355</v>
      </c>
      <c r="P645" s="40" t="s">
        <v>1347</v>
      </c>
      <c r="Q645" s="40"/>
      <c r="R645" s="200"/>
      <c r="S645" s="199" t="s">
        <v>871</v>
      </c>
      <c r="T645" s="200"/>
      <c r="U645" s="200"/>
      <c r="V645" s="201"/>
      <c r="W645" s="201"/>
      <c r="X645" s="201"/>
      <c r="Y645" s="201"/>
      <c r="Z645" s="201"/>
      <c r="AA645" s="201"/>
      <c r="AB645" s="201"/>
      <c r="AC645" s="201"/>
      <c r="AD645" s="201"/>
      <c r="AE645" s="201"/>
      <c r="AF645" s="201"/>
      <c r="AG645" s="201"/>
      <c r="AH645" s="6"/>
    </row>
    <row r="646" spans="1:34" s="3" customFormat="1" ht="16" customHeight="1">
      <c r="A646" s="7"/>
      <c r="B646" s="16">
        <f>DSUM('$REV-DB'!D35:AG374,"AMOUNT",D644:AG645)</f>
        <v>0</v>
      </c>
      <c r="C646" s="12"/>
      <c r="D646" s="896"/>
      <c r="E646" s="896"/>
      <c r="F646" s="896"/>
      <c r="G646" s="896"/>
      <c r="H646" s="896"/>
      <c r="I646" s="896"/>
      <c r="J646" s="896"/>
      <c r="K646" s="896"/>
      <c r="L646" s="897"/>
      <c r="M646" s="896"/>
      <c r="N646" s="889"/>
      <c r="O646" s="896"/>
      <c r="P646" s="889"/>
      <c r="Q646" s="900"/>
      <c r="R646" s="896"/>
      <c r="S646" s="896"/>
      <c r="T646" s="898"/>
      <c r="U646" s="898"/>
      <c r="V646" s="899"/>
      <c r="W646" s="899"/>
      <c r="X646" s="899"/>
      <c r="Y646" s="899"/>
      <c r="Z646" s="899"/>
      <c r="AA646" s="899"/>
      <c r="AB646" s="899"/>
      <c r="AC646" s="899"/>
      <c r="AD646" s="899"/>
      <c r="AE646" s="899"/>
      <c r="AF646" s="899"/>
      <c r="AG646" s="899"/>
      <c r="AH646" s="6"/>
    </row>
    <row r="647" spans="1:34" s="3" customFormat="1" ht="16" customHeight="1">
      <c r="A647" s="7"/>
      <c r="B647" s="10"/>
      <c r="C647" s="12"/>
      <c r="D647" s="896"/>
      <c r="E647" s="896"/>
      <c r="F647" s="896"/>
      <c r="G647" s="896"/>
      <c r="H647" s="896"/>
      <c r="I647" s="896"/>
      <c r="J647" s="896"/>
      <c r="K647" s="896"/>
      <c r="L647" s="897"/>
      <c r="M647" s="896"/>
      <c r="N647" s="889"/>
      <c r="O647" s="896"/>
      <c r="P647" s="889"/>
      <c r="Q647" s="900"/>
      <c r="R647" s="896"/>
      <c r="S647" s="896"/>
      <c r="T647" s="898"/>
      <c r="U647" s="898"/>
      <c r="V647" s="899"/>
      <c r="W647" s="899"/>
      <c r="X647" s="899"/>
      <c r="Y647" s="899"/>
      <c r="Z647" s="899"/>
      <c r="AA647" s="899"/>
      <c r="AB647" s="899"/>
      <c r="AC647" s="899"/>
      <c r="AD647" s="899"/>
      <c r="AE647" s="899"/>
      <c r="AF647" s="899"/>
      <c r="AG647" s="899"/>
    </row>
    <row r="648" spans="1:34" s="3" customFormat="1" ht="16" customHeight="1">
      <c r="A648" s="7"/>
      <c r="B648" s="10"/>
      <c r="C648" s="12"/>
      <c r="D648" s="896"/>
      <c r="E648" s="896"/>
      <c r="F648" s="896"/>
      <c r="G648" s="896"/>
      <c r="H648" s="896"/>
      <c r="I648" s="896"/>
      <c r="J648" s="896"/>
      <c r="K648" s="896"/>
      <c r="L648" s="897"/>
      <c r="M648" s="896"/>
      <c r="N648" s="889"/>
      <c r="O648" s="896"/>
      <c r="P648" s="889"/>
      <c r="Q648" s="900"/>
      <c r="R648" s="896"/>
      <c r="S648" s="896"/>
      <c r="T648" s="898"/>
      <c r="U648" s="898"/>
      <c r="V648" s="899"/>
      <c r="W648" s="899"/>
      <c r="X648" s="899"/>
      <c r="Y648" s="899"/>
      <c r="Z648" s="899"/>
      <c r="AA648" s="899"/>
      <c r="AB648" s="899"/>
      <c r="AC648" s="899"/>
      <c r="AD648" s="899"/>
      <c r="AE648" s="899"/>
      <c r="AF648" s="899"/>
      <c r="AG648" s="899"/>
    </row>
    <row r="649" spans="1:34" s="3" customFormat="1" ht="16" customHeight="1">
      <c r="A649" s="7"/>
      <c r="B649" s="10"/>
      <c r="C649" s="12"/>
      <c r="D649" s="896"/>
      <c r="E649" s="896"/>
      <c r="F649" s="896"/>
      <c r="G649" s="896"/>
      <c r="H649" s="896"/>
      <c r="I649" s="896"/>
      <c r="J649" s="896"/>
      <c r="K649" s="896"/>
      <c r="L649" s="897"/>
      <c r="M649" s="896"/>
      <c r="N649" s="889"/>
      <c r="O649" s="896"/>
      <c r="P649" s="889"/>
      <c r="Q649" s="900"/>
      <c r="R649" s="896"/>
      <c r="S649" s="896"/>
      <c r="T649" s="898"/>
      <c r="U649" s="898"/>
      <c r="V649" s="899"/>
      <c r="W649" s="899"/>
      <c r="X649" s="899"/>
      <c r="Y649" s="899"/>
      <c r="Z649" s="899"/>
      <c r="AA649" s="899"/>
      <c r="AB649" s="899"/>
      <c r="AC649" s="899"/>
      <c r="AD649" s="899"/>
      <c r="AE649" s="899"/>
      <c r="AF649" s="899"/>
      <c r="AG649" s="899"/>
    </row>
    <row r="650" spans="1:34" s="3" customFormat="1" ht="16" customHeight="1">
      <c r="A650" s="7"/>
      <c r="B650" s="10"/>
      <c r="C650" s="12"/>
      <c r="D650" s="896"/>
      <c r="E650" s="896"/>
      <c r="F650" s="896"/>
      <c r="G650" s="896"/>
      <c r="H650" s="896"/>
      <c r="I650" s="896"/>
      <c r="J650" s="896"/>
      <c r="K650" s="896"/>
      <c r="L650" s="897"/>
      <c r="M650" s="896"/>
      <c r="N650" s="889"/>
      <c r="O650" s="896"/>
      <c r="P650" s="889"/>
      <c r="Q650" s="900"/>
      <c r="R650" s="896"/>
      <c r="S650" s="896"/>
      <c r="T650" s="898"/>
      <c r="U650" s="898"/>
      <c r="V650" s="899"/>
      <c r="W650" s="899"/>
      <c r="X650" s="899"/>
      <c r="Y650" s="899"/>
      <c r="Z650" s="899"/>
      <c r="AA650" s="899"/>
      <c r="AB650" s="899"/>
      <c r="AC650" s="899"/>
      <c r="AD650" s="899"/>
      <c r="AE650" s="899"/>
      <c r="AF650" s="899"/>
      <c r="AG650" s="899"/>
    </row>
    <row r="651" spans="1:34" s="3" customFormat="1" ht="16" customHeight="1">
      <c r="A651" s="7"/>
      <c r="B651" s="10"/>
      <c r="C651" s="12"/>
      <c r="D651" s="896"/>
      <c r="E651" s="896"/>
      <c r="F651" s="896"/>
      <c r="G651" s="896"/>
      <c r="H651" s="896"/>
      <c r="I651" s="896"/>
      <c r="J651" s="896"/>
      <c r="K651" s="896"/>
      <c r="L651" s="897"/>
      <c r="M651" s="896"/>
      <c r="N651" s="889"/>
      <c r="O651" s="896"/>
      <c r="P651" s="889"/>
      <c r="Q651" s="900"/>
      <c r="R651" s="896"/>
      <c r="S651" s="896"/>
      <c r="T651" s="898"/>
      <c r="U651" s="898"/>
      <c r="V651" s="899"/>
      <c r="W651" s="899"/>
      <c r="X651" s="899"/>
      <c r="Y651" s="899"/>
      <c r="Z651" s="899"/>
      <c r="AA651" s="899"/>
      <c r="AB651" s="899"/>
      <c r="AC651" s="899"/>
      <c r="AD651" s="899"/>
      <c r="AE651" s="899"/>
      <c r="AF651" s="899"/>
      <c r="AG651" s="899"/>
    </row>
    <row r="652" spans="1:34" s="3" customFormat="1" ht="16" customHeight="1">
      <c r="A652" s="36"/>
      <c r="B652" s="33"/>
      <c r="C652" s="33"/>
      <c r="D652" s="34"/>
      <c r="E652" s="34"/>
      <c r="F652" s="35"/>
      <c r="G652" s="34"/>
      <c r="H652" s="35"/>
      <c r="I652" s="35"/>
      <c r="J652" s="34"/>
      <c r="K652" s="34"/>
      <c r="L652" s="288"/>
      <c r="M652" s="35"/>
      <c r="N652" s="35"/>
      <c r="O652" s="34"/>
      <c r="P652" s="35"/>
      <c r="Q652" s="35"/>
      <c r="R652" s="34"/>
      <c r="S652" s="35"/>
      <c r="T652" s="34"/>
      <c r="U652" s="34"/>
      <c r="V652" s="36"/>
      <c r="W652" s="36"/>
      <c r="X652" s="36"/>
      <c r="Y652" s="36"/>
      <c r="Z652" s="36"/>
      <c r="AA652" s="36"/>
      <c r="AB652" s="36"/>
      <c r="AC652" s="36"/>
      <c r="AD652" s="36"/>
      <c r="AE652" s="36"/>
      <c r="AF652" s="36"/>
      <c r="AG652" s="36"/>
    </row>
    <row r="653" spans="1:34" s="3" customFormat="1" ht="16" customHeight="1" thickBot="1">
      <c r="A653" s="7"/>
      <c r="B653" s="19" t="str">
        <f>"FA4 = "&amp;'FIG3'!$W$55&amp;" "&amp;'FIG3'!$X$55</f>
        <v>FA4 = FA4L1 FA4L2</v>
      </c>
      <c r="C653" s="7"/>
      <c r="D653" s="8"/>
      <c r="E653" s="8"/>
      <c r="F653" s="9"/>
      <c r="G653" s="8"/>
      <c r="H653" s="9"/>
      <c r="I653" s="9"/>
      <c r="J653" s="8"/>
      <c r="K653" s="8"/>
      <c r="L653" s="280"/>
      <c r="M653" s="9"/>
      <c r="N653" s="9"/>
      <c r="O653" s="8"/>
      <c r="P653" s="9"/>
      <c r="Q653" s="9"/>
      <c r="R653" s="8"/>
      <c r="S653" s="882"/>
      <c r="T653" s="883" t="str">
        <f>'$REV-DB'!$T$34</f>
        <v>Federal Revenues</v>
      </c>
      <c r="U653" s="883" t="str">
        <f>'$REV-DB'!$U$34</f>
        <v>local Revenues</v>
      </c>
      <c r="V653" s="883" t="str">
        <f>'$REV-DB'!$V$34</f>
        <v>Other Revenues</v>
      </c>
      <c r="W653" s="883" t="str">
        <f>'$REV-DB'!$W$34</f>
        <v>State revenues</v>
      </c>
      <c r="X653" s="883" t="str">
        <f>'$REV-DB'!$X$34</f>
        <v>UD5</v>
      </c>
      <c r="Y653" s="883" t="str">
        <f>'$REV-DB'!$Y$34</f>
        <v>UD6</v>
      </c>
      <c r="Z653" s="883" t="str">
        <f>'$REV-DB'!$Z$34</f>
        <v>UD7</v>
      </c>
      <c r="AA653" s="883" t="str">
        <f>'$REV-DB'!$AA$34</f>
        <v>UD8</v>
      </c>
      <c r="AB653" s="883" t="str">
        <f>'$REV-DB'!$AB$34</f>
        <v>UD9</v>
      </c>
      <c r="AC653" s="883" t="str">
        <f>'$REV-DB'!$AC$34</f>
        <v>UD10</v>
      </c>
      <c r="AD653" s="883" t="str">
        <f>'$REV-DB'!$AD$34</f>
        <v>UD11</v>
      </c>
      <c r="AE653" s="883" t="str">
        <f>'$REV-DB'!$AE$34</f>
        <v>UD12</v>
      </c>
      <c r="AF653" s="883" t="str">
        <f>'$REV-DB'!$AF$34</f>
        <v>UD13</v>
      </c>
      <c r="AG653" s="883" t="str">
        <f>'$REV-DB'!$AG$34</f>
        <v>UD14</v>
      </c>
    </row>
    <row r="654" spans="1:34" s="3" customFormat="1" ht="16" customHeight="1" thickTop="1" thickBot="1">
      <c r="A654" s="7"/>
      <c r="B654" s="20" t="s">
        <v>1375</v>
      </c>
      <c r="C654" s="15"/>
      <c r="D654" s="877" t="s">
        <v>1386</v>
      </c>
      <c r="E654" s="877" t="s">
        <v>1387</v>
      </c>
      <c r="F654" s="877" t="s">
        <v>1388</v>
      </c>
      <c r="G654" s="877" t="s">
        <v>1389</v>
      </c>
      <c r="H654" s="877" t="s">
        <v>1406</v>
      </c>
      <c r="I654" s="877" t="s">
        <v>1390</v>
      </c>
      <c r="J654" s="877" t="s">
        <v>1391</v>
      </c>
      <c r="K654" s="877" t="s">
        <v>1392</v>
      </c>
      <c r="L654" s="877" t="s">
        <v>1188</v>
      </c>
      <c r="M654" s="877" t="s">
        <v>1437</v>
      </c>
      <c r="N654" s="877" t="s">
        <v>1348</v>
      </c>
      <c r="O654" s="877" t="s">
        <v>1393</v>
      </c>
      <c r="P654" s="877" t="s">
        <v>1342</v>
      </c>
      <c r="Q654" s="877" t="s">
        <v>1394</v>
      </c>
      <c r="R654" s="112" t="s">
        <v>1341</v>
      </c>
      <c r="S654" s="112" t="s">
        <v>846</v>
      </c>
      <c r="T654" s="877" t="s">
        <v>935</v>
      </c>
      <c r="U654" s="877" t="s">
        <v>936</v>
      </c>
      <c r="V654" s="877" t="s">
        <v>937</v>
      </c>
      <c r="W654" s="877" t="s">
        <v>938</v>
      </c>
      <c r="X654" s="877" t="s">
        <v>939</v>
      </c>
      <c r="Y654" s="877" t="s">
        <v>940</v>
      </c>
      <c r="Z654" s="877" t="s">
        <v>941</v>
      </c>
      <c r="AA654" s="877" t="s">
        <v>942</v>
      </c>
      <c r="AB654" s="877" t="s">
        <v>943</v>
      </c>
      <c r="AC654" s="877" t="s">
        <v>944</v>
      </c>
      <c r="AD654" s="877" t="s">
        <v>945</v>
      </c>
      <c r="AE654" s="877" t="s">
        <v>946</v>
      </c>
      <c r="AF654" s="877" t="s">
        <v>947</v>
      </c>
      <c r="AG654" s="877" t="s">
        <v>948</v>
      </c>
      <c r="AH654" s="6"/>
    </row>
    <row r="655" spans="1:34" s="3" customFormat="1" ht="16" customHeight="1" thickTop="1">
      <c r="A655" s="7"/>
      <c r="B655" s="19" t="s">
        <v>1345</v>
      </c>
      <c r="C655" s="12"/>
      <c r="D655" s="200"/>
      <c r="E655" s="200"/>
      <c r="F655" s="199"/>
      <c r="G655" s="200"/>
      <c r="H655" s="199"/>
      <c r="I655" s="199"/>
      <c r="J655" s="200"/>
      <c r="K655" s="200"/>
      <c r="L655" s="289" t="s">
        <v>1429</v>
      </c>
      <c r="M655" s="199"/>
      <c r="N655" s="40" t="str">
        <f>J$6</f>
        <v>FY2010-11</v>
      </c>
      <c r="O655" s="40" t="s">
        <v>1355</v>
      </c>
      <c r="P655" s="40" t="s">
        <v>1347</v>
      </c>
      <c r="Q655" s="40" t="s">
        <v>1380</v>
      </c>
      <c r="R655" s="200"/>
      <c r="S655" s="199" t="s">
        <v>871</v>
      </c>
      <c r="T655" s="200"/>
      <c r="U655" s="200"/>
      <c r="V655" s="201"/>
      <c r="W655" s="201"/>
      <c r="X655" s="201"/>
      <c r="Y655" s="201"/>
      <c r="Z655" s="201"/>
      <c r="AA655" s="201"/>
      <c r="AB655" s="201"/>
      <c r="AC655" s="201"/>
      <c r="AD655" s="201"/>
      <c r="AE655" s="201"/>
      <c r="AF655" s="201"/>
      <c r="AG655" s="201"/>
      <c r="AH655" s="6"/>
    </row>
    <row r="656" spans="1:34" s="3" customFormat="1" ht="16" customHeight="1">
      <c r="A656" s="7"/>
      <c r="B656" s="16">
        <f>DSUM('$REV-DB'!D35:AG374,"AMOUNT",D654:AG655)</f>
        <v>0</v>
      </c>
      <c r="C656" s="12"/>
      <c r="D656" s="896"/>
      <c r="E656" s="896"/>
      <c r="F656" s="896"/>
      <c r="G656" s="896"/>
      <c r="H656" s="896"/>
      <c r="I656" s="896"/>
      <c r="J656" s="896"/>
      <c r="K656" s="896"/>
      <c r="L656" s="897"/>
      <c r="M656" s="896"/>
      <c r="N656" s="889"/>
      <c r="O656" s="896"/>
      <c r="P656" s="889"/>
      <c r="Q656" s="900"/>
      <c r="R656" s="896"/>
      <c r="S656" s="896"/>
      <c r="T656" s="898"/>
      <c r="U656" s="898"/>
      <c r="V656" s="899"/>
      <c r="W656" s="899"/>
      <c r="X656" s="899"/>
      <c r="Y656" s="899"/>
      <c r="Z656" s="899"/>
      <c r="AA656" s="899"/>
      <c r="AB656" s="899"/>
      <c r="AC656" s="899"/>
      <c r="AD656" s="899"/>
      <c r="AE656" s="899"/>
      <c r="AF656" s="899"/>
      <c r="AG656" s="899"/>
      <c r="AH656" s="6"/>
    </row>
    <row r="657" spans="1:34" s="3" customFormat="1" ht="16" customHeight="1">
      <c r="A657" s="7"/>
      <c r="B657" s="10"/>
      <c r="C657" s="12"/>
      <c r="D657" s="896"/>
      <c r="E657" s="896"/>
      <c r="F657" s="896"/>
      <c r="G657" s="896"/>
      <c r="H657" s="896"/>
      <c r="I657" s="896"/>
      <c r="J657" s="896"/>
      <c r="K657" s="896"/>
      <c r="L657" s="897"/>
      <c r="M657" s="896"/>
      <c r="N657" s="889"/>
      <c r="O657" s="896"/>
      <c r="P657" s="889"/>
      <c r="Q657" s="900"/>
      <c r="R657" s="896"/>
      <c r="S657" s="896"/>
      <c r="T657" s="898"/>
      <c r="U657" s="898"/>
      <c r="V657" s="899"/>
      <c r="W657" s="899"/>
      <c r="X657" s="899"/>
      <c r="Y657" s="899"/>
      <c r="Z657" s="899"/>
      <c r="AA657" s="899"/>
      <c r="AB657" s="899"/>
      <c r="AC657" s="899"/>
      <c r="AD657" s="899"/>
      <c r="AE657" s="899"/>
      <c r="AF657" s="899"/>
      <c r="AG657" s="899"/>
    </row>
    <row r="658" spans="1:34" s="3" customFormat="1" ht="16" customHeight="1">
      <c r="A658" s="7"/>
      <c r="B658" s="10"/>
      <c r="C658" s="12"/>
      <c r="D658" s="896"/>
      <c r="E658" s="896"/>
      <c r="F658" s="896"/>
      <c r="G658" s="896"/>
      <c r="H658" s="896"/>
      <c r="I658" s="896"/>
      <c r="J658" s="896"/>
      <c r="K658" s="896"/>
      <c r="L658" s="897"/>
      <c r="M658" s="896"/>
      <c r="N658" s="889"/>
      <c r="O658" s="896"/>
      <c r="P658" s="889"/>
      <c r="Q658" s="900"/>
      <c r="R658" s="896"/>
      <c r="S658" s="896"/>
      <c r="T658" s="898"/>
      <c r="U658" s="898"/>
      <c r="V658" s="899"/>
      <c r="W658" s="899"/>
      <c r="X658" s="899"/>
      <c r="Y658" s="899"/>
      <c r="Z658" s="899"/>
      <c r="AA658" s="899"/>
      <c r="AB658" s="899"/>
      <c r="AC658" s="899"/>
      <c r="AD658" s="899"/>
      <c r="AE658" s="899"/>
      <c r="AF658" s="899"/>
      <c r="AG658" s="899"/>
    </row>
    <row r="659" spans="1:34" s="3" customFormat="1" ht="16" customHeight="1">
      <c r="A659" s="7"/>
      <c r="B659" s="10"/>
      <c r="C659" s="12"/>
      <c r="D659" s="896"/>
      <c r="E659" s="896"/>
      <c r="F659" s="896"/>
      <c r="G659" s="896"/>
      <c r="H659" s="896"/>
      <c r="I659" s="896"/>
      <c r="J659" s="896"/>
      <c r="K659" s="896"/>
      <c r="L659" s="897"/>
      <c r="M659" s="896"/>
      <c r="N659" s="889"/>
      <c r="O659" s="896"/>
      <c r="P659" s="889"/>
      <c r="Q659" s="900"/>
      <c r="R659" s="896"/>
      <c r="S659" s="896"/>
      <c r="T659" s="898"/>
      <c r="U659" s="898"/>
      <c r="V659" s="899"/>
      <c r="W659" s="899"/>
      <c r="X659" s="899"/>
      <c r="Y659" s="899"/>
      <c r="Z659" s="899"/>
      <c r="AA659" s="899"/>
      <c r="AB659" s="899"/>
      <c r="AC659" s="899"/>
      <c r="AD659" s="899"/>
      <c r="AE659" s="899"/>
      <c r="AF659" s="899"/>
      <c r="AG659" s="899"/>
    </row>
    <row r="660" spans="1:34" s="3" customFormat="1" ht="16" customHeight="1">
      <c r="A660" s="7"/>
      <c r="B660" s="10"/>
      <c r="C660" s="12"/>
      <c r="D660" s="896"/>
      <c r="E660" s="896"/>
      <c r="F660" s="896"/>
      <c r="G660" s="896"/>
      <c r="H660" s="896"/>
      <c r="I660" s="896"/>
      <c r="J660" s="896"/>
      <c r="K660" s="896"/>
      <c r="L660" s="897"/>
      <c r="M660" s="896"/>
      <c r="N660" s="889"/>
      <c r="O660" s="896"/>
      <c r="P660" s="889"/>
      <c r="Q660" s="900"/>
      <c r="R660" s="896"/>
      <c r="S660" s="896"/>
      <c r="T660" s="898"/>
      <c r="U660" s="898"/>
      <c r="V660" s="899"/>
      <c r="W660" s="899"/>
      <c r="X660" s="899"/>
      <c r="Y660" s="899"/>
      <c r="Z660" s="899"/>
      <c r="AA660" s="899"/>
      <c r="AB660" s="899"/>
      <c r="AC660" s="899"/>
      <c r="AD660" s="899"/>
      <c r="AE660" s="899"/>
      <c r="AF660" s="899"/>
      <c r="AG660" s="899"/>
    </row>
    <row r="661" spans="1:34" s="3" customFormat="1" ht="16" customHeight="1">
      <c r="A661" s="7"/>
      <c r="B661" s="10"/>
      <c r="C661" s="12"/>
      <c r="D661" s="896"/>
      <c r="E661" s="896"/>
      <c r="F661" s="896"/>
      <c r="G661" s="896"/>
      <c r="H661" s="896"/>
      <c r="I661" s="896"/>
      <c r="J661" s="896"/>
      <c r="K661" s="896"/>
      <c r="L661" s="897"/>
      <c r="M661" s="896"/>
      <c r="N661" s="889"/>
      <c r="O661" s="896"/>
      <c r="P661" s="889"/>
      <c r="Q661" s="900"/>
      <c r="R661" s="896"/>
      <c r="S661" s="896"/>
      <c r="T661" s="898"/>
      <c r="U661" s="898"/>
      <c r="V661" s="899"/>
      <c r="W661" s="899"/>
      <c r="X661" s="899"/>
      <c r="Y661" s="899"/>
      <c r="Z661" s="899"/>
      <c r="AA661" s="899"/>
      <c r="AB661" s="899"/>
      <c r="AC661" s="899"/>
      <c r="AD661" s="899"/>
      <c r="AE661" s="899"/>
      <c r="AF661" s="899"/>
      <c r="AG661" s="899"/>
    </row>
    <row r="662" spans="1:34" s="3" customFormat="1" ht="16" customHeight="1">
      <c r="A662" s="36"/>
      <c r="B662" s="33"/>
      <c r="C662" s="33"/>
      <c r="D662" s="34"/>
      <c r="E662" s="34"/>
      <c r="F662" s="35"/>
      <c r="G662" s="34"/>
      <c r="H662" s="35"/>
      <c r="I662" s="35"/>
      <c r="J662" s="34"/>
      <c r="K662" s="34"/>
      <c r="L662" s="288"/>
      <c r="M662" s="35"/>
      <c r="N662" s="35"/>
      <c r="O662" s="34"/>
      <c r="P662" s="35"/>
      <c r="Q662" s="35"/>
      <c r="R662" s="34"/>
      <c r="S662" s="35"/>
      <c r="T662" s="34"/>
      <c r="U662" s="34"/>
      <c r="V662" s="36"/>
      <c r="W662" s="36"/>
      <c r="X662" s="36"/>
      <c r="Y662" s="36"/>
      <c r="Z662" s="36"/>
      <c r="AA662" s="36"/>
      <c r="AB662" s="36"/>
      <c r="AC662" s="36"/>
      <c r="AD662" s="36"/>
      <c r="AE662" s="36"/>
      <c r="AF662" s="36"/>
      <c r="AG662" s="36"/>
    </row>
    <row r="663" spans="1:34" s="3" customFormat="1" ht="16" customHeight="1" thickBot="1">
      <c r="A663" s="7"/>
      <c r="B663" s="19" t="str">
        <f>"FA4 = "&amp;'FIG3'!$W$55&amp;" "&amp;'FIG3'!$X$55</f>
        <v>FA4 = FA4L1 FA4L2</v>
      </c>
      <c r="C663" s="7"/>
      <c r="D663" s="8"/>
      <c r="E663" s="8"/>
      <c r="F663" s="9"/>
      <c r="G663" s="8"/>
      <c r="H663" s="9"/>
      <c r="I663" s="9"/>
      <c r="J663" s="8"/>
      <c r="K663" s="8"/>
      <c r="L663" s="280"/>
      <c r="M663" s="9"/>
      <c r="N663" s="9"/>
      <c r="O663" s="8"/>
      <c r="P663" s="9"/>
      <c r="Q663" s="9"/>
      <c r="R663" s="8"/>
      <c r="S663" s="882"/>
      <c r="T663" s="883" t="str">
        <f>'$REV-DB'!$T$34</f>
        <v>Federal Revenues</v>
      </c>
      <c r="U663" s="883" t="str">
        <f>'$REV-DB'!$U$34</f>
        <v>local Revenues</v>
      </c>
      <c r="V663" s="883" t="str">
        <f>'$REV-DB'!$V$34</f>
        <v>Other Revenues</v>
      </c>
      <c r="W663" s="883" t="str">
        <f>'$REV-DB'!$W$34</f>
        <v>State revenues</v>
      </c>
      <c r="X663" s="883" t="str">
        <f>'$REV-DB'!$X$34</f>
        <v>UD5</v>
      </c>
      <c r="Y663" s="883" t="str">
        <f>'$REV-DB'!$Y$34</f>
        <v>UD6</v>
      </c>
      <c r="Z663" s="883" t="str">
        <f>'$REV-DB'!$Z$34</f>
        <v>UD7</v>
      </c>
      <c r="AA663" s="883" t="str">
        <f>'$REV-DB'!$AA$34</f>
        <v>UD8</v>
      </c>
      <c r="AB663" s="883" t="str">
        <f>'$REV-DB'!$AB$34</f>
        <v>UD9</v>
      </c>
      <c r="AC663" s="883" t="str">
        <f>'$REV-DB'!$AC$34</f>
        <v>UD10</v>
      </c>
      <c r="AD663" s="883" t="str">
        <f>'$REV-DB'!$AD$34</f>
        <v>UD11</v>
      </c>
      <c r="AE663" s="883" t="str">
        <f>'$REV-DB'!$AE$34</f>
        <v>UD12</v>
      </c>
      <c r="AF663" s="883" t="str">
        <f>'$REV-DB'!$AF$34</f>
        <v>UD13</v>
      </c>
      <c r="AG663" s="883" t="str">
        <f>'$REV-DB'!$AG$34</f>
        <v>UD14</v>
      </c>
    </row>
    <row r="664" spans="1:34" s="3" customFormat="1" ht="16" customHeight="1" thickTop="1" thickBot="1">
      <c r="A664" s="7"/>
      <c r="B664" s="20" t="s">
        <v>1375</v>
      </c>
      <c r="C664" s="15"/>
      <c r="D664" s="877" t="s">
        <v>1386</v>
      </c>
      <c r="E664" s="877" t="s">
        <v>1387</v>
      </c>
      <c r="F664" s="877" t="s">
        <v>1388</v>
      </c>
      <c r="G664" s="877" t="s">
        <v>1389</v>
      </c>
      <c r="H664" s="877" t="s">
        <v>1406</v>
      </c>
      <c r="I664" s="877" t="s">
        <v>1390</v>
      </c>
      <c r="J664" s="877" t="s">
        <v>1391</v>
      </c>
      <c r="K664" s="877" t="s">
        <v>1392</v>
      </c>
      <c r="L664" s="877" t="s">
        <v>1188</v>
      </c>
      <c r="M664" s="877" t="s">
        <v>1437</v>
      </c>
      <c r="N664" s="877" t="s">
        <v>1348</v>
      </c>
      <c r="O664" s="877" t="s">
        <v>1393</v>
      </c>
      <c r="P664" s="877" t="s">
        <v>1342</v>
      </c>
      <c r="Q664" s="877" t="s">
        <v>1394</v>
      </c>
      <c r="R664" s="112" t="s">
        <v>1341</v>
      </c>
      <c r="S664" s="112" t="s">
        <v>846</v>
      </c>
      <c r="T664" s="877" t="s">
        <v>935</v>
      </c>
      <c r="U664" s="877" t="s">
        <v>936</v>
      </c>
      <c r="V664" s="877" t="s">
        <v>937</v>
      </c>
      <c r="W664" s="877" t="s">
        <v>938</v>
      </c>
      <c r="X664" s="877" t="s">
        <v>939</v>
      </c>
      <c r="Y664" s="877" t="s">
        <v>940</v>
      </c>
      <c r="Z664" s="877" t="s">
        <v>941</v>
      </c>
      <c r="AA664" s="877" t="s">
        <v>942</v>
      </c>
      <c r="AB664" s="877" t="s">
        <v>943</v>
      </c>
      <c r="AC664" s="877" t="s">
        <v>944</v>
      </c>
      <c r="AD664" s="877" t="s">
        <v>945</v>
      </c>
      <c r="AE664" s="877" t="s">
        <v>946</v>
      </c>
      <c r="AF664" s="877" t="s">
        <v>947</v>
      </c>
      <c r="AG664" s="877" t="s">
        <v>948</v>
      </c>
      <c r="AH664" s="6"/>
    </row>
    <row r="665" spans="1:34" s="3" customFormat="1" ht="16" customHeight="1" thickTop="1">
      <c r="A665" s="7"/>
      <c r="B665" s="19" t="s">
        <v>1344</v>
      </c>
      <c r="C665" s="12"/>
      <c r="D665" s="200"/>
      <c r="E665" s="200"/>
      <c r="F665" s="199"/>
      <c r="G665" s="200"/>
      <c r="H665" s="199"/>
      <c r="I665" s="199"/>
      <c r="J665" s="200"/>
      <c r="K665" s="200"/>
      <c r="L665" s="289" t="s">
        <v>1429</v>
      </c>
      <c r="M665" s="199"/>
      <c r="N665" s="40" t="str">
        <f>J$6</f>
        <v>FY2010-11</v>
      </c>
      <c r="O665" s="40" t="s">
        <v>1355</v>
      </c>
      <c r="P665" s="40" t="s">
        <v>1347</v>
      </c>
      <c r="Q665" s="40" t="s">
        <v>1339</v>
      </c>
      <c r="R665" s="200"/>
      <c r="S665" s="199" t="s">
        <v>871</v>
      </c>
      <c r="T665" s="200"/>
      <c r="U665" s="200"/>
      <c r="V665" s="201"/>
      <c r="W665" s="201"/>
      <c r="X665" s="201"/>
      <c r="Y665" s="201"/>
      <c r="Z665" s="201"/>
      <c r="AA665" s="201"/>
      <c r="AB665" s="201"/>
      <c r="AC665" s="201"/>
      <c r="AD665" s="201"/>
      <c r="AE665" s="201"/>
      <c r="AF665" s="201"/>
      <c r="AG665" s="201"/>
      <c r="AH665" s="6"/>
    </row>
    <row r="666" spans="1:34" s="3" customFormat="1" ht="16" customHeight="1">
      <c r="A666" s="7"/>
      <c r="B666" s="16">
        <f>DSUM('$REV-DB'!D35:AG374,"AMOUNT",D664:AG665)</f>
        <v>0</v>
      </c>
      <c r="C666" s="12"/>
      <c r="D666" s="896"/>
      <c r="E666" s="896"/>
      <c r="F666" s="896"/>
      <c r="G666" s="896"/>
      <c r="H666" s="896"/>
      <c r="I666" s="896"/>
      <c r="J666" s="896"/>
      <c r="K666" s="896"/>
      <c r="L666" s="897"/>
      <c r="M666" s="896"/>
      <c r="N666" s="889"/>
      <c r="O666" s="896"/>
      <c r="P666" s="889"/>
      <c r="Q666" s="900"/>
      <c r="R666" s="896"/>
      <c r="S666" s="896"/>
      <c r="T666" s="898"/>
      <c r="U666" s="898"/>
      <c r="V666" s="899"/>
      <c r="W666" s="899"/>
      <c r="X666" s="899"/>
      <c r="Y666" s="899"/>
      <c r="Z666" s="899"/>
      <c r="AA666" s="899"/>
      <c r="AB666" s="899"/>
      <c r="AC666" s="899"/>
      <c r="AD666" s="899"/>
      <c r="AE666" s="899"/>
      <c r="AF666" s="899"/>
      <c r="AG666" s="899"/>
      <c r="AH666" s="6"/>
    </row>
    <row r="667" spans="1:34" s="3" customFormat="1" ht="16" customHeight="1">
      <c r="A667" s="7"/>
      <c r="B667" s="10"/>
      <c r="C667" s="12"/>
      <c r="D667" s="896"/>
      <c r="E667" s="896"/>
      <c r="F667" s="896"/>
      <c r="G667" s="896"/>
      <c r="H667" s="896"/>
      <c r="I667" s="896"/>
      <c r="J667" s="896"/>
      <c r="K667" s="896"/>
      <c r="L667" s="897"/>
      <c r="M667" s="896"/>
      <c r="N667" s="889"/>
      <c r="O667" s="896"/>
      <c r="P667" s="889"/>
      <c r="Q667" s="900"/>
      <c r="R667" s="896"/>
      <c r="S667" s="896"/>
      <c r="T667" s="898"/>
      <c r="U667" s="898"/>
      <c r="V667" s="899"/>
      <c r="W667" s="899"/>
      <c r="X667" s="899"/>
      <c r="Y667" s="899"/>
      <c r="Z667" s="899"/>
      <c r="AA667" s="899"/>
      <c r="AB667" s="899"/>
      <c r="AC667" s="899"/>
      <c r="AD667" s="899"/>
      <c r="AE667" s="899"/>
      <c r="AF667" s="899"/>
      <c r="AG667" s="899"/>
    </row>
    <row r="668" spans="1:34" s="3" customFormat="1" ht="16" customHeight="1">
      <c r="A668" s="7"/>
      <c r="B668" s="10"/>
      <c r="C668" s="12"/>
      <c r="D668" s="896"/>
      <c r="E668" s="896"/>
      <c r="F668" s="896"/>
      <c r="G668" s="896"/>
      <c r="H668" s="896"/>
      <c r="I668" s="896"/>
      <c r="J668" s="896"/>
      <c r="K668" s="896"/>
      <c r="L668" s="897"/>
      <c r="M668" s="896"/>
      <c r="N668" s="889"/>
      <c r="O668" s="896"/>
      <c r="P668" s="889"/>
      <c r="Q668" s="900"/>
      <c r="R668" s="896"/>
      <c r="S668" s="896"/>
      <c r="T668" s="898"/>
      <c r="U668" s="898"/>
      <c r="V668" s="899"/>
      <c r="W668" s="899"/>
      <c r="X668" s="899"/>
      <c r="Y668" s="899"/>
      <c r="Z668" s="899"/>
      <c r="AA668" s="899"/>
      <c r="AB668" s="899"/>
      <c r="AC668" s="899"/>
      <c r="AD668" s="899"/>
      <c r="AE668" s="899"/>
      <c r="AF668" s="899"/>
      <c r="AG668" s="899"/>
    </row>
    <row r="669" spans="1:34" s="3" customFormat="1" ht="16" customHeight="1">
      <c r="A669" s="7"/>
      <c r="B669" s="10"/>
      <c r="C669" s="12"/>
      <c r="D669" s="896"/>
      <c r="E669" s="896"/>
      <c r="F669" s="896"/>
      <c r="G669" s="896"/>
      <c r="H669" s="896"/>
      <c r="I669" s="896"/>
      <c r="J669" s="896"/>
      <c r="K669" s="896"/>
      <c r="L669" s="897"/>
      <c r="M669" s="896"/>
      <c r="N669" s="889"/>
      <c r="O669" s="896"/>
      <c r="P669" s="889"/>
      <c r="Q669" s="900"/>
      <c r="R669" s="896"/>
      <c r="S669" s="896"/>
      <c r="T669" s="898"/>
      <c r="U669" s="898"/>
      <c r="V669" s="899"/>
      <c r="W669" s="899"/>
      <c r="X669" s="899"/>
      <c r="Y669" s="899"/>
      <c r="Z669" s="899"/>
      <c r="AA669" s="899"/>
      <c r="AB669" s="899"/>
      <c r="AC669" s="899"/>
      <c r="AD669" s="899"/>
      <c r="AE669" s="899"/>
      <c r="AF669" s="899"/>
      <c r="AG669" s="899"/>
    </row>
    <row r="670" spans="1:34" s="3" customFormat="1" ht="16" customHeight="1">
      <c r="A670" s="7"/>
      <c r="B670" s="10"/>
      <c r="C670" s="12"/>
      <c r="D670" s="896"/>
      <c r="E670" s="896"/>
      <c r="F670" s="896"/>
      <c r="G670" s="896"/>
      <c r="H670" s="896"/>
      <c r="I670" s="896"/>
      <c r="J670" s="896"/>
      <c r="K670" s="896"/>
      <c r="L670" s="897"/>
      <c r="M670" s="896"/>
      <c r="N670" s="889"/>
      <c r="O670" s="896"/>
      <c r="P670" s="889"/>
      <c r="Q670" s="900"/>
      <c r="R670" s="896"/>
      <c r="S670" s="896"/>
      <c r="T670" s="898"/>
      <c r="U670" s="898"/>
      <c r="V670" s="899"/>
      <c r="W670" s="899"/>
      <c r="X670" s="899"/>
      <c r="Y670" s="899"/>
      <c r="Z670" s="899"/>
      <c r="AA670" s="899"/>
      <c r="AB670" s="899"/>
      <c r="AC670" s="899"/>
      <c r="AD670" s="899"/>
      <c r="AE670" s="899"/>
      <c r="AF670" s="899"/>
      <c r="AG670" s="899"/>
    </row>
    <row r="671" spans="1:34" s="3" customFormat="1" ht="16" customHeight="1">
      <c r="A671" s="7"/>
      <c r="B671" s="10"/>
      <c r="C671" s="12"/>
      <c r="D671" s="896"/>
      <c r="E671" s="896"/>
      <c r="F671" s="896"/>
      <c r="G671" s="896"/>
      <c r="H671" s="896"/>
      <c r="I671" s="896"/>
      <c r="J671" s="896"/>
      <c r="K671" s="896"/>
      <c r="L671" s="897"/>
      <c r="M671" s="896"/>
      <c r="N671" s="889"/>
      <c r="O671" s="896"/>
      <c r="P671" s="889"/>
      <c r="Q671" s="900"/>
      <c r="R671" s="896"/>
      <c r="S671" s="896"/>
      <c r="T671" s="898"/>
      <c r="U671" s="898"/>
      <c r="V671" s="899"/>
      <c r="W671" s="899"/>
      <c r="X671" s="899"/>
      <c r="Y671" s="899"/>
      <c r="Z671" s="899"/>
      <c r="AA671" s="899"/>
      <c r="AB671" s="899"/>
      <c r="AC671" s="899"/>
      <c r="AD671" s="899"/>
      <c r="AE671" s="899"/>
      <c r="AF671" s="899"/>
      <c r="AG671" s="899"/>
    </row>
    <row r="672" spans="1:34" s="3" customFormat="1" ht="16" customHeight="1">
      <c r="A672" s="36"/>
      <c r="B672" s="33"/>
      <c r="C672" s="33"/>
      <c r="D672" s="34"/>
      <c r="E672" s="34"/>
      <c r="F672" s="35"/>
      <c r="G672" s="34"/>
      <c r="H672" s="35"/>
      <c r="I672" s="35"/>
      <c r="J672" s="34"/>
      <c r="K672" s="34"/>
      <c r="L672" s="288"/>
      <c r="M672" s="35"/>
      <c r="N672" s="35"/>
      <c r="O672" s="34"/>
      <c r="P672" s="35"/>
      <c r="Q672" s="35"/>
      <c r="R672" s="34"/>
      <c r="S672" s="35"/>
      <c r="T672" s="34"/>
      <c r="U672" s="34"/>
      <c r="V672" s="36"/>
      <c r="W672" s="36"/>
      <c r="X672" s="36"/>
      <c r="Y672" s="36"/>
      <c r="Z672" s="36"/>
      <c r="AA672" s="36"/>
      <c r="AB672" s="36"/>
      <c r="AC672" s="36"/>
      <c r="AD672" s="36"/>
      <c r="AE672" s="36"/>
      <c r="AF672" s="36"/>
      <c r="AG672" s="36"/>
    </row>
    <row r="673" spans="1:34" s="3" customFormat="1" ht="16" customHeight="1" thickBot="1">
      <c r="A673" s="7"/>
      <c r="B673" s="19" t="str">
        <f>"FA4 = "&amp;'FIG3'!$W$55&amp;" "&amp;'FIG3'!$X$55</f>
        <v>FA4 = FA4L1 FA4L2</v>
      </c>
      <c r="C673" s="7"/>
      <c r="D673" s="8"/>
      <c r="E673" s="8"/>
      <c r="F673" s="9"/>
      <c r="G673" s="8"/>
      <c r="H673" s="9"/>
      <c r="I673" s="9"/>
      <c r="J673" s="8"/>
      <c r="K673" s="8"/>
      <c r="L673" s="280"/>
      <c r="M673" s="9"/>
      <c r="N673" s="9"/>
      <c r="O673" s="8"/>
      <c r="P673" s="9"/>
      <c r="Q673" s="9"/>
      <c r="R673" s="8"/>
      <c r="S673" s="882"/>
      <c r="T673" s="883" t="str">
        <f>'$REV-DB'!$T$34</f>
        <v>Federal Revenues</v>
      </c>
      <c r="U673" s="883" t="str">
        <f>'$REV-DB'!$U$34</f>
        <v>local Revenues</v>
      </c>
      <c r="V673" s="883" t="str">
        <f>'$REV-DB'!$V$34</f>
        <v>Other Revenues</v>
      </c>
      <c r="W673" s="883" t="str">
        <f>'$REV-DB'!$W$34</f>
        <v>State revenues</v>
      </c>
      <c r="X673" s="883" t="str">
        <f>'$REV-DB'!$X$34</f>
        <v>UD5</v>
      </c>
      <c r="Y673" s="883" t="str">
        <f>'$REV-DB'!$Y$34</f>
        <v>UD6</v>
      </c>
      <c r="Z673" s="883" t="str">
        <f>'$REV-DB'!$Z$34</f>
        <v>UD7</v>
      </c>
      <c r="AA673" s="883" t="str">
        <f>'$REV-DB'!$AA$34</f>
        <v>UD8</v>
      </c>
      <c r="AB673" s="883" t="str">
        <f>'$REV-DB'!$AB$34</f>
        <v>UD9</v>
      </c>
      <c r="AC673" s="883" t="str">
        <f>'$REV-DB'!$AC$34</f>
        <v>UD10</v>
      </c>
      <c r="AD673" s="883" t="str">
        <f>'$REV-DB'!$AD$34</f>
        <v>UD11</v>
      </c>
      <c r="AE673" s="883" t="str">
        <f>'$REV-DB'!$AE$34</f>
        <v>UD12</v>
      </c>
      <c r="AF673" s="883" t="str">
        <f>'$REV-DB'!$AF$34</f>
        <v>UD13</v>
      </c>
      <c r="AG673" s="883" t="str">
        <f>'$REV-DB'!$AG$34</f>
        <v>UD14</v>
      </c>
    </row>
    <row r="674" spans="1:34" s="3" customFormat="1" ht="16" customHeight="1" thickTop="1" thickBot="1">
      <c r="A674" s="7"/>
      <c r="B674" s="20" t="s">
        <v>1375</v>
      </c>
      <c r="C674" s="15"/>
      <c r="D674" s="877" t="s">
        <v>1386</v>
      </c>
      <c r="E674" s="877" t="s">
        <v>1387</v>
      </c>
      <c r="F674" s="877" t="s">
        <v>1388</v>
      </c>
      <c r="G674" s="877" t="s">
        <v>1389</v>
      </c>
      <c r="H674" s="877" t="s">
        <v>1406</v>
      </c>
      <c r="I674" s="877" t="s">
        <v>1390</v>
      </c>
      <c r="J674" s="877" t="s">
        <v>1391</v>
      </c>
      <c r="K674" s="877" t="s">
        <v>1392</v>
      </c>
      <c r="L674" s="877" t="s">
        <v>1188</v>
      </c>
      <c r="M674" s="877" t="s">
        <v>1437</v>
      </c>
      <c r="N674" s="877" t="s">
        <v>1348</v>
      </c>
      <c r="O674" s="877" t="s">
        <v>1393</v>
      </c>
      <c r="P674" s="877" t="s">
        <v>1342</v>
      </c>
      <c r="Q674" s="877" t="s">
        <v>1394</v>
      </c>
      <c r="R674" s="112" t="s">
        <v>1341</v>
      </c>
      <c r="S674" s="112" t="s">
        <v>846</v>
      </c>
      <c r="T674" s="877" t="s">
        <v>935</v>
      </c>
      <c r="U674" s="877" t="s">
        <v>936</v>
      </c>
      <c r="V674" s="877" t="s">
        <v>937</v>
      </c>
      <c r="W674" s="877" t="s">
        <v>938</v>
      </c>
      <c r="X674" s="877" t="s">
        <v>939</v>
      </c>
      <c r="Y674" s="877" t="s">
        <v>940</v>
      </c>
      <c r="Z674" s="877" t="s">
        <v>941</v>
      </c>
      <c r="AA674" s="877" t="s">
        <v>942</v>
      </c>
      <c r="AB674" s="877" t="s">
        <v>943</v>
      </c>
      <c r="AC674" s="877" t="s">
        <v>944</v>
      </c>
      <c r="AD674" s="877" t="s">
        <v>945</v>
      </c>
      <c r="AE674" s="877" t="s">
        <v>946</v>
      </c>
      <c r="AF674" s="877" t="s">
        <v>947</v>
      </c>
      <c r="AG674" s="877" t="s">
        <v>948</v>
      </c>
      <c r="AH674" s="6"/>
    </row>
    <row r="675" spans="1:34" s="3" customFormat="1" ht="16" customHeight="1" thickTop="1">
      <c r="A675" s="7"/>
      <c r="B675" s="19" t="s">
        <v>1343</v>
      </c>
      <c r="C675" s="12"/>
      <c r="D675" s="200"/>
      <c r="E675" s="200"/>
      <c r="F675" s="199"/>
      <c r="G675" s="200"/>
      <c r="H675" s="199"/>
      <c r="I675" s="199"/>
      <c r="J675" s="200"/>
      <c r="K675" s="200"/>
      <c r="L675" s="289" t="s">
        <v>1429</v>
      </c>
      <c r="M675" s="199"/>
      <c r="N675" s="40" t="str">
        <f>J$6</f>
        <v>FY2010-11</v>
      </c>
      <c r="O675" s="40" t="s">
        <v>1355</v>
      </c>
      <c r="P675" s="40" t="s">
        <v>1347</v>
      </c>
      <c r="Q675" s="40" t="s">
        <v>1379</v>
      </c>
      <c r="R675" s="200"/>
      <c r="S675" s="199" t="s">
        <v>871</v>
      </c>
      <c r="T675" s="200"/>
      <c r="U675" s="200"/>
      <c r="V675" s="201"/>
      <c r="W675" s="201"/>
      <c r="X675" s="201"/>
      <c r="Y675" s="201"/>
      <c r="Z675" s="201"/>
      <c r="AA675" s="201"/>
      <c r="AB675" s="201"/>
      <c r="AC675" s="201"/>
      <c r="AD675" s="201"/>
      <c r="AE675" s="201"/>
      <c r="AF675" s="201"/>
      <c r="AG675" s="201"/>
      <c r="AH675" s="6"/>
    </row>
    <row r="676" spans="1:34" s="3" customFormat="1" ht="16" customHeight="1">
      <c r="A676" s="7"/>
      <c r="B676" s="16">
        <f>DSUM('$REV-DB'!D35:AG374,"AMOUNT",D674:AG675)</f>
        <v>0</v>
      </c>
      <c r="C676" s="12"/>
      <c r="D676" s="896"/>
      <c r="E676" s="896"/>
      <c r="F676" s="896"/>
      <c r="G676" s="896"/>
      <c r="H676" s="896"/>
      <c r="I676" s="896"/>
      <c r="J676" s="896"/>
      <c r="K676" s="896"/>
      <c r="L676" s="897"/>
      <c r="M676" s="896"/>
      <c r="N676" s="889"/>
      <c r="O676" s="896"/>
      <c r="P676" s="889"/>
      <c r="Q676" s="900"/>
      <c r="R676" s="896"/>
      <c r="S676" s="896"/>
      <c r="T676" s="898"/>
      <c r="U676" s="898"/>
      <c r="V676" s="899"/>
      <c r="W676" s="899"/>
      <c r="X676" s="899"/>
      <c r="Y676" s="899"/>
      <c r="Z676" s="899"/>
      <c r="AA676" s="899"/>
      <c r="AB676" s="899"/>
      <c r="AC676" s="899"/>
      <c r="AD676" s="899"/>
      <c r="AE676" s="899"/>
      <c r="AF676" s="899"/>
      <c r="AG676" s="899"/>
      <c r="AH676" s="6"/>
    </row>
    <row r="677" spans="1:34" s="3" customFormat="1" ht="16" customHeight="1">
      <c r="A677" s="7"/>
      <c r="B677" s="10"/>
      <c r="C677" s="12"/>
      <c r="D677" s="896"/>
      <c r="E677" s="896"/>
      <c r="F677" s="896"/>
      <c r="G677" s="896"/>
      <c r="H677" s="896"/>
      <c r="I677" s="896"/>
      <c r="J677" s="896"/>
      <c r="K677" s="896"/>
      <c r="L677" s="897"/>
      <c r="M677" s="896"/>
      <c r="N677" s="889"/>
      <c r="O677" s="896"/>
      <c r="P677" s="889"/>
      <c r="Q677" s="900"/>
      <c r="R677" s="896"/>
      <c r="S677" s="896"/>
      <c r="T677" s="898"/>
      <c r="U677" s="898"/>
      <c r="V677" s="899"/>
      <c r="W677" s="899"/>
      <c r="X677" s="899"/>
      <c r="Y677" s="899"/>
      <c r="Z677" s="899"/>
      <c r="AA677" s="899"/>
      <c r="AB677" s="899"/>
      <c r="AC677" s="899"/>
      <c r="AD677" s="899"/>
      <c r="AE677" s="899"/>
      <c r="AF677" s="899"/>
      <c r="AG677" s="899"/>
    </row>
    <row r="678" spans="1:34" s="3" customFormat="1" ht="16" customHeight="1">
      <c r="A678" s="7"/>
      <c r="B678" s="10"/>
      <c r="C678" s="12"/>
      <c r="D678" s="896"/>
      <c r="E678" s="896"/>
      <c r="F678" s="896"/>
      <c r="G678" s="896"/>
      <c r="H678" s="896"/>
      <c r="I678" s="896"/>
      <c r="J678" s="896"/>
      <c r="K678" s="896"/>
      <c r="L678" s="897"/>
      <c r="M678" s="896"/>
      <c r="N678" s="889"/>
      <c r="O678" s="896"/>
      <c r="P678" s="889"/>
      <c r="Q678" s="900"/>
      <c r="R678" s="896"/>
      <c r="S678" s="896"/>
      <c r="T678" s="898"/>
      <c r="U678" s="898"/>
      <c r="V678" s="899"/>
      <c r="W678" s="899"/>
      <c r="X678" s="899"/>
      <c r="Y678" s="899"/>
      <c r="Z678" s="899"/>
      <c r="AA678" s="899"/>
      <c r="AB678" s="899"/>
      <c r="AC678" s="899"/>
      <c r="AD678" s="899"/>
      <c r="AE678" s="899"/>
      <c r="AF678" s="899"/>
      <c r="AG678" s="899"/>
    </row>
    <row r="679" spans="1:34" s="3" customFormat="1" ht="16" customHeight="1">
      <c r="A679" s="7"/>
      <c r="B679" s="10"/>
      <c r="C679" s="12"/>
      <c r="D679" s="896"/>
      <c r="E679" s="896"/>
      <c r="F679" s="896"/>
      <c r="G679" s="896"/>
      <c r="H679" s="896"/>
      <c r="I679" s="896"/>
      <c r="J679" s="896"/>
      <c r="K679" s="896"/>
      <c r="L679" s="897"/>
      <c r="M679" s="896"/>
      <c r="N679" s="889"/>
      <c r="O679" s="896"/>
      <c r="P679" s="889"/>
      <c r="Q679" s="900"/>
      <c r="R679" s="896"/>
      <c r="S679" s="896"/>
      <c r="T679" s="898"/>
      <c r="U679" s="898"/>
      <c r="V679" s="899"/>
      <c r="W679" s="899"/>
      <c r="X679" s="899"/>
      <c r="Y679" s="899"/>
      <c r="Z679" s="899"/>
      <c r="AA679" s="899"/>
      <c r="AB679" s="899"/>
      <c r="AC679" s="899"/>
      <c r="AD679" s="899"/>
      <c r="AE679" s="899"/>
      <c r="AF679" s="899"/>
      <c r="AG679" s="899"/>
    </row>
    <row r="680" spans="1:34" s="3" customFormat="1" ht="16" customHeight="1">
      <c r="A680" s="7"/>
      <c r="B680" s="10"/>
      <c r="C680" s="12"/>
      <c r="D680" s="896"/>
      <c r="E680" s="896"/>
      <c r="F680" s="896"/>
      <c r="G680" s="896"/>
      <c r="H680" s="896"/>
      <c r="I680" s="896"/>
      <c r="J680" s="896"/>
      <c r="K680" s="896"/>
      <c r="L680" s="897"/>
      <c r="M680" s="896"/>
      <c r="N680" s="889"/>
      <c r="O680" s="896"/>
      <c r="P680" s="889"/>
      <c r="Q680" s="900"/>
      <c r="R680" s="896"/>
      <c r="S680" s="896"/>
      <c r="T680" s="898"/>
      <c r="U680" s="898"/>
      <c r="V680" s="899"/>
      <c r="W680" s="899"/>
      <c r="X680" s="899"/>
      <c r="Y680" s="899"/>
      <c r="Z680" s="899"/>
      <c r="AA680" s="899"/>
      <c r="AB680" s="899"/>
      <c r="AC680" s="899"/>
      <c r="AD680" s="899"/>
      <c r="AE680" s="899"/>
      <c r="AF680" s="899"/>
      <c r="AG680" s="899"/>
    </row>
    <row r="681" spans="1:34" s="3" customFormat="1" ht="16" customHeight="1">
      <c r="A681" s="7"/>
      <c r="B681" s="10"/>
      <c r="C681" s="12"/>
      <c r="D681" s="896"/>
      <c r="E681" s="896"/>
      <c r="F681" s="896"/>
      <c r="G681" s="896"/>
      <c r="H681" s="896"/>
      <c r="I681" s="896"/>
      <c r="J681" s="896"/>
      <c r="K681" s="896"/>
      <c r="L681" s="897"/>
      <c r="M681" s="896"/>
      <c r="N681" s="889"/>
      <c r="O681" s="896"/>
      <c r="P681" s="889"/>
      <c r="Q681" s="900"/>
      <c r="R681" s="896"/>
      <c r="S681" s="896"/>
      <c r="T681" s="898"/>
      <c r="U681" s="898"/>
      <c r="V681" s="899"/>
      <c r="W681" s="899"/>
      <c r="X681" s="899"/>
      <c r="Y681" s="899"/>
      <c r="Z681" s="899"/>
      <c r="AA681" s="899"/>
      <c r="AB681" s="899"/>
      <c r="AC681" s="899"/>
      <c r="AD681" s="899"/>
      <c r="AE681" s="899"/>
      <c r="AF681" s="899"/>
      <c r="AG681" s="899"/>
    </row>
    <row r="682" spans="1:34" s="3" customFormat="1" ht="16" customHeight="1">
      <c r="A682" s="36"/>
      <c r="B682" s="33"/>
      <c r="C682" s="33"/>
      <c r="D682" s="34"/>
      <c r="E682" s="34"/>
      <c r="F682" s="35"/>
      <c r="G682" s="34"/>
      <c r="H682" s="35"/>
      <c r="I682" s="35"/>
      <c r="J682" s="34"/>
      <c r="K682" s="34"/>
      <c r="L682" s="288"/>
      <c r="M682" s="35"/>
      <c r="N682" s="35"/>
      <c r="O682" s="34"/>
      <c r="P682" s="35"/>
      <c r="Q682" s="35"/>
      <c r="R682" s="34"/>
      <c r="S682" s="35"/>
      <c r="T682" s="34"/>
      <c r="U682" s="34"/>
      <c r="V682" s="36"/>
      <c r="W682" s="36"/>
      <c r="X682" s="36"/>
      <c r="Y682" s="36"/>
      <c r="Z682" s="36"/>
      <c r="AA682" s="36"/>
      <c r="AB682" s="36"/>
      <c r="AC682" s="36"/>
      <c r="AD682" s="36"/>
      <c r="AE682" s="36"/>
      <c r="AF682" s="36"/>
      <c r="AG682" s="36"/>
    </row>
    <row r="683" spans="1:34" s="3" customFormat="1" ht="16" customHeight="1" thickBot="1">
      <c r="A683" s="7"/>
      <c r="B683" s="19" t="str">
        <f>"FA4 = "&amp;'FIG3'!$W$55&amp;" "&amp;'FIG3'!$X$55</f>
        <v>FA4 = FA4L1 FA4L2</v>
      </c>
      <c r="C683" s="7"/>
      <c r="D683" s="8"/>
      <c r="E683" s="8"/>
      <c r="F683" s="9"/>
      <c r="G683" s="8"/>
      <c r="H683" s="9"/>
      <c r="I683" s="9"/>
      <c r="J683" s="8"/>
      <c r="K683" s="8"/>
      <c r="L683" s="280"/>
      <c r="M683" s="9"/>
      <c r="N683" s="9"/>
      <c r="O683" s="8"/>
      <c r="P683" s="9"/>
      <c r="Q683" s="9"/>
      <c r="R683" s="8"/>
      <c r="S683" s="882"/>
      <c r="T683" s="883" t="str">
        <f>'$REV-DB'!$T$34</f>
        <v>Federal Revenues</v>
      </c>
      <c r="U683" s="883" t="str">
        <f>'$REV-DB'!$U$34</f>
        <v>local Revenues</v>
      </c>
      <c r="V683" s="883" t="str">
        <f>'$REV-DB'!$V$34</f>
        <v>Other Revenues</v>
      </c>
      <c r="W683" s="883" t="str">
        <f>'$REV-DB'!$W$34</f>
        <v>State revenues</v>
      </c>
      <c r="X683" s="883" t="str">
        <f>'$REV-DB'!$X$34</f>
        <v>UD5</v>
      </c>
      <c r="Y683" s="883" t="str">
        <f>'$REV-DB'!$Y$34</f>
        <v>UD6</v>
      </c>
      <c r="Z683" s="883" t="str">
        <f>'$REV-DB'!$Z$34</f>
        <v>UD7</v>
      </c>
      <c r="AA683" s="883" t="str">
        <f>'$REV-DB'!$AA$34</f>
        <v>UD8</v>
      </c>
      <c r="AB683" s="883" t="str">
        <f>'$REV-DB'!$AB$34</f>
        <v>UD9</v>
      </c>
      <c r="AC683" s="883" t="str">
        <f>'$REV-DB'!$AC$34</f>
        <v>UD10</v>
      </c>
      <c r="AD683" s="883" t="str">
        <f>'$REV-DB'!$AD$34</f>
        <v>UD11</v>
      </c>
      <c r="AE683" s="883" t="str">
        <f>'$REV-DB'!$AE$34</f>
        <v>UD12</v>
      </c>
      <c r="AF683" s="883" t="str">
        <f>'$REV-DB'!$AF$34</f>
        <v>UD13</v>
      </c>
      <c r="AG683" s="883" t="str">
        <f>'$REV-DB'!$AG$34</f>
        <v>UD14</v>
      </c>
    </row>
    <row r="684" spans="1:34" s="3" customFormat="1" ht="16" customHeight="1" thickTop="1" thickBot="1">
      <c r="A684" s="7"/>
      <c r="B684" s="20" t="s">
        <v>1375</v>
      </c>
      <c r="C684" s="15"/>
      <c r="D684" s="877" t="s">
        <v>1386</v>
      </c>
      <c r="E684" s="877" t="s">
        <v>1387</v>
      </c>
      <c r="F684" s="877" t="s">
        <v>1388</v>
      </c>
      <c r="G684" s="877" t="s">
        <v>1389</v>
      </c>
      <c r="H684" s="877" t="s">
        <v>1406</v>
      </c>
      <c r="I684" s="877" t="s">
        <v>1390</v>
      </c>
      <c r="J684" s="877" t="s">
        <v>1391</v>
      </c>
      <c r="K684" s="877" t="s">
        <v>1392</v>
      </c>
      <c r="L684" s="877" t="s">
        <v>1188</v>
      </c>
      <c r="M684" s="877" t="s">
        <v>1437</v>
      </c>
      <c r="N684" s="877" t="s">
        <v>1348</v>
      </c>
      <c r="O684" s="877" t="s">
        <v>1393</v>
      </c>
      <c r="P684" s="877" t="s">
        <v>1342</v>
      </c>
      <c r="Q684" s="877" t="s">
        <v>1394</v>
      </c>
      <c r="R684" s="112" t="s">
        <v>1341</v>
      </c>
      <c r="S684" s="112" t="s">
        <v>846</v>
      </c>
      <c r="T684" s="877" t="s">
        <v>935</v>
      </c>
      <c r="U684" s="877" t="s">
        <v>936</v>
      </c>
      <c r="V684" s="877" t="s">
        <v>937</v>
      </c>
      <c r="W684" s="877" t="s">
        <v>938</v>
      </c>
      <c r="X684" s="877" t="s">
        <v>939</v>
      </c>
      <c r="Y684" s="877" t="s">
        <v>940</v>
      </c>
      <c r="Z684" s="877" t="s">
        <v>941</v>
      </c>
      <c r="AA684" s="877" t="s">
        <v>942</v>
      </c>
      <c r="AB684" s="877" t="s">
        <v>943</v>
      </c>
      <c r="AC684" s="877" t="s">
        <v>944</v>
      </c>
      <c r="AD684" s="877" t="s">
        <v>945</v>
      </c>
      <c r="AE684" s="877" t="s">
        <v>946</v>
      </c>
      <c r="AF684" s="877" t="s">
        <v>947</v>
      </c>
      <c r="AG684" s="877" t="s">
        <v>948</v>
      </c>
      <c r="AH684" s="6"/>
    </row>
    <row r="685" spans="1:34" s="3" customFormat="1" ht="16" customHeight="1" thickTop="1">
      <c r="A685" s="7"/>
      <c r="B685" s="19" t="s">
        <v>1349</v>
      </c>
      <c r="C685" s="12"/>
      <c r="D685" s="200"/>
      <c r="E685" s="200"/>
      <c r="F685" s="199"/>
      <c r="G685" s="200"/>
      <c r="H685" s="199"/>
      <c r="I685" s="199"/>
      <c r="J685" s="200"/>
      <c r="K685" s="200"/>
      <c r="L685" s="289" t="s">
        <v>1429</v>
      </c>
      <c r="M685" s="199"/>
      <c r="N685" s="40" t="str">
        <f>J$6</f>
        <v>FY2010-11</v>
      </c>
      <c r="O685" s="40" t="s">
        <v>1355</v>
      </c>
      <c r="P685" s="40" t="s">
        <v>1347</v>
      </c>
      <c r="Q685" s="40" t="s">
        <v>1397</v>
      </c>
      <c r="R685" s="200"/>
      <c r="S685" s="199" t="s">
        <v>871</v>
      </c>
      <c r="T685" s="200"/>
      <c r="U685" s="200"/>
      <c r="V685" s="201"/>
      <c r="W685" s="201"/>
      <c r="X685" s="201"/>
      <c r="Y685" s="201"/>
      <c r="Z685" s="201"/>
      <c r="AA685" s="201"/>
      <c r="AB685" s="201"/>
      <c r="AC685" s="201"/>
      <c r="AD685" s="201"/>
      <c r="AE685" s="201"/>
      <c r="AF685" s="201"/>
      <c r="AG685" s="201"/>
      <c r="AH685" s="6"/>
    </row>
    <row r="686" spans="1:34" s="3" customFormat="1" ht="16" customHeight="1">
      <c r="A686" s="7"/>
      <c r="B686" s="16">
        <f>DSUM('$REV-DB'!D35:AG374,"AMOUNT",D684:AG685)</f>
        <v>0</v>
      </c>
      <c r="C686" s="12"/>
      <c r="D686" s="896"/>
      <c r="E686" s="896"/>
      <c r="F686" s="896"/>
      <c r="G686" s="896"/>
      <c r="H686" s="896"/>
      <c r="I686" s="896"/>
      <c r="J686" s="896"/>
      <c r="K686" s="896"/>
      <c r="L686" s="897"/>
      <c r="M686" s="896"/>
      <c r="N686" s="889"/>
      <c r="O686" s="896"/>
      <c r="P686" s="889"/>
      <c r="Q686" s="900"/>
      <c r="R686" s="896"/>
      <c r="S686" s="896"/>
      <c r="T686" s="898"/>
      <c r="U686" s="898"/>
      <c r="V686" s="899"/>
      <c r="W686" s="899"/>
      <c r="X686" s="899"/>
      <c r="Y686" s="899"/>
      <c r="Z686" s="899"/>
      <c r="AA686" s="899"/>
      <c r="AB686" s="899"/>
      <c r="AC686" s="899"/>
      <c r="AD686" s="899"/>
      <c r="AE686" s="899"/>
      <c r="AF686" s="899"/>
      <c r="AG686" s="899"/>
      <c r="AH686" s="6"/>
    </row>
    <row r="687" spans="1:34" s="3" customFormat="1" ht="16" customHeight="1">
      <c r="A687" s="7"/>
      <c r="B687" s="10"/>
      <c r="C687" s="12"/>
      <c r="D687" s="896"/>
      <c r="E687" s="896"/>
      <c r="F687" s="896"/>
      <c r="G687" s="896"/>
      <c r="H687" s="896"/>
      <c r="I687" s="896"/>
      <c r="J687" s="896"/>
      <c r="K687" s="896"/>
      <c r="L687" s="897"/>
      <c r="M687" s="896"/>
      <c r="N687" s="889"/>
      <c r="O687" s="896"/>
      <c r="P687" s="889"/>
      <c r="Q687" s="900"/>
      <c r="R687" s="896"/>
      <c r="S687" s="896"/>
      <c r="T687" s="898"/>
      <c r="U687" s="898"/>
      <c r="V687" s="899"/>
      <c r="W687" s="899"/>
      <c r="X687" s="899"/>
      <c r="Y687" s="899"/>
      <c r="Z687" s="899"/>
      <c r="AA687" s="899"/>
      <c r="AB687" s="899"/>
      <c r="AC687" s="899"/>
      <c r="AD687" s="899"/>
      <c r="AE687" s="899"/>
      <c r="AF687" s="899"/>
      <c r="AG687" s="899"/>
    </row>
    <row r="688" spans="1:34" s="3" customFormat="1" ht="16" customHeight="1">
      <c r="A688" s="7"/>
      <c r="B688" s="10"/>
      <c r="C688" s="12"/>
      <c r="D688" s="896"/>
      <c r="E688" s="896"/>
      <c r="F688" s="896"/>
      <c r="G688" s="896"/>
      <c r="H688" s="896"/>
      <c r="I688" s="896"/>
      <c r="J688" s="896"/>
      <c r="K688" s="896"/>
      <c r="L688" s="897"/>
      <c r="M688" s="896"/>
      <c r="N688" s="889"/>
      <c r="O688" s="896"/>
      <c r="P688" s="889"/>
      <c r="Q688" s="900"/>
      <c r="R688" s="896"/>
      <c r="S688" s="896"/>
      <c r="T688" s="898"/>
      <c r="U688" s="898"/>
      <c r="V688" s="899"/>
      <c r="W688" s="899"/>
      <c r="X688" s="899"/>
      <c r="Y688" s="899"/>
      <c r="Z688" s="899"/>
      <c r="AA688" s="899"/>
      <c r="AB688" s="899"/>
      <c r="AC688" s="899"/>
      <c r="AD688" s="899"/>
      <c r="AE688" s="899"/>
      <c r="AF688" s="899"/>
      <c r="AG688" s="899"/>
    </row>
    <row r="689" spans="1:34" s="3" customFormat="1" ht="16" customHeight="1">
      <c r="A689" s="7"/>
      <c r="B689" s="10"/>
      <c r="C689" s="12"/>
      <c r="D689" s="896"/>
      <c r="E689" s="896"/>
      <c r="F689" s="896"/>
      <c r="G689" s="896"/>
      <c r="H689" s="896"/>
      <c r="I689" s="896"/>
      <c r="J689" s="896"/>
      <c r="K689" s="896"/>
      <c r="L689" s="897"/>
      <c r="M689" s="896"/>
      <c r="N689" s="889"/>
      <c r="O689" s="896"/>
      <c r="P689" s="889"/>
      <c r="Q689" s="900"/>
      <c r="R689" s="896"/>
      <c r="S689" s="896"/>
      <c r="T689" s="898"/>
      <c r="U689" s="898"/>
      <c r="V689" s="899"/>
      <c r="W689" s="899"/>
      <c r="X689" s="899"/>
      <c r="Y689" s="899"/>
      <c r="Z689" s="899"/>
      <c r="AA689" s="899"/>
      <c r="AB689" s="899"/>
      <c r="AC689" s="899"/>
      <c r="AD689" s="899"/>
      <c r="AE689" s="899"/>
      <c r="AF689" s="899"/>
      <c r="AG689" s="899"/>
    </row>
    <row r="690" spans="1:34" s="3" customFormat="1" ht="16" customHeight="1">
      <c r="A690" s="7"/>
      <c r="B690" s="10"/>
      <c r="C690" s="12"/>
      <c r="D690" s="896"/>
      <c r="E690" s="896"/>
      <c r="F690" s="896"/>
      <c r="G690" s="896"/>
      <c r="H690" s="896"/>
      <c r="I690" s="896"/>
      <c r="J690" s="896"/>
      <c r="K690" s="896"/>
      <c r="L690" s="897"/>
      <c r="M690" s="896"/>
      <c r="N690" s="889"/>
      <c r="O690" s="896"/>
      <c r="P690" s="889"/>
      <c r="Q690" s="900"/>
      <c r="R690" s="896"/>
      <c r="S690" s="896"/>
      <c r="T690" s="898"/>
      <c r="U690" s="898"/>
      <c r="V690" s="899"/>
      <c r="W690" s="899"/>
      <c r="X690" s="899"/>
      <c r="Y690" s="899"/>
      <c r="Z690" s="899"/>
      <c r="AA690" s="899"/>
      <c r="AB690" s="899"/>
      <c r="AC690" s="899"/>
      <c r="AD690" s="899"/>
      <c r="AE690" s="899"/>
      <c r="AF690" s="899"/>
      <c r="AG690" s="899"/>
    </row>
    <row r="691" spans="1:34" s="3" customFormat="1" ht="16" customHeight="1">
      <c r="A691" s="7"/>
      <c r="B691" s="10"/>
      <c r="C691" s="12"/>
      <c r="D691" s="896"/>
      <c r="E691" s="896"/>
      <c r="F691" s="896"/>
      <c r="G691" s="896"/>
      <c r="H691" s="896"/>
      <c r="I691" s="896"/>
      <c r="J691" s="896"/>
      <c r="K691" s="896"/>
      <c r="L691" s="897"/>
      <c r="M691" s="896"/>
      <c r="N691" s="889"/>
      <c r="O691" s="896"/>
      <c r="P691" s="889"/>
      <c r="Q691" s="900"/>
      <c r="R691" s="896"/>
      <c r="S691" s="896"/>
      <c r="T691" s="898"/>
      <c r="U691" s="898"/>
      <c r="V691" s="899"/>
      <c r="W691" s="899"/>
      <c r="X691" s="899"/>
      <c r="Y691" s="899"/>
      <c r="Z691" s="899"/>
      <c r="AA691" s="899"/>
      <c r="AB691" s="899"/>
      <c r="AC691" s="899"/>
      <c r="AD691" s="899"/>
      <c r="AE691" s="899"/>
      <c r="AF691" s="899"/>
      <c r="AG691" s="899"/>
    </row>
    <row r="692" spans="1:34" s="3" customFormat="1" ht="16" customHeight="1">
      <c r="A692" s="46"/>
      <c r="B692" s="33"/>
      <c r="C692" s="33"/>
      <c r="D692" s="34"/>
      <c r="E692" s="34"/>
      <c r="F692" s="35"/>
      <c r="G692" s="34"/>
      <c r="H692" s="35"/>
      <c r="I692" s="35"/>
      <c r="J692" s="34"/>
      <c r="K692" s="34"/>
      <c r="L692" s="288"/>
      <c r="M692" s="35"/>
      <c r="N692" s="35"/>
      <c r="O692" s="34"/>
      <c r="P692" s="35"/>
      <c r="Q692" s="35"/>
      <c r="R692" s="34"/>
      <c r="S692" s="35"/>
      <c r="T692" s="34"/>
      <c r="U692" s="34"/>
      <c r="V692" s="36"/>
      <c r="W692" s="36"/>
      <c r="X692" s="36"/>
      <c r="Y692" s="36"/>
      <c r="Z692" s="36"/>
      <c r="AA692" s="36"/>
      <c r="AB692" s="36"/>
      <c r="AC692" s="36"/>
      <c r="AD692" s="36"/>
      <c r="AE692" s="36"/>
      <c r="AF692" s="36"/>
      <c r="AG692" s="36"/>
    </row>
    <row r="693" spans="1:34" s="3" customFormat="1" ht="16" customHeight="1" thickBot="1">
      <c r="A693" s="7"/>
      <c r="B693" s="19" t="str">
        <f>"FA4 = "&amp;'FIG3'!$W$55&amp;" "&amp;'FIG3'!$X$55</f>
        <v>FA4 = FA4L1 FA4L2</v>
      </c>
      <c r="C693" s="7"/>
      <c r="D693" s="8"/>
      <c r="E693" s="8"/>
      <c r="F693" s="9"/>
      <c r="G693" s="8"/>
      <c r="H693" s="9"/>
      <c r="I693" s="9"/>
      <c r="J693" s="8"/>
      <c r="K693" s="8"/>
      <c r="L693" s="280"/>
      <c r="M693" s="9"/>
      <c r="N693" s="9"/>
      <c r="O693" s="8"/>
      <c r="P693" s="9"/>
      <c r="Q693" s="9"/>
      <c r="R693" s="8"/>
      <c r="S693" s="882"/>
      <c r="T693" s="883" t="str">
        <f>'$REV-DB'!$T$34</f>
        <v>Federal Revenues</v>
      </c>
      <c r="U693" s="883" t="str">
        <f>'$REV-DB'!$U$34</f>
        <v>local Revenues</v>
      </c>
      <c r="V693" s="883" t="str">
        <f>'$REV-DB'!$V$34</f>
        <v>Other Revenues</v>
      </c>
      <c r="W693" s="883" t="str">
        <f>'$REV-DB'!$W$34</f>
        <v>State revenues</v>
      </c>
      <c r="X693" s="883" t="str">
        <f>'$REV-DB'!$X$34</f>
        <v>UD5</v>
      </c>
      <c r="Y693" s="883" t="str">
        <f>'$REV-DB'!$Y$34</f>
        <v>UD6</v>
      </c>
      <c r="Z693" s="883" t="str">
        <f>'$REV-DB'!$Z$34</f>
        <v>UD7</v>
      </c>
      <c r="AA693" s="883" t="str">
        <f>'$REV-DB'!$AA$34</f>
        <v>UD8</v>
      </c>
      <c r="AB693" s="883" t="str">
        <f>'$REV-DB'!$AB$34</f>
        <v>UD9</v>
      </c>
      <c r="AC693" s="883" t="str">
        <f>'$REV-DB'!$AC$34</f>
        <v>UD10</v>
      </c>
      <c r="AD693" s="883" t="str">
        <f>'$REV-DB'!$AD$34</f>
        <v>UD11</v>
      </c>
      <c r="AE693" s="883" t="str">
        <f>'$REV-DB'!$AE$34</f>
        <v>UD12</v>
      </c>
      <c r="AF693" s="883" t="str">
        <f>'$REV-DB'!$AF$34</f>
        <v>UD13</v>
      </c>
      <c r="AG693" s="883" t="str">
        <f>'$REV-DB'!$AG$34</f>
        <v>UD14</v>
      </c>
    </row>
    <row r="694" spans="1:34" s="3" customFormat="1" ht="16" customHeight="1" thickTop="1" thickBot="1">
      <c r="A694" s="7"/>
      <c r="B694" s="20" t="s">
        <v>1375</v>
      </c>
      <c r="C694" s="15"/>
      <c r="D694" s="877" t="s">
        <v>1386</v>
      </c>
      <c r="E694" s="877" t="s">
        <v>1387</v>
      </c>
      <c r="F694" s="877" t="s">
        <v>1388</v>
      </c>
      <c r="G694" s="877" t="s">
        <v>1389</v>
      </c>
      <c r="H694" s="877" t="s">
        <v>1406</v>
      </c>
      <c r="I694" s="877" t="s">
        <v>1390</v>
      </c>
      <c r="J694" s="877" t="s">
        <v>1391</v>
      </c>
      <c r="K694" s="877" t="s">
        <v>1392</v>
      </c>
      <c r="L694" s="877" t="s">
        <v>1188</v>
      </c>
      <c r="M694" s="877" t="s">
        <v>1437</v>
      </c>
      <c r="N694" s="877" t="s">
        <v>1348</v>
      </c>
      <c r="O694" s="877" t="s">
        <v>1393</v>
      </c>
      <c r="P694" s="877" t="s">
        <v>1342</v>
      </c>
      <c r="Q694" s="877" t="s">
        <v>1394</v>
      </c>
      <c r="R694" s="112" t="s">
        <v>1341</v>
      </c>
      <c r="S694" s="112" t="s">
        <v>846</v>
      </c>
      <c r="T694" s="877" t="s">
        <v>935</v>
      </c>
      <c r="U694" s="877" t="s">
        <v>936</v>
      </c>
      <c r="V694" s="877" t="s">
        <v>937</v>
      </c>
      <c r="W694" s="877" t="s">
        <v>938</v>
      </c>
      <c r="X694" s="877" t="s">
        <v>939</v>
      </c>
      <c r="Y694" s="877" t="s">
        <v>940</v>
      </c>
      <c r="Z694" s="877" t="s">
        <v>941</v>
      </c>
      <c r="AA694" s="877" t="s">
        <v>942</v>
      </c>
      <c r="AB694" s="877" t="s">
        <v>943</v>
      </c>
      <c r="AC694" s="877" t="s">
        <v>944</v>
      </c>
      <c r="AD694" s="877" t="s">
        <v>945</v>
      </c>
      <c r="AE694" s="877" t="s">
        <v>946</v>
      </c>
      <c r="AF694" s="877" t="s">
        <v>947</v>
      </c>
      <c r="AG694" s="877" t="s">
        <v>948</v>
      </c>
      <c r="AH694" s="6"/>
    </row>
    <row r="695" spans="1:34" s="3" customFormat="1" ht="16" customHeight="1" thickTop="1">
      <c r="A695" s="7"/>
      <c r="B695" s="19" t="s">
        <v>1178</v>
      </c>
      <c r="C695" s="12"/>
      <c r="D695" s="200"/>
      <c r="E695" s="200"/>
      <c r="F695" s="199"/>
      <c r="G695" s="200"/>
      <c r="H695" s="199"/>
      <c r="I695" s="199"/>
      <c r="J695" s="200"/>
      <c r="K695" s="200"/>
      <c r="L695" s="289" t="s">
        <v>1429</v>
      </c>
      <c r="M695" s="199"/>
      <c r="N695" s="40" t="str">
        <f>J$6</f>
        <v>FY2010-11</v>
      </c>
      <c r="O695" s="40" t="s">
        <v>1355</v>
      </c>
      <c r="P695" s="40" t="s">
        <v>1347</v>
      </c>
      <c r="Q695" s="40" t="s">
        <v>1465</v>
      </c>
      <c r="R695" s="200"/>
      <c r="S695" s="199" t="s">
        <v>871</v>
      </c>
      <c r="T695" s="200"/>
      <c r="U695" s="200"/>
      <c r="V695" s="201"/>
      <c r="W695" s="201"/>
      <c r="X695" s="201"/>
      <c r="Y695" s="201"/>
      <c r="Z695" s="201"/>
      <c r="AA695" s="201"/>
      <c r="AB695" s="201"/>
      <c r="AC695" s="201"/>
      <c r="AD695" s="201"/>
      <c r="AE695" s="201"/>
      <c r="AF695" s="201"/>
      <c r="AG695" s="201"/>
      <c r="AH695" s="6"/>
    </row>
    <row r="696" spans="1:34" s="3" customFormat="1" ht="16" customHeight="1">
      <c r="A696" s="7"/>
      <c r="B696" s="16">
        <f>DSUM('$REV-DB'!D35:AG374,"AMOUNT",D694:AG695)</f>
        <v>0</v>
      </c>
      <c r="C696" s="12"/>
      <c r="D696" s="896"/>
      <c r="E696" s="896"/>
      <c r="F696" s="896"/>
      <c r="G696" s="896"/>
      <c r="H696" s="896"/>
      <c r="I696" s="896"/>
      <c r="J696" s="896"/>
      <c r="K696" s="896"/>
      <c r="L696" s="897"/>
      <c r="M696" s="896"/>
      <c r="N696" s="889"/>
      <c r="O696" s="896"/>
      <c r="P696" s="889"/>
      <c r="Q696" s="900"/>
      <c r="R696" s="896"/>
      <c r="S696" s="896"/>
      <c r="T696" s="898"/>
      <c r="U696" s="898"/>
      <c r="V696" s="899"/>
      <c r="W696" s="899"/>
      <c r="X696" s="899"/>
      <c r="Y696" s="899"/>
      <c r="Z696" s="899"/>
      <c r="AA696" s="899"/>
      <c r="AB696" s="899"/>
      <c r="AC696" s="899"/>
      <c r="AD696" s="899"/>
      <c r="AE696" s="899"/>
      <c r="AF696" s="899"/>
      <c r="AG696" s="899"/>
      <c r="AH696" s="6"/>
    </row>
    <row r="697" spans="1:34" s="3" customFormat="1" ht="16" customHeight="1">
      <c r="A697" s="7"/>
      <c r="B697" s="10"/>
      <c r="C697" s="12"/>
      <c r="D697" s="896"/>
      <c r="E697" s="896"/>
      <c r="F697" s="896"/>
      <c r="G697" s="896"/>
      <c r="H697" s="896"/>
      <c r="I697" s="896"/>
      <c r="J697" s="896"/>
      <c r="K697" s="896"/>
      <c r="L697" s="897"/>
      <c r="M697" s="896"/>
      <c r="N697" s="889"/>
      <c r="O697" s="896"/>
      <c r="P697" s="889"/>
      <c r="Q697" s="900"/>
      <c r="R697" s="896"/>
      <c r="S697" s="896"/>
      <c r="T697" s="898"/>
      <c r="U697" s="898"/>
      <c r="V697" s="899"/>
      <c r="W697" s="899"/>
      <c r="X697" s="899"/>
      <c r="Y697" s="899"/>
      <c r="Z697" s="899"/>
      <c r="AA697" s="899"/>
      <c r="AB697" s="899"/>
      <c r="AC697" s="899"/>
      <c r="AD697" s="899"/>
      <c r="AE697" s="899"/>
      <c r="AF697" s="899"/>
      <c r="AG697" s="899"/>
    </row>
    <row r="698" spans="1:34" s="3" customFormat="1" ht="16" customHeight="1">
      <c r="A698" s="7"/>
      <c r="B698" s="10"/>
      <c r="C698" s="12"/>
      <c r="D698" s="896"/>
      <c r="E698" s="896"/>
      <c r="F698" s="896"/>
      <c r="G698" s="896"/>
      <c r="H698" s="896"/>
      <c r="I698" s="896"/>
      <c r="J698" s="896"/>
      <c r="K698" s="896"/>
      <c r="L698" s="897"/>
      <c r="M698" s="896"/>
      <c r="N698" s="889"/>
      <c r="O698" s="896"/>
      <c r="P698" s="889"/>
      <c r="Q698" s="900"/>
      <c r="R698" s="896"/>
      <c r="S698" s="896"/>
      <c r="T698" s="898"/>
      <c r="U698" s="898"/>
      <c r="V698" s="899"/>
      <c r="W698" s="899"/>
      <c r="X698" s="899"/>
      <c r="Y698" s="899"/>
      <c r="Z698" s="899"/>
      <c r="AA698" s="899"/>
      <c r="AB698" s="899"/>
      <c r="AC698" s="899"/>
      <c r="AD698" s="899"/>
      <c r="AE698" s="899"/>
      <c r="AF698" s="899"/>
      <c r="AG698" s="899"/>
    </row>
    <row r="699" spans="1:34" s="3" customFormat="1" ht="16" customHeight="1">
      <c r="A699" s="7"/>
      <c r="B699" s="10"/>
      <c r="C699" s="12"/>
      <c r="D699" s="896"/>
      <c r="E699" s="896"/>
      <c r="F699" s="896"/>
      <c r="G699" s="896"/>
      <c r="H699" s="896"/>
      <c r="I699" s="896"/>
      <c r="J699" s="896"/>
      <c r="K699" s="896"/>
      <c r="L699" s="897"/>
      <c r="M699" s="896"/>
      <c r="N699" s="889"/>
      <c r="O699" s="896"/>
      <c r="P699" s="889"/>
      <c r="Q699" s="900"/>
      <c r="R699" s="896"/>
      <c r="S699" s="896"/>
      <c r="T699" s="898"/>
      <c r="U699" s="898"/>
      <c r="V699" s="899"/>
      <c r="W699" s="899"/>
      <c r="X699" s="899"/>
      <c r="Y699" s="899"/>
      <c r="Z699" s="899"/>
      <c r="AA699" s="899"/>
      <c r="AB699" s="899"/>
      <c r="AC699" s="899"/>
      <c r="AD699" s="899"/>
      <c r="AE699" s="899"/>
      <c r="AF699" s="899"/>
      <c r="AG699" s="899"/>
    </row>
    <row r="700" spans="1:34" s="3" customFormat="1" ht="16" customHeight="1">
      <c r="A700" s="7"/>
      <c r="B700" s="10"/>
      <c r="C700" s="12"/>
      <c r="D700" s="896"/>
      <c r="E700" s="896"/>
      <c r="F700" s="896"/>
      <c r="G700" s="896"/>
      <c r="H700" s="896"/>
      <c r="I700" s="896"/>
      <c r="J700" s="896"/>
      <c r="K700" s="896"/>
      <c r="L700" s="897"/>
      <c r="M700" s="896"/>
      <c r="N700" s="889"/>
      <c r="O700" s="896"/>
      <c r="P700" s="889"/>
      <c r="Q700" s="900"/>
      <c r="R700" s="896"/>
      <c r="S700" s="896"/>
      <c r="T700" s="898"/>
      <c r="U700" s="898"/>
      <c r="V700" s="899"/>
      <c r="W700" s="899"/>
      <c r="X700" s="899"/>
      <c r="Y700" s="899"/>
      <c r="Z700" s="899"/>
      <c r="AA700" s="899"/>
      <c r="AB700" s="899"/>
      <c r="AC700" s="899"/>
      <c r="AD700" s="899"/>
      <c r="AE700" s="899"/>
      <c r="AF700" s="899"/>
      <c r="AG700" s="899"/>
    </row>
    <row r="701" spans="1:34" s="3" customFormat="1" ht="16" customHeight="1">
      <c r="A701" s="7"/>
      <c r="B701" s="10"/>
      <c r="C701" s="12"/>
      <c r="D701" s="896"/>
      <c r="E701" s="896"/>
      <c r="F701" s="896"/>
      <c r="G701" s="896"/>
      <c r="H701" s="896"/>
      <c r="I701" s="896"/>
      <c r="J701" s="896"/>
      <c r="K701" s="896"/>
      <c r="L701" s="897"/>
      <c r="M701" s="896"/>
      <c r="N701" s="889"/>
      <c r="O701" s="896"/>
      <c r="P701" s="889"/>
      <c r="Q701" s="900"/>
      <c r="R701" s="896"/>
      <c r="S701" s="896"/>
      <c r="T701" s="898"/>
      <c r="U701" s="898"/>
      <c r="V701" s="899"/>
      <c r="W701" s="899"/>
      <c r="X701" s="899"/>
      <c r="Y701" s="899"/>
      <c r="Z701" s="899"/>
      <c r="AA701" s="899"/>
      <c r="AB701" s="899"/>
      <c r="AC701" s="899"/>
      <c r="AD701" s="899"/>
      <c r="AE701" s="899"/>
      <c r="AF701" s="899"/>
      <c r="AG701" s="899"/>
    </row>
    <row r="702" spans="1:34" s="3" customFormat="1" ht="16" customHeight="1">
      <c r="A702" s="46"/>
      <c r="B702" s="33"/>
      <c r="C702" s="33"/>
      <c r="D702" s="34"/>
      <c r="E702" s="34"/>
      <c r="F702" s="35"/>
      <c r="G702" s="34"/>
      <c r="H702" s="35"/>
      <c r="I702" s="35"/>
      <c r="J702" s="34"/>
      <c r="K702" s="34"/>
      <c r="L702" s="288"/>
      <c r="M702" s="35"/>
      <c r="N702" s="35"/>
      <c r="O702" s="34"/>
      <c r="P702" s="35"/>
      <c r="Q702" s="35"/>
      <c r="R702" s="34"/>
      <c r="S702" s="35"/>
      <c r="T702" s="34"/>
      <c r="U702" s="34"/>
      <c r="V702" s="36"/>
      <c r="W702" s="36"/>
      <c r="X702" s="36"/>
      <c r="Y702" s="36"/>
      <c r="Z702" s="36"/>
      <c r="AA702" s="36"/>
      <c r="AB702" s="36"/>
      <c r="AC702" s="36"/>
      <c r="AD702" s="36"/>
      <c r="AE702" s="36"/>
      <c r="AF702" s="36"/>
      <c r="AG702" s="36"/>
    </row>
    <row r="703" spans="1:34" s="3" customFormat="1" ht="16" customHeight="1" thickBot="1">
      <c r="A703" s="7"/>
      <c r="B703" s="19" t="str">
        <f>"FA4 = "&amp;'FIG3'!$W$55&amp;" "&amp;'FIG3'!$X$55</f>
        <v>FA4 = FA4L1 FA4L2</v>
      </c>
      <c r="C703" s="7"/>
      <c r="D703" s="8"/>
      <c r="E703" s="8"/>
      <c r="F703" s="9"/>
      <c r="G703" s="8"/>
      <c r="H703" s="9"/>
      <c r="I703" s="9"/>
      <c r="J703" s="8"/>
      <c r="K703" s="8"/>
      <c r="L703" s="280"/>
      <c r="M703" s="9"/>
      <c r="N703" s="9"/>
      <c r="O703" s="8"/>
      <c r="P703" s="9"/>
      <c r="Q703" s="9"/>
      <c r="R703" s="8"/>
      <c r="S703" s="882"/>
      <c r="T703" s="883" t="str">
        <f>'$REV-DB'!$T$34</f>
        <v>Federal Revenues</v>
      </c>
      <c r="U703" s="883" t="str">
        <f>'$REV-DB'!$U$34</f>
        <v>local Revenues</v>
      </c>
      <c r="V703" s="883" t="str">
        <f>'$REV-DB'!$V$34</f>
        <v>Other Revenues</v>
      </c>
      <c r="W703" s="883" t="str">
        <f>'$REV-DB'!$W$34</f>
        <v>State revenues</v>
      </c>
      <c r="X703" s="883" t="str">
        <f>'$REV-DB'!$X$34</f>
        <v>UD5</v>
      </c>
      <c r="Y703" s="883" t="str">
        <f>'$REV-DB'!$Y$34</f>
        <v>UD6</v>
      </c>
      <c r="Z703" s="883" t="str">
        <f>'$REV-DB'!$Z$34</f>
        <v>UD7</v>
      </c>
      <c r="AA703" s="883" t="str">
        <f>'$REV-DB'!$AA$34</f>
        <v>UD8</v>
      </c>
      <c r="AB703" s="883" t="str">
        <f>'$REV-DB'!$AB$34</f>
        <v>UD9</v>
      </c>
      <c r="AC703" s="883" t="str">
        <f>'$REV-DB'!$AC$34</f>
        <v>UD10</v>
      </c>
      <c r="AD703" s="883" t="str">
        <f>'$REV-DB'!$AD$34</f>
        <v>UD11</v>
      </c>
      <c r="AE703" s="883" t="str">
        <f>'$REV-DB'!$AE$34</f>
        <v>UD12</v>
      </c>
      <c r="AF703" s="883" t="str">
        <f>'$REV-DB'!$AF$34</f>
        <v>UD13</v>
      </c>
      <c r="AG703" s="883" t="str">
        <f>'$REV-DB'!$AG$34</f>
        <v>UD14</v>
      </c>
    </row>
    <row r="704" spans="1:34" s="3" customFormat="1" ht="16" customHeight="1" thickTop="1" thickBot="1">
      <c r="A704" s="7"/>
      <c r="B704" s="20" t="s">
        <v>1375</v>
      </c>
      <c r="C704" s="15"/>
      <c r="D704" s="877" t="s">
        <v>1386</v>
      </c>
      <c r="E704" s="877" t="s">
        <v>1387</v>
      </c>
      <c r="F704" s="877" t="s">
        <v>1388</v>
      </c>
      <c r="G704" s="877" t="s">
        <v>1389</v>
      </c>
      <c r="H704" s="877" t="s">
        <v>1406</v>
      </c>
      <c r="I704" s="877" t="s">
        <v>1390</v>
      </c>
      <c r="J704" s="877" t="s">
        <v>1391</v>
      </c>
      <c r="K704" s="877" t="s">
        <v>1392</v>
      </c>
      <c r="L704" s="877" t="s">
        <v>1188</v>
      </c>
      <c r="M704" s="877" t="s">
        <v>1437</v>
      </c>
      <c r="N704" s="877" t="s">
        <v>1348</v>
      </c>
      <c r="O704" s="877" t="s">
        <v>1393</v>
      </c>
      <c r="P704" s="877" t="s">
        <v>1342</v>
      </c>
      <c r="Q704" s="877" t="s">
        <v>1394</v>
      </c>
      <c r="R704" s="112" t="s">
        <v>1341</v>
      </c>
      <c r="S704" s="112" t="s">
        <v>846</v>
      </c>
      <c r="T704" s="877" t="s">
        <v>935</v>
      </c>
      <c r="U704" s="877" t="s">
        <v>936</v>
      </c>
      <c r="V704" s="877" t="s">
        <v>937</v>
      </c>
      <c r="W704" s="877" t="s">
        <v>938</v>
      </c>
      <c r="X704" s="877" t="s">
        <v>939</v>
      </c>
      <c r="Y704" s="877" t="s">
        <v>940</v>
      </c>
      <c r="Z704" s="877" t="s">
        <v>941</v>
      </c>
      <c r="AA704" s="877" t="s">
        <v>942</v>
      </c>
      <c r="AB704" s="877" t="s">
        <v>943</v>
      </c>
      <c r="AC704" s="877" t="s">
        <v>944</v>
      </c>
      <c r="AD704" s="877" t="s">
        <v>945</v>
      </c>
      <c r="AE704" s="877" t="s">
        <v>946</v>
      </c>
      <c r="AF704" s="877" t="s">
        <v>947</v>
      </c>
      <c r="AG704" s="877" t="s">
        <v>948</v>
      </c>
      <c r="AH704" s="6"/>
    </row>
    <row r="705" spans="1:34" s="3" customFormat="1" ht="16" customHeight="1" thickTop="1">
      <c r="A705" s="7"/>
      <c r="B705" s="19" t="s">
        <v>1350</v>
      </c>
      <c r="C705" s="12"/>
      <c r="D705" s="200"/>
      <c r="E705" s="200"/>
      <c r="F705" s="199"/>
      <c r="G705" s="200"/>
      <c r="H705" s="199"/>
      <c r="I705" s="199"/>
      <c r="J705" s="200"/>
      <c r="K705" s="200"/>
      <c r="L705" s="289" t="s">
        <v>1429</v>
      </c>
      <c r="M705" s="199"/>
      <c r="N705" s="40" t="str">
        <f>J$6</f>
        <v>FY2010-11</v>
      </c>
      <c r="O705" s="40" t="s">
        <v>1355</v>
      </c>
      <c r="P705" s="40" t="s">
        <v>1347</v>
      </c>
      <c r="Q705" s="40" t="s">
        <v>1340</v>
      </c>
      <c r="R705" s="200"/>
      <c r="S705" s="199" t="s">
        <v>871</v>
      </c>
      <c r="T705" s="200"/>
      <c r="U705" s="200"/>
      <c r="V705" s="201"/>
      <c r="W705" s="201"/>
      <c r="X705" s="201"/>
      <c r="Y705" s="201"/>
      <c r="Z705" s="201"/>
      <c r="AA705" s="201"/>
      <c r="AB705" s="201"/>
      <c r="AC705" s="201"/>
      <c r="AD705" s="201"/>
      <c r="AE705" s="201"/>
      <c r="AF705" s="201"/>
      <c r="AG705" s="201"/>
      <c r="AH705" s="6"/>
    </row>
    <row r="706" spans="1:34" s="3" customFormat="1" ht="16" customHeight="1">
      <c r="A706" s="7"/>
      <c r="B706" s="16">
        <f>DSUM('$REV-DB'!D35:AG374,"AMOUNT",D704:AG705)</f>
        <v>0</v>
      </c>
      <c r="C706" s="12"/>
      <c r="D706" s="896"/>
      <c r="E706" s="896"/>
      <c r="F706" s="896"/>
      <c r="G706" s="896"/>
      <c r="H706" s="896"/>
      <c r="I706" s="896"/>
      <c r="J706" s="896"/>
      <c r="K706" s="896"/>
      <c r="L706" s="897"/>
      <c r="M706" s="896"/>
      <c r="N706" s="889"/>
      <c r="O706" s="896"/>
      <c r="P706" s="889"/>
      <c r="Q706" s="900"/>
      <c r="R706" s="896"/>
      <c r="S706" s="896"/>
      <c r="T706" s="898"/>
      <c r="U706" s="898"/>
      <c r="V706" s="899"/>
      <c r="W706" s="899"/>
      <c r="X706" s="899"/>
      <c r="Y706" s="899"/>
      <c r="Z706" s="899"/>
      <c r="AA706" s="899"/>
      <c r="AB706" s="899"/>
      <c r="AC706" s="899"/>
      <c r="AD706" s="899"/>
      <c r="AE706" s="899"/>
      <c r="AF706" s="899"/>
      <c r="AG706" s="899"/>
      <c r="AH706" s="6"/>
    </row>
    <row r="707" spans="1:34" s="3" customFormat="1" ht="16" customHeight="1">
      <c r="A707" s="7"/>
      <c r="B707" s="10"/>
      <c r="C707" s="12"/>
      <c r="D707" s="896"/>
      <c r="E707" s="896"/>
      <c r="F707" s="896"/>
      <c r="G707" s="896"/>
      <c r="H707" s="896"/>
      <c r="I707" s="896"/>
      <c r="J707" s="896"/>
      <c r="K707" s="896"/>
      <c r="L707" s="897"/>
      <c r="M707" s="896"/>
      <c r="N707" s="889"/>
      <c r="O707" s="896"/>
      <c r="P707" s="889"/>
      <c r="Q707" s="900"/>
      <c r="R707" s="896"/>
      <c r="S707" s="896"/>
      <c r="T707" s="898"/>
      <c r="U707" s="898"/>
      <c r="V707" s="899"/>
      <c r="W707" s="899"/>
      <c r="X707" s="899"/>
      <c r="Y707" s="899"/>
      <c r="Z707" s="899"/>
      <c r="AA707" s="899"/>
      <c r="AB707" s="899"/>
      <c r="AC707" s="899"/>
      <c r="AD707" s="899"/>
      <c r="AE707" s="899"/>
      <c r="AF707" s="899"/>
      <c r="AG707" s="899"/>
    </row>
    <row r="708" spans="1:34" s="3" customFormat="1" ht="16" customHeight="1">
      <c r="A708" s="7"/>
      <c r="B708" s="10"/>
      <c r="C708" s="12"/>
      <c r="D708" s="896"/>
      <c r="E708" s="896"/>
      <c r="F708" s="896"/>
      <c r="G708" s="896"/>
      <c r="H708" s="896"/>
      <c r="I708" s="896"/>
      <c r="J708" s="896"/>
      <c r="K708" s="896"/>
      <c r="L708" s="897"/>
      <c r="M708" s="896"/>
      <c r="N708" s="889"/>
      <c r="O708" s="896"/>
      <c r="P708" s="889"/>
      <c r="Q708" s="900"/>
      <c r="R708" s="896"/>
      <c r="S708" s="896"/>
      <c r="T708" s="898"/>
      <c r="U708" s="898"/>
      <c r="V708" s="899"/>
      <c r="W708" s="899"/>
      <c r="X708" s="899"/>
      <c r="Y708" s="899"/>
      <c r="Z708" s="899"/>
      <c r="AA708" s="899"/>
      <c r="AB708" s="899"/>
      <c r="AC708" s="899"/>
      <c r="AD708" s="899"/>
      <c r="AE708" s="899"/>
      <c r="AF708" s="899"/>
      <c r="AG708" s="899"/>
    </row>
    <row r="709" spans="1:34" s="3" customFormat="1" ht="16" customHeight="1">
      <c r="A709" s="7"/>
      <c r="B709" s="10"/>
      <c r="C709" s="12"/>
      <c r="D709" s="896"/>
      <c r="E709" s="896"/>
      <c r="F709" s="896"/>
      <c r="G709" s="896"/>
      <c r="H709" s="896"/>
      <c r="I709" s="896"/>
      <c r="J709" s="896"/>
      <c r="K709" s="896"/>
      <c r="L709" s="897"/>
      <c r="M709" s="896"/>
      <c r="N709" s="889"/>
      <c r="O709" s="896"/>
      <c r="P709" s="889"/>
      <c r="Q709" s="900"/>
      <c r="R709" s="896"/>
      <c r="S709" s="896"/>
      <c r="T709" s="898"/>
      <c r="U709" s="898"/>
      <c r="V709" s="899"/>
      <c r="W709" s="899"/>
      <c r="X709" s="899"/>
      <c r="Y709" s="899"/>
      <c r="Z709" s="899"/>
      <c r="AA709" s="899"/>
      <c r="AB709" s="899"/>
      <c r="AC709" s="899"/>
      <c r="AD709" s="899"/>
      <c r="AE709" s="899"/>
      <c r="AF709" s="899"/>
      <c r="AG709" s="899"/>
    </row>
    <row r="710" spans="1:34" s="3" customFormat="1" ht="16" customHeight="1">
      <c r="A710" s="7"/>
      <c r="B710" s="10"/>
      <c r="C710" s="12"/>
      <c r="D710" s="896"/>
      <c r="E710" s="896"/>
      <c r="F710" s="896"/>
      <c r="G710" s="896"/>
      <c r="H710" s="896"/>
      <c r="I710" s="896"/>
      <c r="J710" s="896"/>
      <c r="K710" s="896"/>
      <c r="L710" s="897"/>
      <c r="M710" s="896"/>
      <c r="N710" s="889"/>
      <c r="O710" s="896"/>
      <c r="P710" s="889"/>
      <c r="Q710" s="900"/>
      <c r="R710" s="896"/>
      <c r="S710" s="896"/>
      <c r="T710" s="898"/>
      <c r="U710" s="898"/>
      <c r="V710" s="899"/>
      <c r="W710" s="899"/>
      <c r="X710" s="899"/>
      <c r="Y710" s="899"/>
      <c r="Z710" s="899"/>
      <c r="AA710" s="899"/>
      <c r="AB710" s="899"/>
      <c r="AC710" s="899"/>
      <c r="AD710" s="899"/>
      <c r="AE710" s="899"/>
      <c r="AF710" s="899"/>
      <c r="AG710" s="899"/>
    </row>
    <row r="711" spans="1:34" s="3" customFormat="1" ht="16" customHeight="1">
      <c r="A711" s="7"/>
      <c r="B711" s="10"/>
      <c r="C711" s="12"/>
      <c r="D711" s="896"/>
      <c r="E711" s="896"/>
      <c r="F711" s="896"/>
      <c r="G711" s="896"/>
      <c r="H711" s="896"/>
      <c r="I711" s="896"/>
      <c r="J711" s="896"/>
      <c r="K711" s="896"/>
      <c r="L711" s="897"/>
      <c r="M711" s="896"/>
      <c r="N711" s="889"/>
      <c r="O711" s="896"/>
      <c r="P711" s="889"/>
      <c r="Q711" s="900"/>
      <c r="R711" s="896"/>
      <c r="S711" s="896"/>
      <c r="T711" s="898"/>
      <c r="U711" s="898"/>
      <c r="V711" s="899"/>
      <c r="W711" s="899"/>
      <c r="X711" s="899"/>
      <c r="Y711" s="899"/>
      <c r="Z711" s="899"/>
      <c r="AA711" s="899"/>
      <c r="AB711" s="899"/>
      <c r="AC711" s="899"/>
      <c r="AD711" s="899"/>
      <c r="AE711" s="899"/>
      <c r="AF711" s="899"/>
      <c r="AG711" s="899"/>
    </row>
    <row r="712" spans="1:34" s="3" customFormat="1" ht="16" customHeight="1">
      <c r="A712" s="44"/>
      <c r="B712" s="41"/>
      <c r="C712" s="41"/>
      <c r="D712" s="42"/>
      <c r="E712" s="42"/>
      <c r="F712" s="43"/>
      <c r="G712" s="42"/>
      <c r="H712" s="43"/>
      <c r="I712" s="43"/>
      <c r="J712" s="42"/>
      <c r="K712" s="42"/>
      <c r="L712" s="290"/>
      <c r="M712" s="43"/>
      <c r="N712" s="43"/>
      <c r="O712" s="42"/>
      <c r="P712" s="43"/>
      <c r="Q712" s="43"/>
      <c r="R712" s="42"/>
      <c r="S712" s="43"/>
      <c r="T712" s="42"/>
      <c r="U712" s="42"/>
      <c r="V712" s="44"/>
      <c r="W712" s="44"/>
      <c r="X712" s="44"/>
      <c r="Y712" s="44"/>
      <c r="Z712" s="44"/>
      <c r="AA712" s="44"/>
      <c r="AB712" s="44"/>
      <c r="AC712" s="44"/>
      <c r="AD712" s="44"/>
      <c r="AE712" s="44"/>
      <c r="AF712" s="44"/>
      <c r="AG712" s="44"/>
    </row>
    <row r="713" spans="1:34" s="3" customFormat="1" ht="16" customHeight="1" thickBot="1">
      <c r="A713" s="7"/>
      <c r="B713" s="19" t="str">
        <f>"FA5 = "&amp;'FIG3'!$W$56&amp;" "&amp;'FIG3'!$X$56</f>
        <v>FA5 = FA5L1 FA5L2</v>
      </c>
      <c r="C713" s="7"/>
      <c r="D713" s="17"/>
      <c r="E713" s="17"/>
      <c r="F713" s="18"/>
      <c r="G713" s="17"/>
      <c r="H713" s="18"/>
      <c r="I713" s="18"/>
      <c r="J713" s="17"/>
      <c r="K713" s="17"/>
      <c r="L713" s="281"/>
      <c r="M713" s="18"/>
      <c r="N713" s="9"/>
      <c r="O713" s="17"/>
      <c r="P713" s="18"/>
      <c r="Q713" s="18"/>
      <c r="R713" s="17"/>
      <c r="S713" s="882"/>
      <c r="T713" s="883" t="str">
        <f>'$REV-DB'!$T$34</f>
        <v>Federal Revenues</v>
      </c>
      <c r="U713" s="883" t="str">
        <f>'$REV-DB'!$U$34</f>
        <v>local Revenues</v>
      </c>
      <c r="V713" s="883" t="str">
        <f>'$REV-DB'!$V$34</f>
        <v>Other Revenues</v>
      </c>
      <c r="W713" s="883" t="str">
        <f>'$REV-DB'!$W$34</f>
        <v>State revenues</v>
      </c>
      <c r="X713" s="883" t="str">
        <f>'$REV-DB'!$X$34</f>
        <v>UD5</v>
      </c>
      <c r="Y713" s="883" t="str">
        <f>'$REV-DB'!$Y$34</f>
        <v>UD6</v>
      </c>
      <c r="Z713" s="883" t="str">
        <f>'$REV-DB'!$Z$34</f>
        <v>UD7</v>
      </c>
      <c r="AA713" s="883" t="str">
        <f>'$REV-DB'!$AA$34</f>
        <v>UD8</v>
      </c>
      <c r="AB713" s="883" t="str">
        <f>'$REV-DB'!$AB$34</f>
        <v>UD9</v>
      </c>
      <c r="AC713" s="883" t="str">
        <f>'$REV-DB'!$AC$34</f>
        <v>UD10</v>
      </c>
      <c r="AD713" s="883" t="str">
        <f>'$REV-DB'!$AD$34</f>
        <v>UD11</v>
      </c>
      <c r="AE713" s="883" t="str">
        <f>'$REV-DB'!$AE$34</f>
        <v>UD12</v>
      </c>
      <c r="AF713" s="883" t="str">
        <f>'$REV-DB'!$AF$34</f>
        <v>UD13</v>
      </c>
      <c r="AG713" s="883" t="str">
        <f>'$REV-DB'!$AG$34</f>
        <v>UD14</v>
      </c>
    </row>
    <row r="714" spans="1:34" s="3" customFormat="1" ht="16" customHeight="1" thickTop="1" thickBot="1">
      <c r="A714" s="7"/>
      <c r="B714" s="20" t="s">
        <v>1399</v>
      </c>
      <c r="C714" s="15"/>
      <c r="D714" s="877" t="s">
        <v>1386</v>
      </c>
      <c r="E714" s="877" t="s">
        <v>1387</v>
      </c>
      <c r="F714" s="877" t="s">
        <v>1388</v>
      </c>
      <c r="G714" s="877" t="s">
        <v>1389</v>
      </c>
      <c r="H714" s="877" t="s">
        <v>1406</v>
      </c>
      <c r="I714" s="877" t="s">
        <v>1390</v>
      </c>
      <c r="J714" s="877" t="s">
        <v>1391</v>
      </c>
      <c r="K714" s="877" t="s">
        <v>1392</v>
      </c>
      <c r="L714" s="877" t="s">
        <v>1188</v>
      </c>
      <c r="M714" s="877" t="s">
        <v>1437</v>
      </c>
      <c r="N714" s="877" t="s">
        <v>1348</v>
      </c>
      <c r="O714" s="877" t="s">
        <v>1393</v>
      </c>
      <c r="P714" s="877" t="s">
        <v>1342</v>
      </c>
      <c r="Q714" s="877" t="s">
        <v>1394</v>
      </c>
      <c r="R714" s="112" t="s">
        <v>1341</v>
      </c>
      <c r="S714" s="112" t="s">
        <v>846</v>
      </c>
      <c r="T714" s="877" t="s">
        <v>935</v>
      </c>
      <c r="U714" s="877" t="s">
        <v>936</v>
      </c>
      <c r="V714" s="877" t="s">
        <v>937</v>
      </c>
      <c r="W714" s="877" t="s">
        <v>938</v>
      </c>
      <c r="X714" s="877" t="s">
        <v>939</v>
      </c>
      <c r="Y714" s="877" t="s">
        <v>940</v>
      </c>
      <c r="Z714" s="877" t="s">
        <v>941</v>
      </c>
      <c r="AA714" s="877" t="s">
        <v>942</v>
      </c>
      <c r="AB714" s="877" t="s">
        <v>943</v>
      </c>
      <c r="AC714" s="877" t="s">
        <v>944</v>
      </c>
      <c r="AD714" s="877" t="s">
        <v>945</v>
      </c>
      <c r="AE714" s="877" t="s">
        <v>946</v>
      </c>
      <c r="AF714" s="877" t="s">
        <v>947</v>
      </c>
      <c r="AG714" s="877" t="s">
        <v>948</v>
      </c>
      <c r="AH714" s="6"/>
    </row>
    <row r="715" spans="1:34" s="3" customFormat="1" ht="16" customHeight="1" thickTop="1">
      <c r="A715" s="7"/>
      <c r="B715" s="19" t="s">
        <v>1346</v>
      </c>
      <c r="C715" s="12"/>
      <c r="D715" s="202"/>
      <c r="E715" s="202"/>
      <c r="F715" s="202"/>
      <c r="G715" s="202"/>
      <c r="H715" s="202"/>
      <c r="I715" s="202"/>
      <c r="J715" s="202"/>
      <c r="K715" s="202"/>
      <c r="L715" s="291" t="s">
        <v>1429</v>
      </c>
      <c r="M715" s="202"/>
      <c r="N715" s="45" t="str">
        <f>J$6</f>
        <v>FY2010-11</v>
      </c>
      <c r="O715" s="45" t="s">
        <v>1356</v>
      </c>
      <c r="P715" s="45" t="s">
        <v>1338</v>
      </c>
      <c r="Q715" s="202"/>
      <c r="R715" s="202"/>
      <c r="S715" s="202"/>
      <c r="T715" s="203"/>
      <c r="U715" s="203"/>
      <c r="V715" s="204"/>
      <c r="W715" s="204"/>
      <c r="X715" s="204"/>
      <c r="Y715" s="204"/>
      <c r="Z715" s="204"/>
      <c r="AA715" s="204"/>
      <c r="AB715" s="204"/>
      <c r="AC715" s="204"/>
      <c r="AD715" s="204"/>
      <c r="AE715" s="204"/>
      <c r="AF715" s="204"/>
      <c r="AG715" s="204"/>
      <c r="AH715" s="6"/>
    </row>
    <row r="716" spans="1:34" s="3" customFormat="1" ht="16" customHeight="1">
      <c r="A716" s="7"/>
      <c r="B716" s="16">
        <f>DSUM('$REV-DB'!D35:AG374,"AMOUNT",D714:AG716)</f>
        <v>0</v>
      </c>
      <c r="C716" s="12"/>
      <c r="D716" s="202"/>
      <c r="E716" s="202"/>
      <c r="F716" s="202"/>
      <c r="G716" s="202"/>
      <c r="H716" s="202"/>
      <c r="I716" s="202"/>
      <c r="J716" s="202"/>
      <c r="K716" s="202"/>
      <c r="L716" s="291" t="s">
        <v>1429</v>
      </c>
      <c r="M716" s="202"/>
      <c r="N716" s="45" t="str">
        <f>J$6</f>
        <v>FY2010-11</v>
      </c>
      <c r="O716" s="45" t="s">
        <v>1356</v>
      </c>
      <c r="P716" s="45" t="s">
        <v>1347</v>
      </c>
      <c r="Q716" s="202"/>
      <c r="R716" s="202"/>
      <c r="S716" s="202" t="s">
        <v>1303</v>
      </c>
      <c r="T716" s="203"/>
      <c r="U716" s="203"/>
      <c r="V716" s="204"/>
      <c r="W716" s="204"/>
      <c r="X716" s="204"/>
      <c r="Y716" s="204"/>
      <c r="Z716" s="204"/>
      <c r="AA716" s="204"/>
      <c r="AB716" s="204"/>
      <c r="AC716" s="204"/>
      <c r="AD716" s="204"/>
      <c r="AE716" s="204"/>
      <c r="AF716" s="204"/>
      <c r="AG716" s="204"/>
      <c r="AH716" s="6"/>
    </row>
    <row r="717" spans="1:34" s="3" customFormat="1" ht="16" customHeight="1">
      <c r="A717" s="7"/>
      <c r="B717" s="10"/>
      <c r="C717" s="12"/>
      <c r="D717" s="896"/>
      <c r="E717" s="896"/>
      <c r="F717" s="896"/>
      <c r="G717" s="896"/>
      <c r="H717" s="896"/>
      <c r="I717" s="896"/>
      <c r="J717" s="896"/>
      <c r="K717" s="896"/>
      <c r="L717" s="897"/>
      <c r="M717" s="896"/>
      <c r="N717" s="889"/>
      <c r="O717" s="889"/>
      <c r="P717" s="889"/>
      <c r="Q717" s="896"/>
      <c r="R717" s="896"/>
      <c r="S717" s="896"/>
      <c r="T717" s="898"/>
      <c r="U717" s="898"/>
      <c r="V717" s="899"/>
      <c r="W717" s="899"/>
      <c r="X717" s="899"/>
      <c r="Y717" s="899"/>
      <c r="Z717" s="899"/>
      <c r="AA717" s="899"/>
      <c r="AB717" s="899"/>
      <c r="AC717" s="899"/>
      <c r="AD717" s="899"/>
      <c r="AE717" s="899"/>
      <c r="AF717" s="899"/>
      <c r="AG717" s="899"/>
    </row>
    <row r="718" spans="1:34" s="3" customFormat="1" ht="16" customHeight="1">
      <c r="A718" s="7"/>
      <c r="B718" s="10"/>
      <c r="C718" s="12"/>
      <c r="D718" s="896"/>
      <c r="E718" s="896"/>
      <c r="F718" s="896"/>
      <c r="G718" s="896"/>
      <c r="H718" s="896"/>
      <c r="I718" s="896"/>
      <c r="J718" s="896"/>
      <c r="K718" s="896"/>
      <c r="L718" s="897"/>
      <c r="M718" s="896"/>
      <c r="N718" s="889"/>
      <c r="O718" s="889"/>
      <c r="P718" s="889"/>
      <c r="Q718" s="896"/>
      <c r="R718" s="896"/>
      <c r="S718" s="896"/>
      <c r="T718" s="898"/>
      <c r="U718" s="898"/>
      <c r="V718" s="899"/>
      <c r="W718" s="899"/>
      <c r="X718" s="899"/>
      <c r="Y718" s="899"/>
      <c r="Z718" s="899"/>
      <c r="AA718" s="899"/>
      <c r="AB718" s="899"/>
      <c r="AC718" s="899"/>
      <c r="AD718" s="899"/>
      <c r="AE718" s="899"/>
      <c r="AF718" s="899"/>
      <c r="AG718" s="899"/>
    </row>
    <row r="719" spans="1:34" s="3" customFormat="1" ht="16" customHeight="1">
      <c r="A719" s="7"/>
      <c r="B719" s="10"/>
      <c r="C719" s="12"/>
      <c r="D719" s="896"/>
      <c r="E719" s="896"/>
      <c r="F719" s="896"/>
      <c r="G719" s="896"/>
      <c r="H719" s="896"/>
      <c r="I719" s="896"/>
      <c r="J719" s="896"/>
      <c r="K719" s="896"/>
      <c r="L719" s="897"/>
      <c r="M719" s="896"/>
      <c r="N719" s="889"/>
      <c r="O719" s="889"/>
      <c r="P719" s="889"/>
      <c r="Q719" s="896"/>
      <c r="R719" s="896"/>
      <c r="S719" s="896"/>
      <c r="T719" s="898"/>
      <c r="U719" s="898"/>
      <c r="V719" s="899"/>
      <c r="W719" s="899"/>
      <c r="X719" s="899"/>
      <c r="Y719" s="899"/>
      <c r="Z719" s="899"/>
      <c r="AA719" s="899"/>
      <c r="AB719" s="899"/>
      <c r="AC719" s="899"/>
      <c r="AD719" s="899"/>
      <c r="AE719" s="899"/>
      <c r="AF719" s="899"/>
      <c r="AG719" s="899"/>
    </row>
    <row r="720" spans="1:34" s="3" customFormat="1" ht="16" customHeight="1">
      <c r="A720" s="7"/>
      <c r="B720" s="10"/>
      <c r="C720" s="12"/>
      <c r="D720" s="896"/>
      <c r="E720" s="896"/>
      <c r="F720" s="896"/>
      <c r="G720" s="896"/>
      <c r="H720" s="896"/>
      <c r="I720" s="896"/>
      <c r="J720" s="896"/>
      <c r="K720" s="896"/>
      <c r="L720" s="897"/>
      <c r="M720" s="896"/>
      <c r="N720" s="889"/>
      <c r="O720" s="889"/>
      <c r="P720" s="889"/>
      <c r="Q720" s="896"/>
      <c r="R720" s="896"/>
      <c r="S720" s="896"/>
      <c r="T720" s="898"/>
      <c r="U720" s="898"/>
      <c r="V720" s="899"/>
      <c r="W720" s="899"/>
      <c r="X720" s="899"/>
      <c r="Y720" s="899"/>
      <c r="Z720" s="899"/>
      <c r="AA720" s="899"/>
      <c r="AB720" s="899"/>
      <c r="AC720" s="899"/>
      <c r="AD720" s="899"/>
      <c r="AE720" s="899"/>
      <c r="AF720" s="899"/>
      <c r="AG720" s="899"/>
    </row>
    <row r="721" spans="1:34" s="3" customFormat="1" ht="16" customHeight="1">
      <c r="A721" s="7"/>
      <c r="B721" s="10"/>
      <c r="C721" s="12"/>
      <c r="D721" s="896"/>
      <c r="E721" s="896"/>
      <c r="F721" s="896"/>
      <c r="G721" s="896"/>
      <c r="H721" s="896"/>
      <c r="I721" s="896"/>
      <c r="J721" s="896"/>
      <c r="K721" s="896"/>
      <c r="L721" s="897"/>
      <c r="M721" s="896"/>
      <c r="N721" s="889"/>
      <c r="O721" s="889"/>
      <c r="P721" s="889"/>
      <c r="Q721" s="896"/>
      <c r="R721" s="896"/>
      <c r="S721" s="896"/>
      <c r="T721" s="898"/>
      <c r="U721" s="898"/>
      <c r="V721" s="899"/>
      <c r="W721" s="899"/>
      <c r="X721" s="899"/>
      <c r="Y721" s="899"/>
      <c r="Z721" s="899"/>
      <c r="AA721" s="899"/>
      <c r="AB721" s="899"/>
      <c r="AC721" s="899"/>
      <c r="AD721" s="899"/>
      <c r="AE721" s="899"/>
      <c r="AF721" s="899"/>
      <c r="AG721" s="899"/>
    </row>
    <row r="722" spans="1:34" s="3" customFormat="1" ht="16" customHeight="1">
      <c r="A722" s="44"/>
      <c r="B722" s="41"/>
      <c r="C722" s="41"/>
      <c r="D722" s="42"/>
      <c r="E722" s="42"/>
      <c r="F722" s="43"/>
      <c r="G722" s="42"/>
      <c r="H722" s="43"/>
      <c r="I722" s="43"/>
      <c r="J722" s="42"/>
      <c r="K722" s="42"/>
      <c r="L722" s="290"/>
      <c r="M722" s="43"/>
      <c r="N722" s="43"/>
      <c r="O722" s="42"/>
      <c r="P722" s="43"/>
      <c r="Q722" s="43"/>
      <c r="R722" s="42"/>
      <c r="S722" s="43"/>
      <c r="T722" s="42"/>
      <c r="U722" s="42"/>
      <c r="V722" s="44"/>
      <c r="W722" s="44"/>
      <c r="X722" s="44"/>
      <c r="Y722" s="44"/>
      <c r="Z722" s="44"/>
      <c r="AA722" s="44"/>
      <c r="AB722" s="44"/>
      <c r="AC722" s="44"/>
      <c r="AD722" s="44"/>
      <c r="AE722" s="44"/>
      <c r="AF722" s="44"/>
      <c r="AG722" s="44"/>
    </row>
    <row r="723" spans="1:34" s="3" customFormat="1" ht="16" customHeight="1" thickBot="1">
      <c r="A723" s="7"/>
      <c r="B723" s="19" t="str">
        <f>"FA5 = "&amp;'FIG3'!$W$56&amp;" "&amp;'FIG3'!$X$56</f>
        <v>FA5 = FA5L1 FA5L2</v>
      </c>
      <c r="C723" s="7"/>
      <c r="D723" s="8"/>
      <c r="E723" s="8"/>
      <c r="F723" s="9"/>
      <c r="G723" s="8"/>
      <c r="H723" s="9"/>
      <c r="I723" s="9"/>
      <c r="J723" s="8"/>
      <c r="K723" s="8"/>
      <c r="L723" s="280"/>
      <c r="M723" s="9"/>
      <c r="N723" s="9"/>
      <c r="O723" s="8"/>
      <c r="P723" s="9"/>
      <c r="Q723" s="9"/>
      <c r="R723" s="8"/>
      <c r="S723" s="882"/>
      <c r="T723" s="883" t="str">
        <f>'$REV-DB'!$T$34</f>
        <v>Federal Revenues</v>
      </c>
      <c r="U723" s="883" t="str">
        <f>'$REV-DB'!$U$34</f>
        <v>local Revenues</v>
      </c>
      <c r="V723" s="883" t="str">
        <f>'$REV-DB'!$V$34</f>
        <v>Other Revenues</v>
      </c>
      <c r="W723" s="883" t="str">
        <f>'$REV-DB'!$W$34</f>
        <v>State revenues</v>
      </c>
      <c r="X723" s="883" t="str">
        <f>'$REV-DB'!$X$34</f>
        <v>UD5</v>
      </c>
      <c r="Y723" s="883" t="str">
        <f>'$REV-DB'!$Y$34</f>
        <v>UD6</v>
      </c>
      <c r="Z723" s="883" t="str">
        <f>'$REV-DB'!$Z$34</f>
        <v>UD7</v>
      </c>
      <c r="AA723" s="883" t="str">
        <f>'$REV-DB'!$AA$34</f>
        <v>UD8</v>
      </c>
      <c r="AB723" s="883" t="str">
        <f>'$REV-DB'!$AB$34</f>
        <v>UD9</v>
      </c>
      <c r="AC723" s="883" t="str">
        <f>'$REV-DB'!$AC$34</f>
        <v>UD10</v>
      </c>
      <c r="AD723" s="883" t="str">
        <f>'$REV-DB'!$AD$34</f>
        <v>UD11</v>
      </c>
      <c r="AE723" s="883" t="str">
        <f>'$REV-DB'!$AE$34</f>
        <v>UD12</v>
      </c>
      <c r="AF723" s="883" t="str">
        <f>'$REV-DB'!$AF$34</f>
        <v>UD13</v>
      </c>
      <c r="AG723" s="883" t="str">
        <f>'$REV-DB'!$AG$34</f>
        <v>UD14</v>
      </c>
    </row>
    <row r="724" spans="1:34" s="3" customFormat="1" ht="16" customHeight="1" thickTop="1" thickBot="1">
      <c r="A724" s="7"/>
      <c r="B724" s="20" t="s">
        <v>1399</v>
      </c>
      <c r="C724" s="15"/>
      <c r="D724" s="877" t="s">
        <v>1386</v>
      </c>
      <c r="E724" s="877" t="s">
        <v>1387</v>
      </c>
      <c r="F724" s="877" t="s">
        <v>1388</v>
      </c>
      <c r="G724" s="877" t="s">
        <v>1389</v>
      </c>
      <c r="H724" s="877" t="s">
        <v>1406</v>
      </c>
      <c r="I724" s="877" t="s">
        <v>1390</v>
      </c>
      <c r="J724" s="877" t="s">
        <v>1391</v>
      </c>
      <c r="K724" s="877" t="s">
        <v>1392</v>
      </c>
      <c r="L724" s="877" t="s">
        <v>1188</v>
      </c>
      <c r="M724" s="877" t="s">
        <v>1437</v>
      </c>
      <c r="N724" s="877" t="s">
        <v>1348</v>
      </c>
      <c r="O724" s="877" t="s">
        <v>1393</v>
      </c>
      <c r="P724" s="877" t="s">
        <v>1342</v>
      </c>
      <c r="Q724" s="877" t="s">
        <v>1394</v>
      </c>
      <c r="R724" s="112" t="s">
        <v>1341</v>
      </c>
      <c r="S724" s="112" t="s">
        <v>846</v>
      </c>
      <c r="T724" s="877" t="s">
        <v>935</v>
      </c>
      <c r="U724" s="877" t="s">
        <v>936</v>
      </c>
      <c r="V724" s="877" t="s">
        <v>937</v>
      </c>
      <c r="W724" s="877" t="s">
        <v>938</v>
      </c>
      <c r="X724" s="877" t="s">
        <v>939</v>
      </c>
      <c r="Y724" s="877" t="s">
        <v>940</v>
      </c>
      <c r="Z724" s="877" t="s">
        <v>941</v>
      </c>
      <c r="AA724" s="877" t="s">
        <v>942</v>
      </c>
      <c r="AB724" s="877" t="s">
        <v>943</v>
      </c>
      <c r="AC724" s="877" t="s">
        <v>944</v>
      </c>
      <c r="AD724" s="877" t="s">
        <v>945</v>
      </c>
      <c r="AE724" s="877" t="s">
        <v>946</v>
      </c>
      <c r="AF724" s="877" t="s">
        <v>947</v>
      </c>
      <c r="AG724" s="877" t="s">
        <v>948</v>
      </c>
      <c r="AH724" s="6"/>
    </row>
    <row r="725" spans="1:34" s="3" customFormat="1" ht="16" customHeight="1" thickTop="1">
      <c r="A725" s="7"/>
      <c r="B725" s="19" t="s">
        <v>1345</v>
      </c>
      <c r="C725" s="12"/>
      <c r="D725" s="203"/>
      <c r="E725" s="203"/>
      <c r="F725" s="202"/>
      <c r="G725" s="203"/>
      <c r="H725" s="202"/>
      <c r="I725" s="202"/>
      <c r="J725" s="203"/>
      <c r="K725" s="203"/>
      <c r="L725" s="291" t="s">
        <v>1429</v>
      </c>
      <c r="M725" s="202"/>
      <c r="N725" s="45" t="str">
        <f>J$6</f>
        <v>FY2010-11</v>
      </c>
      <c r="O725" s="45" t="s">
        <v>1356</v>
      </c>
      <c r="P725" s="45" t="s">
        <v>1338</v>
      </c>
      <c r="Q725" s="45" t="s">
        <v>1380</v>
      </c>
      <c r="R725" s="203"/>
      <c r="S725" s="202"/>
      <c r="T725" s="203"/>
      <c r="U725" s="203"/>
      <c r="V725" s="204"/>
      <c r="W725" s="204"/>
      <c r="X725" s="204"/>
      <c r="Y725" s="204"/>
      <c r="Z725" s="204"/>
      <c r="AA725" s="204"/>
      <c r="AB725" s="204"/>
      <c r="AC725" s="204"/>
      <c r="AD725" s="204"/>
      <c r="AE725" s="204"/>
      <c r="AF725" s="204"/>
      <c r="AG725" s="204"/>
      <c r="AH725" s="6"/>
    </row>
    <row r="726" spans="1:34" s="3" customFormat="1" ht="16" customHeight="1">
      <c r="A726" s="7"/>
      <c r="B726" s="16">
        <f>DSUM('$REV-DB'!D35:AG374,"AMOUNT",D724:AG726)</f>
        <v>0</v>
      </c>
      <c r="C726" s="12"/>
      <c r="D726" s="203"/>
      <c r="E726" s="203"/>
      <c r="F726" s="202"/>
      <c r="G726" s="203"/>
      <c r="H726" s="202"/>
      <c r="I726" s="202"/>
      <c r="J726" s="203"/>
      <c r="K726" s="203"/>
      <c r="L726" s="291" t="s">
        <v>1429</v>
      </c>
      <c r="M726" s="202"/>
      <c r="N726" s="45" t="str">
        <f>J$6</f>
        <v>FY2010-11</v>
      </c>
      <c r="O726" s="45" t="s">
        <v>1356</v>
      </c>
      <c r="P726" s="45" t="s">
        <v>1347</v>
      </c>
      <c r="Q726" s="45" t="s">
        <v>1380</v>
      </c>
      <c r="R726" s="203"/>
      <c r="S726" s="202" t="s">
        <v>1303</v>
      </c>
      <c r="T726" s="203"/>
      <c r="U726" s="203"/>
      <c r="V726" s="204"/>
      <c r="W726" s="204"/>
      <c r="X726" s="204"/>
      <c r="Y726" s="204"/>
      <c r="Z726" s="204"/>
      <c r="AA726" s="204"/>
      <c r="AB726" s="204"/>
      <c r="AC726" s="204"/>
      <c r="AD726" s="204"/>
      <c r="AE726" s="204"/>
      <c r="AF726" s="204"/>
      <c r="AG726" s="204"/>
      <c r="AH726" s="6"/>
    </row>
    <row r="727" spans="1:34" s="3" customFormat="1" ht="16" customHeight="1">
      <c r="A727" s="7"/>
      <c r="B727" s="10"/>
      <c r="C727" s="12"/>
      <c r="D727" s="896"/>
      <c r="E727" s="896"/>
      <c r="F727" s="896"/>
      <c r="G727" s="896"/>
      <c r="H727" s="896"/>
      <c r="I727" s="896"/>
      <c r="J727" s="896"/>
      <c r="K727" s="896"/>
      <c r="L727" s="897"/>
      <c r="M727" s="896"/>
      <c r="N727" s="889"/>
      <c r="O727" s="889"/>
      <c r="P727" s="889"/>
      <c r="Q727" s="896"/>
      <c r="R727" s="896"/>
      <c r="S727" s="896"/>
      <c r="T727" s="898"/>
      <c r="U727" s="898"/>
      <c r="V727" s="899"/>
      <c r="W727" s="899"/>
      <c r="X727" s="899"/>
      <c r="Y727" s="899"/>
      <c r="Z727" s="899"/>
      <c r="AA727" s="899"/>
      <c r="AB727" s="899"/>
      <c r="AC727" s="899"/>
      <c r="AD727" s="899"/>
      <c r="AE727" s="899"/>
      <c r="AF727" s="899"/>
      <c r="AG727" s="899"/>
    </row>
    <row r="728" spans="1:34" s="3" customFormat="1" ht="16" customHeight="1">
      <c r="A728" s="7"/>
      <c r="B728" s="10"/>
      <c r="C728" s="12"/>
      <c r="D728" s="896"/>
      <c r="E728" s="896"/>
      <c r="F728" s="896"/>
      <c r="G728" s="896"/>
      <c r="H728" s="896"/>
      <c r="I728" s="896"/>
      <c r="J728" s="896"/>
      <c r="K728" s="896"/>
      <c r="L728" s="897"/>
      <c r="M728" s="896"/>
      <c r="N728" s="889"/>
      <c r="O728" s="889"/>
      <c r="P728" s="889"/>
      <c r="Q728" s="896"/>
      <c r="R728" s="896"/>
      <c r="S728" s="896"/>
      <c r="T728" s="898"/>
      <c r="U728" s="898"/>
      <c r="V728" s="899"/>
      <c r="W728" s="899"/>
      <c r="X728" s="899"/>
      <c r="Y728" s="899"/>
      <c r="Z728" s="899"/>
      <c r="AA728" s="899"/>
      <c r="AB728" s="899"/>
      <c r="AC728" s="899"/>
      <c r="AD728" s="899"/>
      <c r="AE728" s="899"/>
      <c r="AF728" s="899"/>
      <c r="AG728" s="899"/>
    </row>
    <row r="729" spans="1:34" s="3" customFormat="1" ht="16" customHeight="1">
      <c r="A729" s="7"/>
      <c r="B729" s="10"/>
      <c r="C729" s="12"/>
      <c r="D729" s="896"/>
      <c r="E729" s="896"/>
      <c r="F729" s="896"/>
      <c r="G729" s="896"/>
      <c r="H729" s="896"/>
      <c r="I729" s="896"/>
      <c r="J729" s="896"/>
      <c r="K729" s="896"/>
      <c r="L729" s="897"/>
      <c r="M729" s="896"/>
      <c r="N729" s="889"/>
      <c r="O729" s="889"/>
      <c r="P729" s="889"/>
      <c r="Q729" s="896"/>
      <c r="R729" s="896"/>
      <c r="S729" s="896"/>
      <c r="T729" s="898"/>
      <c r="U729" s="898"/>
      <c r="V729" s="899"/>
      <c r="W729" s="899"/>
      <c r="X729" s="899"/>
      <c r="Y729" s="899"/>
      <c r="Z729" s="899"/>
      <c r="AA729" s="899"/>
      <c r="AB729" s="899"/>
      <c r="AC729" s="899"/>
      <c r="AD729" s="899"/>
      <c r="AE729" s="899"/>
      <c r="AF729" s="899"/>
      <c r="AG729" s="899"/>
    </row>
    <row r="730" spans="1:34" s="3" customFormat="1" ht="16" customHeight="1">
      <c r="A730" s="7"/>
      <c r="B730" s="10"/>
      <c r="C730" s="12"/>
      <c r="D730" s="896"/>
      <c r="E730" s="896"/>
      <c r="F730" s="896"/>
      <c r="G730" s="896"/>
      <c r="H730" s="896"/>
      <c r="I730" s="896"/>
      <c r="J730" s="896"/>
      <c r="K730" s="896"/>
      <c r="L730" s="897"/>
      <c r="M730" s="896"/>
      <c r="N730" s="889"/>
      <c r="O730" s="889"/>
      <c r="P730" s="889"/>
      <c r="Q730" s="896"/>
      <c r="R730" s="896"/>
      <c r="S730" s="896"/>
      <c r="T730" s="898"/>
      <c r="U730" s="898"/>
      <c r="V730" s="899"/>
      <c r="W730" s="899"/>
      <c r="X730" s="899"/>
      <c r="Y730" s="899"/>
      <c r="Z730" s="899"/>
      <c r="AA730" s="899"/>
      <c r="AB730" s="899"/>
      <c r="AC730" s="899"/>
      <c r="AD730" s="899"/>
      <c r="AE730" s="899"/>
      <c r="AF730" s="899"/>
      <c r="AG730" s="899"/>
    </row>
    <row r="731" spans="1:34" s="3" customFormat="1" ht="16" customHeight="1">
      <c r="A731" s="7"/>
      <c r="B731" s="10"/>
      <c r="C731" s="12"/>
      <c r="D731" s="896"/>
      <c r="E731" s="896"/>
      <c r="F731" s="896"/>
      <c r="G731" s="896"/>
      <c r="H731" s="896"/>
      <c r="I731" s="896"/>
      <c r="J731" s="896"/>
      <c r="K731" s="896"/>
      <c r="L731" s="897"/>
      <c r="M731" s="896"/>
      <c r="N731" s="889"/>
      <c r="O731" s="889"/>
      <c r="P731" s="889"/>
      <c r="Q731" s="896"/>
      <c r="R731" s="896"/>
      <c r="S731" s="896"/>
      <c r="T731" s="898"/>
      <c r="U731" s="898"/>
      <c r="V731" s="899"/>
      <c r="W731" s="899"/>
      <c r="X731" s="899"/>
      <c r="Y731" s="899"/>
      <c r="Z731" s="899"/>
      <c r="AA731" s="899"/>
      <c r="AB731" s="899"/>
      <c r="AC731" s="899"/>
      <c r="AD731" s="899"/>
      <c r="AE731" s="899"/>
      <c r="AF731" s="899"/>
      <c r="AG731" s="899"/>
    </row>
    <row r="732" spans="1:34" s="3" customFormat="1" ht="16" customHeight="1">
      <c r="A732" s="44"/>
      <c r="B732" s="41"/>
      <c r="C732" s="41"/>
      <c r="D732" s="42"/>
      <c r="E732" s="42"/>
      <c r="F732" s="43"/>
      <c r="G732" s="42"/>
      <c r="H732" s="43"/>
      <c r="I732" s="43"/>
      <c r="J732" s="42"/>
      <c r="K732" s="42"/>
      <c r="L732" s="290"/>
      <c r="M732" s="43"/>
      <c r="N732" s="43"/>
      <c r="O732" s="42"/>
      <c r="P732" s="43"/>
      <c r="Q732" s="43"/>
      <c r="R732" s="42"/>
      <c r="S732" s="43"/>
      <c r="T732" s="42"/>
      <c r="U732" s="42"/>
      <c r="V732" s="44"/>
      <c r="W732" s="44"/>
      <c r="X732" s="44"/>
      <c r="Y732" s="44"/>
      <c r="Z732" s="44"/>
      <c r="AA732" s="44"/>
      <c r="AB732" s="44"/>
      <c r="AC732" s="44"/>
      <c r="AD732" s="44"/>
      <c r="AE732" s="44"/>
      <c r="AF732" s="44"/>
      <c r="AG732" s="44"/>
    </row>
    <row r="733" spans="1:34" s="3" customFormat="1" ht="16" customHeight="1" thickBot="1">
      <c r="A733" s="7"/>
      <c r="B733" s="19" t="str">
        <f>"FA5 = "&amp;'FIG3'!$W$56&amp;" "&amp;'FIG3'!$X$56</f>
        <v>FA5 = FA5L1 FA5L2</v>
      </c>
      <c r="C733" s="7"/>
      <c r="D733" s="8"/>
      <c r="E733" s="8"/>
      <c r="F733" s="9"/>
      <c r="G733" s="8"/>
      <c r="H733" s="9"/>
      <c r="I733" s="9"/>
      <c r="J733" s="8"/>
      <c r="K733" s="8"/>
      <c r="L733" s="280"/>
      <c r="M733" s="9"/>
      <c r="N733" s="9"/>
      <c r="O733" s="8"/>
      <c r="P733" s="9"/>
      <c r="Q733" s="9"/>
      <c r="R733" s="8"/>
      <c r="S733" s="882"/>
      <c r="T733" s="883" t="str">
        <f>'$REV-DB'!$T$34</f>
        <v>Federal Revenues</v>
      </c>
      <c r="U733" s="883" t="str">
        <f>'$REV-DB'!$U$34</f>
        <v>local Revenues</v>
      </c>
      <c r="V733" s="883" t="str">
        <f>'$REV-DB'!$V$34</f>
        <v>Other Revenues</v>
      </c>
      <c r="W733" s="883" t="str">
        <f>'$REV-DB'!$W$34</f>
        <v>State revenues</v>
      </c>
      <c r="X733" s="883" t="str">
        <f>'$REV-DB'!$X$34</f>
        <v>UD5</v>
      </c>
      <c r="Y733" s="883" t="str">
        <f>'$REV-DB'!$Y$34</f>
        <v>UD6</v>
      </c>
      <c r="Z733" s="883" t="str">
        <f>'$REV-DB'!$Z$34</f>
        <v>UD7</v>
      </c>
      <c r="AA733" s="883" t="str">
        <f>'$REV-DB'!$AA$34</f>
        <v>UD8</v>
      </c>
      <c r="AB733" s="883" t="str">
        <f>'$REV-DB'!$AB$34</f>
        <v>UD9</v>
      </c>
      <c r="AC733" s="883" t="str">
        <f>'$REV-DB'!$AC$34</f>
        <v>UD10</v>
      </c>
      <c r="AD733" s="883" t="str">
        <f>'$REV-DB'!$AD$34</f>
        <v>UD11</v>
      </c>
      <c r="AE733" s="883" t="str">
        <f>'$REV-DB'!$AE$34</f>
        <v>UD12</v>
      </c>
      <c r="AF733" s="883" t="str">
        <f>'$REV-DB'!$AF$34</f>
        <v>UD13</v>
      </c>
      <c r="AG733" s="883" t="str">
        <f>'$REV-DB'!$AG$34</f>
        <v>UD14</v>
      </c>
    </row>
    <row r="734" spans="1:34" s="3" customFormat="1" ht="16" customHeight="1" thickTop="1" thickBot="1">
      <c r="A734" s="7"/>
      <c r="B734" s="20" t="s">
        <v>1399</v>
      </c>
      <c r="C734" s="15"/>
      <c r="D734" s="877" t="s">
        <v>1386</v>
      </c>
      <c r="E734" s="877" t="s">
        <v>1387</v>
      </c>
      <c r="F734" s="877" t="s">
        <v>1388</v>
      </c>
      <c r="G734" s="877" t="s">
        <v>1389</v>
      </c>
      <c r="H734" s="877" t="s">
        <v>1406</v>
      </c>
      <c r="I734" s="877" t="s">
        <v>1390</v>
      </c>
      <c r="J734" s="877" t="s">
        <v>1391</v>
      </c>
      <c r="K734" s="877" t="s">
        <v>1392</v>
      </c>
      <c r="L734" s="877" t="s">
        <v>1188</v>
      </c>
      <c r="M734" s="877" t="s">
        <v>1437</v>
      </c>
      <c r="N734" s="877" t="s">
        <v>1348</v>
      </c>
      <c r="O734" s="877" t="s">
        <v>1393</v>
      </c>
      <c r="P734" s="877" t="s">
        <v>1342</v>
      </c>
      <c r="Q734" s="877" t="s">
        <v>1394</v>
      </c>
      <c r="R734" s="112" t="s">
        <v>1341</v>
      </c>
      <c r="S734" s="112" t="s">
        <v>846</v>
      </c>
      <c r="T734" s="877" t="s">
        <v>935</v>
      </c>
      <c r="U734" s="877" t="s">
        <v>936</v>
      </c>
      <c r="V734" s="877" t="s">
        <v>937</v>
      </c>
      <c r="W734" s="877" t="s">
        <v>938</v>
      </c>
      <c r="X734" s="877" t="s">
        <v>939</v>
      </c>
      <c r="Y734" s="877" t="s">
        <v>940</v>
      </c>
      <c r="Z734" s="877" t="s">
        <v>941</v>
      </c>
      <c r="AA734" s="877" t="s">
        <v>942</v>
      </c>
      <c r="AB734" s="877" t="s">
        <v>943</v>
      </c>
      <c r="AC734" s="877" t="s">
        <v>944</v>
      </c>
      <c r="AD734" s="877" t="s">
        <v>945</v>
      </c>
      <c r="AE734" s="877" t="s">
        <v>946</v>
      </c>
      <c r="AF734" s="877" t="s">
        <v>947</v>
      </c>
      <c r="AG734" s="877" t="s">
        <v>948</v>
      </c>
      <c r="AH734" s="6"/>
    </row>
    <row r="735" spans="1:34" s="3" customFormat="1" ht="16" customHeight="1" thickTop="1">
      <c r="A735" s="7"/>
      <c r="B735" s="19" t="s">
        <v>1344</v>
      </c>
      <c r="C735" s="12"/>
      <c r="D735" s="203"/>
      <c r="E735" s="203"/>
      <c r="F735" s="202"/>
      <c r="G735" s="203"/>
      <c r="H735" s="202"/>
      <c r="I735" s="202"/>
      <c r="J735" s="203"/>
      <c r="K735" s="203"/>
      <c r="L735" s="291" t="s">
        <v>1429</v>
      </c>
      <c r="M735" s="202"/>
      <c r="N735" s="45" t="str">
        <f>J$6</f>
        <v>FY2010-11</v>
      </c>
      <c r="O735" s="45" t="s">
        <v>1356</v>
      </c>
      <c r="P735" s="45" t="s">
        <v>1338</v>
      </c>
      <c r="Q735" s="45" t="s">
        <v>1339</v>
      </c>
      <c r="R735" s="203"/>
      <c r="S735" s="202"/>
      <c r="T735" s="203"/>
      <c r="U735" s="203"/>
      <c r="V735" s="204"/>
      <c r="W735" s="204"/>
      <c r="X735" s="204"/>
      <c r="Y735" s="204"/>
      <c r="Z735" s="204"/>
      <c r="AA735" s="204"/>
      <c r="AB735" s="204"/>
      <c r="AC735" s="204"/>
      <c r="AD735" s="204"/>
      <c r="AE735" s="204"/>
      <c r="AF735" s="204"/>
      <c r="AG735" s="204"/>
      <c r="AH735" s="6"/>
    </row>
    <row r="736" spans="1:34" s="3" customFormat="1" ht="16" customHeight="1">
      <c r="A736" s="7"/>
      <c r="B736" s="16">
        <f>DSUM('$REV-DB'!D35:AG374,"AMOUNT",D734:AG736)</f>
        <v>0</v>
      </c>
      <c r="C736" s="12"/>
      <c r="D736" s="203"/>
      <c r="E736" s="203"/>
      <c r="F736" s="202"/>
      <c r="G736" s="203"/>
      <c r="H736" s="202"/>
      <c r="I736" s="202"/>
      <c r="J736" s="203"/>
      <c r="K736" s="203"/>
      <c r="L736" s="291" t="s">
        <v>1429</v>
      </c>
      <c r="M736" s="202"/>
      <c r="N736" s="45" t="str">
        <f>J$6</f>
        <v>FY2010-11</v>
      </c>
      <c r="O736" s="45" t="s">
        <v>1356</v>
      </c>
      <c r="P736" s="45" t="s">
        <v>1347</v>
      </c>
      <c r="Q736" s="45" t="s">
        <v>1339</v>
      </c>
      <c r="R736" s="203"/>
      <c r="S736" s="202" t="s">
        <v>1303</v>
      </c>
      <c r="T736" s="203"/>
      <c r="U736" s="203"/>
      <c r="V736" s="204"/>
      <c r="W736" s="204"/>
      <c r="X736" s="204"/>
      <c r="Y736" s="204"/>
      <c r="Z736" s="204"/>
      <c r="AA736" s="204"/>
      <c r="AB736" s="204"/>
      <c r="AC736" s="204"/>
      <c r="AD736" s="204"/>
      <c r="AE736" s="204"/>
      <c r="AF736" s="204"/>
      <c r="AG736" s="204"/>
      <c r="AH736" s="6"/>
    </row>
    <row r="737" spans="1:34" s="3" customFormat="1" ht="16" customHeight="1">
      <c r="A737" s="7"/>
      <c r="B737" s="10"/>
      <c r="C737" s="12"/>
      <c r="D737" s="896"/>
      <c r="E737" s="896"/>
      <c r="F737" s="896"/>
      <c r="G737" s="896"/>
      <c r="H737" s="896"/>
      <c r="I737" s="896"/>
      <c r="J737" s="896"/>
      <c r="K737" s="896"/>
      <c r="L737" s="897"/>
      <c r="M737" s="896"/>
      <c r="N737" s="889"/>
      <c r="O737" s="889"/>
      <c r="P737" s="889"/>
      <c r="Q737" s="896"/>
      <c r="R737" s="896"/>
      <c r="S737" s="896"/>
      <c r="T737" s="898"/>
      <c r="U737" s="898"/>
      <c r="V737" s="899"/>
      <c r="W737" s="899"/>
      <c r="X737" s="899"/>
      <c r="Y737" s="899"/>
      <c r="Z737" s="899"/>
      <c r="AA737" s="899"/>
      <c r="AB737" s="899"/>
      <c r="AC737" s="899"/>
      <c r="AD737" s="899"/>
      <c r="AE737" s="899"/>
      <c r="AF737" s="899"/>
      <c r="AG737" s="899"/>
    </row>
    <row r="738" spans="1:34" s="3" customFormat="1" ht="16" customHeight="1">
      <c r="A738" s="7"/>
      <c r="B738" s="10"/>
      <c r="C738" s="12"/>
      <c r="D738" s="896"/>
      <c r="E738" s="896"/>
      <c r="F738" s="896"/>
      <c r="G738" s="896"/>
      <c r="H738" s="896"/>
      <c r="I738" s="896"/>
      <c r="J738" s="896"/>
      <c r="K738" s="896"/>
      <c r="L738" s="897"/>
      <c r="M738" s="896"/>
      <c r="N738" s="889"/>
      <c r="O738" s="889"/>
      <c r="P738" s="889"/>
      <c r="Q738" s="896"/>
      <c r="R738" s="896"/>
      <c r="S738" s="896"/>
      <c r="T738" s="898"/>
      <c r="U738" s="898"/>
      <c r="V738" s="899"/>
      <c r="W738" s="899"/>
      <c r="X738" s="899"/>
      <c r="Y738" s="899"/>
      <c r="Z738" s="899"/>
      <c r="AA738" s="899"/>
      <c r="AB738" s="899"/>
      <c r="AC738" s="899"/>
      <c r="AD738" s="899"/>
      <c r="AE738" s="899"/>
      <c r="AF738" s="899"/>
      <c r="AG738" s="899"/>
    </row>
    <row r="739" spans="1:34" s="3" customFormat="1" ht="16" customHeight="1">
      <c r="A739" s="7"/>
      <c r="B739" s="10"/>
      <c r="C739" s="12"/>
      <c r="D739" s="896"/>
      <c r="E739" s="896"/>
      <c r="F739" s="896"/>
      <c r="G739" s="896"/>
      <c r="H739" s="896"/>
      <c r="I739" s="896"/>
      <c r="J739" s="896"/>
      <c r="K739" s="896"/>
      <c r="L739" s="897"/>
      <c r="M739" s="896"/>
      <c r="N739" s="889"/>
      <c r="O739" s="889"/>
      <c r="P739" s="889"/>
      <c r="Q739" s="896"/>
      <c r="R739" s="896"/>
      <c r="S739" s="896"/>
      <c r="T739" s="898"/>
      <c r="U739" s="898"/>
      <c r="V739" s="899"/>
      <c r="W739" s="899"/>
      <c r="X739" s="899"/>
      <c r="Y739" s="899"/>
      <c r="Z739" s="899"/>
      <c r="AA739" s="899"/>
      <c r="AB739" s="899"/>
      <c r="AC739" s="899"/>
      <c r="AD739" s="899"/>
      <c r="AE739" s="899"/>
      <c r="AF739" s="899"/>
      <c r="AG739" s="899"/>
    </row>
    <row r="740" spans="1:34" s="3" customFormat="1" ht="16" customHeight="1">
      <c r="A740" s="7"/>
      <c r="B740" s="10"/>
      <c r="C740" s="12"/>
      <c r="D740" s="896"/>
      <c r="E740" s="896"/>
      <c r="F740" s="896"/>
      <c r="G740" s="896"/>
      <c r="H740" s="896"/>
      <c r="I740" s="896"/>
      <c r="J740" s="896"/>
      <c r="K740" s="896"/>
      <c r="L740" s="897"/>
      <c r="M740" s="896"/>
      <c r="N740" s="889"/>
      <c r="O740" s="889"/>
      <c r="P740" s="889"/>
      <c r="Q740" s="896"/>
      <c r="R740" s="896"/>
      <c r="S740" s="896"/>
      <c r="T740" s="898"/>
      <c r="U740" s="898"/>
      <c r="V740" s="899"/>
      <c r="W740" s="899"/>
      <c r="X740" s="899"/>
      <c r="Y740" s="899"/>
      <c r="Z740" s="899"/>
      <c r="AA740" s="899"/>
      <c r="AB740" s="899"/>
      <c r="AC740" s="899"/>
      <c r="AD740" s="899"/>
      <c r="AE740" s="899"/>
      <c r="AF740" s="899"/>
      <c r="AG740" s="899"/>
    </row>
    <row r="741" spans="1:34" s="3" customFormat="1" ht="16" customHeight="1">
      <c r="A741" s="7"/>
      <c r="B741" s="10"/>
      <c r="C741" s="12"/>
      <c r="D741" s="896"/>
      <c r="E741" s="896"/>
      <c r="F741" s="896"/>
      <c r="G741" s="896"/>
      <c r="H741" s="896"/>
      <c r="I741" s="896"/>
      <c r="J741" s="896"/>
      <c r="K741" s="896"/>
      <c r="L741" s="897"/>
      <c r="M741" s="896"/>
      <c r="N741" s="889"/>
      <c r="O741" s="889"/>
      <c r="P741" s="889"/>
      <c r="Q741" s="896"/>
      <c r="R741" s="896"/>
      <c r="S741" s="896"/>
      <c r="T741" s="898"/>
      <c r="U741" s="898"/>
      <c r="V741" s="899"/>
      <c r="W741" s="899"/>
      <c r="X741" s="899"/>
      <c r="Y741" s="899"/>
      <c r="Z741" s="899"/>
      <c r="AA741" s="899"/>
      <c r="AB741" s="899"/>
      <c r="AC741" s="899"/>
      <c r="AD741" s="899"/>
      <c r="AE741" s="899"/>
      <c r="AF741" s="899"/>
      <c r="AG741" s="899"/>
    </row>
    <row r="742" spans="1:34" s="3" customFormat="1" ht="16" customHeight="1">
      <c r="A742" s="44"/>
      <c r="B742" s="41"/>
      <c r="C742" s="41"/>
      <c r="D742" s="42"/>
      <c r="E742" s="42"/>
      <c r="F742" s="43"/>
      <c r="G742" s="42"/>
      <c r="H742" s="43"/>
      <c r="I742" s="43"/>
      <c r="J742" s="42"/>
      <c r="K742" s="42"/>
      <c r="L742" s="290"/>
      <c r="M742" s="43"/>
      <c r="N742" s="43"/>
      <c r="O742" s="42"/>
      <c r="P742" s="43"/>
      <c r="Q742" s="43"/>
      <c r="R742" s="42"/>
      <c r="S742" s="43"/>
      <c r="T742" s="42"/>
      <c r="U742" s="42"/>
      <c r="V742" s="44"/>
      <c r="W742" s="44"/>
      <c r="X742" s="44"/>
      <c r="Y742" s="44"/>
      <c r="Z742" s="44"/>
      <c r="AA742" s="44"/>
      <c r="AB742" s="44"/>
      <c r="AC742" s="44"/>
      <c r="AD742" s="44"/>
      <c r="AE742" s="44"/>
      <c r="AF742" s="44"/>
      <c r="AG742" s="44"/>
    </row>
    <row r="743" spans="1:34" s="3" customFormat="1" ht="16" customHeight="1" thickBot="1">
      <c r="A743" s="7"/>
      <c r="B743" s="19" t="str">
        <f>"FA5 = "&amp;'FIG3'!$W$56&amp;" "&amp;'FIG3'!$X$56</f>
        <v>FA5 = FA5L1 FA5L2</v>
      </c>
      <c r="C743" s="7"/>
      <c r="D743" s="8"/>
      <c r="E743" s="8"/>
      <c r="F743" s="9"/>
      <c r="G743" s="8"/>
      <c r="H743" s="9"/>
      <c r="I743" s="9"/>
      <c r="J743" s="8"/>
      <c r="K743" s="8"/>
      <c r="L743" s="280"/>
      <c r="M743" s="9"/>
      <c r="N743" s="9"/>
      <c r="O743" s="8"/>
      <c r="P743" s="9"/>
      <c r="Q743" s="9"/>
      <c r="R743" s="8"/>
      <c r="S743" s="882"/>
      <c r="T743" s="883" t="str">
        <f>'$REV-DB'!$T$34</f>
        <v>Federal Revenues</v>
      </c>
      <c r="U743" s="883" t="str">
        <f>'$REV-DB'!$U$34</f>
        <v>local Revenues</v>
      </c>
      <c r="V743" s="883" t="str">
        <f>'$REV-DB'!$V$34</f>
        <v>Other Revenues</v>
      </c>
      <c r="W743" s="883" t="str">
        <f>'$REV-DB'!$W$34</f>
        <v>State revenues</v>
      </c>
      <c r="X743" s="883" t="str">
        <f>'$REV-DB'!$X$34</f>
        <v>UD5</v>
      </c>
      <c r="Y743" s="883" t="str">
        <f>'$REV-DB'!$Y$34</f>
        <v>UD6</v>
      </c>
      <c r="Z743" s="883" t="str">
        <f>'$REV-DB'!$Z$34</f>
        <v>UD7</v>
      </c>
      <c r="AA743" s="883" t="str">
        <f>'$REV-DB'!$AA$34</f>
        <v>UD8</v>
      </c>
      <c r="AB743" s="883" t="str">
        <f>'$REV-DB'!$AB$34</f>
        <v>UD9</v>
      </c>
      <c r="AC743" s="883" t="str">
        <f>'$REV-DB'!$AC$34</f>
        <v>UD10</v>
      </c>
      <c r="AD743" s="883" t="str">
        <f>'$REV-DB'!$AD$34</f>
        <v>UD11</v>
      </c>
      <c r="AE743" s="883" t="str">
        <f>'$REV-DB'!$AE$34</f>
        <v>UD12</v>
      </c>
      <c r="AF743" s="883" t="str">
        <f>'$REV-DB'!$AF$34</f>
        <v>UD13</v>
      </c>
      <c r="AG743" s="883" t="str">
        <f>'$REV-DB'!$AG$34</f>
        <v>UD14</v>
      </c>
    </row>
    <row r="744" spans="1:34" s="3" customFormat="1" ht="16" customHeight="1" thickTop="1" thickBot="1">
      <c r="A744" s="7"/>
      <c r="B744" s="20" t="s">
        <v>1399</v>
      </c>
      <c r="C744" s="15"/>
      <c r="D744" s="877" t="s">
        <v>1386</v>
      </c>
      <c r="E744" s="877" t="s">
        <v>1387</v>
      </c>
      <c r="F744" s="877" t="s">
        <v>1388</v>
      </c>
      <c r="G744" s="877" t="s">
        <v>1389</v>
      </c>
      <c r="H744" s="877" t="s">
        <v>1406</v>
      </c>
      <c r="I744" s="877" t="s">
        <v>1390</v>
      </c>
      <c r="J744" s="877" t="s">
        <v>1391</v>
      </c>
      <c r="K744" s="877" t="s">
        <v>1392</v>
      </c>
      <c r="L744" s="877" t="s">
        <v>1188</v>
      </c>
      <c r="M744" s="877" t="s">
        <v>1437</v>
      </c>
      <c r="N744" s="877" t="s">
        <v>1348</v>
      </c>
      <c r="O744" s="877" t="s">
        <v>1393</v>
      </c>
      <c r="P744" s="877" t="s">
        <v>1342</v>
      </c>
      <c r="Q744" s="877" t="s">
        <v>1394</v>
      </c>
      <c r="R744" s="112" t="s">
        <v>1341</v>
      </c>
      <c r="S744" s="112" t="s">
        <v>846</v>
      </c>
      <c r="T744" s="877" t="s">
        <v>935</v>
      </c>
      <c r="U744" s="877" t="s">
        <v>936</v>
      </c>
      <c r="V744" s="877" t="s">
        <v>937</v>
      </c>
      <c r="W744" s="877" t="s">
        <v>938</v>
      </c>
      <c r="X744" s="877" t="s">
        <v>939</v>
      </c>
      <c r="Y744" s="877" t="s">
        <v>940</v>
      </c>
      <c r="Z744" s="877" t="s">
        <v>941</v>
      </c>
      <c r="AA744" s="877" t="s">
        <v>942</v>
      </c>
      <c r="AB744" s="877" t="s">
        <v>943</v>
      </c>
      <c r="AC744" s="877" t="s">
        <v>944</v>
      </c>
      <c r="AD744" s="877" t="s">
        <v>945</v>
      </c>
      <c r="AE744" s="877" t="s">
        <v>946</v>
      </c>
      <c r="AF744" s="877" t="s">
        <v>947</v>
      </c>
      <c r="AG744" s="877" t="s">
        <v>948</v>
      </c>
      <c r="AH744" s="6"/>
    </row>
    <row r="745" spans="1:34" s="3" customFormat="1" ht="16" customHeight="1" thickTop="1">
      <c r="A745" s="7"/>
      <c r="B745" s="19" t="s">
        <v>1343</v>
      </c>
      <c r="C745" s="12"/>
      <c r="D745" s="203"/>
      <c r="E745" s="203"/>
      <c r="F745" s="202"/>
      <c r="G745" s="203"/>
      <c r="H745" s="202"/>
      <c r="I745" s="202"/>
      <c r="J745" s="203"/>
      <c r="K745" s="203"/>
      <c r="L745" s="291" t="s">
        <v>1429</v>
      </c>
      <c r="M745" s="202"/>
      <c r="N745" s="45" t="str">
        <f>J$6</f>
        <v>FY2010-11</v>
      </c>
      <c r="O745" s="45" t="s">
        <v>1356</v>
      </c>
      <c r="P745" s="45" t="s">
        <v>1338</v>
      </c>
      <c r="Q745" s="45" t="s">
        <v>1379</v>
      </c>
      <c r="R745" s="203"/>
      <c r="S745" s="202"/>
      <c r="T745" s="203"/>
      <c r="U745" s="203"/>
      <c r="V745" s="204"/>
      <c r="W745" s="204"/>
      <c r="X745" s="204"/>
      <c r="Y745" s="204"/>
      <c r="Z745" s="204"/>
      <c r="AA745" s="204"/>
      <c r="AB745" s="204"/>
      <c r="AC745" s="204"/>
      <c r="AD745" s="204"/>
      <c r="AE745" s="204"/>
      <c r="AF745" s="204"/>
      <c r="AG745" s="204"/>
      <c r="AH745" s="6"/>
    </row>
    <row r="746" spans="1:34" s="3" customFormat="1" ht="16" customHeight="1">
      <c r="A746" s="7"/>
      <c r="B746" s="16">
        <f>DSUM('$REV-DB'!D35:AG374,"AMOUNT",D744:AG746)</f>
        <v>0</v>
      </c>
      <c r="C746" s="12"/>
      <c r="D746" s="203"/>
      <c r="E746" s="203"/>
      <c r="F746" s="202"/>
      <c r="G746" s="203"/>
      <c r="H746" s="202"/>
      <c r="I746" s="202"/>
      <c r="J746" s="203"/>
      <c r="K746" s="203"/>
      <c r="L746" s="291" t="s">
        <v>1429</v>
      </c>
      <c r="M746" s="202"/>
      <c r="N746" s="45" t="str">
        <f>J$6</f>
        <v>FY2010-11</v>
      </c>
      <c r="O746" s="45" t="s">
        <v>1356</v>
      </c>
      <c r="P746" s="45" t="s">
        <v>1347</v>
      </c>
      <c r="Q746" s="45" t="s">
        <v>1379</v>
      </c>
      <c r="R746" s="203"/>
      <c r="S746" s="202" t="s">
        <v>1303</v>
      </c>
      <c r="T746" s="203"/>
      <c r="U746" s="203"/>
      <c r="V746" s="204"/>
      <c r="W746" s="204"/>
      <c r="X746" s="204"/>
      <c r="Y746" s="204"/>
      <c r="Z746" s="204"/>
      <c r="AA746" s="204"/>
      <c r="AB746" s="204"/>
      <c r="AC746" s="204"/>
      <c r="AD746" s="204"/>
      <c r="AE746" s="204"/>
      <c r="AF746" s="204"/>
      <c r="AG746" s="204"/>
      <c r="AH746" s="6"/>
    </row>
    <row r="747" spans="1:34" s="3" customFormat="1" ht="16" customHeight="1">
      <c r="A747" s="7"/>
      <c r="B747" s="10"/>
      <c r="C747" s="12"/>
      <c r="D747" s="896"/>
      <c r="E747" s="896"/>
      <c r="F747" s="896"/>
      <c r="G747" s="896"/>
      <c r="H747" s="896"/>
      <c r="I747" s="896"/>
      <c r="J747" s="896"/>
      <c r="K747" s="896"/>
      <c r="L747" s="897"/>
      <c r="M747" s="896"/>
      <c r="N747" s="889"/>
      <c r="O747" s="889"/>
      <c r="P747" s="889"/>
      <c r="Q747" s="896"/>
      <c r="R747" s="896"/>
      <c r="S747" s="896"/>
      <c r="T747" s="898"/>
      <c r="U747" s="898"/>
      <c r="V747" s="899"/>
      <c r="W747" s="899"/>
      <c r="X747" s="899"/>
      <c r="Y747" s="899"/>
      <c r="Z747" s="899"/>
      <c r="AA747" s="899"/>
      <c r="AB747" s="899"/>
      <c r="AC747" s="899"/>
      <c r="AD747" s="899"/>
      <c r="AE747" s="899"/>
      <c r="AF747" s="899"/>
      <c r="AG747" s="899"/>
    </row>
    <row r="748" spans="1:34" s="3" customFormat="1" ht="16" customHeight="1">
      <c r="A748" s="7"/>
      <c r="B748" s="10"/>
      <c r="C748" s="12"/>
      <c r="D748" s="896"/>
      <c r="E748" s="896"/>
      <c r="F748" s="896"/>
      <c r="G748" s="896"/>
      <c r="H748" s="896"/>
      <c r="I748" s="896"/>
      <c r="J748" s="896"/>
      <c r="K748" s="896"/>
      <c r="L748" s="897"/>
      <c r="M748" s="896"/>
      <c r="N748" s="889"/>
      <c r="O748" s="889"/>
      <c r="P748" s="889"/>
      <c r="Q748" s="896"/>
      <c r="R748" s="896"/>
      <c r="S748" s="896"/>
      <c r="T748" s="898"/>
      <c r="U748" s="898"/>
      <c r="V748" s="899"/>
      <c r="W748" s="899"/>
      <c r="X748" s="899"/>
      <c r="Y748" s="899"/>
      <c r="Z748" s="899"/>
      <c r="AA748" s="899"/>
      <c r="AB748" s="899"/>
      <c r="AC748" s="899"/>
      <c r="AD748" s="899"/>
      <c r="AE748" s="899"/>
      <c r="AF748" s="899"/>
      <c r="AG748" s="899"/>
    </row>
    <row r="749" spans="1:34" s="3" customFormat="1" ht="16" customHeight="1">
      <c r="A749" s="7"/>
      <c r="B749" s="10"/>
      <c r="C749" s="12"/>
      <c r="D749" s="896"/>
      <c r="E749" s="896"/>
      <c r="F749" s="896"/>
      <c r="G749" s="896"/>
      <c r="H749" s="896"/>
      <c r="I749" s="896"/>
      <c r="J749" s="896"/>
      <c r="K749" s="896"/>
      <c r="L749" s="897"/>
      <c r="M749" s="896"/>
      <c r="N749" s="889"/>
      <c r="O749" s="889"/>
      <c r="P749" s="889"/>
      <c r="Q749" s="896"/>
      <c r="R749" s="896"/>
      <c r="S749" s="896"/>
      <c r="T749" s="898"/>
      <c r="U749" s="898"/>
      <c r="V749" s="899"/>
      <c r="W749" s="899"/>
      <c r="X749" s="899"/>
      <c r="Y749" s="899"/>
      <c r="Z749" s="899"/>
      <c r="AA749" s="899"/>
      <c r="AB749" s="899"/>
      <c r="AC749" s="899"/>
      <c r="AD749" s="899"/>
      <c r="AE749" s="899"/>
      <c r="AF749" s="899"/>
      <c r="AG749" s="899"/>
    </row>
    <row r="750" spans="1:34" s="3" customFormat="1" ht="16" customHeight="1">
      <c r="A750" s="7"/>
      <c r="B750" s="10"/>
      <c r="C750" s="12"/>
      <c r="D750" s="896"/>
      <c r="E750" s="896"/>
      <c r="F750" s="896"/>
      <c r="G750" s="896"/>
      <c r="H750" s="896"/>
      <c r="I750" s="896"/>
      <c r="J750" s="896"/>
      <c r="K750" s="896"/>
      <c r="L750" s="897"/>
      <c r="M750" s="896"/>
      <c r="N750" s="889"/>
      <c r="O750" s="889"/>
      <c r="P750" s="889"/>
      <c r="Q750" s="896"/>
      <c r="R750" s="896"/>
      <c r="S750" s="896"/>
      <c r="T750" s="898"/>
      <c r="U750" s="898"/>
      <c r="V750" s="899"/>
      <c r="W750" s="899"/>
      <c r="X750" s="899"/>
      <c r="Y750" s="899"/>
      <c r="Z750" s="899"/>
      <c r="AA750" s="899"/>
      <c r="AB750" s="899"/>
      <c r="AC750" s="899"/>
      <c r="AD750" s="899"/>
      <c r="AE750" s="899"/>
      <c r="AF750" s="899"/>
      <c r="AG750" s="899"/>
    </row>
    <row r="751" spans="1:34" s="3" customFormat="1" ht="16" customHeight="1">
      <c r="A751" s="7"/>
      <c r="B751" s="10"/>
      <c r="C751" s="12"/>
      <c r="D751" s="896"/>
      <c r="E751" s="896"/>
      <c r="F751" s="896"/>
      <c r="G751" s="896"/>
      <c r="H751" s="896"/>
      <c r="I751" s="896"/>
      <c r="J751" s="896"/>
      <c r="K751" s="896"/>
      <c r="L751" s="897"/>
      <c r="M751" s="896"/>
      <c r="N751" s="889"/>
      <c r="O751" s="889"/>
      <c r="P751" s="889"/>
      <c r="Q751" s="896"/>
      <c r="R751" s="896"/>
      <c r="S751" s="896"/>
      <c r="T751" s="898"/>
      <c r="U751" s="898"/>
      <c r="V751" s="899"/>
      <c r="W751" s="899"/>
      <c r="X751" s="899"/>
      <c r="Y751" s="899"/>
      <c r="Z751" s="899"/>
      <c r="AA751" s="899"/>
      <c r="AB751" s="899"/>
      <c r="AC751" s="899"/>
      <c r="AD751" s="899"/>
      <c r="AE751" s="899"/>
      <c r="AF751" s="899"/>
      <c r="AG751" s="899"/>
    </row>
    <row r="752" spans="1:34" s="3" customFormat="1" ht="16" customHeight="1">
      <c r="A752" s="44"/>
      <c r="B752" s="41"/>
      <c r="C752" s="41"/>
      <c r="D752" s="42"/>
      <c r="E752" s="42"/>
      <c r="F752" s="43"/>
      <c r="G752" s="42"/>
      <c r="H752" s="43"/>
      <c r="I752" s="43"/>
      <c r="J752" s="42"/>
      <c r="K752" s="42"/>
      <c r="L752" s="290"/>
      <c r="M752" s="43"/>
      <c r="N752" s="43"/>
      <c r="O752" s="42"/>
      <c r="P752" s="43"/>
      <c r="Q752" s="43"/>
      <c r="R752" s="42"/>
      <c r="S752" s="43"/>
      <c r="T752" s="42"/>
      <c r="U752" s="42"/>
      <c r="V752" s="44"/>
      <c r="W752" s="44"/>
      <c r="X752" s="44"/>
      <c r="Y752" s="44"/>
      <c r="Z752" s="44"/>
      <c r="AA752" s="44"/>
      <c r="AB752" s="44"/>
      <c r="AC752" s="44"/>
      <c r="AD752" s="44"/>
      <c r="AE752" s="44"/>
      <c r="AF752" s="44"/>
      <c r="AG752" s="44"/>
    </row>
    <row r="753" spans="1:34" s="3" customFormat="1" ht="16" customHeight="1" thickBot="1">
      <c r="A753" s="7"/>
      <c r="B753" s="19" t="str">
        <f>"FA5 = "&amp;'FIG3'!$W$56&amp;" "&amp;'FIG3'!$X$56</f>
        <v>FA5 = FA5L1 FA5L2</v>
      </c>
      <c r="C753" s="7"/>
      <c r="D753" s="8"/>
      <c r="E753" s="8"/>
      <c r="F753" s="9"/>
      <c r="G753" s="8"/>
      <c r="H753" s="9"/>
      <c r="I753" s="9"/>
      <c r="J753" s="8"/>
      <c r="K753" s="8"/>
      <c r="L753" s="280"/>
      <c r="M753" s="9"/>
      <c r="N753" s="9"/>
      <c r="O753" s="8"/>
      <c r="P753" s="9"/>
      <c r="Q753" s="9"/>
      <c r="R753" s="8"/>
      <c r="S753" s="882"/>
      <c r="T753" s="883" t="str">
        <f>'$REV-DB'!$T$34</f>
        <v>Federal Revenues</v>
      </c>
      <c r="U753" s="883" t="str">
        <f>'$REV-DB'!$U$34</f>
        <v>local Revenues</v>
      </c>
      <c r="V753" s="883" t="str">
        <f>'$REV-DB'!$V$34</f>
        <v>Other Revenues</v>
      </c>
      <c r="W753" s="883" t="str">
        <f>'$REV-DB'!$W$34</f>
        <v>State revenues</v>
      </c>
      <c r="X753" s="883" t="str">
        <f>'$REV-DB'!$X$34</f>
        <v>UD5</v>
      </c>
      <c r="Y753" s="883" t="str">
        <f>'$REV-DB'!$Y$34</f>
        <v>UD6</v>
      </c>
      <c r="Z753" s="883" t="str">
        <f>'$REV-DB'!$Z$34</f>
        <v>UD7</v>
      </c>
      <c r="AA753" s="883" t="str">
        <f>'$REV-DB'!$AA$34</f>
        <v>UD8</v>
      </c>
      <c r="AB753" s="883" t="str">
        <f>'$REV-DB'!$AB$34</f>
        <v>UD9</v>
      </c>
      <c r="AC753" s="883" t="str">
        <f>'$REV-DB'!$AC$34</f>
        <v>UD10</v>
      </c>
      <c r="AD753" s="883" t="str">
        <f>'$REV-DB'!$AD$34</f>
        <v>UD11</v>
      </c>
      <c r="AE753" s="883" t="str">
        <f>'$REV-DB'!$AE$34</f>
        <v>UD12</v>
      </c>
      <c r="AF753" s="883" t="str">
        <f>'$REV-DB'!$AF$34</f>
        <v>UD13</v>
      </c>
      <c r="AG753" s="883" t="str">
        <f>'$REV-DB'!$AG$34</f>
        <v>UD14</v>
      </c>
    </row>
    <row r="754" spans="1:34" s="3" customFormat="1" ht="16" customHeight="1" thickTop="1" thickBot="1">
      <c r="A754" s="7"/>
      <c r="B754" s="20" t="s">
        <v>1399</v>
      </c>
      <c r="C754" s="15"/>
      <c r="D754" s="877" t="s">
        <v>1386</v>
      </c>
      <c r="E754" s="877" t="s">
        <v>1387</v>
      </c>
      <c r="F754" s="877" t="s">
        <v>1388</v>
      </c>
      <c r="G754" s="877" t="s">
        <v>1389</v>
      </c>
      <c r="H754" s="877" t="s">
        <v>1406</v>
      </c>
      <c r="I754" s="877" t="s">
        <v>1390</v>
      </c>
      <c r="J754" s="877" t="s">
        <v>1391</v>
      </c>
      <c r="K754" s="877" t="s">
        <v>1392</v>
      </c>
      <c r="L754" s="877" t="s">
        <v>1188</v>
      </c>
      <c r="M754" s="877" t="s">
        <v>1437</v>
      </c>
      <c r="N754" s="877" t="s">
        <v>1348</v>
      </c>
      <c r="O754" s="877" t="s">
        <v>1393</v>
      </c>
      <c r="P754" s="877" t="s">
        <v>1342</v>
      </c>
      <c r="Q754" s="877" t="s">
        <v>1394</v>
      </c>
      <c r="R754" s="112" t="s">
        <v>1341</v>
      </c>
      <c r="S754" s="112" t="s">
        <v>846</v>
      </c>
      <c r="T754" s="877" t="s">
        <v>935</v>
      </c>
      <c r="U754" s="877" t="s">
        <v>936</v>
      </c>
      <c r="V754" s="877" t="s">
        <v>937</v>
      </c>
      <c r="W754" s="877" t="s">
        <v>938</v>
      </c>
      <c r="X754" s="877" t="s">
        <v>939</v>
      </c>
      <c r="Y754" s="877" t="s">
        <v>940</v>
      </c>
      <c r="Z754" s="877" t="s">
        <v>941</v>
      </c>
      <c r="AA754" s="877" t="s">
        <v>942</v>
      </c>
      <c r="AB754" s="877" t="s">
        <v>943</v>
      </c>
      <c r="AC754" s="877" t="s">
        <v>944</v>
      </c>
      <c r="AD754" s="877" t="s">
        <v>945</v>
      </c>
      <c r="AE754" s="877" t="s">
        <v>946</v>
      </c>
      <c r="AF754" s="877" t="s">
        <v>947</v>
      </c>
      <c r="AG754" s="877" t="s">
        <v>948</v>
      </c>
      <c r="AH754" s="6"/>
    </row>
    <row r="755" spans="1:34" s="3" customFormat="1" ht="16" customHeight="1" thickTop="1">
      <c r="A755" s="7"/>
      <c r="B755" s="19" t="s">
        <v>1349</v>
      </c>
      <c r="C755" s="12"/>
      <c r="D755" s="203"/>
      <c r="E755" s="203"/>
      <c r="F755" s="202"/>
      <c r="G755" s="203"/>
      <c r="H755" s="202"/>
      <c r="I755" s="202"/>
      <c r="J755" s="203"/>
      <c r="K755" s="203"/>
      <c r="L755" s="291" t="s">
        <v>1429</v>
      </c>
      <c r="M755" s="202"/>
      <c r="N755" s="45" t="str">
        <f>J$6</f>
        <v>FY2010-11</v>
      </c>
      <c r="O755" s="45" t="s">
        <v>1356</v>
      </c>
      <c r="P755" s="45" t="s">
        <v>1338</v>
      </c>
      <c r="Q755" s="45" t="s">
        <v>1397</v>
      </c>
      <c r="R755" s="203"/>
      <c r="S755" s="202"/>
      <c r="T755" s="203"/>
      <c r="U755" s="203"/>
      <c r="V755" s="204"/>
      <c r="W755" s="204"/>
      <c r="X755" s="204"/>
      <c r="Y755" s="204"/>
      <c r="Z755" s="204"/>
      <c r="AA755" s="204"/>
      <c r="AB755" s="204"/>
      <c r="AC755" s="204"/>
      <c r="AD755" s="204"/>
      <c r="AE755" s="204"/>
      <c r="AF755" s="204"/>
      <c r="AG755" s="204"/>
      <c r="AH755" s="6"/>
    </row>
    <row r="756" spans="1:34" s="3" customFormat="1" ht="16" customHeight="1">
      <c r="A756" s="7"/>
      <c r="B756" s="16">
        <f>DSUM('$REV-DB'!D35:AG374,"AMOUNT",D754:AG756)</f>
        <v>0</v>
      </c>
      <c r="C756" s="12"/>
      <c r="D756" s="203"/>
      <c r="E756" s="203"/>
      <c r="F756" s="202"/>
      <c r="G756" s="203"/>
      <c r="H756" s="202"/>
      <c r="I756" s="202"/>
      <c r="J756" s="203"/>
      <c r="K756" s="203"/>
      <c r="L756" s="291" t="s">
        <v>1429</v>
      </c>
      <c r="M756" s="202"/>
      <c r="N756" s="45" t="str">
        <f>J$6</f>
        <v>FY2010-11</v>
      </c>
      <c r="O756" s="45" t="s">
        <v>1356</v>
      </c>
      <c r="P756" s="45" t="s">
        <v>1347</v>
      </c>
      <c r="Q756" s="45" t="s">
        <v>1397</v>
      </c>
      <c r="R756" s="203"/>
      <c r="S756" s="202" t="s">
        <v>1303</v>
      </c>
      <c r="T756" s="203"/>
      <c r="U756" s="203"/>
      <c r="V756" s="204"/>
      <c r="W756" s="204"/>
      <c r="X756" s="204"/>
      <c r="Y756" s="204"/>
      <c r="Z756" s="204"/>
      <c r="AA756" s="204"/>
      <c r="AB756" s="204"/>
      <c r="AC756" s="204"/>
      <c r="AD756" s="204"/>
      <c r="AE756" s="204"/>
      <c r="AF756" s="204"/>
      <c r="AG756" s="204"/>
      <c r="AH756" s="6"/>
    </row>
    <row r="757" spans="1:34" s="3" customFormat="1" ht="16" customHeight="1">
      <c r="A757" s="7"/>
      <c r="B757" s="10"/>
      <c r="C757" s="12"/>
      <c r="D757" s="896"/>
      <c r="E757" s="896"/>
      <c r="F757" s="896"/>
      <c r="G757" s="896"/>
      <c r="H757" s="896"/>
      <c r="I757" s="896"/>
      <c r="J757" s="896"/>
      <c r="K757" s="896"/>
      <c r="L757" s="897"/>
      <c r="M757" s="896"/>
      <c r="N757" s="889"/>
      <c r="O757" s="889"/>
      <c r="P757" s="889"/>
      <c r="Q757" s="896"/>
      <c r="R757" s="896"/>
      <c r="S757" s="896"/>
      <c r="T757" s="898"/>
      <c r="U757" s="898"/>
      <c r="V757" s="899"/>
      <c r="W757" s="899"/>
      <c r="X757" s="899"/>
      <c r="Y757" s="899"/>
      <c r="Z757" s="899"/>
      <c r="AA757" s="899"/>
      <c r="AB757" s="899"/>
      <c r="AC757" s="899"/>
      <c r="AD757" s="899"/>
      <c r="AE757" s="899"/>
      <c r="AF757" s="899"/>
      <c r="AG757" s="899"/>
    </row>
    <row r="758" spans="1:34" s="3" customFormat="1" ht="16" customHeight="1">
      <c r="A758" s="7"/>
      <c r="B758" s="10"/>
      <c r="C758" s="12"/>
      <c r="D758" s="896"/>
      <c r="E758" s="896"/>
      <c r="F758" s="896"/>
      <c r="G758" s="896"/>
      <c r="H758" s="896"/>
      <c r="I758" s="896"/>
      <c r="J758" s="896"/>
      <c r="K758" s="896"/>
      <c r="L758" s="897"/>
      <c r="M758" s="896"/>
      <c r="N758" s="889"/>
      <c r="O758" s="889"/>
      <c r="P758" s="889"/>
      <c r="Q758" s="896"/>
      <c r="R758" s="896"/>
      <c r="S758" s="896"/>
      <c r="T758" s="898"/>
      <c r="U758" s="898"/>
      <c r="V758" s="899"/>
      <c r="W758" s="899"/>
      <c r="X758" s="899"/>
      <c r="Y758" s="899"/>
      <c r="Z758" s="899"/>
      <c r="AA758" s="899"/>
      <c r="AB758" s="899"/>
      <c r="AC758" s="899"/>
      <c r="AD758" s="899"/>
      <c r="AE758" s="899"/>
      <c r="AF758" s="899"/>
      <c r="AG758" s="899"/>
    </row>
    <row r="759" spans="1:34" s="3" customFormat="1" ht="16" customHeight="1">
      <c r="A759" s="7"/>
      <c r="B759" s="10"/>
      <c r="C759" s="12"/>
      <c r="D759" s="896"/>
      <c r="E759" s="896"/>
      <c r="F759" s="896"/>
      <c r="G759" s="896"/>
      <c r="H759" s="896"/>
      <c r="I759" s="896"/>
      <c r="J759" s="896"/>
      <c r="K759" s="896"/>
      <c r="L759" s="897"/>
      <c r="M759" s="896"/>
      <c r="N759" s="889"/>
      <c r="O759" s="889"/>
      <c r="P759" s="889"/>
      <c r="Q759" s="896"/>
      <c r="R759" s="896"/>
      <c r="S759" s="896"/>
      <c r="T759" s="898"/>
      <c r="U759" s="898"/>
      <c r="V759" s="899"/>
      <c r="W759" s="899"/>
      <c r="X759" s="899"/>
      <c r="Y759" s="899"/>
      <c r="Z759" s="899"/>
      <c r="AA759" s="899"/>
      <c r="AB759" s="899"/>
      <c r="AC759" s="899"/>
      <c r="AD759" s="899"/>
      <c r="AE759" s="899"/>
      <c r="AF759" s="899"/>
      <c r="AG759" s="899"/>
    </row>
    <row r="760" spans="1:34" s="3" customFormat="1" ht="16" customHeight="1">
      <c r="A760" s="7"/>
      <c r="B760" s="10"/>
      <c r="C760" s="12"/>
      <c r="D760" s="896"/>
      <c r="E760" s="896"/>
      <c r="F760" s="896"/>
      <c r="G760" s="896"/>
      <c r="H760" s="896"/>
      <c r="I760" s="896"/>
      <c r="J760" s="896"/>
      <c r="K760" s="896"/>
      <c r="L760" s="897"/>
      <c r="M760" s="896"/>
      <c r="N760" s="889"/>
      <c r="O760" s="889"/>
      <c r="P760" s="889"/>
      <c r="Q760" s="896"/>
      <c r="R760" s="896"/>
      <c r="S760" s="896"/>
      <c r="T760" s="898"/>
      <c r="U760" s="898"/>
      <c r="V760" s="899"/>
      <c r="W760" s="899"/>
      <c r="X760" s="899"/>
      <c r="Y760" s="899"/>
      <c r="Z760" s="899"/>
      <c r="AA760" s="899"/>
      <c r="AB760" s="899"/>
      <c r="AC760" s="899"/>
      <c r="AD760" s="899"/>
      <c r="AE760" s="899"/>
      <c r="AF760" s="899"/>
      <c r="AG760" s="899"/>
    </row>
    <row r="761" spans="1:34" s="3" customFormat="1" ht="16" customHeight="1">
      <c r="A761" s="7"/>
      <c r="B761" s="10"/>
      <c r="C761" s="12"/>
      <c r="D761" s="896"/>
      <c r="E761" s="896"/>
      <c r="F761" s="896"/>
      <c r="G761" s="896"/>
      <c r="H761" s="896"/>
      <c r="I761" s="896"/>
      <c r="J761" s="896"/>
      <c r="K761" s="896"/>
      <c r="L761" s="897"/>
      <c r="M761" s="896"/>
      <c r="N761" s="889"/>
      <c r="O761" s="889"/>
      <c r="P761" s="889"/>
      <c r="Q761" s="896"/>
      <c r="R761" s="896"/>
      <c r="S761" s="896"/>
      <c r="T761" s="898"/>
      <c r="U761" s="898"/>
      <c r="V761" s="899"/>
      <c r="W761" s="899"/>
      <c r="X761" s="899"/>
      <c r="Y761" s="899"/>
      <c r="Z761" s="899"/>
      <c r="AA761" s="899"/>
      <c r="AB761" s="899"/>
      <c r="AC761" s="899"/>
      <c r="AD761" s="899"/>
      <c r="AE761" s="899"/>
      <c r="AF761" s="899"/>
      <c r="AG761" s="899"/>
    </row>
    <row r="762" spans="1:34" s="3" customFormat="1" ht="16" customHeight="1">
      <c r="A762" s="44"/>
      <c r="B762" s="41"/>
      <c r="C762" s="41"/>
      <c r="D762" s="42"/>
      <c r="E762" s="42"/>
      <c r="F762" s="43"/>
      <c r="G762" s="42"/>
      <c r="H762" s="43"/>
      <c r="I762" s="43"/>
      <c r="J762" s="42"/>
      <c r="K762" s="42"/>
      <c r="L762" s="290"/>
      <c r="M762" s="43"/>
      <c r="N762" s="43"/>
      <c r="O762" s="42"/>
      <c r="P762" s="43"/>
      <c r="Q762" s="43"/>
      <c r="R762" s="42"/>
      <c r="S762" s="43"/>
      <c r="T762" s="42"/>
      <c r="U762" s="42"/>
      <c r="V762" s="44"/>
      <c r="W762" s="44"/>
      <c r="X762" s="44"/>
      <c r="Y762" s="44"/>
      <c r="Z762" s="44"/>
      <c r="AA762" s="44"/>
      <c r="AB762" s="44"/>
      <c r="AC762" s="44"/>
      <c r="AD762" s="44"/>
      <c r="AE762" s="44"/>
      <c r="AF762" s="44"/>
      <c r="AG762" s="44"/>
    </row>
    <row r="763" spans="1:34" s="3" customFormat="1" ht="16" customHeight="1" thickBot="1">
      <c r="A763" s="7"/>
      <c r="B763" s="19" t="str">
        <f>"FA5 = "&amp;'FIG3'!$W$56&amp;" "&amp;'FIG3'!$X$56</f>
        <v>FA5 = FA5L1 FA5L2</v>
      </c>
      <c r="C763" s="7"/>
      <c r="D763" s="8"/>
      <c r="E763" s="8"/>
      <c r="F763" s="9"/>
      <c r="G763" s="8"/>
      <c r="H763" s="9"/>
      <c r="I763" s="9"/>
      <c r="J763" s="8"/>
      <c r="K763" s="8"/>
      <c r="L763" s="280"/>
      <c r="M763" s="9"/>
      <c r="N763" s="9"/>
      <c r="O763" s="8"/>
      <c r="P763" s="9"/>
      <c r="Q763" s="9"/>
      <c r="R763" s="8"/>
      <c r="S763" s="882"/>
      <c r="T763" s="883" t="str">
        <f>'$REV-DB'!$T$34</f>
        <v>Federal Revenues</v>
      </c>
      <c r="U763" s="883" t="str">
        <f>'$REV-DB'!$U$34</f>
        <v>local Revenues</v>
      </c>
      <c r="V763" s="883" t="str">
        <f>'$REV-DB'!$V$34</f>
        <v>Other Revenues</v>
      </c>
      <c r="W763" s="883" t="str">
        <f>'$REV-DB'!$W$34</f>
        <v>State revenues</v>
      </c>
      <c r="X763" s="883" t="str">
        <f>'$REV-DB'!$X$34</f>
        <v>UD5</v>
      </c>
      <c r="Y763" s="883" t="str">
        <f>'$REV-DB'!$Y$34</f>
        <v>UD6</v>
      </c>
      <c r="Z763" s="883" t="str">
        <f>'$REV-DB'!$Z$34</f>
        <v>UD7</v>
      </c>
      <c r="AA763" s="883" t="str">
        <f>'$REV-DB'!$AA$34</f>
        <v>UD8</v>
      </c>
      <c r="AB763" s="883" t="str">
        <f>'$REV-DB'!$AB$34</f>
        <v>UD9</v>
      </c>
      <c r="AC763" s="883" t="str">
        <f>'$REV-DB'!$AC$34</f>
        <v>UD10</v>
      </c>
      <c r="AD763" s="883" t="str">
        <f>'$REV-DB'!$AD$34</f>
        <v>UD11</v>
      </c>
      <c r="AE763" s="883" t="str">
        <f>'$REV-DB'!$AE$34</f>
        <v>UD12</v>
      </c>
      <c r="AF763" s="883" t="str">
        <f>'$REV-DB'!$AF$34</f>
        <v>UD13</v>
      </c>
      <c r="AG763" s="883" t="str">
        <f>'$REV-DB'!$AG$34</f>
        <v>UD14</v>
      </c>
    </row>
    <row r="764" spans="1:34" s="3" customFormat="1" ht="16" customHeight="1" thickTop="1" thickBot="1">
      <c r="A764" s="7"/>
      <c r="B764" s="20" t="s">
        <v>1399</v>
      </c>
      <c r="C764" s="15"/>
      <c r="D764" s="877" t="s">
        <v>1386</v>
      </c>
      <c r="E764" s="877" t="s">
        <v>1387</v>
      </c>
      <c r="F764" s="877" t="s">
        <v>1388</v>
      </c>
      <c r="G764" s="877" t="s">
        <v>1389</v>
      </c>
      <c r="H764" s="877" t="s">
        <v>1406</v>
      </c>
      <c r="I764" s="877" t="s">
        <v>1390</v>
      </c>
      <c r="J764" s="877" t="s">
        <v>1391</v>
      </c>
      <c r="K764" s="877" t="s">
        <v>1392</v>
      </c>
      <c r="L764" s="877" t="s">
        <v>1188</v>
      </c>
      <c r="M764" s="877" t="s">
        <v>1437</v>
      </c>
      <c r="N764" s="877" t="s">
        <v>1348</v>
      </c>
      <c r="O764" s="877" t="s">
        <v>1393</v>
      </c>
      <c r="P764" s="877" t="s">
        <v>1342</v>
      </c>
      <c r="Q764" s="877" t="s">
        <v>1394</v>
      </c>
      <c r="R764" s="112" t="s">
        <v>1341</v>
      </c>
      <c r="S764" s="112" t="s">
        <v>846</v>
      </c>
      <c r="T764" s="877" t="s">
        <v>935</v>
      </c>
      <c r="U764" s="877" t="s">
        <v>936</v>
      </c>
      <c r="V764" s="877" t="s">
        <v>937</v>
      </c>
      <c r="W764" s="877" t="s">
        <v>938</v>
      </c>
      <c r="X764" s="877" t="s">
        <v>939</v>
      </c>
      <c r="Y764" s="877" t="s">
        <v>940</v>
      </c>
      <c r="Z764" s="877" t="s">
        <v>941</v>
      </c>
      <c r="AA764" s="877" t="s">
        <v>942</v>
      </c>
      <c r="AB764" s="877" t="s">
        <v>943</v>
      </c>
      <c r="AC764" s="877" t="s">
        <v>944</v>
      </c>
      <c r="AD764" s="877" t="s">
        <v>945</v>
      </c>
      <c r="AE764" s="877" t="s">
        <v>946</v>
      </c>
      <c r="AF764" s="877" t="s">
        <v>947</v>
      </c>
      <c r="AG764" s="877" t="s">
        <v>948</v>
      </c>
      <c r="AH764" s="6"/>
    </row>
    <row r="765" spans="1:34" s="3" customFormat="1" ht="16" customHeight="1" thickTop="1">
      <c r="A765" s="7"/>
      <c r="B765" s="19" t="s">
        <v>1178</v>
      </c>
      <c r="C765" s="12"/>
      <c r="D765" s="203"/>
      <c r="E765" s="203"/>
      <c r="F765" s="202"/>
      <c r="G765" s="203"/>
      <c r="H765" s="202"/>
      <c r="I765" s="202"/>
      <c r="J765" s="203"/>
      <c r="K765" s="203"/>
      <c r="L765" s="291" t="s">
        <v>1429</v>
      </c>
      <c r="M765" s="202"/>
      <c r="N765" s="45" t="str">
        <f>J$6</f>
        <v>FY2010-11</v>
      </c>
      <c r="O765" s="45" t="s">
        <v>1356</v>
      </c>
      <c r="P765" s="45" t="s">
        <v>1338</v>
      </c>
      <c r="Q765" s="45" t="s">
        <v>1465</v>
      </c>
      <c r="R765" s="203"/>
      <c r="S765" s="202"/>
      <c r="T765" s="203"/>
      <c r="U765" s="203"/>
      <c r="V765" s="204"/>
      <c r="W765" s="204"/>
      <c r="X765" s="204"/>
      <c r="Y765" s="204"/>
      <c r="Z765" s="204"/>
      <c r="AA765" s="204"/>
      <c r="AB765" s="204"/>
      <c r="AC765" s="204"/>
      <c r="AD765" s="204"/>
      <c r="AE765" s="204"/>
      <c r="AF765" s="204"/>
      <c r="AG765" s="204"/>
      <c r="AH765" s="6"/>
    </row>
    <row r="766" spans="1:34" s="3" customFormat="1" ht="16" customHeight="1">
      <c r="A766" s="7"/>
      <c r="B766" s="16">
        <f>DSUM('$REV-DB'!D35:AG374,"AMOUNT",D764:AG766)</f>
        <v>0</v>
      </c>
      <c r="C766" s="12"/>
      <c r="D766" s="203"/>
      <c r="E766" s="203"/>
      <c r="F766" s="202"/>
      <c r="G766" s="203"/>
      <c r="H766" s="202"/>
      <c r="I766" s="202"/>
      <c r="J766" s="203"/>
      <c r="K766" s="203"/>
      <c r="L766" s="291" t="s">
        <v>1429</v>
      </c>
      <c r="M766" s="202"/>
      <c r="N766" s="45" t="str">
        <f>J$6</f>
        <v>FY2010-11</v>
      </c>
      <c r="O766" s="45" t="s">
        <v>1356</v>
      </c>
      <c r="P766" s="45" t="s">
        <v>1347</v>
      </c>
      <c r="Q766" s="45" t="s">
        <v>1465</v>
      </c>
      <c r="R766" s="203"/>
      <c r="S766" s="202" t="s">
        <v>1303</v>
      </c>
      <c r="T766" s="203"/>
      <c r="U766" s="203"/>
      <c r="V766" s="204"/>
      <c r="W766" s="204"/>
      <c r="X766" s="204"/>
      <c r="Y766" s="204"/>
      <c r="Z766" s="204"/>
      <c r="AA766" s="204"/>
      <c r="AB766" s="204"/>
      <c r="AC766" s="204"/>
      <c r="AD766" s="204"/>
      <c r="AE766" s="204"/>
      <c r="AF766" s="204"/>
      <c r="AG766" s="204"/>
      <c r="AH766" s="6"/>
    </row>
    <row r="767" spans="1:34" s="3" customFormat="1" ht="16" customHeight="1">
      <c r="A767" s="7"/>
      <c r="B767" s="10"/>
      <c r="C767" s="12"/>
      <c r="D767" s="896"/>
      <c r="E767" s="896"/>
      <c r="F767" s="896"/>
      <c r="G767" s="896"/>
      <c r="H767" s="896"/>
      <c r="I767" s="896"/>
      <c r="J767" s="896"/>
      <c r="K767" s="896"/>
      <c r="L767" s="897"/>
      <c r="M767" s="896"/>
      <c r="N767" s="889"/>
      <c r="O767" s="889"/>
      <c r="P767" s="889"/>
      <c r="Q767" s="896"/>
      <c r="R767" s="896"/>
      <c r="S767" s="896"/>
      <c r="T767" s="898"/>
      <c r="U767" s="898"/>
      <c r="V767" s="899"/>
      <c r="W767" s="899"/>
      <c r="X767" s="899"/>
      <c r="Y767" s="899"/>
      <c r="Z767" s="899"/>
      <c r="AA767" s="899"/>
      <c r="AB767" s="899"/>
      <c r="AC767" s="899"/>
      <c r="AD767" s="899"/>
      <c r="AE767" s="899"/>
      <c r="AF767" s="899"/>
      <c r="AG767" s="899"/>
    </row>
    <row r="768" spans="1:34" s="3" customFormat="1" ht="16" customHeight="1">
      <c r="A768" s="7"/>
      <c r="B768" s="10"/>
      <c r="C768" s="12"/>
      <c r="D768" s="896"/>
      <c r="E768" s="896"/>
      <c r="F768" s="896"/>
      <c r="G768" s="896"/>
      <c r="H768" s="896"/>
      <c r="I768" s="896"/>
      <c r="J768" s="896"/>
      <c r="K768" s="896"/>
      <c r="L768" s="897"/>
      <c r="M768" s="896"/>
      <c r="N768" s="889"/>
      <c r="O768" s="889"/>
      <c r="P768" s="889"/>
      <c r="Q768" s="896"/>
      <c r="R768" s="896"/>
      <c r="S768" s="896"/>
      <c r="T768" s="898"/>
      <c r="U768" s="898"/>
      <c r="V768" s="899"/>
      <c r="W768" s="899"/>
      <c r="X768" s="899"/>
      <c r="Y768" s="899"/>
      <c r="Z768" s="899"/>
      <c r="AA768" s="899"/>
      <c r="AB768" s="899"/>
      <c r="AC768" s="899"/>
      <c r="AD768" s="899"/>
      <c r="AE768" s="899"/>
      <c r="AF768" s="899"/>
      <c r="AG768" s="899"/>
    </row>
    <row r="769" spans="1:34" s="3" customFormat="1" ht="16" customHeight="1">
      <c r="A769" s="7"/>
      <c r="B769" s="10"/>
      <c r="C769" s="12"/>
      <c r="D769" s="896"/>
      <c r="E769" s="896"/>
      <c r="F769" s="896"/>
      <c r="G769" s="896"/>
      <c r="H769" s="896"/>
      <c r="I769" s="896"/>
      <c r="J769" s="896"/>
      <c r="K769" s="896"/>
      <c r="L769" s="897"/>
      <c r="M769" s="896"/>
      <c r="N769" s="889"/>
      <c r="O769" s="889"/>
      <c r="P769" s="889"/>
      <c r="Q769" s="896"/>
      <c r="R769" s="896"/>
      <c r="S769" s="896"/>
      <c r="T769" s="898"/>
      <c r="U769" s="898"/>
      <c r="V769" s="899"/>
      <c r="W769" s="899"/>
      <c r="X769" s="899"/>
      <c r="Y769" s="899"/>
      <c r="Z769" s="899"/>
      <c r="AA769" s="899"/>
      <c r="AB769" s="899"/>
      <c r="AC769" s="899"/>
      <c r="AD769" s="899"/>
      <c r="AE769" s="899"/>
      <c r="AF769" s="899"/>
      <c r="AG769" s="899"/>
    </row>
    <row r="770" spans="1:34" s="3" customFormat="1" ht="16" customHeight="1">
      <c r="A770" s="7"/>
      <c r="B770" s="10"/>
      <c r="C770" s="12"/>
      <c r="D770" s="896"/>
      <c r="E770" s="896"/>
      <c r="F770" s="896"/>
      <c r="G770" s="896"/>
      <c r="H770" s="896"/>
      <c r="I770" s="896"/>
      <c r="J770" s="896"/>
      <c r="K770" s="896"/>
      <c r="L770" s="897"/>
      <c r="M770" s="896"/>
      <c r="N770" s="889"/>
      <c r="O770" s="889"/>
      <c r="P770" s="889"/>
      <c r="Q770" s="896"/>
      <c r="R770" s="896"/>
      <c r="S770" s="896"/>
      <c r="T770" s="898"/>
      <c r="U770" s="898"/>
      <c r="V770" s="899"/>
      <c r="W770" s="899"/>
      <c r="X770" s="899"/>
      <c r="Y770" s="899"/>
      <c r="Z770" s="899"/>
      <c r="AA770" s="899"/>
      <c r="AB770" s="899"/>
      <c r="AC770" s="899"/>
      <c r="AD770" s="899"/>
      <c r="AE770" s="899"/>
      <c r="AF770" s="899"/>
      <c r="AG770" s="899"/>
    </row>
    <row r="771" spans="1:34" s="3" customFormat="1" ht="16" customHeight="1">
      <c r="A771" s="7"/>
      <c r="B771" s="10"/>
      <c r="C771" s="12"/>
      <c r="D771" s="896"/>
      <c r="E771" s="896"/>
      <c r="F771" s="896"/>
      <c r="G771" s="896"/>
      <c r="H771" s="896"/>
      <c r="I771" s="896"/>
      <c r="J771" s="896"/>
      <c r="K771" s="896"/>
      <c r="L771" s="897"/>
      <c r="M771" s="896"/>
      <c r="N771" s="889"/>
      <c r="O771" s="889"/>
      <c r="P771" s="889"/>
      <c r="Q771" s="896"/>
      <c r="R771" s="896"/>
      <c r="S771" s="896"/>
      <c r="T771" s="898"/>
      <c r="U771" s="898"/>
      <c r="V771" s="899"/>
      <c r="W771" s="899"/>
      <c r="X771" s="899"/>
      <c r="Y771" s="899"/>
      <c r="Z771" s="899"/>
      <c r="AA771" s="899"/>
      <c r="AB771" s="899"/>
      <c r="AC771" s="899"/>
      <c r="AD771" s="899"/>
      <c r="AE771" s="899"/>
      <c r="AF771" s="899"/>
      <c r="AG771" s="899"/>
    </row>
    <row r="772" spans="1:34" s="3" customFormat="1" ht="16" customHeight="1">
      <c r="A772" s="44"/>
      <c r="B772" s="41"/>
      <c r="C772" s="41"/>
      <c r="D772" s="42"/>
      <c r="E772" s="42"/>
      <c r="F772" s="43"/>
      <c r="G772" s="42"/>
      <c r="H772" s="43"/>
      <c r="I772" s="43"/>
      <c r="J772" s="42"/>
      <c r="K772" s="42"/>
      <c r="L772" s="290"/>
      <c r="M772" s="43"/>
      <c r="N772" s="43"/>
      <c r="O772" s="42"/>
      <c r="P772" s="43"/>
      <c r="Q772" s="43"/>
      <c r="R772" s="42"/>
      <c r="S772" s="43"/>
      <c r="T772" s="42"/>
      <c r="U772" s="42"/>
      <c r="V772" s="44"/>
      <c r="W772" s="44"/>
      <c r="X772" s="44"/>
      <c r="Y772" s="44"/>
      <c r="Z772" s="44"/>
      <c r="AA772" s="44"/>
      <c r="AB772" s="44"/>
      <c r="AC772" s="44"/>
      <c r="AD772" s="44"/>
      <c r="AE772" s="44"/>
      <c r="AF772" s="44"/>
      <c r="AG772" s="44"/>
    </row>
    <row r="773" spans="1:34" s="3" customFormat="1" ht="16" customHeight="1" thickBot="1">
      <c r="A773" s="7"/>
      <c r="B773" s="19" t="str">
        <f>"FA5 = "&amp;'FIG3'!$W$56&amp;" "&amp;'FIG3'!$X$56</f>
        <v>FA5 = FA5L1 FA5L2</v>
      </c>
      <c r="C773" s="7"/>
      <c r="D773" s="8"/>
      <c r="E773" s="8"/>
      <c r="F773" s="9"/>
      <c r="G773" s="8"/>
      <c r="H773" s="9"/>
      <c r="I773" s="9"/>
      <c r="J773" s="8"/>
      <c r="K773" s="8"/>
      <c r="L773" s="280"/>
      <c r="M773" s="9"/>
      <c r="N773" s="9"/>
      <c r="O773" s="8"/>
      <c r="P773" s="9"/>
      <c r="Q773" s="9"/>
      <c r="R773" s="8"/>
      <c r="S773" s="882"/>
      <c r="T773" s="883" t="str">
        <f>'$REV-DB'!$T$34</f>
        <v>Federal Revenues</v>
      </c>
      <c r="U773" s="883" t="str">
        <f>'$REV-DB'!$U$34</f>
        <v>local Revenues</v>
      </c>
      <c r="V773" s="883" t="str">
        <f>'$REV-DB'!$V$34</f>
        <v>Other Revenues</v>
      </c>
      <c r="W773" s="883" t="str">
        <f>'$REV-DB'!$W$34</f>
        <v>State revenues</v>
      </c>
      <c r="X773" s="883" t="str">
        <f>'$REV-DB'!$X$34</f>
        <v>UD5</v>
      </c>
      <c r="Y773" s="883" t="str">
        <f>'$REV-DB'!$Y$34</f>
        <v>UD6</v>
      </c>
      <c r="Z773" s="883" t="str">
        <f>'$REV-DB'!$Z$34</f>
        <v>UD7</v>
      </c>
      <c r="AA773" s="883" t="str">
        <f>'$REV-DB'!$AA$34</f>
        <v>UD8</v>
      </c>
      <c r="AB773" s="883" t="str">
        <f>'$REV-DB'!$AB$34</f>
        <v>UD9</v>
      </c>
      <c r="AC773" s="883" t="str">
        <f>'$REV-DB'!$AC$34</f>
        <v>UD10</v>
      </c>
      <c r="AD773" s="883" t="str">
        <f>'$REV-DB'!$AD$34</f>
        <v>UD11</v>
      </c>
      <c r="AE773" s="883" t="str">
        <f>'$REV-DB'!$AE$34</f>
        <v>UD12</v>
      </c>
      <c r="AF773" s="883" t="str">
        <f>'$REV-DB'!$AF$34</f>
        <v>UD13</v>
      </c>
      <c r="AG773" s="883" t="str">
        <f>'$REV-DB'!$AG$34</f>
        <v>UD14</v>
      </c>
    </row>
    <row r="774" spans="1:34" s="3" customFormat="1" ht="16" customHeight="1" thickTop="1" thickBot="1">
      <c r="A774" s="7"/>
      <c r="B774" s="20" t="s">
        <v>1399</v>
      </c>
      <c r="C774" s="15"/>
      <c r="D774" s="877" t="s">
        <v>1386</v>
      </c>
      <c r="E774" s="877" t="s">
        <v>1387</v>
      </c>
      <c r="F774" s="877" t="s">
        <v>1388</v>
      </c>
      <c r="G774" s="877" t="s">
        <v>1389</v>
      </c>
      <c r="H774" s="877" t="s">
        <v>1406</v>
      </c>
      <c r="I774" s="877" t="s">
        <v>1390</v>
      </c>
      <c r="J774" s="877" t="s">
        <v>1391</v>
      </c>
      <c r="K774" s="877" t="s">
        <v>1392</v>
      </c>
      <c r="L774" s="877" t="s">
        <v>1188</v>
      </c>
      <c r="M774" s="877" t="s">
        <v>1437</v>
      </c>
      <c r="N774" s="877" t="s">
        <v>1348</v>
      </c>
      <c r="O774" s="877" t="s">
        <v>1393</v>
      </c>
      <c r="P774" s="877" t="s">
        <v>1342</v>
      </c>
      <c r="Q774" s="877" t="s">
        <v>1394</v>
      </c>
      <c r="R774" s="112" t="s">
        <v>1341</v>
      </c>
      <c r="S774" s="112" t="s">
        <v>846</v>
      </c>
      <c r="T774" s="877" t="s">
        <v>935</v>
      </c>
      <c r="U774" s="877" t="s">
        <v>936</v>
      </c>
      <c r="V774" s="877" t="s">
        <v>937</v>
      </c>
      <c r="W774" s="877" t="s">
        <v>938</v>
      </c>
      <c r="X774" s="877" t="s">
        <v>939</v>
      </c>
      <c r="Y774" s="877" t="s">
        <v>940</v>
      </c>
      <c r="Z774" s="877" t="s">
        <v>941</v>
      </c>
      <c r="AA774" s="877" t="s">
        <v>942</v>
      </c>
      <c r="AB774" s="877" t="s">
        <v>943</v>
      </c>
      <c r="AC774" s="877" t="s">
        <v>944</v>
      </c>
      <c r="AD774" s="877" t="s">
        <v>945</v>
      </c>
      <c r="AE774" s="877" t="s">
        <v>946</v>
      </c>
      <c r="AF774" s="877" t="s">
        <v>947</v>
      </c>
      <c r="AG774" s="877" t="s">
        <v>948</v>
      </c>
      <c r="AH774" s="6"/>
    </row>
    <row r="775" spans="1:34" s="3" customFormat="1" ht="16" customHeight="1" thickTop="1">
      <c r="A775" s="7"/>
      <c r="B775" s="19" t="s">
        <v>1350</v>
      </c>
      <c r="C775" s="12"/>
      <c r="D775" s="203"/>
      <c r="E775" s="203"/>
      <c r="F775" s="202"/>
      <c r="G775" s="203"/>
      <c r="H775" s="202"/>
      <c r="I775" s="202"/>
      <c r="J775" s="203"/>
      <c r="K775" s="203"/>
      <c r="L775" s="291" t="s">
        <v>1429</v>
      </c>
      <c r="M775" s="202"/>
      <c r="N775" s="45" t="str">
        <f>J$6</f>
        <v>FY2010-11</v>
      </c>
      <c r="O775" s="45" t="s">
        <v>1356</v>
      </c>
      <c r="P775" s="45" t="s">
        <v>1338</v>
      </c>
      <c r="Q775" s="45" t="s">
        <v>1340</v>
      </c>
      <c r="R775" s="203"/>
      <c r="S775" s="202"/>
      <c r="T775" s="203"/>
      <c r="U775" s="203"/>
      <c r="V775" s="204"/>
      <c r="W775" s="204"/>
      <c r="X775" s="204"/>
      <c r="Y775" s="204"/>
      <c r="Z775" s="204"/>
      <c r="AA775" s="204"/>
      <c r="AB775" s="204"/>
      <c r="AC775" s="204"/>
      <c r="AD775" s="204"/>
      <c r="AE775" s="204"/>
      <c r="AF775" s="204"/>
      <c r="AG775" s="204"/>
      <c r="AH775" s="6"/>
    </row>
    <row r="776" spans="1:34" s="3" customFormat="1" ht="16" customHeight="1">
      <c r="A776" s="7"/>
      <c r="B776" s="16">
        <f>DSUM('$REV-DB'!D35:AG374,"AMOUNT",D774:AG776)</f>
        <v>0</v>
      </c>
      <c r="C776" s="12"/>
      <c r="D776" s="203"/>
      <c r="E776" s="203"/>
      <c r="F776" s="202"/>
      <c r="G776" s="203"/>
      <c r="H776" s="202"/>
      <c r="I776" s="202"/>
      <c r="J776" s="203"/>
      <c r="K776" s="203"/>
      <c r="L776" s="291" t="s">
        <v>1429</v>
      </c>
      <c r="M776" s="202"/>
      <c r="N776" s="45" t="str">
        <f>J$6</f>
        <v>FY2010-11</v>
      </c>
      <c r="O776" s="45" t="s">
        <v>1356</v>
      </c>
      <c r="P776" s="45" t="s">
        <v>1347</v>
      </c>
      <c r="Q776" s="45" t="s">
        <v>1340</v>
      </c>
      <c r="R776" s="203"/>
      <c r="S776" s="202" t="s">
        <v>1303</v>
      </c>
      <c r="T776" s="203"/>
      <c r="U776" s="203"/>
      <c r="V776" s="204"/>
      <c r="W776" s="204"/>
      <c r="X776" s="204"/>
      <c r="Y776" s="204"/>
      <c r="Z776" s="204"/>
      <c r="AA776" s="204"/>
      <c r="AB776" s="204"/>
      <c r="AC776" s="204"/>
      <c r="AD776" s="204"/>
      <c r="AE776" s="204"/>
      <c r="AF776" s="204"/>
      <c r="AG776" s="204"/>
      <c r="AH776" s="6"/>
    </row>
    <row r="777" spans="1:34" s="3" customFormat="1" ht="16" customHeight="1">
      <c r="A777" s="7"/>
      <c r="B777" s="10"/>
      <c r="C777" s="12"/>
      <c r="D777" s="896"/>
      <c r="E777" s="896"/>
      <c r="F777" s="896"/>
      <c r="G777" s="896"/>
      <c r="H777" s="896"/>
      <c r="I777" s="896"/>
      <c r="J777" s="896"/>
      <c r="K777" s="896"/>
      <c r="L777" s="897"/>
      <c r="M777" s="896"/>
      <c r="N777" s="889"/>
      <c r="O777" s="889"/>
      <c r="P777" s="889"/>
      <c r="Q777" s="896"/>
      <c r="R777" s="896"/>
      <c r="S777" s="896"/>
      <c r="T777" s="898"/>
      <c r="U777" s="898"/>
      <c r="V777" s="899"/>
      <c r="W777" s="899"/>
      <c r="X777" s="899"/>
      <c r="Y777" s="899"/>
      <c r="Z777" s="899"/>
      <c r="AA777" s="899"/>
      <c r="AB777" s="899"/>
      <c r="AC777" s="899"/>
      <c r="AD777" s="899"/>
      <c r="AE777" s="899"/>
      <c r="AF777" s="899"/>
      <c r="AG777" s="899"/>
    </row>
    <row r="778" spans="1:34" s="3" customFormat="1" ht="16" customHeight="1">
      <c r="A778" s="7"/>
      <c r="B778" s="10"/>
      <c r="C778" s="12"/>
      <c r="D778" s="896"/>
      <c r="E778" s="896"/>
      <c r="F778" s="896"/>
      <c r="G778" s="896"/>
      <c r="H778" s="896"/>
      <c r="I778" s="896"/>
      <c r="J778" s="896"/>
      <c r="K778" s="896"/>
      <c r="L778" s="897"/>
      <c r="M778" s="896"/>
      <c r="N778" s="889"/>
      <c r="O778" s="889"/>
      <c r="P778" s="889"/>
      <c r="Q778" s="896"/>
      <c r="R778" s="896"/>
      <c r="S778" s="896"/>
      <c r="T778" s="898"/>
      <c r="U778" s="898"/>
      <c r="V778" s="899"/>
      <c r="W778" s="899"/>
      <c r="X778" s="899"/>
      <c r="Y778" s="899"/>
      <c r="Z778" s="899"/>
      <c r="AA778" s="899"/>
      <c r="AB778" s="899"/>
      <c r="AC778" s="899"/>
      <c r="AD778" s="899"/>
      <c r="AE778" s="899"/>
      <c r="AF778" s="899"/>
      <c r="AG778" s="899"/>
    </row>
    <row r="779" spans="1:34" s="3" customFormat="1" ht="16" customHeight="1">
      <c r="A779" s="7"/>
      <c r="B779" s="10"/>
      <c r="C779" s="12"/>
      <c r="D779" s="896"/>
      <c r="E779" s="896"/>
      <c r="F779" s="896"/>
      <c r="G779" s="896"/>
      <c r="H779" s="896"/>
      <c r="I779" s="896"/>
      <c r="J779" s="896"/>
      <c r="K779" s="896"/>
      <c r="L779" s="897"/>
      <c r="M779" s="896"/>
      <c r="N779" s="889"/>
      <c r="O779" s="889"/>
      <c r="P779" s="889"/>
      <c r="Q779" s="896"/>
      <c r="R779" s="896"/>
      <c r="S779" s="896"/>
      <c r="T779" s="898"/>
      <c r="U779" s="898"/>
      <c r="V779" s="899"/>
      <c r="W779" s="899"/>
      <c r="X779" s="899"/>
      <c r="Y779" s="899"/>
      <c r="Z779" s="899"/>
      <c r="AA779" s="899"/>
      <c r="AB779" s="899"/>
      <c r="AC779" s="899"/>
      <c r="AD779" s="899"/>
      <c r="AE779" s="899"/>
      <c r="AF779" s="899"/>
      <c r="AG779" s="899"/>
    </row>
    <row r="780" spans="1:34" s="3" customFormat="1" ht="16" customHeight="1">
      <c r="A780" s="7"/>
      <c r="B780" s="10"/>
      <c r="C780" s="12"/>
      <c r="D780" s="896"/>
      <c r="E780" s="896"/>
      <c r="F780" s="896"/>
      <c r="G780" s="896"/>
      <c r="H780" s="896"/>
      <c r="I780" s="896"/>
      <c r="J780" s="896"/>
      <c r="K780" s="896"/>
      <c r="L780" s="897"/>
      <c r="M780" s="896"/>
      <c r="N780" s="889"/>
      <c r="O780" s="889"/>
      <c r="P780" s="889"/>
      <c r="Q780" s="896"/>
      <c r="R780" s="896"/>
      <c r="S780" s="896"/>
      <c r="T780" s="898"/>
      <c r="U780" s="898"/>
      <c r="V780" s="899"/>
      <c r="W780" s="899"/>
      <c r="X780" s="899"/>
      <c r="Y780" s="899"/>
      <c r="Z780" s="899"/>
      <c r="AA780" s="899"/>
      <c r="AB780" s="899"/>
      <c r="AC780" s="899"/>
      <c r="AD780" s="899"/>
      <c r="AE780" s="899"/>
      <c r="AF780" s="899"/>
      <c r="AG780" s="899"/>
    </row>
    <row r="781" spans="1:34" s="3" customFormat="1" ht="16" customHeight="1">
      <c r="A781" s="7"/>
      <c r="B781" s="10"/>
      <c r="C781" s="12"/>
      <c r="D781" s="896"/>
      <c r="E781" s="896"/>
      <c r="F781" s="896"/>
      <c r="G781" s="896"/>
      <c r="H781" s="896"/>
      <c r="I781" s="896"/>
      <c r="J781" s="896"/>
      <c r="K781" s="896"/>
      <c r="L781" s="897"/>
      <c r="M781" s="896"/>
      <c r="N781" s="889"/>
      <c r="O781" s="889"/>
      <c r="P781" s="889"/>
      <c r="Q781" s="896"/>
      <c r="R781" s="896"/>
      <c r="S781" s="896"/>
      <c r="T781" s="898"/>
      <c r="U781" s="898"/>
      <c r="V781" s="899"/>
      <c r="W781" s="899"/>
      <c r="X781" s="899"/>
      <c r="Y781" s="899"/>
      <c r="Z781" s="899"/>
      <c r="AA781" s="899"/>
      <c r="AB781" s="899"/>
      <c r="AC781" s="899"/>
      <c r="AD781" s="899"/>
      <c r="AE781" s="899"/>
      <c r="AF781" s="899"/>
      <c r="AG781" s="899"/>
    </row>
    <row r="782" spans="1:34" s="3" customFormat="1" ht="16" customHeight="1">
      <c r="A782" s="44"/>
      <c r="B782" s="41"/>
      <c r="C782" s="41"/>
      <c r="D782" s="42"/>
      <c r="E782" s="42"/>
      <c r="F782" s="43"/>
      <c r="G782" s="42"/>
      <c r="H782" s="43"/>
      <c r="I782" s="43"/>
      <c r="J782" s="42"/>
      <c r="K782" s="42"/>
      <c r="L782" s="290"/>
      <c r="M782" s="43"/>
      <c r="N782" s="43"/>
      <c r="O782" s="42"/>
      <c r="P782" s="43"/>
      <c r="Q782" s="43"/>
      <c r="R782" s="42"/>
      <c r="S782" s="43"/>
      <c r="T782" s="42"/>
      <c r="U782" s="42"/>
      <c r="V782" s="44"/>
      <c r="W782" s="44"/>
      <c r="X782" s="44"/>
      <c r="Y782" s="44"/>
      <c r="Z782" s="44"/>
      <c r="AA782" s="44"/>
      <c r="AB782" s="44"/>
      <c r="AC782" s="44"/>
      <c r="AD782" s="44"/>
      <c r="AE782" s="44"/>
      <c r="AF782" s="44"/>
      <c r="AG782" s="44"/>
    </row>
    <row r="783" spans="1:34" s="3" customFormat="1" ht="16" customHeight="1" thickBot="1">
      <c r="A783" s="7"/>
      <c r="B783" s="19" t="str">
        <f>"FA5 = "&amp;'FIG3'!$W$56&amp;" "&amp;'FIG3'!$X$56</f>
        <v>FA5 = FA5L1 FA5L2</v>
      </c>
      <c r="C783" s="7"/>
      <c r="D783" s="17"/>
      <c r="E783" s="17"/>
      <c r="F783" s="18"/>
      <c r="G783" s="17"/>
      <c r="H783" s="18"/>
      <c r="I783" s="18"/>
      <c r="J783" s="17"/>
      <c r="K783" s="17"/>
      <c r="L783" s="281"/>
      <c r="M783" s="18"/>
      <c r="N783" s="9"/>
      <c r="O783" s="17"/>
      <c r="P783" s="18"/>
      <c r="Q783" s="18"/>
      <c r="R783" s="17"/>
      <c r="S783" s="882"/>
      <c r="T783" s="883" t="str">
        <f>'$REV-DB'!$T$34</f>
        <v>Federal Revenues</v>
      </c>
      <c r="U783" s="883" t="str">
        <f>'$REV-DB'!$U$34</f>
        <v>local Revenues</v>
      </c>
      <c r="V783" s="883" t="str">
        <f>'$REV-DB'!$V$34</f>
        <v>Other Revenues</v>
      </c>
      <c r="W783" s="883" t="str">
        <f>'$REV-DB'!$W$34</f>
        <v>State revenues</v>
      </c>
      <c r="X783" s="883" t="str">
        <f>'$REV-DB'!$X$34</f>
        <v>UD5</v>
      </c>
      <c r="Y783" s="883" t="str">
        <f>'$REV-DB'!$Y$34</f>
        <v>UD6</v>
      </c>
      <c r="Z783" s="883" t="str">
        <f>'$REV-DB'!$Z$34</f>
        <v>UD7</v>
      </c>
      <c r="AA783" s="883" t="str">
        <f>'$REV-DB'!$AA$34</f>
        <v>UD8</v>
      </c>
      <c r="AB783" s="883" t="str">
        <f>'$REV-DB'!$AB$34</f>
        <v>UD9</v>
      </c>
      <c r="AC783" s="883" t="str">
        <f>'$REV-DB'!$AC$34</f>
        <v>UD10</v>
      </c>
      <c r="AD783" s="883" t="str">
        <f>'$REV-DB'!$AD$34</f>
        <v>UD11</v>
      </c>
      <c r="AE783" s="883" t="str">
        <f>'$REV-DB'!$AE$34</f>
        <v>UD12</v>
      </c>
      <c r="AF783" s="883" t="str">
        <f>'$REV-DB'!$AF$34</f>
        <v>UD13</v>
      </c>
      <c r="AG783" s="883" t="str">
        <f>'$REV-DB'!$AG$34</f>
        <v>UD14</v>
      </c>
    </row>
    <row r="784" spans="1:34" s="3" customFormat="1" ht="16" customHeight="1" thickTop="1" thickBot="1">
      <c r="A784" s="7"/>
      <c r="B784" s="20" t="s">
        <v>1375</v>
      </c>
      <c r="C784" s="15"/>
      <c r="D784" s="877" t="s">
        <v>1386</v>
      </c>
      <c r="E784" s="877" t="s">
        <v>1387</v>
      </c>
      <c r="F784" s="877" t="s">
        <v>1388</v>
      </c>
      <c r="G784" s="877" t="s">
        <v>1389</v>
      </c>
      <c r="H784" s="877" t="s">
        <v>1406</v>
      </c>
      <c r="I784" s="877" t="s">
        <v>1390</v>
      </c>
      <c r="J784" s="877" t="s">
        <v>1391</v>
      </c>
      <c r="K784" s="877" t="s">
        <v>1392</v>
      </c>
      <c r="L784" s="877" t="s">
        <v>1188</v>
      </c>
      <c r="M784" s="877" t="s">
        <v>1437</v>
      </c>
      <c r="N784" s="877" t="s">
        <v>1348</v>
      </c>
      <c r="O784" s="877" t="s">
        <v>1393</v>
      </c>
      <c r="P784" s="877" t="s">
        <v>1342</v>
      </c>
      <c r="Q784" s="877" t="s">
        <v>1394</v>
      </c>
      <c r="R784" s="112" t="s">
        <v>1341</v>
      </c>
      <c r="S784" s="112" t="s">
        <v>846</v>
      </c>
      <c r="T784" s="877" t="s">
        <v>935</v>
      </c>
      <c r="U784" s="877" t="s">
        <v>936</v>
      </c>
      <c r="V784" s="877" t="s">
        <v>937</v>
      </c>
      <c r="W784" s="877" t="s">
        <v>938</v>
      </c>
      <c r="X784" s="877" t="s">
        <v>939</v>
      </c>
      <c r="Y784" s="877" t="s">
        <v>940</v>
      </c>
      <c r="Z784" s="877" t="s">
        <v>941</v>
      </c>
      <c r="AA784" s="877" t="s">
        <v>942</v>
      </c>
      <c r="AB784" s="877" t="s">
        <v>943</v>
      </c>
      <c r="AC784" s="877" t="s">
        <v>944</v>
      </c>
      <c r="AD784" s="877" t="s">
        <v>945</v>
      </c>
      <c r="AE784" s="877" t="s">
        <v>946</v>
      </c>
      <c r="AF784" s="877" t="s">
        <v>947</v>
      </c>
      <c r="AG784" s="877" t="s">
        <v>948</v>
      </c>
      <c r="AH784" s="6"/>
    </row>
    <row r="785" spans="1:34" s="3" customFormat="1" ht="16" customHeight="1" thickTop="1">
      <c r="A785" s="7"/>
      <c r="B785" s="19" t="s">
        <v>1346</v>
      </c>
      <c r="C785" s="12"/>
      <c r="D785" s="203"/>
      <c r="E785" s="203"/>
      <c r="F785" s="202"/>
      <c r="G785" s="203"/>
      <c r="H785" s="202"/>
      <c r="I785" s="202"/>
      <c r="J785" s="203"/>
      <c r="K785" s="203"/>
      <c r="L785" s="291" t="s">
        <v>1429</v>
      </c>
      <c r="M785" s="202"/>
      <c r="N785" s="45" t="str">
        <f>J$6</f>
        <v>FY2010-11</v>
      </c>
      <c r="O785" s="45" t="s">
        <v>1356</v>
      </c>
      <c r="P785" s="45" t="s">
        <v>1347</v>
      </c>
      <c r="Q785" s="45"/>
      <c r="R785" s="203"/>
      <c r="S785" s="202" t="s">
        <v>871</v>
      </c>
      <c r="T785" s="203"/>
      <c r="U785" s="203"/>
      <c r="V785" s="204"/>
      <c r="W785" s="204"/>
      <c r="X785" s="204"/>
      <c r="Y785" s="204"/>
      <c r="Z785" s="204"/>
      <c r="AA785" s="204"/>
      <c r="AB785" s="204"/>
      <c r="AC785" s="204"/>
      <c r="AD785" s="204"/>
      <c r="AE785" s="204"/>
      <c r="AF785" s="204"/>
      <c r="AG785" s="204"/>
      <c r="AH785" s="6"/>
    </row>
    <row r="786" spans="1:34" s="3" customFormat="1" ht="16" customHeight="1">
      <c r="A786" s="7"/>
      <c r="B786" s="16">
        <f>DSUM('$REV-DB'!D35:AG374,"AMOUNT",D784:AG785)</f>
        <v>0</v>
      </c>
      <c r="C786" s="12"/>
      <c r="D786" s="896"/>
      <c r="E786" s="896"/>
      <c r="F786" s="896"/>
      <c r="G786" s="896"/>
      <c r="H786" s="896"/>
      <c r="I786" s="896"/>
      <c r="J786" s="896"/>
      <c r="K786" s="896"/>
      <c r="L786" s="897"/>
      <c r="M786" s="896"/>
      <c r="N786" s="889"/>
      <c r="O786" s="896"/>
      <c r="P786" s="889"/>
      <c r="Q786" s="900"/>
      <c r="R786" s="896"/>
      <c r="S786" s="896"/>
      <c r="T786" s="898"/>
      <c r="U786" s="898"/>
      <c r="V786" s="899"/>
      <c r="W786" s="899"/>
      <c r="X786" s="899"/>
      <c r="Y786" s="899"/>
      <c r="Z786" s="899"/>
      <c r="AA786" s="899"/>
      <c r="AB786" s="899"/>
      <c r="AC786" s="899"/>
      <c r="AD786" s="899"/>
      <c r="AE786" s="899"/>
      <c r="AF786" s="899"/>
      <c r="AG786" s="899"/>
      <c r="AH786" s="6"/>
    </row>
    <row r="787" spans="1:34" s="3" customFormat="1" ht="16" customHeight="1">
      <c r="A787" s="7"/>
      <c r="B787" s="10"/>
      <c r="C787" s="12"/>
      <c r="D787" s="896"/>
      <c r="E787" s="896"/>
      <c r="F787" s="896"/>
      <c r="G787" s="896"/>
      <c r="H787" s="896"/>
      <c r="I787" s="896"/>
      <c r="J787" s="896"/>
      <c r="K787" s="896"/>
      <c r="L787" s="897"/>
      <c r="M787" s="896"/>
      <c r="N787" s="889"/>
      <c r="O787" s="896"/>
      <c r="P787" s="889"/>
      <c r="Q787" s="900"/>
      <c r="R787" s="896"/>
      <c r="S787" s="896"/>
      <c r="T787" s="898"/>
      <c r="U787" s="898"/>
      <c r="V787" s="899"/>
      <c r="W787" s="899"/>
      <c r="X787" s="899"/>
      <c r="Y787" s="899"/>
      <c r="Z787" s="899"/>
      <c r="AA787" s="899"/>
      <c r="AB787" s="899"/>
      <c r="AC787" s="899"/>
      <c r="AD787" s="899"/>
      <c r="AE787" s="899"/>
      <c r="AF787" s="899"/>
      <c r="AG787" s="899"/>
    </row>
    <row r="788" spans="1:34" s="3" customFormat="1" ht="16" customHeight="1">
      <c r="A788" s="7"/>
      <c r="B788" s="10"/>
      <c r="C788" s="12"/>
      <c r="D788" s="896"/>
      <c r="E788" s="896"/>
      <c r="F788" s="896"/>
      <c r="G788" s="896"/>
      <c r="H788" s="896"/>
      <c r="I788" s="896"/>
      <c r="J788" s="896"/>
      <c r="K788" s="896"/>
      <c r="L788" s="897"/>
      <c r="M788" s="896"/>
      <c r="N788" s="889"/>
      <c r="O788" s="896"/>
      <c r="P788" s="889"/>
      <c r="Q788" s="900"/>
      <c r="R788" s="896"/>
      <c r="S788" s="896"/>
      <c r="T788" s="898"/>
      <c r="U788" s="898"/>
      <c r="V788" s="899"/>
      <c r="W788" s="899"/>
      <c r="X788" s="899"/>
      <c r="Y788" s="899"/>
      <c r="Z788" s="899"/>
      <c r="AA788" s="899"/>
      <c r="AB788" s="899"/>
      <c r="AC788" s="899"/>
      <c r="AD788" s="899"/>
      <c r="AE788" s="899"/>
      <c r="AF788" s="899"/>
      <c r="AG788" s="899"/>
    </row>
    <row r="789" spans="1:34" s="3" customFormat="1" ht="16" customHeight="1">
      <c r="A789" s="7"/>
      <c r="B789" s="10"/>
      <c r="C789" s="12"/>
      <c r="D789" s="896"/>
      <c r="E789" s="896"/>
      <c r="F789" s="896"/>
      <c r="G789" s="896"/>
      <c r="H789" s="896"/>
      <c r="I789" s="896"/>
      <c r="J789" s="896"/>
      <c r="K789" s="896"/>
      <c r="L789" s="897"/>
      <c r="M789" s="896"/>
      <c r="N789" s="889"/>
      <c r="O789" s="896"/>
      <c r="P789" s="889"/>
      <c r="Q789" s="900"/>
      <c r="R789" s="896"/>
      <c r="S789" s="896"/>
      <c r="T789" s="898"/>
      <c r="U789" s="898"/>
      <c r="V789" s="899"/>
      <c r="W789" s="899"/>
      <c r="X789" s="899"/>
      <c r="Y789" s="899"/>
      <c r="Z789" s="899"/>
      <c r="AA789" s="899"/>
      <c r="AB789" s="899"/>
      <c r="AC789" s="899"/>
      <c r="AD789" s="899"/>
      <c r="AE789" s="899"/>
      <c r="AF789" s="899"/>
      <c r="AG789" s="899"/>
    </row>
    <row r="790" spans="1:34" s="3" customFormat="1" ht="16" customHeight="1">
      <c r="A790" s="7"/>
      <c r="B790" s="10"/>
      <c r="C790" s="12"/>
      <c r="D790" s="896"/>
      <c r="E790" s="896"/>
      <c r="F790" s="896"/>
      <c r="G790" s="896"/>
      <c r="H790" s="896"/>
      <c r="I790" s="896"/>
      <c r="J790" s="896"/>
      <c r="K790" s="896"/>
      <c r="L790" s="897"/>
      <c r="M790" s="896"/>
      <c r="N790" s="889"/>
      <c r="O790" s="896"/>
      <c r="P790" s="889"/>
      <c r="Q790" s="900"/>
      <c r="R790" s="896"/>
      <c r="S790" s="896"/>
      <c r="T790" s="898"/>
      <c r="U790" s="898"/>
      <c r="V790" s="899"/>
      <c r="W790" s="899"/>
      <c r="X790" s="899"/>
      <c r="Y790" s="899"/>
      <c r="Z790" s="899"/>
      <c r="AA790" s="899"/>
      <c r="AB790" s="899"/>
      <c r="AC790" s="899"/>
      <c r="AD790" s="899"/>
      <c r="AE790" s="899"/>
      <c r="AF790" s="899"/>
      <c r="AG790" s="899"/>
    </row>
    <row r="791" spans="1:34" s="3" customFormat="1" ht="16" customHeight="1">
      <c r="A791" s="7"/>
      <c r="B791" s="10"/>
      <c r="C791" s="12"/>
      <c r="D791" s="896"/>
      <c r="E791" s="896"/>
      <c r="F791" s="896"/>
      <c r="G791" s="896"/>
      <c r="H791" s="896"/>
      <c r="I791" s="896"/>
      <c r="J791" s="896"/>
      <c r="K791" s="896"/>
      <c r="L791" s="897"/>
      <c r="M791" s="896"/>
      <c r="N791" s="889"/>
      <c r="O791" s="896"/>
      <c r="P791" s="889"/>
      <c r="Q791" s="900"/>
      <c r="R791" s="896"/>
      <c r="S791" s="896"/>
      <c r="T791" s="898"/>
      <c r="U791" s="898"/>
      <c r="V791" s="899"/>
      <c r="W791" s="899"/>
      <c r="X791" s="899"/>
      <c r="Y791" s="899"/>
      <c r="Z791" s="899"/>
      <c r="AA791" s="899"/>
      <c r="AB791" s="899"/>
      <c r="AC791" s="899"/>
      <c r="AD791" s="899"/>
      <c r="AE791" s="899"/>
      <c r="AF791" s="899"/>
      <c r="AG791" s="899"/>
    </row>
    <row r="792" spans="1:34" s="3" customFormat="1" ht="16" customHeight="1">
      <c r="A792" s="44"/>
      <c r="B792" s="41"/>
      <c r="C792" s="41"/>
      <c r="D792" s="42"/>
      <c r="E792" s="42"/>
      <c r="F792" s="43"/>
      <c r="G792" s="42"/>
      <c r="H792" s="43"/>
      <c r="I792" s="43"/>
      <c r="J792" s="42"/>
      <c r="K792" s="42"/>
      <c r="L792" s="290"/>
      <c r="M792" s="43"/>
      <c r="N792" s="43"/>
      <c r="O792" s="42"/>
      <c r="P792" s="43"/>
      <c r="Q792" s="43"/>
      <c r="R792" s="42"/>
      <c r="S792" s="43"/>
      <c r="T792" s="42"/>
      <c r="U792" s="42"/>
      <c r="V792" s="44"/>
      <c r="W792" s="44"/>
      <c r="X792" s="44"/>
      <c r="Y792" s="44"/>
      <c r="Z792" s="44"/>
      <c r="AA792" s="44"/>
      <c r="AB792" s="44"/>
      <c r="AC792" s="44"/>
      <c r="AD792" s="44"/>
      <c r="AE792" s="44"/>
      <c r="AF792" s="44"/>
      <c r="AG792" s="44"/>
    </row>
    <row r="793" spans="1:34" s="3" customFormat="1" ht="16" customHeight="1" thickBot="1">
      <c r="A793" s="7"/>
      <c r="B793" s="19" t="str">
        <f>"FA5 = "&amp;'FIG3'!$W$56&amp;" "&amp;'FIG3'!$X$56</f>
        <v>FA5 = FA5L1 FA5L2</v>
      </c>
      <c r="C793" s="7"/>
      <c r="D793" s="8"/>
      <c r="E793" s="8"/>
      <c r="F793" s="9"/>
      <c r="G793" s="8"/>
      <c r="H793" s="9"/>
      <c r="I793" s="9"/>
      <c r="J793" s="8"/>
      <c r="K793" s="8"/>
      <c r="L793" s="280"/>
      <c r="M793" s="9"/>
      <c r="N793" s="9"/>
      <c r="O793" s="8"/>
      <c r="P793" s="9"/>
      <c r="Q793" s="9"/>
      <c r="R793" s="8"/>
      <c r="S793" s="882"/>
      <c r="T793" s="883" t="str">
        <f>'$REV-DB'!$T$34</f>
        <v>Federal Revenues</v>
      </c>
      <c r="U793" s="883" t="str">
        <f>'$REV-DB'!$U$34</f>
        <v>local Revenues</v>
      </c>
      <c r="V793" s="883" t="str">
        <f>'$REV-DB'!$V$34</f>
        <v>Other Revenues</v>
      </c>
      <c r="W793" s="883" t="str">
        <f>'$REV-DB'!$W$34</f>
        <v>State revenues</v>
      </c>
      <c r="X793" s="883" t="str">
        <f>'$REV-DB'!$X$34</f>
        <v>UD5</v>
      </c>
      <c r="Y793" s="883" t="str">
        <f>'$REV-DB'!$Y$34</f>
        <v>UD6</v>
      </c>
      <c r="Z793" s="883" t="str">
        <f>'$REV-DB'!$Z$34</f>
        <v>UD7</v>
      </c>
      <c r="AA793" s="883" t="str">
        <f>'$REV-DB'!$AA$34</f>
        <v>UD8</v>
      </c>
      <c r="AB793" s="883" t="str">
        <f>'$REV-DB'!$AB$34</f>
        <v>UD9</v>
      </c>
      <c r="AC793" s="883" t="str">
        <f>'$REV-DB'!$AC$34</f>
        <v>UD10</v>
      </c>
      <c r="AD793" s="883" t="str">
        <f>'$REV-DB'!$AD$34</f>
        <v>UD11</v>
      </c>
      <c r="AE793" s="883" t="str">
        <f>'$REV-DB'!$AE$34</f>
        <v>UD12</v>
      </c>
      <c r="AF793" s="883" t="str">
        <f>'$REV-DB'!$AF$34</f>
        <v>UD13</v>
      </c>
      <c r="AG793" s="883" t="str">
        <f>'$REV-DB'!$AG$34</f>
        <v>UD14</v>
      </c>
    </row>
    <row r="794" spans="1:34" s="3" customFormat="1" ht="16" customHeight="1" thickTop="1" thickBot="1">
      <c r="A794" s="7"/>
      <c r="B794" s="20" t="s">
        <v>1375</v>
      </c>
      <c r="C794" s="15"/>
      <c r="D794" s="877" t="s">
        <v>1386</v>
      </c>
      <c r="E794" s="877" t="s">
        <v>1387</v>
      </c>
      <c r="F794" s="877" t="s">
        <v>1388</v>
      </c>
      <c r="G794" s="877" t="s">
        <v>1389</v>
      </c>
      <c r="H794" s="877" t="s">
        <v>1406</v>
      </c>
      <c r="I794" s="877" t="s">
        <v>1390</v>
      </c>
      <c r="J794" s="877" t="s">
        <v>1391</v>
      </c>
      <c r="K794" s="877" t="s">
        <v>1392</v>
      </c>
      <c r="L794" s="877" t="s">
        <v>1188</v>
      </c>
      <c r="M794" s="877" t="s">
        <v>1437</v>
      </c>
      <c r="N794" s="877" t="s">
        <v>1348</v>
      </c>
      <c r="O794" s="877" t="s">
        <v>1393</v>
      </c>
      <c r="P794" s="877" t="s">
        <v>1342</v>
      </c>
      <c r="Q794" s="877" t="s">
        <v>1394</v>
      </c>
      <c r="R794" s="112" t="s">
        <v>1341</v>
      </c>
      <c r="S794" s="112" t="s">
        <v>846</v>
      </c>
      <c r="T794" s="877" t="s">
        <v>935</v>
      </c>
      <c r="U794" s="877" t="s">
        <v>936</v>
      </c>
      <c r="V794" s="877" t="s">
        <v>937</v>
      </c>
      <c r="W794" s="877" t="s">
        <v>938</v>
      </c>
      <c r="X794" s="877" t="s">
        <v>939</v>
      </c>
      <c r="Y794" s="877" t="s">
        <v>940</v>
      </c>
      <c r="Z794" s="877" t="s">
        <v>941</v>
      </c>
      <c r="AA794" s="877" t="s">
        <v>942</v>
      </c>
      <c r="AB794" s="877" t="s">
        <v>943</v>
      </c>
      <c r="AC794" s="877" t="s">
        <v>944</v>
      </c>
      <c r="AD794" s="877" t="s">
        <v>945</v>
      </c>
      <c r="AE794" s="877" t="s">
        <v>946</v>
      </c>
      <c r="AF794" s="877" t="s">
        <v>947</v>
      </c>
      <c r="AG794" s="877" t="s">
        <v>948</v>
      </c>
      <c r="AH794" s="6"/>
    </row>
    <row r="795" spans="1:34" s="3" customFormat="1" ht="16" customHeight="1" thickTop="1">
      <c r="A795" s="7"/>
      <c r="B795" s="19" t="s">
        <v>1345</v>
      </c>
      <c r="C795" s="12"/>
      <c r="D795" s="203"/>
      <c r="E795" s="203"/>
      <c r="F795" s="202"/>
      <c r="G795" s="203"/>
      <c r="H795" s="202"/>
      <c r="I795" s="202"/>
      <c r="J795" s="203"/>
      <c r="K795" s="203"/>
      <c r="L795" s="291" t="s">
        <v>1429</v>
      </c>
      <c r="M795" s="202"/>
      <c r="N795" s="45" t="str">
        <f>J$6</f>
        <v>FY2010-11</v>
      </c>
      <c r="O795" s="45" t="s">
        <v>1356</v>
      </c>
      <c r="P795" s="45" t="s">
        <v>1347</v>
      </c>
      <c r="Q795" s="45" t="s">
        <v>1380</v>
      </c>
      <c r="R795" s="203"/>
      <c r="S795" s="202" t="s">
        <v>871</v>
      </c>
      <c r="T795" s="203"/>
      <c r="U795" s="203"/>
      <c r="V795" s="204"/>
      <c r="W795" s="204"/>
      <c r="X795" s="204"/>
      <c r="Y795" s="204"/>
      <c r="Z795" s="204"/>
      <c r="AA795" s="204"/>
      <c r="AB795" s="204"/>
      <c r="AC795" s="204"/>
      <c r="AD795" s="204"/>
      <c r="AE795" s="204"/>
      <c r="AF795" s="204"/>
      <c r="AG795" s="204"/>
      <c r="AH795" s="6"/>
    </row>
    <row r="796" spans="1:34" s="3" customFormat="1" ht="16" customHeight="1">
      <c r="A796" s="7"/>
      <c r="B796" s="16">
        <f>DSUM('$REV-DB'!D35:AG374,"AMOUNT",D794:AG795)</f>
        <v>0</v>
      </c>
      <c r="C796" s="12"/>
      <c r="D796" s="896"/>
      <c r="E796" s="896"/>
      <c r="F796" s="896"/>
      <c r="G796" s="896"/>
      <c r="H796" s="896"/>
      <c r="I796" s="896"/>
      <c r="J796" s="896"/>
      <c r="K796" s="896"/>
      <c r="L796" s="897"/>
      <c r="M796" s="896"/>
      <c r="N796" s="889"/>
      <c r="O796" s="896"/>
      <c r="P796" s="889"/>
      <c r="Q796" s="900"/>
      <c r="R796" s="896"/>
      <c r="S796" s="896"/>
      <c r="T796" s="898"/>
      <c r="U796" s="898"/>
      <c r="V796" s="899"/>
      <c r="W796" s="899"/>
      <c r="X796" s="899"/>
      <c r="Y796" s="899"/>
      <c r="Z796" s="899"/>
      <c r="AA796" s="899"/>
      <c r="AB796" s="899"/>
      <c r="AC796" s="899"/>
      <c r="AD796" s="899"/>
      <c r="AE796" s="899"/>
      <c r="AF796" s="899"/>
      <c r="AG796" s="899"/>
      <c r="AH796" s="6"/>
    </row>
    <row r="797" spans="1:34" s="3" customFormat="1" ht="16" customHeight="1">
      <c r="A797" s="7"/>
      <c r="B797" s="10"/>
      <c r="C797" s="12"/>
      <c r="D797" s="896"/>
      <c r="E797" s="896"/>
      <c r="F797" s="896"/>
      <c r="G797" s="896"/>
      <c r="H797" s="896"/>
      <c r="I797" s="896"/>
      <c r="J797" s="896"/>
      <c r="K797" s="896"/>
      <c r="L797" s="897"/>
      <c r="M797" s="896"/>
      <c r="N797" s="889"/>
      <c r="O797" s="896"/>
      <c r="P797" s="889"/>
      <c r="Q797" s="900"/>
      <c r="R797" s="896"/>
      <c r="S797" s="896"/>
      <c r="T797" s="898"/>
      <c r="U797" s="898"/>
      <c r="V797" s="899"/>
      <c r="W797" s="899"/>
      <c r="X797" s="899"/>
      <c r="Y797" s="899"/>
      <c r="Z797" s="899"/>
      <c r="AA797" s="899"/>
      <c r="AB797" s="899"/>
      <c r="AC797" s="899"/>
      <c r="AD797" s="899"/>
      <c r="AE797" s="899"/>
      <c r="AF797" s="899"/>
      <c r="AG797" s="899"/>
    </row>
    <row r="798" spans="1:34" s="3" customFormat="1" ht="16" customHeight="1">
      <c r="A798" s="7"/>
      <c r="B798" s="10"/>
      <c r="C798" s="12"/>
      <c r="D798" s="896"/>
      <c r="E798" s="896"/>
      <c r="F798" s="896"/>
      <c r="G798" s="896"/>
      <c r="H798" s="896"/>
      <c r="I798" s="896"/>
      <c r="J798" s="896"/>
      <c r="K798" s="896"/>
      <c r="L798" s="897"/>
      <c r="M798" s="896"/>
      <c r="N798" s="889"/>
      <c r="O798" s="896"/>
      <c r="P798" s="889"/>
      <c r="Q798" s="900"/>
      <c r="R798" s="896"/>
      <c r="S798" s="896"/>
      <c r="T798" s="898"/>
      <c r="U798" s="898"/>
      <c r="V798" s="899"/>
      <c r="W798" s="899"/>
      <c r="X798" s="899"/>
      <c r="Y798" s="899"/>
      <c r="Z798" s="899"/>
      <c r="AA798" s="899"/>
      <c r="AB798" s="899"/>
      <c r="AC798" s="899"/>
      <c r="AD798" s="899"/>
      <c r="AE798" s="899"/>
      <c r="AF798" s="899"/>
      <c r="AG798" s="899"/>
    </row>
    <row r="799" spans="1:34" s="3" customFormat="1" ht="16" customHeight="1">
      <c r="A799" s="7"/>
      <c r="B799" s="10"/>
      <c r="C799" s="12"/>
      <c r="D799" s="896"/>
      <c r="E799" s="896"/>
      <c r="F799" s="896"/>
      <c r="G799" s="896"/>
      <c r="H799" s="896"/>
      <c r="I799" s="896"/>
      <c r="J799" s="896"/>
      <c r="K799" s="896"/>
      <c r="L799" s="897"/>
      <c r="M799" s="896"/>
      <c r="N799" s="889"/>
      <c r="O799" s="896"/>
      <c r="P799" s="889"/>
      <c r="Q799" s="900"/>
      <c r="R799" s="896"/>
      <c r="S799" s="896"/>
      <c r="T799" s="898"/>
      <c r="U799" s="898"/>
      <c r="V799" s="899"/>
      <c r="W799" s="899"/>
      <c r="X799" s="899"/>
      <c r="Y799" s="899"/>
      <c r="Z799" s="899"/>
      <c r="AA799" s="899"/>
      <c r="AB799" s="899"/>
      <c r="AC799" s="899"/>
      <c r="AD799" s="899"/>
      <c r="AE799" s="899"/>
      <c r="AF799" s="899"/>
      <c r="AG799" s="899"/>
    </row>
    <row r="800" spans="1:34" s="3" customFormat="1" ht="16" customHeight="1">
      <c r="A800" s="7"/>
      <c r="B800" s="10"/>
      <c r="C800" s="12"/>
      <c r="D800" s="896"/>
      <c r="E800" s="896"/>
      <c r="F800" s="896"/>
      <c r="G800" s="896"/>
      <c r="H800" s="896"/>
      <c r="I800" s="896"/>
      <c r="J800" s="896"/>
      <c r="K800" s="896"/>
      <c r="L800" s="897"/>
      <c r="M800" s="896"/>
      <c r="N800" s="889"/>
      <c r="O800" s="896"/>
      <c r="P800" s="889"/>
      <c r="Q800" s="900"/>
      <c r="R800" s="896"/>
      <c r="S800" s="896"/>
      <c r="T800" s="898"/>
      <c r="U800" s="898"/>
      <c r="V800" s="899"/>
      <c r="W800" s="899"/>
      <c r="X800" s="899"/>
      <c r="Y800" s="899"/>
      <c r="Z800" s="899"/>
      <c r="AA800" s="899"/>
      <c r="AB800" s="899"/>
      <c r="AC800" s="899"/>
      <c r="AD800" s="899"/>
      <c r="AE800" s="899"/>
      <c r="AF800" s="899"/>
      <c r="AG800" s="899"/>
    </row>
    <row r="801" spans="1:34" s="3" customFormat="1" ht="16" customHeight="1">
      <c r="A801" s="7"/>
      <c r="B801" s="10"/>
      <c r="C801" s="12"/>
      <c r="D801" s="896"/>
      <c r="E801" s="896"/>
      <c r="F801" s="896"/>
      <c r="G801" s="896"/>
      <c r="H801" s="896"/>
      <c r="I801" s="896"/>
      <c r="J801" s="896"/>
      <c r="K801" s="896"/>
      <c r="L801" s="897"/>
      <c r="M801" s="896"/>
      <c r="N801" s="889"/>
      <c r="O801" s="896"/>
      <c r="P801" s="889"/>
      <c r="Q801" s="900"/>
      <c r="R801" s="896"/>
      <c r="S801" s="896"/>
      <c r="T801" s="898"/>
      <c r="U801" s="898"/>
      <c r="V801" s="899"/>
      <c r="W801" s="899"/>
      <c r="X801" s="899"/>
      <c r="Y801" s="899"/>
      <c r="Z801" s="899"/>
      <c r="AA801" s="899"/>
      <c r="AB801" s="899"/>
      <c r="AC801" s="899"/>
      <c r="AD801" s="899"/>
      <c r="AE801" s="899"/>
      <c r="AF801" s="899"/>
      <c r="AG801" s="899"/>
    </row>
    <row r="802" spans="1:34" s="3" customFormat="1" ht="16" customHeight="1">
      <c r="A802" s="44"/>
      <c r="B802" s="41"/>
      <c r="C802" s="41"/>
      <c r="D802" s="42"/>
      <c r="E802" s="42"/>
      <c r="F802" s="43"/>
      <c r="G802" s="42"/>
      <c r="H802" s="43"/>
      <c r="I802" s="43"/>
      <c r="J802" s="42"/>
      <c r="K802" s="42"/>
      <c r="L802" s="290"/>
      <c r="M802" s="43"/>
      <c r="N802" s="43"/>
      <c r="O802" s="42"/>
      <c r="P802" s="43"/>
      <c r="Q802" s="43"/>
      <c r="R802" s="42"/>
      <c r="S802" s="43"/>
      <c r="T802" s="42"/>
      <c r="U802" s="42"/>
      <c r="V802" s="44"/>
      <c r="W802" s="44"/>
      <c r="X802" s="44"/>
      <c r="Y802" s="44"/>
      <c r="Z802" s="44"/>
      <c r="AA802" s="44"/>
      <c r="AB802" s="44"/>
      <c r="AC802" s="44"/>
      <c r="AD802" s="44"/>
      <c r="AE802" s="44"/>
      <c r="AF802" s="44"/>
      <c r="AG802" s="44"/>
    </row>
    <row r="803" spans="1:34" s="3" customFormat="1" ht="16" customHeight="1" thickBot="1">
      <c r="A803" s="7"/>
      <c r="B803" s="19" t="str">
        <f>"FA5 = "&amp;'FIG3'!$W$56&amp;" "&amp;'FIG3'!$X$56</f>
        <v>FA5 = FA5L1 FA5L2</v>
      </c>
      <c r="C803" s="7"/>
      <c r="D803" s="8"/>
      <c r="E803" s="8"/>
      <c r="F803" s="9"/>
      <c r="G803" s="8"/>
      <c r="H803" s="9"/>
      <c r="I803" s="9"/>
      <c r="J803" s="8"/>
      <c r="K803" s="8"/>
      <c r="L803" s="280"/>
      <c r="M803" s="9"/>
      <c r="N803" s="9"/>
      <c r="O803" s="8"/>
      <c r="P803" s="9"/>
      <c r="Q803" s="9"/>
      <c r="R803" s="8"/>
      <c r="S803" s="882"/>
      <c r="T803" s="883" t="str">
        <f>'$REV-DB'!$T$34</f>
        <v>Federal Revenues</v>
      </c>
      <c r="U803" s="883" t="str">
        <f>'$REV-DB'!$U$34</f>
        <v>local Revenues</v>
      </c>
      <c r="V803" s="883" t="str">
        <f>'$REV-DB'!$V$34</f>
        <v>Other Revenues</v>
      </c>
      <c r="W803" s="883" t="str">
        <f>'$REV-DB'!$W$34</f>
        <v>State revenues</v>
      </c>
      <c r="X803" s="883" t="str">
        <f>'$REV-DB'!$X$34</f>
        <v>UD5</v>
      </c>
      <c r="Y803" s="883" t="str">
        <f>'$REV-DB'!$Y$34</f>
        <v>UD6</v>
      </c>
      <c r="Z803" s="883" t="str">
        <f>'$REV-DB'!$Z$34</f>
        <v>UD7</v>
      </c>
      <c r="AA803" s="883" t="str">
        <f>'$REV-DB'!$AA$34</f>
        <v>UD8</v>
      </c>
      <c r="AB803" s="883" t="str">
        <f>'$REV-DB'!$AB$34</f>
        <v>UD9</v>
      </c>
      <c r="AC803" s="883" t="str">
        <f>'$REV-DB'!$AC$34</f>
        <v>UD10</v>
      </c>
      <c r="AD803" s="883" t="str">
        <f>'$REV-DB'!$AD$34</f>
        <v>UD11</v>
      </c>
      <c r="AE803" s="883" t="str">
        <f>'$REV-DB'!$AE$34</f>
        <v>UD12</v>
      </c>
      <c r="AF803" s="883" t="str">
        <f>'$REV-DB'!$AF$34</f>
        <v>UD13</v>
      </c>
      <c r="AG803" s="883" t="str">
        <f>'$REV-DB'!$AG$34</f>
        <v>UD14</v>
      </c>
    </row>
    <row r="804" spans="1:34" s="3" customFormat="1" ht="16" customHeight="1" thickTop="1" thickBot="1">
      <c r="A804" s="7"/>
      <c r="B804" s="20" t="s">
        <v>1375</v>
      </c>
      <c r="C804" s="15"/>
      <c r="D804" s="877" t="s">
        <v>1386</v>
      </c>
      <c r="E804" s="877" t="s">
        <v>1387</v>
      </c>
      <c r="F804" s="877" t="s">
        <v>1388</v>
      </c>
      <c r="G804" s="877" t="s">
        <v>1389</v>
      </c>
      <c r="H804" s="877" t="s">
        <v>1406</v>
      </c>
      <c r="I804" s="877" t="s">
        <v>1390</v>
      </c>
      <c r="J804" s="877" t="s">
        <v>1391</v>
      </c>
      <c r="K804" s="877" t="s">
        <v>1392</v>
      </c>
      <c r="L804" s="877" t="s">
        <v>1188</v>
      </c>
      <c r="M804" s="877" t="s">
        <v>1437</v>
      </c>
      <c r="N804" s="877" t="s">
        <v>1348</v>
      </c>
      <c r="O804" s="877" t="s">
        <v>1393</v>
      </c>
      <c r="P804" s="877" t="s">
        <v>1342</v>
      </c>
      <c r="Q804" s="877" t="s">
        <v>1394</v>
      </c>
      <c r="R804" s="112" t="s">
        <v>1341</v>
      </c>
      <c r="S804" s="112" t="s">
        <v>846</v>
      </c>
      <c r="T804" s="877" t="s">
        <v>935</v>
      </c>
      <c r="U804" s="877" t="s">
        <v>936</v>
      </c>
      <c r="V804" s="877" t="s">
        <v>937</v>
      </c>
      <c r="W804" s="877" t="s">
        <v>938</v>
      </c>
      <c r="X804" s="877" t="s">
        <v>939</v>
      </c>
      <c r="Y804" s="877" t="s">
        <v>940</v>
      </c>
      <c r="Z804" s="877" t="s">
        <v>941</v>
      </c>
      <c r="AA804" s="877" t="s">
        <v>942</v>
      </c>
      <c r="AB804" s="877" t="s">
        <v>943</v>
      </c>
      <c r="AC804" s="877" t="s">
        <v>944</v>
      </c>
      <c r="AD804" s="877" t="s">
        <v>945</v>
      </c>
      <c r="AE804" s="877" t="s">
        <v>946</v>
      </c>
      <c r="AF804" s="877" t="s">
        <v>947</v>
      </c>
      <c r="AG804" s="877" t="s">
        <v>948</v>
      </c>
      <c r="AH804" s="6"/>
    </row>
    <row r="805" spans="1:34" s="3" customFormat="1" ht="16" customHeight="1" thickTop="1">
      <c r="A805" s="7"/>
      <c r="B805" s="19" t="s">
        <v>1344</v>
      </c>
      <c r="C805" s="12"/>
      <c r="D805" s="203"/>
      <c r="E805" s="203"/>
      <c r="F805" s="202"/>
      <c r="G805" s="203"/>
      <c r="H805" s="202"/>
      <c r="I805" s="202"/>
      <c r="J805" s="203"/>
      <c r="K805" s="203"/>
      <c r="L805" s="291" t="s">
        <v>1429</v>
      </c>
      <c r="M805" s="202"/>
      <c r="N805" s="45" t="str">
        <f>J$6</f>
        <v>FY2010-11</v>
      </c>
      <c r="O805" s="45" t="s">
        <v>1356</v>
      </c>
      <c r="P805" s="45" t="s">
        <v>1347</v>
      </c>
      <c r="Q805" s="45" t="s">
        <v>1339</v>
      </c>
      <c r="R805" s="203"/>
      <c r="S805" s="202" t="s">
        <v>871</v>
      </c>
      <c r="T805" s="203"/>
      <c r="U805" s="203"/>
      <c r="V805" s="204"/>
      <c r="W805" s="204"/>
      <c r="X805" s="204"/>
      <c r="Y805" s="204"/>
      <c r="Z805" s="204"/>
      <c r="AA805" s="204"/>
      <c r="AB805" s="204"/>
      <c r="AC805" s="204"/>
      <c r="AD805" s="204"/>
      <c r="AE805" s="204"/>
      <c r="AF805" s="204"/>
      <c r="AG805" s="204"/>
      <c r="AH805" s="6"/>
    </row>
    <row r="806" spans="1:34" s="3" customFormat="1" ht="16" customHeight="1">
      <c r="A806" s="7"/>
      <c r="B806" s="16">
        <f>DSUM('$REV-DB'!D35:AG374,"AMOUNT",D804:AG805)</f>
        <v>0</v>
      </c>
      <c r="C806" s="12"/>
      <c r="D806" s="896"/>
      <c r="E806" s="896"/>
      <c r="F806" s="896"/>
      <c r="G806" s="896"/>
      <c r="H806" s="896"/>
      <c r="I806" s="896"/>
      <c r="J806" s="896"/>
      <c r="K806" s="896"/>
      <c r="L806" s="897"/>
      <c r="M806" s="896"/>
      <c r="N806" s="889"/>
      <c r="O806" s="896"/>
      <c r="P806" s="889"/>
      <c r="Q806" s="900"/>
      <c r="R806" s="896"/>
      <c r="S806" s="896"/>
      <c r="T806" s="898"/>
      <c r="U806" s="898"/>
      <c r="V806" s="899"/>
      <c r="W806" s="899"/>
      <c r="X806" s="899"/>
      <c r="Y806" s="899"/>
      <c r="Z806" s="899"/>
      <c r="AA806" s="899"/>
      <c r="AB806" s="899"/>
      <c r="AC806" s="899"/>
      <c r="AD806" s="899"/>
      <c r="AE806" s="899"/>
      <c r="AF806" s="899"/>
      <c r="AG806" s="899"/>
      <c r="AH806" s="6"/>
    </row>
    <row r="807" spans="1:34" s="3" customFormat="1" ht="16" customHeight="1">
      <c r="A807" s="7"/>
      <c r="B807" s="10"/>
      <c r="C807" s="12"/>
      <c r="D807" s="896"/>
      <c r="E807" s="896"/>
      <c r="F807" s="896"/>
      <c r="G807" s="896"/>
      <c r="H807" s="896"/>
      <c r="I807" s="896"/>
      <c r="J807" s="896"/>
      <c r="K807" s="896"/>
      <c r="L807" s="897"/>
      <c r="M807" s="896"/>
      <c r="N807" s="889"/>
      <c r="O807" s="896"/>
      <c r="P807" s="889"/>
      <c r="Q807" s="900"/>
      <c r="R807" s="896"/>
      <c r="S807" s="896"/>
      <c r="T807" s="898"/>
      <c r="U807" s="898"/>
      <c r="V807" s="899"/>
      <c r="W807" s="899"/>
      <c r="X807" s="899"/>
      <c r="Y807" s="899"/>
      <c r="Z807" s="899"/>
      <c r="AA807" s="899"/>
      <c r="AB807" s="899"/>
      <c r="AC807" s="899"/>
      <c r="AD807" s="899"/>
      <c r="AE807" s="899"/>
      <c r="AF807" s="899"/>
      <c r="AG807" s="899"/>
    </row>
    <row r="808" spans="1:34" s="3" customFormat="1" ht="16" customHeight="1">
      <c r="A808" s="7"/>
      <c r="B808" s="10"/>
      <c r="C808" s="12"/>
      <c r="D808" s="896"/>
      <c r="E808" s="896"/>
      <c r="F808" s="896"/>
      <c r="G808" s="896"/>
      <c r="H808" s="896"/>
      <c r="I808" s="896"/>
      <c r="J808" s="896"/>
      <c r="K808" s="896"/>
      <c r="L808" s="897"/>
      <c r="M808" s="896"/>
      <c r="N808" s="889"/>
      <c r="O808" s="896"/>
      <c r="P808" s="889"/>
      <c r="Q808" s="900"/>
      <c r="R808" s="896"/>
      <c r="S808" s="896"/>
      <c r="T808" s="898"/>
      <c r="U808" s="898"/>
      <c r="V808" s="899"/>
      <c r="W808" s="899"/>
      <c r="X808" s="899"/>
      <c r="Y808" s="899"/>
      <c r="Z808" s="899"/>
      <c r="AA808" s="899"/>
      <c r="AB808" s="899"/>
      <c r="AC808" s="899"/>
      <c r="AD808" s="899"/>
      <c r="AE808" s="899"/>
      <c r="AF808" s="899"/>
      <c r="AG808" s="899"/>
    </row>
    <row r="809" spans="1:34" s="3" customFormat="1" ht="16" customHeight="1">
      <c r="A809" s="7"/>
      <c r="B809" s="10"/>
      <c r="C809" s="12"/>
      <c r="D809" s="896"/>
      <c r="E809" s="896"/>
      <c r="F809" s="896"/>
      <c r="G809" s="896"/>
      <c r="H809" s="896"/>
      <c r="I809" s="896"/>
      <c r="J809" s="896"/>
      <c r="K809" s="896"/>
      <c r="L809" s="897"/>
      <c r="M809" s="896"/>
      <c r="N809" s="889"/>
      <c r="O809" s="896"/>
      <c r="P809" s="889"/>
      <c r="Q809" s="900"/>
      <c r="R809" s="896"/>
      <c r="S809" s="896"/>
      <c r="T809" s="898"/>
      <c r="U809" s="898"/>
      <c r="V809" s="899"/>
      <c r="W809" s="899"/>
      <c r="X809" s="899"/>
      <c r="Y809" s="899"/>
      <c r="Z809" s="899"/>
      <c r="AA809" s="899"/>
      <c r="AB809" s="899"/>
      <c r="AC809" s="899"/>
      <c r="AD809" s="899"/>
      <c r="AE809" s="899"/>
      <c r="AF809" s="899"/>
      <c r="AG809" s="899"/>
    </row>
    <row r="810" spans="1:34" s="3" customFormat="1" ht="16" customHeight="1">
      <c r="A810" s="7"/>
      <c r="B810" s="10"/>
      <c r="C810" s="12"/>
      <c r="D810" s="896"/>
      <c r="E810" s="896"/>
      <c r="F810" s="896"/>
      <c r="G810" s="896"/>
      <c r="H810" s="896"/>
      <c r="I810" s="896"/>
      <c r="J810" s="896"/>
      <c r="K810" s="896"/>
      <c r="L810" s="897"/>
      <c r="M810" s="896"/>
      <c r="N810" s="889"/>
      <c r="O810" s="896"/>
      <c r="P810" s="889"/>
      <c r="Q810" s="900"/>
      <c r="R810" s="896"/>
      <c r="S810" s="896"/>
      <c r="T810" s="898"/>
      <c r="U810" s="898"/>
      <c r="V810" s="899"/>
      <c r="W810" s="899"/>
      <c r="X810" s="899"/>
      <c r="Y810" s="899"/>
      <c r="Z810" s="899"/>
      <c r="AA810" s="899"/>
      <c r="AB810" s="899"/>
      <c r="AC810" s="899"/>
      <c r="AD810" s="899"/>
      <c r="AE810" s="899"/>
      <c r="AF810" s="899"/>
      <c r="AG810" s="899"/>
    </row>
    <row r="811" spans="1:34" s="3" customFormat="1" ht="16" customHeight="1">
      <c r="A811" s="7"/>
      <c r="B811" s="10"/>
      <c r="C811" s="12"/>
      <c r="D811" s="896"/>
      <c r="E811" s="896"/>
      <c r="F811" s="896"/>
      <c r="G811" s="896"/>
      <c r="H811" s="896"/>
      <c r="I811" s="896"/>
      <c r="J811" s="896"/>
      <c r="K811" s="896"/>
      <c r="L811" s="897"/>
      <c r="M811" s="896"/>
      <c r="N811" s="889"/>
      <c r="O811" s="896"/>
      <c r="P811" s="889"/>
      <c r="Q811" s="900"/>
      <c r="R811" s="896"/>
      <c r="S811" s="896"/>
      <c r="T811" s="898"/>
      <c r="U811" s="898"/>
      <c r="V811" s="899"/>
      <c r="W811" s="899"/>
      <c r="X811" s="899"/>
      <c r="Y811" s="899"/>
      <c r="Z811" s="899"/>
      <c r="AA811" s="899"/>
      <c r="AB811" s="899"/>
      <c r="AC811" s="899"/>
      <c r="AD811" s="899"/>
      <c r="AE811" s="899"/>
      <c r="AF811" s="899"/>
      <c r="AG811" s="899"/>
    </row>
    <row r="812" spans="1:34" s="3" customFormat="1" ht="16" customHeight="1">
      <c r="A812" s="44"/>
      <c r="B812" s="41"/>
      <c r="C812" s="41"/>
      <c r="D812" s="42"/>
      <c r="E812" s="42"/>
      <c r="F812" s="43"/>
      <c r="G812" s="42"/>
      <c r="H812" s="43"/>
      <c r="I812" s="43"/>
      <c r="J812" s="42"/>
      <c r="K812" s="42"/>
      <c r="L812" s="290"/>
      <c r="M812" s="43"/>
      <c r="N812" s="43"/>
      <c r="O812" s="42"/>
      <c r="P812" s="43"/>
      <c r="Q812" s="43"/>
      <c r="R812" s="42"/>
      <c r="S812" s="43"/>
      <c r="T812" s="42"/>
      <c r="U812" s="42"/>
      <c r="V812" s="44"/>
      <c r="W812" s="44"/>
      <c r="X812" s="44"/>
      <c r="Y812" s="44"/>
      <c r="Z812" s="44"/>
      <c r="AA812" s="44"/>
      <c r="AB812" s="44"/>
      <c r="AC812" s="44"/>
      <c r="AD812" s="44"/>
      <c r="AE812" s="44"/>
      <c r="AF812" s="44"/>
      <c r="AG812" s="44"/>
    </row>
    <row r="813" spans="1:34" s="3" customFormat="1" ht="16" customHeight="1" thickBot="1">
      <c r="A813" s="7"/>
      <c r="B813" s="19" t="str">
        <f>"FA5 = "&amp;'FIG3'!$W$56&amp;" "&amp;'FIG3'!$X$56</f>
        <v>FA5 = FA5L1 FA5L2</v>
      </c>
      <c r="C813" s="7"/>
      <c r="D813" s="8"/>
      <c r="E813" s="8"/>
      <c r="F813" s="9"/>
      <c r="G813" s="8"/>
      <c r="H813" s="9"/>
      <c r="I813" s="9"/>
      <c r="J813" s="8"/>
      <c r="K813" s="8"/>
      <c r="L813" s="280"/>
      <c r="M813" s="9"/>
      <c r="N813" s="9"/>
      <c r="O813" s="8"/>
      <c r="P813" s="9"/>
      <c r="Q813" s="9"/>
      <c r="R813" s="8"/>
      <c r="S813" s="882"/>
      <c r="T813" s="883" t="str">
        <f>'$REV-DB'!$T$34</f>
        <v>Federal Revenues</v>
      </c>
      <c r="U813" s="883" t="str">
        <f>'$REV-DB'!$U$34</f>
        <v>local Revenues</v>
      </c>
      <c r="V813" s="883" t="str">
        <f>'$REV-DB'!$V$34</f>
        <v>Other Revenues</v>
      </c>
      <c r="W813" s="883" t="str">
        <f>'$REV-DB'!$W$34</f>
        <v>State revenues</v>
      </c>
      <c r="X813" s="883" t="str">
        <f>'$REV-DB'!$X$34</f>
        <v>UD5</v>
      </c>
      <c r="Y813" s="883" t="str">
        <f>'$REV-DB'!$Y$34</f>
        <v>UD6</v>
      </c>
      <c r="Z813" s="883" t="str">
        <f>'$REV-DB'!$Z$34</f>
        <v>UD7</v>
      </c>
      <c r="AA813" s="883" t="str">
        <f>'$REV-DB'!$AA$34</f>
        <v>UD8</v>
      </c>
      <c r="AB813" s="883" t="str">
        <f>'$REV-DB'!$AB$34</f>
        <v>UD9</v>
      </c>
      <c r="AC813" s="883" t="str">
        <f>'$REV-DB'!$AC$34</f>
        <v>UD10</v>
      </c>
      <c r="AD813" s="883" t="str">
        <f>'$REV-DB'!$AD$34</f>
        <v>UD11</v>
      </c>
      <c r="AE813" s="883" t="str">
        <f>'$REV-DB'!$AE$34</f>
        <v>UD12</v>
      </c>
      <c r="AF813" s="883" t="str">
        <f>'$REV-DB'!$AF$34</f>
        <v>UD13</v>
      </c>
      <c r="AG813" s="883" t="str">
        <f>'$REV-DB'!$AG$34</f>
        <v>UD14</v>
      </c>
    </row>
    <row r="814" spans="1:34" s="3" customFormat="1" ht="16" customHeight="1" thickTop="1" thickBot="1">
      <c r="A814" s="7"/>
      <c r="B814" s="20" t="s">
        <v>1375</v>
      </c>
      <c r="C814" s="15"/>
      <c r="D814" s="877" t="s">
        <v>1386</v>
      </c>
      <c r="E814" s="877" t="s">
        <v>1387</v>
      </c>
      <c r="F814" s="877" t="s">
        <v>1388</v>
      </c>
      <c r="G814" s="877" t="s">
        <v>1389</v>
      </c>
      <c r="H814" s="877" t="s">
        <v>1406</v>
      </c>
      <c r="I814" s="877" t="s">
        <v>1390</v>
      </c>
      <c r="J814" s="877" t="s">
        <v>1391</v>
      </c>
      <c r="K814" s="877" t="s">
        <v>1392</v>
      </c>
      <c r="L814" s="877" t="s">
        <v>1188</v>
      </c>
      <c r="M814" s="877" t="s">
        <v>1437</v>
      </c>
      <c r="N814" s="877" t="s">
        <v>1348</v>
      </c>
      <c r="O814" s="877" t="s">
        <v>1393</v>
      </c>
      <c r="P814" s="877" t="s">
        <v>1342</v>
      </c>
      <c r="Q814" s="877" t="s">
        <v>1394</v>
      </c>
      <c r="R814" s="112" t="s">
        <v>1341</v>
      </c>
      <c r="S814" s="112" t="s">
        <v>846</v>
      </c>
      <c r="T814" s="877" t="s">
        <v>935</v>
      </c>
      <c r="U814" s="877" t="s">
        <v>936</v>
      </c>
      <c r="V814" s="877" t="s">
        <v>937</v>
      </c>
      <c r="W814" s="877" t="s">
        <v>938</v>
      </c>
      <c r="X814" s="877" t="s">
        <v>939</v>
      </c>
      <c r="Y814" s="877" t="s">
        <v>940</v>
      </c>
      <c r="Z814" s="877" t="s">
        <v>941</v>
      </c>
      <c r="AA814" s="877" t="s">
        <v>942</v>
      </c>
      <c r="AB814" s="877" t="s">
        <v>943</v>
      </c>
      <c r="AC814" s="877" t="s">
        <v>944</v>
      </c>
      <c r="AD814" s="877" t="s">
        <v>945</v>
      </c>
      <c r="AE814" s="877" t="s">
        <v>946</v>
      </c>
      <c r="AF814" s="877" t="s">
        <v>947</v>
      </c>
      <c r="AG814" s="877" t="s">
        <v>948</v>
      </c>
      <c r="AH814" s="6"/>
    </row>
    <row r="815" spans="1:34" s="3" customFormat="1" ht="16" customHeight="1" thickTop="1">
      <c r="A815" s="7"/>
      <c r="B815" s="19" t="s">
        <v>1343</v>
      </c>
      <c r="C815" s="12"/>
      <c r="D815" s="203"/>
      <c r="E815" s="203"/>
      <c r="F815" s="202"/>
      <c r="G815" s="203"/>
      <c r="H815" s="202"/>
      <c r="I815" s="202"/>
      <c r="J815" s="203"/>
      <c r="K815" s="203"/>
      <c r="L815" s="291" t="s">
        <v>1429</v>
      </c>
      <c r="M815" s="202"/>
      <c r="N815" s="45" t="str">
        <f>J$6</f>
        <v>FY2010-11</v>
      </c>
      <c r="O815" s="45" t="s">
        <v>1356</v>
      </c>
      <c r="P815" s="45" t="s">
        <v>1347</v>
      </c>
      <c r="Q815" s="45" t="s">
        <v>1379</v>
      </c>
      <c r="R815" s="203"/>
      <c r="S815" s="202" t="s">
        <v>871</v>
      </c>
      <c r="T815" s="203"/>
      <c r="U815" s="203"/>
      <c r="V815" s="204"/>
      <c r="W815" s="204"/>
      <c r="X815" s="204"/>
      <c r="Y815" s="204"/>
      <c r="Z815" s="204"/>
      <c r="AA815" s="204"/>
      <c r="AB815" s="204"/>
      <c r="AC815" s="204"/>
      <c r="AD815" s="204"/>
      <c r="AE815" s="204"/>
      <c r="AF815" s="204"/>
      <c r="AG815" s="204"/>
      <c r="AH815" s="6"/>
    </row>
    <row r="816" spans="1:34" s="3" customFormat="1" ht="16" customHeight="1">
      <c r="A816" s="7"/>
      <c r="B816" s="16">
        <f>DSUM('$REV-DB'!D35:AG374,"AMOUNT",D814:AG815)</f>
        <v>0</v>
      </c>
      <c r="C816" s="12"/>
      <c r="D816" s="896"/>
      <c r="E816" s="896"/>
      <c r="F816" s="896"/>
      <c r="G816" s="896"/>
      <c r="H816" s="896"/>
      <c r="I816" s="896"/>
      <c r="J816" s="896"/>
      <c r="K816" s="896"/>
      <c r="L816" s="897"/>
      <c r="M816" s="896"/>
      <c r="N816" s="889"/>
      <c r="O816" s="896"/>
      <c r="P816" s="889"/>
      <c r="Q816" s="900"/>
      <c r="R816" s="896"/>
      <c r="S816" s="896"/>
      <c r="T816" s="898"/>
      <c r="U816" s="898"/>
      <c r="V816" s="899"/>
      <c r="W816" s="899"/>
      <c r="X816" s="899"/>
      <c r="Y816" s="899"/>
      <c r="Z816" s="899"/>
      <c r="AA816" s="899"/>
      <c r="AB816" s="899"/>
      <c r="AC816" s="899"/>
      <c r="AD816" s="899"/>
      <c r="AE816" s="899"/>
      <c r="AF816" s="899"/>
      <c r="AG816" s="899"/>
      <c r="AH816" s="6"/>
    </row>
    <row r="817" spans="1:34" s="3" customFormat="1" ht="16" customHeight="1">
      <c r="A817" s="7"/>
      <c r="B817" s="10"/>
      <c r="C817" s="12"/>
      <c r="D817" s="896"/>
      <c r="E817" s="896"/>
      <c r="F817" s="896"/>
      <c r="G817" s="896"/>
      <c r="H817" s="896"/>
      <c r="I817" s="896"/>
      <c r="J817" s="896"/>
      <c r="K817" s="896"/>
      <c r="L817" s="897"/>
      <c r="M817" s="896"/>
      <c r="N817" s="889"/>
      <c r="O817" s="896"/>
      <c r="P817" s="889"/>
      <c r="Q817" s="900"/>
      <c r="R817" s="896"/>
      <c r="S817" s="896"/>
      <c r="T817" s="898"/>
      <c r="U817" s="898"/>
      <c r="V817" s="899"/>
      <c r="W817" s="899"/>
      <c r="X817" s="899"/>
      <c r="Y817" s="899"/>
      <c r="Z817" s="899"/>
      <c r="AA817" s="899"/>
      <c r="AB817" s="899"/>
      <c r="AC817" s="899"/>
      <c r="AD817" s="899"/>
      <c r="AE817" s="899"/>
      <c r="AF817" s="899"/>
      <c r="AG817" s="899"/>
    </row>
    <row r="818" spans="1:34" s="3" customFormat="1" ht="16" customHeight="1">
      <c r="A818" s="7"/>
      <c r="B818" s="10"/>
      <c r="C818" s="12"/>
      <c r="D818" s="896"/>
      <c r="E818" s="896"/>
      <c r="F818" s="896"/>
      <c r="G818" s="896"/>
      <c r="H818" s="896"/>
      <c r="I818" s="896"/>
      <c r="J818" s="896"/>
      <c r="K818" s="896"/>
      <c r="L818" s="897"/>
      <c r="M818" s="896"/>
      <c r="N818" s="889"/>
      <c r="O818" s="896"/>
      <c r="P818" s="889"/>
      <c r="Q818" s="900"/>
      <c r="R818" s="896"/>
      <c r="S818" s="896"/>
      <c r="T818" s="898"/>
      <c r="U818" s="898"/>
      <c r="V818" s="899"/>
      <c r="W818" s="899"/>
      <c r="X818" s="899"/>
      <c r="Y818" s="899"/>
      <c r="Z818" s="899"/>
      <c r="AA818" s="899"/>
      <c r="AB818" s="899"/>
      <c r="AC818" s="899"/>
      <c r="AD818" s="899"/>
      <c r="AE818" s="899"/>
      <c r="AF818" s="899"/>
      <c r="AG818" s="899"/>
    </row>
    <row r="819" spans="1:34" s="3" customFormat="1" ht="16" customHeight="1">
      <c r="A819" s="7"/>
      <c r="B819" s="10"/>
      <c r="C819" s="12"/>
      <c r="D819" s="896"/>
      <c r="E819" s="896"/>
      <c r="F819" s="896"/>
      <c r="G819" s="896"/>
      <c r="H819" s="896"/>
      <c r="I819" s="896"/>
      <c r="J819" s="896"/>
      <c r="K819" s="896"/>
      <c r="L819" s="897"/>
      <c r="M819" s="896"/>
      <c r="N819" s="889"/>
      <c r="O819" s="896"/>
      <c r="P819" s="889"/>
      <c r="Q819" s="900"/>
      <c r="R819" s="896"/>
      <c r="S819" s="896"/>
      <c r="T819" s="898"/>
      <c r="U819" s="898"/>
      <c r="V819" s="899"/>
      <c r="W819" s="899"/>
      <c r="X819" s="899"/>
      <c r="Y819" s="899"/>
      <c r="Z819" s="899"/>
      <c r="AA819" s="899"/>
      <c r="AB819" s="899"/>
      <c r="AC819" s="899"/>
      <c r="AD819" s="899"/>
      <c r="AE819" s="899"/>
      <c r="AF819" s="899"/>
      <c r="AG819" s="899"/>
    </row>
    <row r="820" spans="1:34" s="3" customFormat="1" ht="16" customHeight="1">
      <c r="A820" s="7"/>
      <c r="B820" s="10"/>
      <c r="C820" s="12"/>
      <c r="D820" s="896"/>
      <c r="E820" s="896"/>
      <c r="F820" s="896"/>
      <c r="G820" s="896"/>
      <c r="H820" s="896"/>
      <c r="I820" s="896"/>
      <c r="J820" s="896"/>
      <c r="K820" s="896"/>
      <c r="L820" s="897"/>
      <c r="M820" s="896"/>
      <c r="N820" s="889"/>
      <c r="O820" s="896"/>
      <c r="P820" s="889"/>
      <c r="Q820" s="900"/>
      <c r="R820" s="896"/>
      <c r="S820" s="896"/>
      <c r="T820" s="898"/>
      <c r="U820" s="898"/>
      <c r="V820" s="899"/>
      <c r="W820" s="899"/>
      <c r="X820" s="899"/>
      <c r="Y820" s="899"/>
      <c r="Z820" s="899"/>
      <c r="AA820" s="899"/>
      <c r="AB820" s="899"/>
      <c r="AC820" s="899"/>
      <c r="AD820" s="899"/>
      <c r="AE820" s="899"/>
      <c r="AF820" s="899"/>
      <c r="AG820" s="899"/>
    </row>
    <row r="821" spans="1:34" s="3" customFormat="1" ht="16" customHeight="1">
      <c r="A821" s="7"/>
      <c r="B821" s="10"/>
      <c r="C821" s="12"/>
      <c r="D821" s="896"/>
      <c r="E821" s="896"/>
      <c r="F821" s="896"/>
      <c r="G821" s="896"/>
      <c r="H821" s="896"/>
      <c r="I821" s="896"/>
      <c r="J821" s="896"/>
      <c r="K821" s="896"/>
      <c r="L821" s="897"/>
      <c r="M821" s="896"/>
      <c r="N821" s="889"/>
      <c r="O821" s="896"/>
      <c r="P821" s="889"/>
      <c r="Q821" s="900"/>
      <c r="R821" s="896"/>
      <c r="S821" s="896"/>
      <c r="T821" s="898"/>
      <c r="U821" s="898"/>
      <c r="V821" s="899"/>
      <c r="W821" s="899"/>
      <c r="X821" s="899"/>
      <c r="Y821" s="899"/>
      <c r="Z821" s="899"/>
      <c r="AA821" s="899"/>
      <c r="AB821" s="899"/>
      <c r="AC821" s="899"/>
      <c r="AD821" s="899"/>
      <c r="AE821" s="899"/>
      <c r="AF821" s="899"/>
      <c r="AG821" s="899"/>
    </row>
    <row r="822" spans="1:34" s="3" customFormat="1" ht="16" customHeight="1">
      <c r="A822" s="44"/>
      <c r="B822" s="41"/>
      <c r="C822" s="41"/>
      <c r="D822" s="42"/>
      <c r="E822" s="42"/>
      <c r="F822" s="43"/>
      <c r="G822" s="42"/>
      <c r="H822" s="43"/>
      <c r="I822" s="43"/>
      <c r="J822" s="42"/>
      <c r="K822" s="42"/>
      <c r="L822" s="290"/>
      <c r="M822" s="43"/>
      <c r="N822" s="43"/>
      <c r="O822" s="42"/>
      <c r="P822" s="43"/>
      <c r="Q822" s="43"/>
      <c r="R822" s="42"/>
      <c r="S822" s="43"/>
      <c r="T822" s="42"/>
      <c r="U822" s="42"/>
      <c r="V822" s="44"/>
      <c r="W822" s="44"/>
      <c r="X822" s="44"/>
      <c r="Y822" s="44"/>
      <c r="Z822" s="44"/>
      <c r="AA822" s="44"/>
      <c r="AB822" s="44"/>
      <c r="AC822" s="44"/>
      <c r="AD822" s="44"/>
      <c r="AE822" s="44"/>
      <c r="AF822" s="44"/>
      <c r="AG822" s="44"/>
    </row>
    <row r="823" spans="1:34" s="3" customFormat="1" ht="16" customHeight="1" thickBot="1">
      <c r="A823" s="7"/>
      <c r="B823" s="19" t="str">
        <f>"FA5 = "&amp;'FIG3'!$W$56&amp;" "&amp;'FIG3'!$X$56</f>
        <v>FA5 = FA5L1 FA5L2</v>
      </c>
      <c r="C823" s="7"/>
      <c r="D823" s="8"/>
      <c r="E823" s="8"/>
      <c r="F823" s="9"/>
      <c r="G823" s="8"/>
      <c r="H823" s="9"/>
      <c r="I823" s="9"/>
      <c r="J823" s="8"/>
      <c r="K823" s="8"/>
      <c r="L823" s="280"/>
      <c r="M823" s="9"/>
      <c r="N823" s="9"/>
      <c r="O823" s="8"/>
      <c r="P823" s="9"/>
      <c r="Q823" s="9"/>
      <c r="R823" s="8"/>
      <c r="S823" s="882"/>
      <c r="T823" s="883" t="str">
        <f>'$REV-DB'!$T$34</f>
        <v>Federal Revenues</v>
      </c>
      <c r="U823" s="883" t="str">
        <f>'$REV-DB'!$U$34</f>
        <v>local Revenues</v>
      </c>
      <c r="V823" s="883" t="str">
        <f>'$REV-DB'!$V$34</f>
        <v>Other Revenues</v>
      </c>
      <c r="W823" s="883" t="str">
        <f>'$REV-DB'!$W$34</f>
        <v>State revenues</v>
      </c>
      <c r="X823" s="883" t="str">
        <f>'$REV-DB'!$X$34</f>
        <v>UD5</v>
      </c>
      <c r="Y823" s="883" t="str">
        <f>'$REV-DB'!$Y$34</f>
        <v>UD6</v>
      </c>
      <c r="Z823" s="883" t="str">
        <f>'$REV-DB'!$Z$34</f>
        <v>UD7</v>
      </c>
      <c r="AA823" s="883" t="str">
        <f>'$REV-DB'!$AA$34</f>
        <v>UD8</v>
      </c>
      <c r="AB823" s="883" t="str">
        <f>'$REV-DB'!$AB$34</f>
        <v>UD9</v>
      </c>
      <c r="AC823" s="883" t="str">
        <f>'$REV-DB'!$AC$34</f>
        <v>UD10</v>
      </c>
      <c r="AD823" s="883" t="str">
        <f>'$REV-DB'!$AD$34</f>
        <v>UD11</v>
      </c>
      <c r="AE823" s="883" t="str">
        <f>'$REV-DB'!$AE$34</f>
        <v>UD12</v>
      </c>
      <c r="AF823" s="883" t="str">
        <f>'$REV-DB'!$AF$34</f>
        <v>UD13</v>
      </c>
      <c r="AG823" s="883" t="str">
        <f>'$REV-DB'!$AG$34</f>
        <v>UD14</v>
      </c>
    </row>
    <row r="824" spans="1:34" s="3" customFormat="1" ht="16" customHeight="1" thickTop="1" thickBot="1">
      <c r="A824" s="7"/>
      <c r="B824" s="20" t="s">
        <v>1375</v>
      </c>
      <c r="C824" s="15"/>
      <c r="D824" s="877" t="s">
        <v>1386</v>
      </c>
      <c r="E824" s="877" t="s">
        <v>1387</v>
      </c>
      <c r="F824" s="877" t="s">
        <v>1388</v>
      </c>
      <c r="G824" s="877" t="s">
        <v>1389</v>
      </c>
      <c r="H824" s="877" t="s">
        <v>1406</v>
      </c>
      <c r="I824" s="877" t="s">
        <v>1390</v>
      </c>
      <c r="J824" s="877" t="s">
        <v>1391</v>
      </c>
      <c r="K824" s="877" t="s">
        <v>1392</v>
      </c>
      <c r="L824" s="877" t="s">
        <v>1188</v>
      </c>
      <c r="M824" s="877" t="s">
        <v>1437</v>
      </c>
      <c r="N824" s="877" t="s">
        <v>1348</v>
      </c>
      <c r="O824" s="877" t="s">
        <v>1393</v>
      </c>
      <c r="P824" s="877" t="s">
        <v>1342</v>
      </c>
      <c r="Q824" s="877" t="s">
        <v>1394</v>
      </c>
      <c r="R824" s="112" t="s">
        <v>1341</v>
      </c>
      <c r="S824" s="112" t="s">
        <v>846</v>
      </c>
      <c r="T824" s="877" t="s">
        <v>935</v>
      </c>
      <c r="U824" s="877" t="s">
        <v>936</v>
      </c>
      <c r="V824" s="877" t="s">
        <v>937</v>
      </c>
      <c r="W824" s="877" t="s">
        <v>938</v>
      </c>
      <c r="X824" s="877" t="s">
        <v>939</v>
      </c>
      <c r="Y824" s="877" t="s">
        <v>940</v>
      </c>
      <c r="Z824" s="877" t="s">
        <v>941</v>
      </c>
      <c r="AA824" s="877" t="s">
        <v>942</v>
      </c>
      <c r="AB824" s="877" t="s">
        <v>943</v>
      </c>
      <c r="AC824" s="877" t="s">
        <v>944</v>
      </c>
      <c r="AD824" s="877" t="s">
        <v>945</v>
      </c>
      <c r="AE824" s="877" t="s">
        <v>946</v>
      </c>
      <c r="AF824" s="877" t="s">
        <v>947</v>
      </c>
      <c r="AG824" s="877" t="s">
        <v>948</v>
      </c>
      <c r="AH824" s="6"/>
    </row>
    <row r="825" spans="1:34" s="3" customFormat="1" ht="16" customHeight="1" thickTop="1">
      <c r="A825" s="7"/>
      <c r="B825" s="19" t="s">
        <v>1349</v>
      </c>
      <c r="C825" s="12"/>
      <c r="D825" s="203"/>
      <c r="E825" s="203"/>
      <c r="F825" s="202"/>
      <c r="G825" s="203"/>
      <c r="H825" s="202"/>
      <c r="I825" s="202"/>
      <c r="J825" s="203"/>
      <c r="K825" s="203"/>
      <c r="L825" s="291" t="s">
        <v>1429</v>
      </c>
      <c r="M825" s="202"/>
      <c r="N825" s="45" t="str">
        <f>J$6</f>
        <v>FY2010-11</v>
      </c>
      <c r="O825" s="45" t="s">
        <v>1356</v>
      </c>
      <c r="P825" s="45" t="s">
        <v>1347</v>
      </c>
      <c r="Q825" s="45" t="s">
        <v>1397</v>
      </c>
      <c r="R825" s="203"/>
      <c r="S825" s="202" t="s">
        <v>871</v>
      </c>
      <c r="T825" s="203"/>
      <c r="U825" s="203"/>
      <c r="V825" s="204"/>
      <c r="W825" s="204"/>
      <c r="X825" s="204"/>
      <c r="Y825" s="204"/>
      <c r="Z825" s="204"/>
      <c r="AA825" s="204"/>
      <c r="AB825" s="204"/>
      <c r="AC825" s="204"/>
      <c r="AD825" s="204"/>
      <c r="AE825" s="204"/>
      <c r="AF825" s="204"/>
      <c r="AG825" s="204"/>
      <c r="AH825" s="6"/>
    </row>
    <row r="826" spans="1:34" s="3" customFormat="1" ht="16" customHeight="1">
      <c r="A826" s="7"/>
      <c r="B826" s="16">
        <f>DSUM('$REV-DB'!D35:AG374,"AMOUNT",D824:AG825)</f>
        <v>0</v>
      </c>
      <c r="C826" s="12"/>
      <c r="D826" s="896"/>
      <c r="E826" s="896"/>
      <c r="F826" s="896"/>
      <c r="G826" s="896"/>
      <c r="H826" s="896"/>
      <c r="I826" s="896"/>
      <c r="J826" s="896"/>
      <c r="K826" s="896"/>
      <c r="L826" s="897"/>
      <c r="M826" s="896"/>
      <c r="N826" s="889"/>
      <c r="O826" s="896"/>
      <c r="P826" s="889"/>
      <c r="Q826" s="900"/>
      <c r="R826" s="896"/>
      <c r="S826" s="896"/>
      <c r="T826" s="898"/>
      <c r="U826" s="898"/>
      <c r="V826" s="899"/>
      <c r="W826" s="899"/>
      <c r="X826" s="899"/>
      <c r="Y826" s="899"/>
      <c r="Z826" s="899"/>
      <c r="AA826" s="899"/>
      <c r="AB826" s="899"/>
      <c r="AC826" s="899"/>
      <c r="AD826" s="899"/>
      <c r="AE826" s="899"/>
      <c r="AF826" s="899"/>
      <c r="AG826" s="899"/>
      <c r="AH826" s="6"/>
    </row>
    <row r="827" spans="1:34" s="3" customFormat="1" ht="16" customHeight="1">
      <c r="A827" s="7"/>
      <c r="B827" s="10"/>
      <c r="C827" s="12"/>
      <c r="D827" s="896"/>
      <c r="E827" s="896"/>
      <c r="F827" s="896"/>
      <c r="G827" s="896"/>
      <c r="H827" s="896"/>
      <c r="I827" s="896"/>
      <c r="J827" s="896"/>
      <c r="K827" s="896"/>
      <c r="L827" s="897"/>
      <c r="M827" s="896"/>
      <c r="N827" s="889"/>
      <c r="O827" s="896"/>
      <c r="P827" s="889"/>
      <c r="Q827" s="900"/>
      <c r="R827" s="896"/>
      <c r="S827" s="896"/>
      <c r="T827" s="898"/>
      <c r="U827" s="898"/>
      <c r="V827" s="899"/>
      <c r="W827" s="899"/>
      <c r="X827" s="899"/>
      <c r="Y827" s="899"/>
      <c r="Z827" s="899"/>
      <c r="AA827" s="899"/>
      <c r="AB827" s="899"/>
      <c r="AC827" s="899"/>
      <c r="AD827" s="899"/>
      <c r="AE827" s="899"/>
      <c r="AF827" s="899"/>
      <c r="AG827" s="899"/>
    </row>
    <row r="828" spans="1:34" s="3" customFormat="1" ht="16" customHeight="1">
      <c r="A828" s="7"/>
      <c r="B828" s="10"/>
      <c r="C828" s="12"/>
      <c r="D828" s="896"/>
      <c r="E828" s="896"/>
      <c r="F828" s="896"/>
      <c r="G828" s="896"/>
      <c r="H828" s="896"/>
      <c r="I828" s="896"/>
      <c r="J828" s="896"/>
      <c r="K828" s="896"/>
      <c r="L828" s="897"/>
      <c r="M828" s="896"/>
      <c r="N828" s="889"/>
      <c r="O828" s="896"/>
      <c r="P828" s="889"/>
      <c r="Q828" s="900"/>
      <c r="R828" s="896"/>
      <c r="S828" s="896"/>
      <c r="T828" s="898"/>
      <c r="U828" s="898"/>
      <c r="V828" s="899"/>
      <c r="W828" s="899"/>
      <c r="X828" s="899"/>
      <c r="Y828" s="899"/>
      <c r="Z828" s="899"/>
      <c r="AA828" s="899"/>
      <c r="AB828" s="899"/>
      <c r="AC828" s="899"/>
      <c r="AD828" s="899"/>
      <c r="AE828" s="899"/>
      <c r="AF828" s="899"/>
      <c r="AG828" s="899"/>
    </row>
    <row r="829" spans="1:34" s="3" customFormat="1" ht="16" customHeight="1">
      <c r="A829" s="7"/>
      <c r="B829" s="10"/>
      <c r="C829" s="12"/>
      <c r="D829" s="896"/>
      <c r="E829" s="896"/>
      <c r="F829" s="896"/>
      <c r="G829" s="896"/>
      <c r="H829" s="896"/>
      <c r="I829" s="896"/>
      <c r="J829" s="896"/>
      <c r="K829" s="896"/>
      <c r="L829" s="897"/>
      <c r="M829" s="896"/>
      <c r="N829" s="889"/>
      <c r="O829" s="896"/>
      <c r="P829" s="889"/>
      <c r="Q829" s="900"/>
      <c r="R829" s="896"/>
      <c r="S829" s="896"/>
      <c r="T829" s="898"/>
      <c r="U829" s="898"/>
      <c r="V829" s="899"/>
      <c r="W829" s="899"/>
      <c r="X829" s="899"/>
      <c r="Y829" s="899"/>
      <c r="Z829" s="899"/>
      <c r="AA829" s="899"/>
      <c r="AB829" s="899"/>
      <c r="AC829" s="899"/>
      <c r="AD829" s="899"/>
      <c r="AE829" s="899"/>
      <c r="AF829" s="899"/>
      <c r="AG829" s="899"/>
    </row>
    <row r="830" spans="1:34" s="3" customFormat="1" ht="16" customHeight="1">
      <c r="A830" s="7"/>
      <c r="B830" s="10"/>
      <c r="C830" s="12"/>
      <c r="D830" s="896"/>
      <c r="E830" s="896"/>
      <c r="F830" s="896"/>
      <c r="G830" s="896"/>
      <c r="H830" s="896"/>
      <c r="I830" s="896"/>
      <c r="J830" s="896"/>
      <c r="K830" s="896"/>
      <c r="L830" s="897"/>
      <c r="M830" s="896"/>
      <c r="N830" s="889"/>
      <c r="O830" s="896"/>
      <c r="P830" s="889"/>
      <c r="Q830" s="900"/>
      <c r="R830" s="896"/>
      <c r="S830" s="896"/>
      <c r="T830" s="898"/>
      <c r="U830" s="898"/>
      <c r="V830" s="899"/>
      <c r="W830" s="899"/>
      <c r="X830" s="899"/>
      <c r="Y830" s="899"/>
      <c r="Z830" s="899"/>
      <c r="AA830" s="899"/>
      <c r="AB830" s="899"/>
      <c r="AC830" s="899"/>
      <c r="AD830" s="899"/>
      <c r="AE830" s="899"/>
      <c r="AF830" s="899"/>
      <c r="AG830" s="899"/>
    </row>
    <row r="831" spans="1:34" s="3" customFormat="1" ht="16" customHeight="1">
      <c r="A831" s="7"/>
      <c r="B831" s="10"/>
      <c r="C831" s="12"/>
      <c r="D831" s="896"/>
      <c r="E831" s="896"/>
      <c r="F831" s="896"/>
      <c r="G831" s="896"/>
      <c r="H831" s="896"/>
      <c r="I831" s="896"/>
      <c r="J831" s="896"/>
      <c r="K831" s="896"/>
      <c r="L831" s="897"/>
      <c r="M831" s="896"/>
      <c r="N831" s="889"/>
      <c r="O831" s="896"/>
      <c r="P831" s="889"/>
      <c r="Q831" s="900"/>
      <c r="R831" s="896"/>
      <c r="S831" s="896"/>
      <c r="T831" s="898"/>
      <c r="U831" s="898"/>
      <c r="V831" s="899"/>
      <c r="W831" s="899"/>
      <c r="X831" s="899"/>
      <c r="Y831" s="899"/>
      <c r="Z831" s="899"/>
      <c r="AA831" s="899"/>
      <c r="AB831" s="899"/>
      <c r="AC831" s="899"/>
      <c r="AD831" s="899"/>
      <c r="AE831" s="899"/>
      <c r="AF831" s="899"/>
      <c r="AG831" s="899"/>
    </row>
    <row r="832" spans="1:34" s="3" customFormat="1" ht="16" customHeight="1">
      <c r="A832" s="44"/>
      <c r="B832" s="41"/>
      <c r="C832" s="41"/>
      <c r="D832" s="42"/>
      <c r="E832" s="42"/>
      <c r="F832" s="43"/>
      <c r="G832" s="42"/>
      <c r="H832" s="43"/>
      <c r="I832" s="43"/>
      <c r="J832" s="42"/>
      <c r="K832" s="42"/>
      <c r="L832" s="290"/>
      <c r="M832" s="43"/>
      <c r="N832" s="43"/>
      <c r="O832" s="42"/>
      <c r="P832" s="43"/>
      <c r="Q832" s="43"/>
      <c r="R832" s="42"/>
      <c r="S832" s="43"/>
      <c r="T832" s="42"/>
      <c r="U832" s="42"/>
      <c r="V832" s="44"/>
      <c r="W832" s="44"/>
      <c r="X832" s="44"/>
      <c r="Y832" s="44"/>
      <c r="Z832" s="44"/>
      <c r="AA832" s="44"/>
      <c r="AB832" s="44"/>
      <c r="AC832" s="44"/>
      <c r="AD832" s="44"/>
      <c r="AE832" s="44"/>
      <c r="AF832" s="44"/>
      <c r="AG832" s="44"/>
    </row>
    <row r="833" spans="1:34" s="3" customFormat="1" ht="16" customHeight="1" thickBot="1">
      <c r="A833" s="7"/>
      <c r="B833" s="19" t="str">
        <f>"FA5 = "&amp;'FIG3'!$W$56&amp;" "&amp;'FIG3'!$X$56</f>
        <v>FA5 = FA5L1 FA5L2</v>
      </c>
      <c r="C833" s="7"/>
      <c r="D833" s="8"/>
      <c r="E833" s="8"/>
      <c r="F833" s="9"/>
      <c r="G833" s="8"/>
      <c r="H833" s="9"/>
      <c r="I833" s="9"/>
      <c r="J833" s="8"/>
      <c r="K833" s="8"/>
      <c r="L833" s="280"/>
      <c r="M833" s="9"/>
      <c r="N833" s="9"/>
      <c r="O833" s="8"/>
      <c r="P833" s="9"/>
      <c r="Q833" s="9"/>
      <c r="R833" s="8"/>
      <c r="S833" s="882"/>
      <c r="T833" s="883" t="str">
        <f>'$REV-DB'!$T$34</f>
        <v>Federal Revenues</v>
      </c>
      <c r="U833" s="883" t="str">
        <f>'$REV-DB'!$U$34</f>
        <v>local Revenues</v>
      </c>
      <c r="V833" s="883" t="str">
        <f>'$REV-DB'!$V$34</f>
        <v>Other Revenues</v>
      </c>
      <c r="W833" s="883" t="str">
        <f>'$REV-DB'!$W$34</f>
        <v>State revenues</v>
      </c>
      <c r="X833" s="883" t="str">
        <f>'$REV-DB'!$X$34</f>
        <v>UD5</v>
      </c>
      <c r="Y833" s="883" t="str">
        <f>'$REV-DB'!$Y$34</f>
        <v>UD6</v>
      </c>
      <c r="Z833" s="883" t="str">
        <f>'$REV-DB'!$Z$34</f>
        <v>UD7</v>
      </c>
      <c r="AA833" s="883" t="str">
        <f>'$REV-DB'!$AA$34</f>
        <v>UD8</v>
      </c>
      <c r="AB833" s="883" t="str">
        <f>'$REV-DB'!$AB$34</f>
        <v>UD9</v>
      </c>
      <c r="AC833" s="883" t="str">
        <f>'$REV-DB'!$AC$34</f>
        <v>UD10</v>
      </c>
      <c r="AD833" s="883" t="str">
        <f>'$REV-DB'!$AD$34</f>
        <v>UD11</v>
      </c>
      <c r="AE833" s="883" t="str">
        <f>'$REV-DB'!$AE$34</f>
        <v>UD12</v>
      </c>
      <c r="AF833" s="883" t="str">
        <f>'$REV-DB'!$AF$34</f>
        <v>UD13</v>
      </c>
      <c r="AG833" s="883" t="str">
        <f>'$REV-DB'!$AG$34</f>
        <v>UD14</v>
      </c>
    </row>
    <row r="834" spans="1:34" s="3" customFormat="1" ht="16" customHeight="1" thickTop="1" thickBot="1">
      <c r="A834" s="7"/>
      <c r="B834" s="20" t="s">
        <v>1375</v>
      </c>
      <c r="C834" s="15"/>
      <c r="D834" s="877" t="s">
        <v>1386</v>
      </c>
      <c r="E834" s="877" t="s">
        <v>1387</v>
      </c>
      <c r="F834" s="877" t="s">
        <v>1388</v>
      </c>
      <c r="G834" s="877" t="s">
        <v>1389</v>
      </c>
      <c r="H834" s="877" t="s">
        <v>1406</v>
      </c>
      <c r="I834" s="877" t="s">
        <v>1390</v>
      </c>
      <c r="J834" s="877" t="s">
        <v>1391</v>
      </c>
      <c r="K834" s="877" t="s">
        <v>1392</v>
      </c>
      <c r="L834" s="877" t="s">
        <v>1188</v>
      </c>
      <c r="M834" s="877" t="s">
        <v>1437</v>
      </c>
      <c r="N834" s="877" t="s">
        <v>1348</v>
      </c>
      <c r="O834" s="877" t="s">
        <v>1393</v>
      </c>
      <c r="P834" s="877" t="s">
        <v>1342</v>
      </c>
      <c r="Q834" s="877" t="s">
        <v>1394</v>
      </c>
      <c r="R834" s="112" t="s">
        <v>1341</v>
      </c>
      <c r="S834" s="112" t="s">
        <v>846</v>
      </c>
      <c r="T834" s="877" t="s">
        <v>935</v>
      </c>
      <c r="U834" s="877" t="s">
        <v>936</v>
      </c>
      <c r="V834" s="877" t="s">
        <v>937</v>
      </c>
      <c r="W834" s="877" t="s">
        <v>938</v>
      </c>
      <c r="X834" s="877" t="s">
        <v>939</v>
      </c>
      <c r="Y834" s="877" t="s">
        <v>940</v>
      </c>
      <c r="Z834" s="877" t="s">
        <v>941</v>
      </c>
      <c r="AA834" s="877" t="s">
        <v>942</v>
      </c>
      <c r="AB834" s="877" t="s">
        <v>943</v>
      </c>
      <c r="AC834" s="877" t="s">
        <v>944</v>
      </c>
      <c r="AD834" s="877" t="s">
        <v>945</v>
      </c>
      <c r="AE834" s="877" t="s">
        <v>946</v>
      </c>
      <c r="AF834" s="877" t="s">
        <v>947</v>
      </c>
      <c r="AG834" s="877" t="s">
        <v>948</v>
      </c>
      <c r="AH834" s="6"/>
    </row>
    <row r="835" spans="1:34" s="3" customFormat="1" ht="16" customHeight="1" thickTop="1">
      <c r="A835" s="7"/>
      <c r="B835" s="19" t="s">
        <v>1178</v>
      </c>
      <c r="C835" s="12"/>
      <c r="D835" s="203"/>
      <c r="E835" s="203"/>
      <c r="F835" s="202"/>
      <c r="G835" s="203"/>
      <c r="H835" s="202"/>
      <c r="I835" s="202"/>
      <c r="J835" s="203"/>
      <c r="K835" s="203"/>
      <c r="L835" s="291" t="s">
        <v>1429</v>
      </c>
      <c r="M835" s="202"/>
      <c r="N835" s="45" t="str">
        <f>J$6</f>
        <v>FY2010-11</v>
      </c>
      <c r="O835" s="45" t="s">
        <v>1356</v>
      </c>
      <c r="P835" s="45" t="s">
        <v>1347</v>
      </c>
      <c r="Q835" s="45" t="s">
        <v>1465</v>
      </c>
      <c r="R835" s="203"/>
      <c r="S835" s="202" t="s">
        <v>871</v>
      </c>
      <c r="T835" s="203"/>
      <c r="U835" s="203"/>
      <c r="V835" s="204"/>
      <c r="W835" s="204"/>
      <c r="X835" s="204"/>
      <c r="Y835" s="204"/>
      <c r="Z835" s="204"/>
      <c r="AA835" s="204"/>
      <c r="AB835" s="204"/>
      <c r="AC835" s="204"/>
      <c r="AD835" s="204"/>
      <c r="AE835" s="204"/>
      <c r="AF835" s="204"/>
      <c r="AG835" s="204"/>
      <c r="AH835" s="6"/>
    </row>
    <row r="836" spans="1:34" s="3" customFormat="1" ht="16" customHeight="1">
      <c r="A836" s="7"/>
      <c r="B836" s="16">
        <f>DSUM('$REV-DB'!D35:AG374,"AMOUNT",D834:AG835)</f>
        <v>0</v>
      </c>
      <c r="C836" s="12"/>
      <c r="D836" s="896"/>
      <c r="E836" s="896"/>
      <c r="F836" s="896"/>
      <c r="G836" s="896"/>
      <c r="H836" s="896"/>
      <c r="I836" s="896"/>
      <c r="J836" s="896"/>
      <c r="K836" s="896"/>
      <c r="L836" s="897"/>
      <c r="M836" s="896"/>
      <c r="N836" s="889"/>
      <c r="O836" s="896"/>
      <c r="P836" s="889"/>
      <c r="Q836" s="900"/>
      <c r="R836" s="896"/>
      <c r="S836" s="896"/>
      <c r="T836" s="898"/>
      <c r="U836" s="898"/>
      <c r="V836" s="899"/>
      <c r="W836" s="899"/>
      <c r="X836" s="899"/>
      <c r="Y836" s="899"/>
      <c r="Z836" s="899"/>
      <c r="AA836" s="899"/>
      <c r="AB836" s="899"/>
      <c r="AC836" s="899"/>
      <c r="AD836" s="899"/>
      <c r="AE836" s="899"/>
      <c r="AF836" s="899"/>
      <c r="AG836" s="899"/>
      <c r="AH836" s="6"/>
    </row>
    <row r="837" spans="1:34" s="3" customFormat="1" ht="16" customHeight="1">
      <c r="A837" s="7"/>
      <c r="B837" s="10"/>
      <c r="C837" s="12"/>
      <c r="D837" s="896"/>
      <c r="E837" s="896"/>
      <c r="F837" s="896"/>
      <c r="G837" s="896"/>
      <c r="H837" s="896"/>
      <c r="I837" s="896"/>
      <c r="J837" s="896"/>
      <c r="K837" s="896"/>
      <c r="L837" s="897"/>
      <c r="M837" s="896"/>
      <c r="N837" s="889"/>
      <c r="O837" s="896"/>
      <c r="P837" s="889"/>
      <c r="Q837" s="900"/>
      <c r="R837" s="896"/>
      <c r="S837" s="896"/>
      <c r="T837" s="898"/>
      <c r="U837" s="898"/>
      <c r="V837" s="899"/>
      <c r="W837" s="899"/>
      <c r="X837" s="899"/>
      <c r="Y837" s="899"/>
      <c r="Z837" s="899"/>
      <c r="AA837" s="899"/>
      <c r="AB837" s="899"/>
      <c r="AC837" s="899"/>
      <c r="AD837" s="899"/>
      <c r="AE837" s="899"/>
      <c r="AF837" s="899"/>
      <c r="AG837" s="899"/>
    </row>
    <row r="838" spans="1:34" s="3" customFormat="1" ht="16" customHeight="1">
      <c r="A838" s="7"/>
      <c r="B838" s="10"/>
      <c r="C838" s="12"/>
      <c r="D838" s="896"/>
      <c r="E838" s="896"/>
      <c r="F838" s="896"/>
      <c r="G838" s="896"/>
      <c r="H838" s="896"/>
      <c r="I838" s="896"/>
      <c r="J838" s="896"/>
      <c r="K838" s="896"/>
      <c r="L838" s="897"/>
      <c r="M838" s="896"/>
      <c r="N838" s="889"/>
      <c r="O838" s="896"/>
      <c r="P838" s="889"/>
      <c r="Q838" s="900"/>
      <c r="R838" s="896"/>
      <c r="S838" s="896"/>
      <c r="T838" s="898"/>
      <c r="U838" s="898"/>
      <c r="V838" s="899"/>
      <c r="W838" s="899"/>
      <c r="X838" s="899"/>
      <c r="Y838" s="899"/>
      <c r="Z838" s="899"/>
      <c r="AA838" s="899"/>
      <c r="AB838" s="899"/>
      <c r="AC838" s="899"/>
      <c r="AD838" s="899"/>
      <c r="AE838" s="899"/>
      <c r="AF838" s="899"/>
      <c r="AG838" s="899"/>
    </row>
    <row r="839" spans="1:34" s="3" customFormat="1" ht="16" customHeight="1">
      <c r="A839" s="7"/>
      <c r="B839" s="10"/>
      <c r="C839" s="12"/>
      <c r="D839" s="896"/>
      <c r="E839" s="896"/>
      <c r="F839" s="896"/>
      <c r="G839" s="896"/>
      <c r="H839" s="896"/>
      <c r="I839" s="896"/>
      <c r="J839" s="896"/>
      <c r="K839" s="896"/>
      <c r="L839" s="897"/>
      <c r="M839" s="896"/>
      <c r="N839" s="889"/>
      <c r="O839" s="896"/>
      <c r="P839" s="889"/>
      <c r="Q839" s="900"/>
      <c r="R839" s="896"/>
      <c r="S839" s="896"/>
      <c r="T839" s="898"/>
      <c r="U839" s="898"/>
      <c r="V839" s="899"/>
      <c r="W839" s="899"/>
      <c r="X839" s="899"/>
      <c r="Y839" s="899"/>
      <c r="Z839" s="899"/>
      <c r="AA839" s="899"/>
      <c r="AB839" s="899"/>
      <c r="AC839" s="899"/>
      <c r="AD839" s="899"/>
      <c r="AE839" s="899"/>
      <c r="AF839" s="899"/>
      <c r="AG839" s="899"/>
    </row>
    <row r="840" spans="1:34" s="3" customFormat="1" ht="16" customHeight="1">
      <c r="A840" s="7"/>
      <c r="B840" s="10"/>
      <c r="C840" s="12"/>
      <c r="D840" s="896"/>
      <c r="E840" s="896"/>
      <c r="F840" s="896"/>
      <c r="G840" s="896"/>
      <c r="H840" s="896"/>
      <c r="I840" s="896"/>
      <c r="J840" s="896"/>
      <c r="K840" s="896"/>
      <c r="L840" s="897"/>
      <c r="M840" s="896"/>
      <c r="N840" s="889"/>
      <c r="O840" s="896"/>
      <c r="P840" s="889"/>
      <c r="Q840" s="900"/>
      <c r="R840" s="896"/>
      <c r="S840" s="896"/>
      <c r="T840" s="898"/>
      <c r="U840" s="898"/>
      <c r="V840" s="899"/>
      <c r="W840" s="899"/>
      <c r="X840" s="899"/>
      <c r="Y840" s="899"/>
      <c r="Z840" s="899"/>
      <c r="AA840" s="899"/>
      <c r="AB840" s="899"/>
      <c r="AC840" s="899"/>
      <c r="AD840" s="899"/>
      <c r="AE840" s="899"/>
      <c r="AF840" s="899"/>
      <c r="AG840" s="899"/>
    </row>
    <row r="841" spans="1:34" s="3" customFormat="1" ht="16" customHeight="1">
      <c r="A841" s="7"/>
      <c r="B841" s="10"/>
      <c r="C841" s="12"/>
      <c r="D841" s="896"/>
      <c r="E841" s="896"/>
      <c r="F841" s="896"/>
      <c r="G841" s="896"/>
      <c r="H841" s="896"/>
      <c r="I841" s="896"/>
      <c r="J841" s="896"/>
      <c r="K841" s="896"/>
      <c r="L841" s="897"/>
      <c r="M841" s="896"/>
      <c r="N841" s="889"/>
      <c r="O841" s="896"/>
      <c r="P841" s="889"/>
      <c r="Q841" s="900"/>
      <c r="R841" s="896"/>
      <c r="S841" s="896"/>
      <c r="T841" s="898"/>
      <c r="U841" s="898"/>
      <c r="V841" s="899"/>
      <c r="W841" s="899"/>
      <c r="X841" s="899"/>
      <c r="Y841" s="899"/>
      <c r="Z841" s="899"/>
      <c r="AA841" s="899"/>
      <c r="AB841" s="899"/>
      <c r="AC841" s="899"/>
      <c r="AD841" s="899"/>
      <c r="AE841" s="899"/>
      <c r="AF841" s="899"/>
      <c r="AG841" s="899"/>
    </row>
    <row r="842" spans="1:34" s="3" customFormat="1" ht="16" customHeight="1">
      <c r="A842" s="44"/>
      <c r="B842" s="41"/>
      <c r="C842" s="41"/>
      <c r="D842" s="42"/>
      <c r="E842" s="42"/>
      <c r="F842" s="43"/>
      <c r="G842" s="42"/>
      <c r="H842" s="43"/>
      <c r="I842" s="43"/>
      <c r="J842" s="42"/>
      <c r="K842" s="42"/>
      <c r="L842" s="290"/>
      <c r="M842" s="43"/>
      <c r="N842" s="43"/>
      <c r="O842" s="42"/>
      <c r="P842" s="43"/>
      <c r="Q842" s="43"/>
      <c r="R842" s="42"/>
      <c r="S842" s="43"/>
      <c r="T842" s="42"/>
      <c r="U842" s="42"/>
      <c r="V842" s="44"/>
      <c r="W842" s="44"/>
      <c r="X842" s="44"/>
      <c r="Y842" s="44"/>
      <c r="Z842" s="44"/>
      <c r="AA842" s="44"/>
      <c r="AB842" s="44"/>
      <c r="AC842" s="44"/>
      <c r="AD842" s="44"/>
      <c r="AE842" s="44"/>
      <c r="AF842" s="44"/>
      <c r="AG842" s="44"/>
    </row>
    <row r="843" spans="1:34" s="3" customFormat="1" ht="16" customHeight="1" thickBot="1">
      <c r="A843" s="7"/>
      <c r="B843" s="19" t="str">
        <f>"FA5 = "&amp;'FIG3'!$W$56&amp;" "&amp;'FIG3'!$X$56</f>
        <v>FA5 = FA5L1 FA5L2</v>
      </c>
      <c r="C843" s="7"/>
      <c r="D843" s="8"/>
      <c r="E843" s="8"/>
      <c r="F843" s="9"/>
      <c r="G843" s="8"/>
      <c r="H843" s="9"/>
      <c r="I843" s="9"/>
      <c r="J843" s="8"/>
      <c r="K843" s="8"/>
      <c r="L843" s="280"/>
      <c r="M843" s="9"/>
      <c r="N843" s="9"/>
      <c r="O843" s="8"/>
      <c r="P843" s="9"/>
      <c r="Q843" s="9"/>
      <c r="R843" s="8"/>
      <c r="S843" s="882"/>
      <c r="T843" s="883" t="str">
        <f>'$REV-DB'!$T$34</f>
        <v>Federal Revenues</v>
      </c>
      <c r="U843" s="883" t="str">
        <f>'$REV-DB'!$U$34</f>
        <v>local Revenues</v>
      </c>
      <c r="V843" s="883" t="str">
        <f>'$REV-DB'!$V$34</f>
        <v>Other Revenues</v>
      </c>
      <c r="W843" s="883" t="str">
        <f>'$REV-DB'!$W$34</f>
        <v>State revenues</v>
      </c>
      <c r="X843" s="883" t="str">
        <f>'$REV-DB'!$X$34</f>
        <v>UD5</v>
      </c>
      <c r="Y843" s="883" t="str">
        <f>'$REV-DB'!$Y$34</f>
        <v>UD6</v>
      </c>
      <c r="Z843" s="883" t="str">
        <f>'$REV-DB'!$Z$34</f>
        <v>UD7</v>
      </c>
      <c r="AA843" s="883" t="str">
        <f>'$REV-DB'!$AA$34</f>
        <v>UD8</v>
      </c>
      <c r="AB843" s="883" t="str">
        <f>'$REV-DB'!$AB$34</f>
        <v>UD9</v>
      </c>
      <c r="AC843" s="883" t="str">
        <f>'$REV-DB'!$AC$34</f>
        <v>UD10</v>
      </c>
      <c r="AD843" s="883" t="str">
        <f>'$REV-DB'!$AD$34</f>
        <v>UD11</v>
      </c>
      <c r="AE843" s="883" t="str">
        <f>'$REV-DB'!$AE$34</f>
        <v>UD12</v>
      </c>
      <c r="AF843" s="883" t="str">
        <f>'$REV-DB'!$AF$34</f>
        <v>UD13</v>
      </c>
      <c r="AG843" s="883" t="str">
        <f>'$REV-DB'!$AG$34</f>
        <v>UD14</v>
      </c>
    </row>
    <row r="844" spans="1:34" s="3" customFormat="1" ht="16" customHeight="1" thickTop="1" thickBot="1">
      <c r="A844" s="7"/>
      <c r="B844" s="20" t="s">
        <v>1375</v>
      </c>
      <c r="C844" s="15"/>
      <c r="D844" s="877" t="s">
        <v>1386</v>
      </c>
      <c r="E844" s="877" t="s">
        <v>1387</v>
      </c>
      <c r="F844" s="877" t="s">
        <v>1388</v>
      </c>
      <c r="G844" s="877" t="s">
        <v>1389</v>
      </c>
      <c r="H844" s="877" t="s">
        <v>1406</v>
      </c>
      <c r="I844" s="877" t="s">
        <v>1390</v>
      </c>
      <c r="J844" s="877" t="s">
        <v>1391</v>
      </c>
      <c r="K844" s="877" t="s">
        <v>1392</v>
      </c>
      <c r="L844" s="877" t="s">
        <v>1188</v>
      </c>
      <c r="M844" s="877" t="s">
        <v>1437</v>
      </c>
      <c r="N844" s="877" t="s">
        <v>1348</v>
      </c>
      <c r="O844" s="877" t="s">
        <v>1393</v>
      </c>
      <c r="P844" s="877" t="s">
        <v>1342</v>
      </c>
      <c r="Q844" s="877" t="s">
        <v>1394</v>
      </c>
      <c r="R844" s="112" t="s">
        <v>1341</v>
      </c>
      <c r="S844" s="112" t="s">
        <v>846</v>
      </c>
      <c r="T844" s="877" t="s">
        <v>935</v>
      </c>
      <c r="U844" s="877" t="s">
        <v>936</v>
      </c>
      <c r="V844" s="877" t="s">
        <v>937</v>
      </c>
      <c r="W844" s="877" t="s">
        <v>938</v>
      </c>
      <c r="X844" s="877" t="s">
        <v>939</v>
      </c>
      <c r="Y844" s="877" t="s">
        <v>940</v>
      </c>
      <c r="Z844" s="877" t="s">
        <v>941</v>
      </c>
      <c r="AA844" s="877" t="s">
        <v>942</v>
      </c>
      <c r="AB844" s="877" t="s">
        <v>943</v>
      </c>
      <c r="AC844" s="877" t="s">
        <v>944</v>
      </c>
      <c r="AD844" s="877" t="s">
        <v>945</v>
      </c>
      <c r="AE844" s="877" t="s">
        <v>946</v>
      </c>
      <c r="AF844" s="877" t="s">
        <v>947</v>
      </c>
      <c r="AG844" s="877" t="s">
        <v>948</v>
      </c>
      <c r="AH844" s="6"/>
    </row>
    <row r="845" spans="1:34" s="3" customFormat="1" ht="16" customHeight="1" thickTop="1">
      <c r="A845" s="7"/>
      <c r="B845" s="19" t="s">
        <v>1350</v>
      </c>
      <c r="C845" s="12"/>
      <c r="D845" s="203"/>
      <c r="E845" s="203"/>
      <c r="F845" s="202"/>
      <c r="G845" s="203"/>
      <c r="H845" s="202"/>
      <c r="I845" s="202"/>
      <c r="J845" s="203"/>
      <c r="K845" s="203"/>
      <c r="L845" s="291" t="s">
        <v>1429</v>
      </c>
      <c r="M845" s="202"/>
      <c r="N845" s="45" t="str">
        <f>J$6</f>
        <v>FY2010-11</v>
      </c>
      <c r="O845" s="45" t="s">
        <v>1356</v>
      </c>
      <c r="P845" s="45" t="s">
        <v>1347</v>
      </c>
      <c r="Q845" s="45" t="s">
        <v>1340</v>
      </c>
      <c r="R845" s="203"/>
      <c r="S845" s="202" t="s">
        <v>871</v>
      </c>
      <c r="T845" s="203"/>
      <c r="U845" s="203"/>
      <c r="V845" s="204"/>
      <c r="W845" s="204"/>
      <c r="X845" s="204"/>
      <c r="Y845" s="204"/>
      <c r="Z845" s="204"/>
      <c r="AA845" s="204"/>
      <c r="AB845" s="204"/>
      <c r="AC845" s="204"/>
      <c r="AD845" s="204"/>
      <c r="AE845" s="204"/>
      <c r="AF845" s="204"/>
      <c r="AG845" s="204"/>
      <c r="AH845" s="6"/>
    </row>
    <row r="846" spans="1:34" s="3" customFormat="1" ht="16" customHeight="1">
      <c r="A846" s="7"/>
      <c r="B846" s="16">
        <f>DSUM('$REV-DB'!D35:AG374,"AMOUNT",D844:AG845)</f>
        <v>0</v>
      </c>
      <c r="C846" s="12"/>
      <c r="D846" s="896"/>
      <c r="E846" s="896"/>
      <c r="F846" s="896"/>
      <c r="G846" s="896"/>
      <c r="H846" s="896"/>
      <c r="I846" s="896"/>
      <c r="J846" s="896"/>
      <c r="K846" s="896"/>
      <c r="L846" s="897"/>
      <c r="M846" s="896"/>
      <c r="N846" s="889"/>
      <c r="O846" s="896"/>
      <c r="P846" s="889"/>
      <c r="Q846" s="900"/>
      <c r="R846" s="896"/>
      <c r="S846" s="896"/>
      <c r="T846" s="898"/>
      <c r="U846" s="898"/>
      <c r="V846" s="899"/>
      <c r="W846" s="899"/>
      <c r="X846" s="899"/>
      <c r="Y846" s="899"/>
      <c r="Z846" s="899"/>
      <c r="AA846" s="899"/>
      <c r="AB846" s="899"/>
      <c r="AC846" s="899"/>
      <c r="AD846" s="899"/>
      <c r="AE846" s="899"/>
      <c r="AF846" s="899"/>
      <c r="AG846" s="899"/>
      <c r="AH846" s="6"/>
    </row>
    <row r="847" spans="1:34" s="3" customFormat="1" ht="16" customHeight="1">
      <c r="A847" s="7"/>
      <c r="B847" s="10"/>
      <c r="C847" s="12"/>
      <c r="D847" s="896"/>
      <c r="E847" s="896"/>
      <c r="F847" s="896"/>
      <c r="G847" s="896"/>
      <c r="H847" s="896"/>
      <c r="I847" s="896"/>
      <c r="J847" s="896"/>
      <c r="K847" s="896"/>
      <c r="L847" s="897"/>
      <c r="M847" s="896"/>
      <c r="N847" s="889"/>
      <c r="O847" s="896"/>
      <c r="P847" s="889"/>
      <c r="Q847" s="900"/>
      <c r="R847" s="896"/>
      <c r="S847" s="896"/>
      <c r="T847" s="898"/>
      <c r="U847" s="898"/>
      <c r="V847" s="899"/>
      <c r="W847" s="899"/>
      <c r="X847" s="899"/>
      <c r="Y847" s="899"/>
      <c r="Z847" s="899"/>
      <c r="AA847" s="899"/>
      <c r="AB847" s="899"/>
      <c r="AC847" s="899"/>
      <c r="AD847" s="899"/>
      <c r="AE847" s="899"/>
      <c r="AF847" s="899"/>
      <c r="AG847" s="899"/>
    </row>
    <row r="848" spans="1:34" s="3" customFormat="1" ht="16" customHeight="1">
      <c r="A848" s="7"/>
      <c r="B848" s="10"/>
      <c r="C848" s="12"/>
      <c r="D848" s="896"/>
      <c r="E848" s="896"/>
      <c r="F848" s="896"/>
      <c r="G848" s="896"/>
      <c r="H848" s="896"/>
      <c r="I848" s="896"/>
      <c r="J848" s="896"/>
      <c r="K848" s="896"/>
      <c r="L848" s="897"/>
      <c r="M848" s="896"/>
      <c r="N848" s="889"/>
      <c r="O848" s="896"/>
      <c r="P848" s="889"/>
      <c r="Q848" s="900"/>
      <c r="R848" s="896"/>
      <c r="S848" s="896"/>
      <c r="T848" s="898"/>
      <c r="U848" s="898"/>
      <c r="V848" s="899"/>
      <c r="W848" s="899"/>
      <c r="X848" s="899"/>
      <c r="Y848" s="899"/>
      <c r="Z848" s="899"/>
      <c r="AA848" s="899"/>
      <c r="AB848" s="899"/>
      <c r="AC848" s="899"/>
      <c r="AD848" s="899"/>
      <c r="AE848" s="899"/>
      <c r="AF848" s="899"/>
      <c r="AG848" s="899"/>
    </row>
    <row r="849" spans="1:34" s="3" customFormat="1" ht="16" customHeight="1">
      <c r="A849" s="7"/>
      <c r="B849" s="10"/>
      <c r="C849" s="12"/>
      <c r="D849" s="896"/>
      <c r="E849" s="896"/>
      <c r="F849" s="896"/>
      <c r="G849" s="896"/>
      <c r="H849" s="896"/>
      <c r="I849" s="896"/>
      <c r="J849" s="896"/>
      <c r="K849" s="896"/>
      <c r="L849" s="897"/>
      <c r="M849" s="896"/>
      <c r="N849" s="889"/>
      <c r="O849" s="896"/>
      <c r="P849" s="889"/>
      <c r="Q849" s="900"/>
      <c r="R849" s="896"/>
      <c r="S849" s="896"/>
      <c r="T849" s="898"/>
      <c r="U849" s="898"/>
      <c r="V849" s="899"/>
      <c r="W849" s="899"/>
      <c r="X849" s="899"/>
      <c r="Y849" s="899"/>
      <c r="Z849" s="899"/>
      <c r="AA849" s="899"/>
      <c r="AB849" s="899"/>
      <c r="AC849" s="899"/>
      <c r="AD849" s="899"/>
      <c r="AE849" s="899"/>
      <c r="AF849" s="899"/>
      <c r="AG849" s="899"/>
    </row>
    <row r="850" spans="1:34" s="3" customFormat="1" ht="16" customHeight="1">
      <c r="A850" s="7"/>
      <c r="B850" s="10"/>
      <c r="C850" s="12"/>
      <c r="D850" s="896"/>
      <c r="E850" s="896"/>
      <c r="F850" s="896"/>
      <c r="G850" s="896"/>
      <c r="H850" s="896"/>
      <c r="I850" s="896"/>
      <c r="J850" s="896"/>
      <c r="K850" s="896"/>
      <c r="L850" s="897"/>
      <c r="M850" s="896"/>
      <c r="N850" s="889"/>
      <c r="O850" s="896"/>
      <c r="P850" s="889"/>
      <c r="Q850" s="900"/>
      <c r="R850" s="896"/>
      <c r="S850" s="896"/>
      <c r="T850" s="898"/>
      <c r="U850" s="898"/>
      <c r="V850" s="899"/>
      <c r="W850" s="899"/>
      <c r="X850" s="899"/>
      <c r="Y850" s="899"/>
      <c r="Z850" s="899"/>
      <c r="AA850" s="899"/>
      <c r="AB850" s="899"/>
      <c r="AC850" s="899"/>
      <c r="AD850" s="899"/>
      <c r="AE850" s="899"/>
      <c r="AF850" s="899"/>
      <c r="AG850" s="899"/>
    </row>
    <row r="851" spans="1:34" s="3" customFormat="1" ht="16" customHeight="1">
      <c r="A851" s="7"/>
      <c r="B851" s="10"/>
      <c r="C851" s="12"/>
      <c r="D851" s="896"/>
      <c r="E851" s="896"/>
      <c r="F851" s="896"/>
      <c r="G851" s="896"/>
      <c r="H851" s="896"/>
      <c r="I851" s="896"/>
      <c r="J851" s="896"/>
      <c r="K851" s="896"/>
      <c r="L851" s="897"/>
      <c r="M851" s="896"/>
      <c r="N851" s="889"/>
      <c r="O851" s="896"/>
      <c r="P851" s="889"/>
      <c r="Q851" s="900"/>
      <c r="R851" s="896"/>
      <c r="S851" s="896"/>
      <c r="T851" s="898"/>
      <c r="U851" s="898"/>
      <c r="V851" s="899"/>
      <c r="W851" s="899"/>
      <c r="X851" s="899"/>
      <c r="Y851" s="899"/>
      <c r="Z851" s="899"/>
      <c r="AA851" s="899"/>
      <c r="AB851" s="899"/>
      <c r="AC851" s="899"/>
      <c r="AD851" s="899"/>
      <c r="AE851" s="899"/>
      <c r="AF851" s="899"/>
      <c r="AG851" s="899"/>
    </row>
    <row r="852" spans="1:34" s="3" customFormat="1" ht="16" customHeight="1">
      <c r="A852" s="44"/>
      <c r="B852" s="41"/>
      <c r="C852" s="41"/>
      <c r="D852" s="42"/>
      <c r="E852" s="42"/>
      <c r="F852" s="43"/>
      <c r="G852" s="42"/>
      <c r="H852" s="43"/>
      <c r="I852" s="43"/>
      <c r="J852" s="42"/>
      <c r="K852" s="42"/>
      <c r="L852" s="290"/>
      <c r="M852" s="43"/>
      <c r="N852" s="43"/>
      <c r="O852" s="42"/>
      <c r="P852" s="43"/>
      <c r="Q852" s="43"/>
      <c r="R852" s="42"/>
      <c r="S852" s="43"/>
      <c r="T852" s="42"/>
      <c r="U852" s="42"/>
      <c r="V852" s="44"/>
      <c r="W852" s="44"/>
      <c r="X852" s="44"/>
      <c r="Y852" s="44"/>
      <c r="Z852" s="44"/>
      <c r="AA852" s="44"/>
      <c r="AB852" s="44"/>
      <c r="AC852" s="44"/>
      <c r="AD852" s="44"/>
      <c r="AE852" s="44"/>
      <c r="AF852" s="44"/>
      <c r="AG852" s="44"/>
    </row>
    <row r="853" spans="1:34" s="3" customFormat="1" ht="16" customHeight="1" thickBot="1">
      <c r="A853" s="317"/>
      <c r="B853" s="318" t="s">
        <v>1093</v>
      </c>
      <c r="C853" s="317"/>
      <c r="D853" s="322"/>
      <c r="E853" s="322"/>
      <c r="F853" s="323"/>
      <c r="G853" s="322"/>
      <c r="H853" s="323"/>
      <c r="I853" s="323"/>
      <c r="J853" s="322"/>
      <c r="K853" s="322"/>
      <c r="L853" s="324"/>
      <c r="M853" s="323"/>
      <c r="N853" s="323"/>
      <c r="O853" s="322"/>
      <c r="P853" s="323"/>
      <c r="Q853" s="323"/>
      <c r="R853" s="322"/>
      <c r="S853" s="882"/>
      <c r="T853" s="883" t="str">
        <f>'$REV-DB'!$T$34</f>
        <v>Federal Revenues</v>
      </c>
      <c r="U853" s="883" t="str">
        <f>'$REV-DB'!$U$34</f>
        <v>local Revenues</v>
      </c>
      <c r="V853" s="883" t="str">
        <f>'$REV-DB'!$V$34</f>
        <v>Other Revenues</v>
      </c>
      <c r="W853" s="883" t="str">
        <f>'$REV-DB'!$W$34</f>
        <v>State revenues</v>
      </c>
      <c r="X853" s="883" t="str">
        <f>'$REV-DB'!$X$34</f>
        <v>UD5</v>
      </c>
      <c r="Y853" s="883" t="str">
        <f>'$REV-DB'!$Y$34</f>
        <v>UD6</v>
      </c>
      <c r="Z853" s="883" t="str">
        <f>'$REV-DB'!$Z$34</f>
        <v>UD7</v>
      </c>
      <c r="AA853" s="883" t="str">
        <f>'$REV-DB'!$AA$34</f>
        <v>UD8</v>
      </c>
      <c r="AB853" s="883" t="str">
        <f>'$REV-DB'!$AB$34</f>
        <v>UD9</v>
      </c>
      <c r="AC853" s="883" t="str">
        <f>'$REV-DB'!$AC$34</f>
        <v>UD10</v>
      </c>
      <c r="AD853" s="883" t="str">
        <f>'$REV-DB'!$AD$34</f>
        <v>UD11</v>
      </c>
      <c r="AE853" s="883" t="str">
        <f>'$REV-DB'!$AE$34</f>
        <v>UD12</v>
      </c>
      <c r="AF853" s="883" t="str">
        <f>'$REV-DB'!$AF$34</f>
        <v>UD13</v>
      </c>
      <c r="AG853" s="883" t="str">
        <f>'$REV-DB'!$AG$34</f>
        <v>UD14</v>
      </c>
    </row>
    <row r="854" spans="1:34" s="3" customFormat="1" ht="16" customHeight="1" thickTop="1" thickBot="1">
      <c r="A854" s="317"/>
      <c r="B854" s="319" t="s">
        <v>1094</v>
      </c>
      <c r="C854" s="325"/>
      <c r="D854" s="326" t="s">
        <v>1386</v>
      </c>
      <c r="E854" s="326" t="s">
        <v>1387</v>
      </c>
      <c r="F854" s="326" t="s">
        <v>1388</v>
      </c>
      <c r="G854" s="326" t="s">
        <v>1389</v>
      </c>
      <c r="H854" s="326" t="s">
        <v>1406</v>
      </c>
      <c r="I854" s="326" t="s">
        <v>1390</v>
      </c>
      <c r="J854" s="326" t="s">
        <v>1391</v>
      </c>
      <c r="K854" s="326" t="s">
        <v>1392</v>
      </c>
      <c r="L854" s="326" t="s">
        <v>1188</v>
      </c>
      <c r="M854" s="326" t="s">
        <v>1437</v>
      </c>
      <c r="N854" s="326" t="s">
        <v>1348</v>
      </c>
      <c r="O854" s="326" t="s">
        <v>1393</v>
      </c>
      <c r="P854" s="326" t="s">
        <v>1342</v>
      </c>
      <c r="Q854" s="326" t="s">
        <v>1394</v>
      </c>
      <c r="R854" s="327" t="s">
        <v>1341</v>
      </c>
      <c r="S854" s="112" t="s">
        <v>846</v>
      </c>
      <c r="T854" s="877" t="s">
        <v>935</v>
      </c>
      <c r="U854" s="877" t="s">
        <v>936</v>
      </c>
      <c r="V854" s="877" t="s">
        <v>937</v>
      </c>
      <c r="W854" s="877" t="s">
        <v>938</v>
      </c>
      <c r="X854" s="877" t="s">
        <v>939</v>
      </c>
      <c r="Y854" s="877" t="s">
        <v>940</v>
      </c>
      <c r="Z854" s="877" t="s">
        <v>941</v>
      </c>
      <c r="AA854" s="877" t="s">
        <v>942</v>
      </c>
      <c r="AB854" s="877" t="s">
        <v>943</v>
      </c>
      <c r="AC854" s="877" t="s">
        <v>944</v>
      </c>
      <c r="AD854" s="877" t="s">
        <v>945</v>
      </c>
      <c r="AE854" s="877" t="s">
        <v>946</v>
      </c>
      <c r="AF854" s="877" t="s">
        <v>947</v>
      </c>
      <c r="AG854" s="877" t="s">
        <v>948</v>
      </c>
      <c r="AH854" s="6"/>
    </row>
    <row r="855" spans="1:34" s="3" customFormat="1" ht="16" customHeight="1" thickTop="1">
      <c r="A855" s="317"/>
      <c r="B855" s="318" t="s">
        <v>1098</v>
      </c>
      <c r="C855" s="328"/>
      <c r="D855" s="203"/>
      <c r="E855" s="203"/>
      <c r="F855" s="202"/>
      <c r="G855" s="203"/>
      <c r="H855" s="202"/>
      <c r="I855" s="202"/>
      <c r="J855" s="203"/>
      <c r="K855" s="203"/>
      <c r="L855" s="291" t="s">
        <v>1302</v>
      </c>
      <c r="M855" s="202"/>
      <c r="N855" s="45" t="str">
        <f>J$6</f>
        <v>FY2010-11</v>
      </c>
      <c r="O855" s="45"/>
      <c r="P855" s="45"/>
      <c r="Q855" s="45"/>
      <c r="R855" s="203"/>
      <c r="S855" s="202"/>
      <c r="T855" s="203"/>
      <c r="U855" s="203"/>
      <c r="V855" s="204"/>
      <c r="W855" s="204"/>
      <c r="X855" s="204"/>
      <c r="Y855" s="204"/>
      <c r="Z855" s="204"/>
      <c r="AA855" s="204"/>
      <c r="AB855" s="204"/>
      <c r="AC855" s="204"/>
      <c r="AD855" s="204"/>
      <c r="AE855" s="204"/>
      <c r="AF855" s="204"/>
      <c r="AG855" s="204"/>
      <c r="AH855" s="6"/>
    </row>
    <row r="856" spans="1:34" s="3" customFormat="1" ht="16" customHeight="1">
      <c r="A856" s="317"/>
      <c r="B856" s="320">
        <f>DSUM('$REV-DB'!D35:AG374,"AMOUNT",D854:AG861)</f>
        <v>0</v>
      </c>
      <c r="C856" s="328"/>
      <c r="D856" s="203"/>
      <c r="E856" s="203"/>
      <c r="F856" s="202"/>
      <c r="G856" s="203"/>
      <c r="H856" s="202"/>
      <c r="I856" s="202"/>
      <c r="J856" s="203"/>
      <c r="K856" s="203"/>
      <c r="L856" s="291" t="s">
        <v>1302</v>
      </c>
      <c r="M856" s="202"/>
      <c r="N856" s="45" t="str">
        <f t="shared" ref="N856:N861" si="0">J$6</f>
        <v>FY2010-11</v>
      </c>
      <c r="O856" s="45"/>
      <c r="P856" s="45"/>
      <c r="Q856" s="45"/>
      <c r="R856" s="203"/>
      <c r="S856" s="202"/>
      <c r="T856" s="203"/>
      <c r="U856" s="203"/>
      <c r="V856" s="204"/>
      <c r="W856" s="204"/>
      <c r="X856" s="204"/>
      <c r="Y856" s="204"/>
      <c r="Z856" s="204"/>
      <c r="AA856" s="204"/>
      <c r="AB856" s="204"/>
      <c r="AC856" s="204"/>
      <c r="AD856" s="204"/>
      <c r="AE856" s="204"/>
      <c r="AF856" s="204"/>
      <c r="AG856" s="204"/>
      <c r="AH856" s="6"/>
    </row>
    <row r="857" spans="1:34" s="3" customFormat="1" ht="16" customHeight="1">
      <c r="A857" s="317"/>
      <c r="B857" s="321"/>
      <c r="C857" s="328"/>
      <c r="D857" s="203"/>
      <c r="E857" s="203"/>
      <c r="F857" s="202"/>
      <c r="G857" s="203"/>
      <c r="H857" s="202"/>
      <c r="I857" s="202"/>
      <c r="J857" s="203"/>
      <c r="K857" s="203"/>
      <c r="L857" s="291" t="s">
        <v>1302</v>
      </c>
      <c r="M857" s="202"/>
      <c r="N857" s="45" t="str">
        <f t="shared" si="0"/>
        <v>FY2010-11</v>
      </c>
      <c r="O857" s="45"/>
      <c r="P857" s="45"/>
      <c r="Q857" s="45"/>
      <c r="R857" s="203"/>
      <c r="S857" s="202"/>
      <c r="T857" s="203"/>
      <c r="U857" s="203"/>
      <c r="V857" s="204"/>
      <c r="W857" s="204"/>
      <c r="X857" s="204"/>
      <c r="Y857" s="204"/>
      <c r="Z857" s="204"/>
      <c r="AA857" s="204"/>
      <c r="AB857" s="204"/>
      <c r="AC857" s="204"/>
      <c r="AD857" s="204"/>
      <c r="AE857" s="204"/>
      <c r="AF857" s="204"/>
      <c r="AG857" s="204"/>
    </row>
    <row r="858" spans="1:34" s="3" customFormat="1" ht="16" customHeight="1">
      <c r="A858" s="317"/>
      <c r="B858" s="333" t="s">
        <v>1095</v>
      </c>
      <c r="C858" s="328"/>
      <c r="D858" s="203"/>
      <c r="E858" s="203"/>
      <c r="F858" s="202"/>
      <c r="G858" s="203"/>
      <c r="H858" s="202"/>
      <c r="I858" s="202"/>
      <c r="J858" s="203"/>
      <c r="K858" s="203"/>
      <c r="L858" s="291" t="s">
        <v>1302</v>
      </c>
      <c r="M858" s="202"/>
      <c r="N858" s="45" t="str">
        <f t="shared" si="0"/>
        <v>FY2010-11</v>
      </c>
      <c r="O858" s="45"/>
      <c r="P858" s="45"/>
      <c r="Q858" s="45"/>
      <c r="R858" s="203"/>
      <c r="S858" s="202"/>
      <c r="T858" s="203"/>
      <c r="U858" s="203"/>
      <c r="V858" s="204"/>
      <c r="W858" s="204"/>
      <c r="X858" s="204"/>
      <c r="Y858" s="204"/>
      <c r="Z858" s="204"/>
      <c r="AA858" s="204"/>
      <c r="AB858" s="204"/>
      <c r="AC858" s="204"/>
      <c r="AD858" s="204"/>
      <c r="AE858" s="204"/>
      <c r="AF858" s="204"/>
      <c r="AG858" s="204"/>
    </row>
    <row r="859" spans="1:34" s="3" customFormat="1" ht="16" customHeight="1">
      <c r="A859" s="317"/>
      <c r="B859" s="333" t="s">
        <v>1096</v>
      </c>
      <c r="C859" s="328"/>
      <c r="D859" s="203"/>
      <c r="E859" s="203"/>
      <c r="F859" s="202"/>
      <c r="G859" s="203"/>
      <c r="H859" s="202"/>
      <c r="I859" s="202"/>
      <c r="J859" s="203"/>
      <c r="K859" s="203"/>
      <c r="L859" s="291" t="s">
        <v>1302</v>
      </c>
      <c r="M859" s="202"/>
      <c r="N859" s="45" t="str">
        <f t="shared" si="0"/>
        <v>FY2010-11</v>
      </c>
      <c r="O859" s="45"/>
      <c r="P859" s="45"/>
      <c r="Q859" s="45"/>
      <c r="R859" s="203"/>
      <c r="S859" s="202"/>
      <c r="T859" s="203"/>
      <c r="U859" s="203"/>
      <c r="V859" s="204"/>
      <c r="W859" s="204"/>
      <c r="X859" s="204"/>
      <c r="Y859" s="204"/>
      <c r="Z859" s="204"/>
      <c r="AA859" s="204"/>
      <c r="AB859" s="204"/>
      <c r="AC859" s="204"/>
      <c r="AD859" s="204"/>
      <c r="AE859" s="204"/>
      <c r="AF859" s="204"/>
      <c r="AG859" s="204"/>
    </row>
    <row r="860" spans="1:34" s="3" customFormat="1" ht="16" customHeight="1">
      <c r="A860" s="317"/>
      <c r="B860" s="333" t="s">
        <v>1097</v>
      </c>
      <c r="C860" s="328"/>
      <c r="D860" s="203"/>
      <c r="E860" s="203"/>
      <c r="F860" s="202"/>
      <c r="G860" s="203"/>
      <c r="H860" s="202"/>
      <c r="I860" s="202"/>
      <c r="J860" s="203"/>
      <c r="K860" s="203"/>
      <c r="L860" s="291" t="s">
        <v>1302</v>
      </c>
      <c r="M860" s="202"/>
      <c r="N860" s="45" t="str">
        <f t="shared" si="0"/>
        <v>FY2010-11</v>
      </c>
      <c r="O860" s="45"/>
      <c r="P860" s="45"/>
      <c r="Q860" s="45"/>
      <c r="R860" s="203"/>
      <c r="S860" s="202"/>
      <c r="T860" s="203"/>
      <c r="U860" s="203"/>
      <c r="V860" s="204"/>
      <c r="W860" s="204"/>
      <c r="X860" s="204"/>
      <c r="Y860" s="204"/>
      <c r="Z860" s="204"/>
      <c r="AA860" s="204"/>
      <c r="AB860" s="204"/>
      <c r="AC860" s="204"/>
      <c r="AD860" s="204"/>
      <c r="AE860" s="204"/>
      <c r="AF860" s="204"/>
      <c r="AG860" s="204"/>
    </row>
    <row r="861" spans="1:34" s="3" customFormat="1" ht="16" customHeight="1">
      <c r="A861" s="317"/>
      <c r="B861" s="333"/>
      <c r="C861" s="328"/>
      <c r="D861" s="203"/>
      <c r="E861" s="203"/>
      <c r="F861" s="202"/>
      <c r="G861" s="203"/>
      <c r="H861" s="202"/>
      <c r="I861" s="202"/>
      <c r="J861" s="203"/>
      <c r="K861" s="203"/>
      <c r="L861" s="291" t="s">
        <v>1302</v>
      </c>
      <c r="M861" s="202"/>
      <c r="N861" s="45" t="str">
        <f t="shared" si="0"/>
        <v>FY2010-11</v>
      </c>
      <c r="O861" s="45"/>
      <c r="P861" s="45"/>
      <c r="Q861" s="45"/>
      <c r="R861" s="203"/>
      <c r="S861" s="202"/>
      <c r="T861" s="203"/>
      <c r="U861" s="203"/>
      <c r="V861" s="204"/>
      <c r="W861" s="204"/>
      <c r="X861" s="204"/>
      <c r="Y861" s="204"/>
      <c r="Z861" s="204"/>
      <c r="AA861" s="204"/>
      <c r="AB861" s="204"/>
      <c r="AC861" s="204"/>
      <c r="AD861" s="204"/>
      <c r="AE861" s="204"/>
      <c r="AF861" s="204"/>
      <c r="AG861" s="204"/>
    </row>
    <row r="862" spans="1:34" s="3" customFormat="1" ht="16" customHeight="1">
      <c r="A862" s="329"/>
      <c r="B862" s="328"/>
      <c r="C862" s="328"/>
      <c r="D862" s="330"/>
      <c r="E862" s="330"/>
      <c r="F862" s="331"/>
      <c r="G862" s="330"/>
      <c r="H862" s="331"/>
      <c r="I862" s="331"/>
      <c r="J862" s="330"/>
      <c r="K862" s="330"/>
      <c r="L862" s="332"/>
      <c r="M862" s="331"/>
      <c r="N862" s="331"/>
      <c r="O862" s="330"/>
      <c r="P862" s="331"/>
      <c r="Q862" s="331"/>
      <c r="R862" s="330"/>
      <c r="S862" s="331"/>
      <c r="T862" s="330"/>
      <c r="U862" s="330"/>
      <c r="V862" s="329"/>
      <c r="W862" s="329"/>
      <c r="X862" s="329"/>
      <c r="Y862" s="329"/>
      <c r="Z862" s="329"/>
      <c r="AA862" s="329"/>
      <c r="AB862" s="329"/>
      <c r="AC862" s="329"/>
      <c r="AD862" s="329"/>
      <c r="AE862" s="329"/>
      <c r="AF862" s="329"/>
      <c r="AG862" s="329"/>
    </row>
    <row r="863" spans="1:34" s="3" customFormat="1" ht="16" customHeight="1" thickBot="1">
      <c r="A863" s="317"/>
      <c r="B863" s="318" t="s">
        <v>1103</v>
      </c>
      <c r="C863" s="317"/>
      <c r="D863" s="322"/>
      <c r="E863" s="322"/>
      <c r="F863" s="323"/>
      <c r="G863" s="322"/>
      <c r="H863" s="323"/>
      <c r="I863" s="323"/>
      <c r="J863" s="322"/>
      <c r="K863" s="322"/>
      <c r="L863" s="324"/>
      <c r="M863" s="323"/>
      <c r="N863" s="323"/>
      <c r="O863" s="322"/>
      <c r="P863" s="323"/>
      <c r="Q863" s="323"/>
      <c r="R863" s="322"/>
      <c r="S863" s="882"/>
      <c r="T863" s="883" t="str">
        <f>'$REV-DB'!$T$34</f>
        <v>Federal Revenues</v>
      </c>
      <c r="U863" s="883" t="str">
        <f>'$REV-DB'!$U$34</f>
        <v>local Revenues</v>
      </c>
      <c r="V863" s="883" t="str">
        <f>'$REV-DB'!$V$34</f>
        <v>Other Revenues</v>
      </c>
      <c r="W863" s="883" t="str">
        <f>'$REV-DB'!$W$34</f>
        <v>State revenues</v>
      </c>
      <c r="X863" s="883" t="str">
        <f>'$REV-DB'!$X$34</f>
        <v>UD5</v>
      </c>
      <c r="Y863" s="883" t="str">
        <f>'$REV-DB'!$Y$34</f>
        <v>UD6</v>
      </c>
      <c r="Z863" s="883" t="str">
        <f>'$REV-DB'!$Z$34</f>
        <v>UD7</v>
      </c>
      <c r="AA863" s="883" t="str">
        <f>'$REV-DB'!$AA$34</f>
        <v>UD8</v>
      </c>
      <c r="AB863" s="883" t="str">
        <f>'$REV-DB'!$AB$34</f>
        <v>UD9</v>
      </c>
      <c r="AC863" s="883" t="str">
        <f>'$REV-DB'!$AC$34</f>
        <v>UD10</v>
      </c>
      <c r="AD863" s="883" t="str">
        <f>'$REV-DB'!$AD$34</f>
        <v>UD11</v>
      </c>
      <c r="AE863" s="883" t="str">
        <f>'$REV-DB'!$AE$34</f>
        <v>UD12</v>
      </c>
      <c r="AF863" s="883" t="str">
        <f>'$REV-DB'!$AF$34</f>
        <v>UD13</v>
      </c>
      <c r="AG863" s="883" t="str">
        <f>'$REV-DB'!$AG$34</f>
        <v>UD14</v>
      </c>
    </row>
    <row r="864" spans="1:34" s="3" customFormat="1" ht="16" customHeight="1" thickTop="1" thickBot="1">
      <c r="A864" s="317"/>
      <c r="B864" s="319" t="s">
        <v>1102</v>
      </c>
      <c r="C864" s="325"/>
      <c r="D864" s="326" t="s">
        <v>1386</v>
      </c>
      <c r="E864" s="326" t="s">
        <v>1387</v>
      </c>
      <c r="F864" s="326" t="s">
        <v>1388</v>
      </c>
      <c r="G864" s="326" t="s">
        <v>1389</v>
      </c>
      <c r="H864" s="326" t="s">
        <v>1406</v>
      </c>
      <c r="I864" s="326" t="s">
        <v>1390</v>
      </c>
      <c r="J864" s="326" t="s">
        <v>1391</v>
      </c>
      <c r="K864" s="326" t="s">
        <v>1392</v>
      </c>
      <c r="L864" s="326" t="s">
        <v>1188</v>
      </c>
      <c r="M864" s="326" t="s">
        <v>1437</v>
      </c>
      <c r="N864" s="326" t="s">
        <v>1348</v>
      </c>
      <c r="O864" s="326" t="s">
        <v>1393</v>
      </c>
      <c r="P864" s="326" t="s">
        <v>1342</v>
      </c>
      <c r="Q864" s="326" t="s">
        <v>1394</v>
      </c>
      <c r="R864" s="327" t="s">
        <v>1341</v>
      </c>
      <c r="S864" s="112" t="s">
        <v>846</v>
      </c>
      <c r="T864" s="877" t="s">
        <v>935</v>
      </c>
      <c r="U864" s="877" t="s">
        <v>936</v>
      </c>
      <c r="V864" s="877" t="s">
        <v>937</v>
      </c>
      <c r="W864" s="877" t="s">
        <v>938</v>
      </c>
      <c r="X864" s="877" t="s">
        <v>939</v>
      </c>
      <c r="Y864" s="877" t="s">
        <v>940</v>
      </c>
      <c r="Z864" s="877" t="s">
        <v>941</v>
      </c>
      <c r="AA864" s="877" t="s">
        <v>942</v>
      </c>
      <c r="AB864" s="877" t="s">
        <v>943</v>
      </c>
      <c r="AC864" s="877" t="s">
        <v>944</v>
      </c>
      <c r="AD864" s="877" t="s">
        <v>945</v>
      </c>
      <c r="AE864" s="877" t="s">
        <v>946</v>
      </c>
      <c r="AF864" s="877" t="s">
        <v>947</v>
      </c>
      <c r="AG864" s="877" t="s">
        <v>948</v>
      </c>
      <c r="AH864" s="6"/>
    </row>
    <row r="865" spans="1:34" s="3" customFormat="1" ht="16" customHeight="1" thickTop="1">
      <c r="A865" s="317"/>
      <c r="B865" s="318" t="s">
        <v>1104</v>
      </c>
      <c r="C865" s="328"/>
      <c r="D865" s="203"/>
      <c r="E865" s="203"/>
      <c r="F865" s="202"/>
      <c r="G865" s="203"/>
      <c r="H865" s="202"/>
      <c r="I865" s="202"/>
      <c r="J865" s="203"/>
      <c r="K865" s="203"/>
      <c r="L865" s="291"/>
      <c r="M865" s="202"/>
      <c r="N865" s="45" t="str">
        <f>J$6</f>
        <v>FY2010-11</v>
      </c>
      <c r="O865" s="45"/>
      <c r="P865" s="45"/>
      <c r="Q865" s="45"/>
      <c r="R865" s="203"/>
      <c r="S865" s="202"/>
      <c r="T865" s="203"/>
      <c r="U865" s="203"/>
      <c r="V865" s="204"/>
      <c r="W865" s="204"/>
      <c r="X865" s="204"/>
      <c r="Y865" s="204"/>
      <c r="Z865" s="204"/>
      <c r="AA865" s="204"/>
      <c r="AB865" s="204"/>
      <c r="AC865" s="204"/>
      <c r="AD865" s="204"/>
      <c r="AE865" s="204"/>
      <c r="AF865" s="204"/>
      <c r="AG865" s="204"/>
      <c r="AH865" s="6"/>
    </row>
    <row r="866" spans="1:34" s="3" customFormat="1" ht="16" customHeight="1">
      <c r="A866" s="317"/>
      <c r="B866" s="320">
        <f>DSUM('$REV-DB'!D35:AG374,"AMOUNT",D864:AG871)</f>
        <v>5302399724.54</v>
      </c>
      <c r="C866" s="328"/>
      <c r="D866" s="203"/>
      <c r="E866" s="203"/>
      <c r="F866" s="202"/>
      <c r="G866" s="203"/>
      <c r="H866" s="202"/>
      <c r="I866" s="202"/>
      <c r="J866" s="203"/>
      <c r="K866" s="203"/>
      <c r="L866" s="291"/>
      <c r="M866" s="202"/>
      <c r="N866" s="45" t="str">
        <f t="shared" ref="N866:N871" si="1">J$6</f>
        <v>FY2010-11</v>
      </c>
      <c r="O866" s="45"/>
      <c r="P866" s="45"/>
      <c r="Q866" s="45"/>
      <c r="R866" s="203"/>
      <c r="S866" s="202"/>
      <c r="T866" s="203"/>
      <c r="U866" s="203"/>
      <c r="V866" s="204"/>
      <c r="W866" s="204"/>
      <c r="X866" s="204"/>
      <c r="Y866" s="204"/>
      <c r="Z866" s="204"/>
      <c r="AA866" s="204"/>
      <c r="AB866" s="204"/>
      <c r="AC866" s="204"/>
      <c r="AD866" s="204"/>
      <c r="AE866" s="204"/>
      <c r="AF866" s="204"/>
      <c r="AG866" s="204"/>
      <c r="AH866" s="6"/>
    </row>
    <row r="867" spans="1:34" s="3" customFormat="1" ht="16" customHeight="1">
      <c r="A867" s="317"/>
      <c r="B867" s="321"/>
      <c r="C867" s="328"/>
      <c r="D867" s="203"/>
      <c r="E867" s="203"/>
      <c r="F867" s="202"/>
      <c r="G867" s="203"/>
      <c r="H867" s="202"/>
      <c r="I867" s="202"/>
      <c r="J867" s="203"/>
      <c r="K867" s="203"/>
      <c r="L867" s="291"/>
      <c r="M867" s="202"/>
      <c r="N867" s="45" t="str">
        <f t="shared" si="1"/>
        <v>FY2010-11</v>
      </c>
      <c r="O867" s="45"/>
      <c r="P867" s="45"/>
      <c r="Q867" s="45"/>
      <c r="R867" s="203"/>
      <c r="S867" s="202"/>
      <c r="T867" s="203"/>
      <c r="U867" s="203"/>
      <c r="V867" s="204"/>
      <c r="W867" s="204"/>
      <c r="X867" s="204"/>
      <c r="Y867" s="204"/>
      <c r="Z867" s="204"/>
      <c r="AA867" s="204"/>
      <c r="AB867" s="204"/>
      <c r="AC867" s="204"/>
      <c r="AD867" s="204"/>
      <c r="AE867" s="204"/>
      <c r="AF867" s="204"/>
      <c r="AG867" s="204"/>
    </row>
    <row r="868" spans="1:34" s="3" customFormat="1" ht="16" customHeight="1">
      <c r="A868" s="317"/>
      <c r="B868" s="333" t="s">
        <v>1095</v>
      </c>
      <c r="C868" s="328"/>
      <c r="D868" s="203"/>
      <c r="E868" s="203"/>
      <c r="F868" s="202"/>
      <c r="G868" s="203"/>
      <c r="H868" s="202"/>
      <c r="I868" s="202"/>
      <c r="J868" s="203"/>
      <c r="K868" s="203"/>
      <c r="L868" s="291"/>
      <c r="M868" s="202"/>
      <c r="N868" s="45" t="str">
        <f t="shared" si="1"/>
        <v>FY2010-11</v>
      </c>
      <c r="O868" s="45"/>
      <c r="P868" s="45"/>
      <c r="Q868" s="45"/>
      <c r="R868" s="203"/>
      <c r="S868" s="202"/>
      <c r="T868" s="203"/>
      <c r="U868" s="203"/>
      <c r="V868" s="204"/>
      <c r="W868" s="204"/>
      <c r="X868" s="204"/>
      <c r="Y868" s="204"/>
      <c r="Z868" s="204"/>
      <c r="AA868" s="204"/>
      <c r="AB868" s="204"/>
      <c r="AC868" s="204"/>
      <c r="AD868" s="204"/>
      <c r="AE868" s="204"/>
      <c r="AF868" s="204"/>
      <c r="AG868" s="204"/>
    </row>
    <row r="869" spans="1:34" s="3" customFormat="1" ht="16" customHeight="1">
      <c r="A869" s="317"/>
      <c r="B869" s="333" t="s">
        <v>1096</v>
      </c>
      <c r="C869" s="328"/>
      <c r="D869" s="203"/>
      <c r="E869" s="203"/>
      <c r="F869" s="202"/>
      <c r="G869" s="203"/>
      <c r="H869" s="202"/>
      <c r="I869" s="202"/>
      <c r="J869" s="203"/>
      <c r="K869" s="203"/>
      <c r="L869" s="291"/>
      <c r="M869" s="202"/>
      <c r="N869" s="45" t="str">
        <f t="shared" si="1"/>
        <v>FY2010-11</v>
      </c>
      <c r="O869" s="45"/>
      <c r="P869" s="45"/>
      <c r="Q869" s="45"/>
      <c r="R869" s="203"/>
      <c r="S869" s="202"/>
      <c r="T869" s="203"/>
      <c r="U869" s="203"/>
      <c r="V869" s="204"/>
      <c r="W869" s="204"/>
      <c r="X869" s="204"/>
      <c r="Y869" s="204"/>
      <c r="Z869" s="204"/>
      <c r="AA869" s="204"/>
      <c r="AB869" s="204"/>
      <c r="AC869" s="204"/>
      <c r="AD869" s="204"/>
      <c r="AE869" s="204"/>
      <c r="AF869" s="204"/>
      <c r="AG869" s="204"/>
    </row>
    <row r="870" spans="1:34" s="3" customFormat="1" ht="16" customHeight="1">
      <c r="A870" s="317"/>
      <c r="B870" s="333" t="s">
        <v>1097</v>
      </c>
      <c r="C870" s="328"/>
      <c r="D870" s="203"/>
      <c r="E870" s="203"/>
      <c r="F870" s="202"/>
      <c r="G870" s="203"/>
      <c r="H870" s="202"/>
      <c r="I870" s="202"/>
      <c r="J870" s="203"/>
      <c r="K870" s="203"/>
      <c r="L870" s="291"/>
      <c r="M870" s="202"/>
      <c r="N870" s="45" t="str">
        <f t="shared" si="1"/>
        <v>FY2010-11</v>
      </c>
      <c r="O870" s="45"/>
      <c r="P870" s="45"/>
      <c r="Q870" s="45"/>
      <c r="R870" s="203"/>
      <c r="S870" s="202"/>
      <c r="T870" s="203"/>
      <c r="U870" s="203"/>
      <c r="V870" s="204"/>
      <c r="W870" s="204"/>
      <c r="X870" s="204"/>
      <c r="Y870" s="204"/>
      <c r="Z870" s="204"/>
      <c r="AA870" s="204"/>
      <c r="AB870" s="204"/>
      <c r="AC870" s="204"/>
      <c r="AD870" s="204"/>
      <c r="AE870" s="204"/>
      <c r="AF870" s="204"/>
      <c r="AG870" s="204"/>
    </row>
    <row r="871" spans="1:34" s="3" customFormat="1" ht="16" customHeight="1">
      <c r="A871" s="317"/>
      <c r="B871" s="333"/>
      <c r="C871" s="328"/>
      <c r="D871" s="203"/>
      <c r="E871" s="203"/>
      <c r="F871" s="202"/>
      <c r="G871" s="203"/>
      <c r="H871" s="202"/>
      <c r="I871" s="202"/>
      <c r="J871" s="203"/>
      <c r="K871" s="203"/>
      <c r="L871" s="291"/>
      <c r="M871" s="202"/>
      <c r="N871" s="45" t="str">
        <f t="shared" si="1"/>
        <v>FY2010-11</v>
      </c>
      <c r="O871" s="45"/>
      <c r="P871" s="45"/>
      <c r="Q871" s="45"/>
      <c r="R871" s="203"/>
      <c r="S871" s="202"/>
      <c r="T871" s="203"/>
      <c r="U871" s="203"/>
      <c r="V871" s="204"/>
      <c r="W871" s="204"/>
      <c r="X871" s="204"/>
      <c r="Y871" s="204"/>
      <c r="Z871" s="204"/>
      <c r="AA871" s="204"/>
      <c r="AB871" s="204"/>
      <c r="AC871" s="204"/>
      <c r="AD871" s="204"/>
      <c r="AE871" s="204"/>
      <c r="AF871" s="204"/>
      <c r="AG871" s="204"/>
    </row>
    <row r="872" spans="1:34" s="3" customFormat="1" ht="16" customHeight="1">
      <c r="A872" s="44"/>
      <c r="B872" s="41"/>
      <c r="C872" s="41"/>
      <c r="D872" s="42"/>
      <c r="E872" s="42"/>
      <c r="F872" s="43"/>
      <c r="G872" s="42"/>
      <c r="H872" s="43"/>
      <c r="I872" s="43"/>
      <c r="J872" s="42"/>
      <c r="K872" s="42"/>
      <c r="L872" s="290"/>
      <c r="M872" s="43"/>
      <c r="N872" s="43"/>
      <c r="O872" s="42"/>
      <c r="P872" s="43"/>
      <c r="Q872" s="43"/>
      <c r="R872" s="42"/>
      <c r="S872" s="43"/>
      <c r="T872" s="42"/>
      <c r="U872" s="42"/>
      <c r="V872" s="44"/>
      <c r="W872" s="44"/>
      <c r="X872" s="44"/>
      <c r="Y872" s="44"/>
      <c r="Z872" s="44"/>
      <c r="AA872" s="44"/>
      <c r="AB872" s="44"/>
      <c r="AC872" s="44"/>
      <c r="AD872" s="44"/>
      <c r="AE872" s="44"/>
      <c r="AF872" s="44"/>
      <c r="AG872" s="44"/>
    </row>
    <row r="873" spans="1:34" s="3" customFormat="1" ht="16" customHeight="1" thickBot="1">
      <c r="A873" s="7"/>
      <c r="B873" s="19" t="s">
        <v>1436</v>
      </c>
      <c r="C873" s="7"/>
      <c r="D873" s="17"/>
      <c r="E873" s="17"/>
      <c r="F873" s="18"/>
      <c r="G873" s="17"/>
      <c r="H873" s="18"/>
      <c r="I873" s="18"/>
      <c r="J873" s="17"/>
      <c r="K873" s="17"/>
      <c r="L873" s="281"/>
      <c r="M873" s="18"/>
      <c r="N873" s="9"/>
      <c r="O873" s="17"/>
      <c r="P873" s="18"/>
      <c r="Q873" s="18"/>
      <c r="R873" s="17"/>
      <c r="S873" s="882"/>
      <c r="T873" s="883" t="str">
        <f>'$REV-DB'!$T$34</f>
        <v>Federal Revenues</v>
      </c>
      <c r="U873" s="883" t="str">
        <f>'$REV-DB'!$U$34</f>
        <v>local Revenues</v>
      </c>
      <c r="V873" s="883" t="str">
        <f>'$REV-DB'!$V$34</f>
        <v>Other Revenues</v>
      </c>
      <c r="W873" s="883" t="str">
        <f>'$REV-DB'!$W$34</f>
        <v>State revenues</v>
      </c>
      <c r="X873" s="883" t="str">
        <f>'$REV-DB'!$X$34</f>
        <v>UD5</v>
      </c>
      <c r="Y873" s="883" t="str">
        <f>'$REV-DB'!$Y$34</f>
        <v>UD6</v>
      </c>
      <c r="Z873" s="883" t="str">
        <f>'$REV-DB'!$Z$34</f>
        <v>UD7</v>
      </c>
      <c r="AA873" s="883" t="str">
        <f>'$REV-DB'!$AA$34</f>
        <v>UD8</v>
      </c>
      <c r="AB873" s="883" t="str">
        <f>'$REV-DB'!$AB$34</f>
        <v>UD9</v>
      </c>
      <c r="AC873" s="883" t="str">
        <f>'$REV-DB'!$AC$34</f>
        <v>UD10</v>
      </c>
      <c r="AD873" s="883" t="str">
        <f>'$REV-DB'!$AD$34</f>
        <v>UD11</v>
      </c>
      <c r="AE873" s="883" t="str">
        <f>'$REV-DB'!$AE$34</f>
        <v>UD12</v>
      </c>
      <c r="AF873" s="883" t="str">
        <f>'$REV-DB'!$AF$34</f>
        <v>UD13</v>
      </c>
      <c r="AG873" s="883" t="str">
        <f>'$REV-DB'!$AG$34</f>
        <v>UD14</v>
      </c>
    </row>
    <row r="874" spans="1:34" s="3" customFormat="1" ht="16" customHeight="1" thickTop="1" thickBot="1">
      <c r="A874" s="7"/>
      <c r="B874" s="20" t="s">
        <v>1399</v>
      </c>
      <c r="C874" s="15"/>
      <c r="D874" s="939" t="s">
        <v>1386</v>
      </c>
      <c r="E874" s="939" t="s">
        <v>1387</v>
      </c>
      <c r="F874" s="939" t="s">
        <v>1388</v>
      </c>
      <c r="G874" s="939" t="s">
        <v>1389</v>
      </c>
      <c r="H874" s="939" t="s">
        <v>1406</v>
      </c>
      <c r="I874" s="939" t="s">
        <v>1390</v>
      </c>
      <c r="J874" s="939" t="s">
        <v>1391</v>
      </c>
      <c r="K874" s="939" t="s">
        <v>1392</v>
      </c>
      <c r="L874" s="939" t="s">
        <v>1188</v>
      </c>
      <c r="M874" s="939" t="s">
        <v>1437</v>
      </c>
      <c r="N874" s="939" t="s">
        <v>1348</v>
      </c>
      <c r="O874" s="939" t="s">
        <v>1393</v>
      </c>
      <c r="P874" s="939" t="s">
        <v>1342</v>
      </c>
      <c r="Q874" s="939" t="s">
        <v>1394</v>
      </c>
      <c r="R874" s="112" t="s">
        <v>1341</v>
      </c>
      <c r="S874" s="112" t="s">
        <v>846</v>
      </c>
      <c r="T874" s="939" t="s">
        <v>935</v>
      </c>
      <c r="U874" s="939" t="s">
        <v>936</v>
      </c>
      <c r="V874" s="939" t="s">
        <v>937</v>
      </c>
      <c r="W874" s="939" t="s">
        <v>938</v>
      </c>
      <c r="X874" s="939" t="s">
        <v>939</v>
      </c>
      <c r="Y874" s="939" t="s">
        <v>940</v>
      </c>
      <c r="Z874" s="939" t="s">
        <v>941</v>
      </c>
      <c r="AA874" s="939" t="s">
        <v>942</v>
      </c>
      <c r="AB874" s="939" t="s">
        <v>943</v>
      </c>
      <c r="AC874" s="939" t="s">
        <v>944</v>
      </c>
      <c r="AD874" s="939" t="s">
        <v>945</v>
      </c>
      <c r="AE874" s="939" t="s">
        <v>946</v>
      </c>
      <c r="AF874" s="939" t="s">
        <v>947</v>
      </c>
      <c r="AG874" s="939" t="s">
        <v>948</v>
      </c>
      <c r="AH874" s="6"/>
    </row>
    <row r="875" spans="1:34" s="3" customFormat="1" ht="16" customHeight="1" thickTop="1">
      <c r="A875" s="7"/>
      <c r="B875" s="19" t="s">
        <v>1346</v>
      </c>
      <c r="C875" s="12"/>
      <c r="D875" s="202"/>
      <c r="E875" s="202"/>
      <c r="F875" s="202"/>
      <c r="G875" s="202"/>
      <c r="H875" s="202"/>
      <c r="I875" s="202"/>
      <c r="J875" s="202"/>
      <c r="K875" s="202"/>
      <c r="L875" s="291" t="s">
        <v>1429</v>
      </c>
      <c r="M875" s="202"/>
      <c r="N875" s="45" t="str">
        <f>J$6</f>
        <v>FY2010-11</v>
      </c>
      <c r="O875" s="45" t="s">
        <v>1436</v>
      </c>
      <c r="P875" s="45" t="s">
        <v>1338</v>
      </c>
      <c r="Q875" s="202"/>
      <c r="R875" s="202"/>
      <c r="S875" s="202"/>
      <c r="T875" s="203"/>
      <c r="U875" s="203"/>
      <c r="V875" s="204"/>
      <c r="W875" s="204"/>
      <c r="X875" s="204"/>
      <c r="Y875" s="204"/>
      <c r="Z875" s="204"/>
      <c r="AA875" s="204"/>
      <c r="AB875" s="204"/>
      <c r="AC875" s="204"/>
      <c r="AD875" s="204"/>
      <c r="AE875" s="204"/>
      <c r="AF875" s="204"/>
      <c r="AG875" s="204"/>
      <c r="AH875" s="6"/>
    </row>
    <row r="876" spans="1:34" s="3" customFormat="1" ht="16" customHeight="1">
      <c r="A876" s="7"/>
      <c r="B876" s="16">
        <f>DSUM('$REV-DB'!D35:AG374,"AMOUNT",D874:AG876)</f>
        <v>4900066412.2299995</v>
      </c>
      <c r="C876" s="12"/>
      <c r="D876" s="202"/>
      <c r="E876" s="202"/>
      <c r="F876" s="202"/>
      <c r="G876" s="202"/>
      <c r="H876" s="202"/>
      <c r="I876" s="202"/>
      <c r="J876" s="202"/>
      <c r="K876" s="202"/>
      <c r="L876" s="291" t="s">
        <v>1429</v>
      </c>
      <c r="M876" s="202"/>
      <c r="N876" s="45" t="str">
        <f>J$6</f>
        <v>FY2010-11</v>
      </c>
      <c r="O876" s="45" t="s">
        <v>1436</v>
      </c>
      <c r="P876" s="45" t="s">
        <v>1347</v>
      </c>
      <c r="Q876" s="202"/>
      <c r="R876" s="202"/>
      <c r="S876" s="202" t="s">
        <v>1303</v>
      </c>
      <c r="T876" s="203"/>
      <c r="U876" s="203"/>
      <c r="V876" s="204"/>
      <c r="W876" s="204"/>
      <c r="X876" s="204"/>
      <c r="Y876" s="204"/>
      <c r="Z876" s="204"/>
      <c r="AA876" s="204"/>
      <c r="AB876" s="204"/>
      <c r="AC876" s="204"/>
      <c r="AD876" s="204"/>
      <c r="AE876" s="204"/>
      <c r="AF876" s="204"/>
      <c r="AG876" s="204"/>
      <c r="AH876" s="6"/>
    </row>
    <row r="877" spans="1:34" s="3" customFormat="1" ht="16" customHeight="1">
      <c r="A877" s="7"/>
      <c r="B877" s="10"/>
      <c r="C877" s="12"/>
      <c r="D877" s="896"/>
      <c r="E877" s="896"/>
      <c r="F877" s="896"/>
      <c r="G877" s="896"/>
      <c r="H877" s="896"/>
      <c r="I877" s="896"/>
      <c r="J877" s="896"/>
      <c r="K877" s="896"/>
      <c r="L877" s="897"/>
      <c r="M877" s="896"/>
      <c r="N877" s="889"/>
      <c r="O877" s="889"/>
      <c r="P877" s="889"/>
      <c r="Q877" s="896"/>
      <c r="R877" s="896"/>
      <c r="S877" s="896"/>
      <c r="T877" s="898"/>
      <c r="U877" s="898"/>
      <c r="V877" s="899"/>
      <c r="W877" s="899"/>
      <c r="X877" s="899"/>
      <c r="Y877" s="899"/>
      <c r="Z877" s="899"/>
      <c r="AA877" s="899"/>
      <c r="AB877" s="899"/>
      <c r="AC877" s="899"/>
      <c r="AD877" s="899"/>
      <c r="AE877" s="899"/>
      <c r="AF877" s="899"/>
      <c r="AG877" s="899"/>
    </row>
    <row r="878" spans="1:34" s="3" customFormat="1" ht="16" customHeight="1">
      <c r="A878" s="7"/>
      <c r="B878" s="10"/>
      <c r="C878" s="12"/>
      <c r="D878" s="896"/>
      <c r="E878" s="896"/>
      <c r="F878" s="896"/>
      <c r="G878" s="896"/>
      <c r="H878" s="896"/>
      <c r="I878" s="896"/>
      <c r="J878" s="896"/>
      <c r="K878" s="896"/>
      <c r="L878" s="897"/>
      <c r="M878" s="896"/>
      <c r="N878" s="889"/>
      <c r="O878" s="889"/>
      <c r="P878" s="889"/>
      <c r="Q878" s="896"/>
      <c r="R878" s="896"/>
      <c r="S878" s="896"/>
      <c r="T878" s="898"/>
      <c r="U878" s="898"/>
      <c r="V878" s="899"/>
      <c r="W878" s="899"/>
      <c r="X878" s="899"/>
      <c r="Y878" s="899"/>
      <c r="Z878" s="899"/>
      <c r="AA878" s="899"/>
      <c r="AB878" s="899"/>
      <c r="AC878" s="899"/>
      <c r="AD878" s="899"/>
      <c r="AE878" s="899"/>
      <c r="AF878" s="899"/>
      <c r="AG878" s="899"/>
    </row>
    <row r="879" spans="1:34" s="3" customFormat="1" ht="16" customHeight="1">
      <c r="A879" s="7"/>
      <c r="B879" s="10"/>
      <c r="C879" s="12"/>
      <c r="D879" s="896"/>
      <c r="E879" s="896"/>
      <c r="F879" s="896"/>
      <c r="G879" s="896"/>
      <c r="H879" s="896"/>
      <c r="I879" s="896"/>
      <c r="J879" s="896"/>
      <c r="K879" s="896"/>
      <c r="L879" s="897"/>
      <c r="M879" s="896"/>
      <c r="N879" s="889"/>
      <c r="O879" s="889"/>
      <c r="P879" s="889"/>
      <c r="Q879" s="896"/>
      <c r="R879" s="896"/>
      <c r="S879" s="896"/>
      <c r="T879" s="898"/>
      <c r="U879" s="898"/>
      <c r="V879" s="899"/>
      <c r="W879" s="899"/>
      <c r="X879" s="899"/>
      <c r="Y879" s="899"/>
      <c r="Z879" s="899"/>
      <c r="AA879" s="899"/>
      <c r="AB879" s="899"/>
      <c r="AC879" s="899"/>
      <c r="AD879" s="899"/>
      <c r="AE879" s="899"/>
      <c r="AF879" s="899"/>
      <c r="AG879" s="899"/>
    </row>
    <row r="880" spans="1:34" s="3" customFormat="1" ht="16" customHeight="1">
      <c r="A880" s="7"/>
      <c r="B880" s="10"/>
      <c r="C880" s="12"/>
      <c r="D880" s="896"/>
      <c r="E880" s="896"/>
      <c r="F880" s="896"/>
      <c r="G880" s="896"/>
      <c r="H880" s="896"/>
      <c r="I880" s="896"/>
      <c r="J880" s="896"/>
      <c r="K880" s="896"/>
      <c r="L880" s="897"/>
      <c r="M880" s="896"/>
      <c r="N880" s="889"/>
      <c r="O880" s="889"/>
      <c r="P880" s="889"/>
      <c r="Q880" s="896"/>
      <c r="R880" s="896"/>
      <c r="S880" s="896"/>
      <c r="T880" s="898"/>
      <c r="U880" s="898"/>
      <c r="V880" s="899"/>
      <c r="W880" s="899"/>
      <c r="X880" s="899"/>
      <c r="Y880" s="899"/>
      <c r="Z880" s="899"/>
      <c r="AA880" s="899"/>
      <c r="AB880" s="899"/>
      <c r="AC880" s="899"/>
      <c r="AD880" s="899"/>
      <c r="AE880" s="899"/>
      <c r="AF880" s="899"/>
      <c r="AG880" s="899"/>
    </row>
    <row r="881" spans="1:34" s="3" customFormat="1" ht="16" customHeight="1">
      <c r="A881" s="7"/>
      <c r="B881" s="10"/>
      <c r="C881" s="12"/>
      <c r="D881" s="896"/>
      <c r="E881" s="896"/>
      <c r="F881" s="896"/>
      <c r="G881" s="896"/>
      <c r="H881" s="896"/>
      <c r="I881" s="896"/>
      <c r="J881" s="896"/>
      <c r="K881" s="896"/>
      <c r="L881" s="897"/>
      <c r="M881" s="896"/>
      <c r="N881" s="889"/>
      <c r="O881" s="889"/>
      <c r="P881" s="889"/>
      <c r="Q881" s="896"/>
      <c r="R881" s="896"/>
      <c r="S881" s="896"/>
      <c r="T881" s="898"/>
      <c r="U881" s="898"/>
      <c r="V881" s="899"/>
      <c r="W881" s="899"/>
      <c r="X881" s="899"/>
      <c r="Y881" s="899"/>
      <c r="Z881" s="899"/>
      <c r="AA881" s="899"/>
      <c r="AB881" s="899"/>
      <c r="AC881" s="899"/>
      <c r="AD881" s="899"/>
      <c r="AE881" s="899"/>
      <c r="AF881" s="899"/>
      <c r="AG881" s="899"/>
    </row>
    <row r="882" spans="1:34" s="3" customFormat="1" ht="16" customHeight="1">
      <c r="A882" s="44"/>
      <c r="B882" s="41"/>
      <c r="C882" s="41"/>
      <c r="D882" s="42"/>
      <c r="E882" s="42"/>
      <c r="F882" s="43"/>
      <c r="G882" s="42"/>
      <c r="H882" s="43"/>
      <c r="I882" s="43"/>
      <c r="J882" s="42"/>
      <c r="K882" s="42"/>
      <c r="L882" s="290"/>
      <c r="M882" s="43"/>
      <c r="N882" s="43"/>
      <c r="O882" s="42"/>
      <c r="P882" s="43"/>
      <c r="Q882" s="43"/>
      <c r="R882" s="42"/>
      <c r="S882" s="43"/>
      <c r="T882" s="42"/>
      <c r="U882" s="42"/>
      <c r="V882" s="44"/>
      <c r="W882" s="44"/>
      <c r="X882" s="44"/>
      <c r="Y882" s="44"/>
      <c r="Z882" s="44"/>
      <c r="AA882" s="44"/>
      <c r="AB882" s="44"/>
      <c r="AC882" s="44"/>
      <c r="AD882" s="44"/>
      <c r="AE882" s="44"/>
      <c r="AF882" s="44"/>
      <c r="AG882" s="44"/>
    </row>
    <row r="883" spans="1:34" s="3" customFormat="1" ht="16" customHeight="1" thickBot="1">
      <c r="A883" s="7"/>
      <c r="B883" s="19" t="s">
        <v>1436</v>
      </c>
      <c r="C883" s="7"/>
      <c r="D883" s="17"/>
      <c r="E883" s="17"/>
      <c r="F883" s="18"/>
      <c r="G883" s="17"/>
      <c r="H883" s="18"/>
      <c r="I883" s="18"/>
      <c r="J883" s="17"/>
      <c r="K883" s="17"/>
      <c r="L883" s="281"/>
      <c r="M883" s="18"/>
      <c r="N883" s="9"/>
      <c r="O883" s="17"/>
      <c r="P883" s="18"/>
      <c r="Q883" s="18"/>
      <c r="R883" s="17"/>
      <c r="S883" s="882"/>
      <c r="T883" s="883" t="str">
        <f>'$REV-DB'!$T$34</f>
        <v>Federal Revenues</v>
      </c>
      <c r="U883" s="883" t="str">
        <f>'$REV-DB'!$U$34</f>
        <v>local Revenues</v>
      </c>
      <c r="V883" s="883" t="str">
        <f>'$REV-DB'!$V$34</f>
        <v>Other Revenues</v>
      </c>
      <c r="W883" s="883" t="str">
        <f>'$REV-DB'!$W$34</f>
        <v>State revenues</v>
      </c>
      <c r="X883" s="883" t="str">
        <f>'$REV-DB'!$X$34</f>
        <v>UD5</v>
      </c>
      <c r="Y883" s="883" t="str">
        <f>'$REV-DB'!$Y$34</f>
        <v>UD6</v>
      </c>
      <c r="Z883" s="883" t="str">
        <f>'$REV-DB'!$Z$34</f>
        <v>UD7</v>
      </c>
      <c r="AA883" s="883" t="str">
        <f>'$REV-DB'!$AA$34</f>
        <v>UD8</v>
      </c>
      <c r="AB883" s="883" t="str">
        <f>'$REV-DB'!$AB$34</f>
        <v>UD9</v>
      </c>
      <c r="AC883" s="883" t="str">
        <f>'$REV-DB'!$AC$34</f>
        <v>UD10</v>
      </c>
      <c r="AD883" s="883" t="str">
        <f>'$REV-DB'!$AD$34</f>
        <v>UD11</v>
      </c>
      <c r="AE883" s="883" t="str">
        <f>'$REV-DB'!$AE$34</f>
        <v>UD12</v>
      </c>
      <c r="AF883" s="883" t="str">
        <f>'$REV-DB'!$AF$34</f>
        <v>UD13</v>
      </c>
      <c r="AG883" s="883" t="str">
        <f>'$REV-DB'!$AG$34</f>
        <v>UD14</v>
      </c>
    </row>
    <row r="884" spans="1:34" s="3" customFormat="1" ht="16" customHeight="1" thickTop="1" thickBot="1">
      <c r="A884" s="7"/>
      <c r="B884" s="20" t="s">
        <v>1375</v>
      </c>
      <c r="C884" s="15"/>
      <c r="D884" s="939" t="s">
        <v>1386</v>
      </c>
      <c r="E884" s="939" t="s">
        <v>1387</v>
      </c>
      <c r="F884" s="939" t="s">
        <v>1388</v>
      </c>
      <c r="G884" s="939" t="s">
        <v>1389</v>
      </c>
      <c r="H884" s="939" t="s">
        <v>1406</v>
      </c>
      <c r="I884" s="939" t="s">
        <v>1390</v>
      </c>
      <c r="J884" s="939" t="s">
        <v>1391</v>
      </c>
      <c r="K884" s="939" t="s">
        <v>1392</v>
      </c>
      <c r="L884" s="939" t="s">
        <v>1188</v>
      </c>
      <c r="M884" s="939" t="s">
        <v>1437</v>
      </c>
      <c r="N884" s="939" t="s">
        <v>1348</v>
      </c>
      <c r="O884" s="939" t="s">
        <v>1393</v>
      </c>
      <c r="P884" s="939" t="s">
        <v>1342</v>
      </c>
      <c r="Q884" s="939" t="s">
        <v>1394</v>
      </c>
      <c r="R884" s="112" t="s">
        <v>1341</v>
      </c>
      <c r="S884" s="112" t="s">
        <v>846</v>
      </c>
      <c r="T884" s="939" t="s">
        <v>935</v>
      </c>
      <c r="U884" s="939" t="s">
        <v>936</v>
      </c>
      <c r="V884" s="939" t="s">
        <v>937</v>
      </c>
      <c r="W884" s="939" t="s">
        <v>938</v>
      </c>
      <c r="X884" s="939" t="s">
        <v>939</v>
      </c>
      <c r="Y884" s="939" t="s">
        <v>940</v>
      </c>
      <c r="Z884" s="939" t="s">
        <v>941</v>
      </c>
      <c r="AA884" s="939" t="s">
        <v>942</v>
      </c>
      <c r="AB884" s="939" t="s">
        <v>943</v>
      </c>
      <c r="AC884" s="939" t="s">
        <v>944</v>
      </c>
      <c r="AD884" s="939" t="s">
        <v>945</v>
      </c>
      <c r="AE884" s="939" t="s">
        <v>946</v>
      </c>
      <c r="AF884" s="939" t="s">
        <v>947</v>
      </c>
      <c r="AG884" s="939" t="s">
        <v>948</v>
      </c>
      <c r="AH884" s="6"/>
    </row>
    <row r="885" spans="1:34" s="3" customFormat="1" ht="16" customHeight="1" thickTop="1">
      <c r="A885" s="7"/>
      <c r="B885" s="19" t="s">
        <v>1346</v>
      </c>
      <c r="C885" s="12"/>
      <c r="D885" s="203"/>
      <c r="E885" s="203"/>
      <c r="F885" s="202"/>
      <c r="G885" s="203"/>
      <c r="H885" s="202"/>
      <c r="I885" s="202"/>
      <c r="J885" s="203"/>
      <c r="K885" s="203"/>
      <c r="L885" s="291" t="s">
        <v>1429</v>
      </c>
      <c r="M885" s="202"/>
      <c r="N885" s="45" t="str">
        <f>J$6</f>
        <v>FY2010-11</v>
      </c>
      <c r="O885" s="45" t="s">
        <v>1436</v>
      </c>
      <c r="P885" s="45" t="s">
        <v>1347</v>
      </c>
      <c r="Q885" s="45"/>
      <c r="R885" s="203"/>
      <c r="S885" s="202" t="s">
        <v>871</v>
      </c>
      <c r="T885" s="203"/>
      <c r="U885" s="203"/>
      <c r="V885" s="204"/>
      <c r="W885" s="204"/>
      <c r="X885" s="204"/>
      <c r="Y885" s="204"/>
      <c r="Z885" s="204"/>
      <c r="AA885" s="204"/>
      <c r="AB885" s="204"/>
      <c r="AC885" s="204"/>
      <c r="AD885" s="204"/>
      <c r="AE885" s="204"/>
      <c r="AF885" s="204"/>
      <c r="AG885" s="204"/>
      <c r="AH885" s="6"/>
    </row>
    <row r="886" spans="1:34" s="3" customFormat="1" ht="16" customHeight="1">
      <c r="A886" s="7"/>
      <c r="B886" s="16">
        <f>DSUM('$REV-DB'!D35:AG374,"AMOUNT",D884:AG885)</f>
        <v>31993807.920000009</v>
      </c>
      <c r="C886" s="12"/>
      <c r="D886" s="896"/>
      <c r="E886" s="896"/>
      <c r="F886" s="896"/>
      <c r="G886" s="896"/>
      <c r="H886" s="896"/>
      <c r="I886" s="896"/>
      <c r="J886" s="896"/>
      <c r="K886" s="896"/>
      <c r="L886" s="897"/>
      <c r="M886" s="896"/>
      <c r="N886" s="889"/>
      <c r="O886" s="896"/>
      <c r="P886" s="889"/>
      <c r="Q886" s="900"/>
      <c r="R886" s="896"/>
      <c r="S886" s="896"/>
      <c r="T886" s="898"/>
      <c r="U886" s="898"/>
      <c r="V886" s="899"/>
      <c r="W886" s="899"/>
      <c r="X886" s="899"/>
      <c r="Y886" s="899"/>
      <c r="Z886" s="899"/>
      <c r="AA886" s="899"/>
      <c r="AB886" s="899"/>
      <c r="AC886" s="899"/>
      <c r="AD886" s="899"/>
      <c r="AE886" s="899"/>
      <c r="AF886" s="899"/>
      <c r="AG886" s="899"/>
      <c r="AH886" s="6"/>
    </row>
    <row r="887" spans="1:34" s="3" customFormat="1" ht="16" customHeight="1">
      <c r="A887" s="7"/>
      <c r="B887" s="10"/>
      <c r="C887" s="12"/>
      <c r="D887" s="896"/>
      <c r="E887" s="896"/>
      <c r="F887" s="896"/>
      <c r="G887" s="896"/>
      <c r="H887" s="896"/>
      <c r="I887" s="896"/>
      <c r="J887" s="896"/>
      <c r="K887" s="896"/>
      <c r="L887" s="897"/>
      <c r="M887" s="896"/>
      <c r="N887" s="889"/>
      <c r="O887" s="896"/>
      <c r="P887" s="889"/>
      <c r="Q887" s="900"/>
      <c r="R887" s="896"/>
      <c r="S887" s="896"/>
      <c r="T887" s="898"/>
      <c r="U887" s="898"/>
      <c r="V887" s="899"/>
      <c r="W887" s="899"/>
      <c r="X887" s="899"/>
      <c r="Y887" s="899"/>
      <c r="Z887" s="899"/>
      <c r="AA887" s="899"/>
      <c r="AB887" s="899"/>
      <c r="AC887" s="899"/>
      <c r="AD887" s="899"/>
      <c r="AE887" s="899"/>
      <c r="AF887" s="899"/>
      <c r="AG887" s="899"/>
    </row>
    <row r="888" spans="1:34" s="3" customFormat="1" ht="16" customHeight="1">
      <c r="A888" s="7"/>
      <c r="B888" s="10"/>
      <c r="C888" s="12"/>
      <c r="D888" s="896"/>
      <c r="E888" s="896"/>
      <c r="F888" s="896"/>
      <c r="G888" s="896"/>
      <c r="H888" s="896"/>
      <c r="I888" s="896"/>
      <c r="J888" s="896"/>
      <c r="K888" s="896"/>
      <c r="L888" s="897"/>
      <c r="M888" s="896"/>
      <c r="N888" s="889"/>
      <c r="O888" s="896"/>
      <c r="P888" s="889"/>
      <c r="Q888" s="900"/>
      <c r="R888" s="896"/>
      <c r="S888" s="896"/>
      <c r="T888" s="898"/>
      <c r="U888" s="898"/>
      <c r="V888" s="899"/>
      <c r="W888" s="899"/>
      <c r="X888" s="899"/>
      <c r="Y888" s="899"/>
      <c r="Z888" s="899"/>
      <c r="AA888" s="899"/>
      <c r="AB888" s="899"/>
      <c r="AC888" s="899"/>
      <c r="AD888" s="899"/>
      <c r="AE888" s="899"/>
      <c r="AF888" s="899"/>
      <c r="AG888" s="899"/>
    </row>
    <row r="889" spans="1:34" s="3" customFormat="1" ht="16" customHeight="1">
      <c r="A889" s="7"/>
      <c r="B889" s="10"/>
      <c r="C889" s="12"/>
      <c r="D889" s="896"/>
      <c r="E889" s="896"/>
      <c r="F889" s="896"/>
      <c r="G889" s="896"/>
      <c r="H889" s="896"/>
      <c r="I889" s="896"/>
      <c r="J889" s="896"/>
      <c r="K889" s="896"/>
      <c r="L889" s="897"/>
      <c r="M889" s="896"/>
      <c r="N889" s="889"/>
      <c r="O889" s="896"/>
      <c r="P889" s="889"/>
      <c r="Q889" s="900"/>
      <c r="R889" s="896"/>
      <c r="S889" s="896"/>
      <c r="T889" s="898"/>
      <c r="U889" s="898"/>
      <c r="V889" s="899"/>
      <c r="W889" s="899"/>
      <c r="X889" s="899"/>
      <c r="Y889" s="899"/>
      <c r="Z889" s="899"/>
      <c r="AA889" s="899"/>
      <c r="AB889" s="899"/>
      <c r="AC889" s="899"/>
      <c r="AD889" s="899"/>
      <c r="AE889" s="899"/>
      <c r="AF889" s="899"/>
      <c r="AG889" s="899"/>
    </row>
    <row r="890" spans="1:34" s="3" customFormat="1" ht="16" customHeight="1">
      <c r="A890" s="7"/>
      <c r="B890" s="10"/>
      <c r="C890" s="12"/>
      <c r="D890" s="896"/>
      <c r="E890" s="896"/>
      <c r="F890" s="896"/>
      <c r="G890" s="896"/>
      <c r="H890" s="896"/>
      <c r="I890" s="896"/>
      <c r="J890" s="896"/>
      <c r="K890" s="896"/>
      <c r="L890" s="897"/>
      <c r="M890" s="896"/>
      <c r="N890" s="889"/>
      <c r="O890" s="896"/>
      <c r="P890" s="889"/>
      <c r="Q890" s="900"/>
      <c r="R890" s="896"/>
      <c r="S890" s="896"/>
      <c r="T890" s="898"/>
      <c r="U890" s="898"/>
      <c r="V890" s="899"/>
      <c r="W890" s="899"/>
      <c r="X890" s="899"/>
      <c r="Y890" s="899"/>
      <c r="Z890" s="899"/>
      <c r="AA890" s="899"/>
      <c r="AB890" s="899"/>
      <c r="AC890" s="899"/>
      <c r="AD890" s="899"/>
      <c r="AE890" s="899"/>
      <c r="AF890" s="899"/>
      <c r="AG890" s="899"/>
    </row>
    <row r="891" spans="1:34" s="3" customFormat="1" ht="16" customHeight="1">
      <c r="A891" s="7"/>
      <c r="B891" s="10"/>
      <c r="C891" s="12"/>
      <c r="D891" s="896"/>
      <c r="E891" s="896"/>
      <c r="F891" s="896"/>
      <c r="G891" s="896"/>
      <c r="H891" s="896"/>
      <c r="I891" s="896"/>
      <c r="J891" s="896"/>
      <c r="K891" s="896"/>
      <c r="L891" s="897"/>
      <c r="M891" s="896"/>
      <c r="N891" s="889"/>
      <c r="O891" s="896"/>
      <c r="P891" s="889"/>
      <c r="Q891" s="900"/>
      <c r="R891" s="896"/>
      <c r="S891" s="896"/>
      <c r="T891" s="898"/>
      <c r="U891" s="898"/>
      <c r="V891" s="899"/>
      <c r="W891" s="899"/>
      <c r="X891" s="899"/>
      <c r="Y891" s="899"/>
      <c r="Z891" s="899"/>
      <c r="AA891" s="899"/>
      <c r="AB891" s="899"/>
      <c r="AC891" s="899"/>
      <c r="AD891" s="899"/>
      <c r="AE891" s="899"/>
      <c r="AF891" s="899"/>
      <c r="AG891" s="899"/>
    </row>
    <row r="892" spans="1:34" s="3" customFormat="1" ht="16" customHeight="1">
      <c r="A892" s="44"/>
      <c r="B892" s="41"/>
      <c r="C892" s="41"/>
      <c r="D892" s="42"/>
      <c r="E892" s="42"/>
      <c r="F892" s="43"/>
      <c r="G892" s="42"/>
      <c r="H892" s="43"/>
      <c r="I892" s="43"/>
      <c r="J892" s="42"/>
      <c r="K892" s="42"/>
      <c r="L892" s="290"/>
      <c r="M892" s="43"/>
      <c r="N892" s="43"/>
      <c r="O892" s="42"/>
      <c r="P892" s="43"/>
      <c r="Q892" s="43"/>
      <c r="R892" s="42"/>
      <c r="S892" s="43"/>
      <c r="T892" s="42"/>
      <c r="U892" s="42"/>
      <c r="V892" s="44"/>
      <c r="W892" s="44"/>
      <c r="X892" s="44"/>
      <c r="Y892" s="44"/>
      <c r="Z892" s="44"/>
      <c r="AA892" s="44"/>
      <c r="AB892" s="44"/>
      <c r="AC892" s="44"/>
      <c r="AD892" s="44"/>
      <c r="AE892" s="44"/>
      <c r="AF892" s="44"/>
      <c r="AG892" s="44"/>
    </row>
    <row r="893" spans="1:34" s="3" customFormat="1" ht="16" customHeight="1" thickBot="1">
      <c r="A893" s="7"/>
      <c r="B893" s="19" t="s">
        <v>842</v>
      </c>
      <c r="C893" s="7"/>
      <c r="D893" s="17"/>
      <c r="E893" s="17"/>
      <c r="F893" s="18"/>
      <c r="G893" s="17"/>
      <c r="H893" s="18"/>
      <c r="I893" s="18"/>
      <c r="J893" s="17"/>
      <c r="K893" s="17"/>
      <c r="L893" s="281"/>
      <c r="M893" s="18"/>
      <c r="N893" s="9"/>
      <c r="O893" s="17"/>
      <c r="P893" s="18"/>
      <c r="Q893" s="18"/>
      <c r="R893" s="17"/>
      <c r="S893" s="882"/>
      <c r="T893" s="883" t="str">
        <f>'$REV-DB'!$T$34</f>
        <v>Federal Revenues</v>
      </c>
      <c r="U893" s="883" t="str">
        <f>'$REV-DB'!$U$34</f>
        <v>local Revenues</v>
      </c>
      <c r="V893" s="883" t="str">
        <f>'$REV-DB'!$V$34</f>
        <v>Other Revenues</v>
      </c>
      <c r="W893" s="883" t="str">
        <f>'$REV-DB'!$W$34</f>
        <v>State revenues</v>
      </c>
      <c r="X893" s="883" t="str">
        <f>'$REV-DB'!$X$34</f>
        <v>UD5</v>
      </c>
      <c r="Y893" s="883" t="str">
        <f>'$REV-DB'!$Y$34</f>
        <v>UD6</v>
      </c>
      <c r="Z893" s="883" t="str">
        <f>'$REV-DB'!$Z$34</f>
        <v>UD7</v>
      </c>
      <c r="AA893" s="883" t="str">
        <f>'$REV-DB'!$AA$34</f>
        <v>UD8</v>
      </c>
      <c r="AB893" s="883" t="str">
        <f>'$REV-DB'!$AB$34</f>
        <v>UD9</v>
      </c>
      <c r="AC893" s="883" t="str">
        <f>'$REV-DB'!$AC$34</f>
        <v>UD10</v>
      </c>
      <c r="AD893" s="883" t="str">
        <f>'$REV-DB'!$AD$34</f>
        <v>UD11</v>
      </c>
      <c r="AE893" s="883" t="str">
        <f>'$REV-DB'!$AE$34</f>
        <v>UD12</v>
      </c>
      <c r="AF893" s="883" t="str">
        <f>'$REV-DB'!$AF$34</f>
        <v>UD13</v>
      </c>
      <c r="AG893" s="883" t="str">
        <f>'$REV-DB'!$AG$34</f>
        <v>UD14</v>
      </c>
    </row>
    <row r="894" spans="1:34" s="3" customFormat="1" ht="16" customHeight="1" thickTop="1" thickBot="1">
      <c r="A894" s="7"/>
      <c r="B894" s="20" t="s">
        <v>1399</v>
      </c>
      <c r="C894" s="15"/>
      <c r="D894" s="939" t="s">
        <v>1386</v>
      </c>
      <c r="E894" s="939" t="s">
        <v>1387</v>
      </c>
      <c r="F894" s="939" t="s">
        <v>1388</v>
      </c>
      <c r="G894" s="939" t="s">
        <v>1389</v>
      </c>
      <c r="H894" s="939" t="s">
        <v>1406</v>
      </c>
      <c r="I894" s="939" t="s">
        <v>1390</v>
      </c>
      <c r="J894" s="939" t="s">
        <v>1391</v>
      </c>
      <c r="K894" s="939" t="s">
        <v>1392</v>
      </c>
      <c r="L894" s="939" t="s">
        <v>1188</v>
      </c>
      <c r="M894" s="939" t="s">
        <v>1437</v>
      </c>
      <c r="N894" s="939" t="s">
        <v>1348</v>
      </c>
      <c r="O894" s="939" t="s">
        <v>1393</v>
      </c>
      <c r="P894" s="939" t="s">
        <v>1342</v>
      </c>
      <c r="Q894" s="939" t="s">
        <v>1394</v>
      </c>
      <c r="R894" s="112" t="s">
        <v>1341</v>
      </c>
      <c r="S894" s="112" t="s">
        <v>846</v>
      </c>
      <c r="T894" s="939" t="s">
        <v>935</v>
      </c>
      <c r="U894" s="939" t="s">
        <v>936</v>
      </c>
      <c r="V894" s="939" t="s">
        <v>937</v>
      </c>
      <c r="W894" s="939" t="s">
        <v>938</v>
      </c>
      <c r="X894" s="939" t="s">
        <v>939</v>
      </c>
      <c r="Y894" s="939" t="s">
        <v>940</v>
      </c>
      <c r="Z894" s="939" t="s">
        <v>941</v>
      </c>
      <c r="AA894" s="939" t="s">
        <v>942</v>
      </c>
      <c r="AB894" s="939" t="s">
        <v>943</v>
      </c>
      <c r="AC894" s="939" t="s">
        <v>944</v>
      </c>
      <c r="AD894" s="939" t="s">
        <v>945</v>
      </c>
      <c r="AE894" s="939" t="s">
        <v>946</v>
      </c>
      <c r="AF894" s="939" t="s">
        <v>947</v>
      </c>
      <c r="AG894" s="939" t="s">
        <v>948</v>
      </c>
      <c r="AH894" s="6"/>
    </row>
    <row r="895" spans="1:34" s="3" customFormat="1" ht="16" customHeight="1" thickTop="1">
      <c r="A895" s="7"/>
      <c r="B895" s="19" t="s">
        <v>1346</v>
      </c>
      <c r="C895" s="12"/>
      <c r="D895" s="202"/>
      <c r="E895" s="202"/>
      <c r="F895" s="202"/>
      <c r="G895" s="202"/>
      <c r="H895" s="202"/>
      <c r="I895" s="202"/>
      <c r="J895" s="202"/>
      <c r="K895" s="202"/>
      <c r="L895" s="291" t="s">
        <v>1429</v>
      </c>
      <c r="M895" s="202"/>
      <c r="N895" s="45" t="str">
        <f>J$6</f>
        <v>FY2010-11</v>
      </c>
      <c r="O895" s="45" t="s">
        <v>843</v>
      </c>
      <c r="P895" s="45" t="s">
        <v>1338</v>
      </c>
      <c r="Q895" s="202"/>
      <c r="R895" s="202"/>
      <c r="S895" s="202"/>
      <c r="T895" s="203"/>
      <c r="U895" s="203"/>
      <c r="V895" s="204"/>
      <c r="W895" s="204"/>
      <c r="X895" s="204"/>
      <c r="Y895" s="204"/>
      <c r="Z895" s="204"/>
      <c r="AA895" s="204"/>
      <c r="AB895" s="204"/>
      <c r="AC895" s="204"/>
      <c r="AD895" s="204"/>
      <c r="AE895" s="204"/>
      <c r="AF895" s="204"/>
      <c r="AG895" s="204"/>
      <c r="AH895" s="6"/>
    </row>
    <row r="896" spans="1:34" s="3" customFormat="1" ht="16" customHeight="1">
      <c r="A896" s="7"/>
      <c r="B896" s="16">
        <f>DSUM('$REV-DB'!D35:AG374,"AMOUNT",D894:AG896)</f>
        <v>349130780.80000001</v>
      </c>
      <c r="C896" s="12"/>
      <c r="D896" s="202"/>
      <c r="E896" s="202"/>
      <c r="F896" s="202"/>
      <c r="G896" s="202"/>
      <c r="H896" s="202"/>
      <c r="I896" s="202"/>
      <c r="J896" s="202"/>
      <c r="K896" s="202"/>
      <c r="L896" s="291" t="s">
        <v>1429</v>
      </c>
      <c r="M896" s="202"/>
      <c r="N896" s="45" t="str">
        <f>J$6</f>
        <v>FY2010-11</v>
      </c>
      <c r="O896" s="45" t="s">
        <v>843</v>
      </c>
      <c r="P896" s="45" t="s">
        <v>1347</v>
      </c>
      <c r="Q896" s="202"/>
      <c r="R896" s="202"/>
      <c r="S896" s="202" t="s">
        <v>1303</v>
      </c>
      <c r="T896" s="203"/>
      <c r="U896" s="203"/>
      <c r="V896" s="204"/>
      <c r="W896" s="204"/>
      <c r="X896" s="204"/>
      <c r="Y896" s="204"/>
      <c r="Z896" s="204"/>
      <c r="AA896" s="204"/>
      <c r="AB896" s="204"/>
      <c r="AC896" s="204"/>
      <c r="AD896" s="204"/>
      <c r="AE896" s="204"/>
      <c r="AF896" s="204"/>
      <c r="AG896" s="204"/>
      <c r="AH896" s="6"/>
    </row>
    <row r="897" spans="1:34" s="3" customFormat="1" ht="16" customHeight="1">
      <c r="A897" s="7"/>
      <c r="B897" s="10"/>
      <c r="C897" s="12"/>
      <c r="D897" s="896"/>
      <c r="E897" s="896"/>
      <c r="F897" s="896"/>
      <c r="G897" s="896"/>
      <c r="H897" s="896"/>
      <c r="I897" s="896"/>
      <c r="J897" s="896"/>
      <c r="K897" s="896"/>
      <c r="L897" s="897"/>
      <c r="M897" s="896"/>
      <c r="N897" s="889"/>
      <c r="O897" s="889"/>
      <c r="P897" s="889"/>
      <c r="Q897" s="896"/>
      <c r="R897" s="896"/>
      <c r="S897" s="896"/>
      <c r="T897" s="898"/>
      <c r="U897" s="898"/>
      <c r="V897" s="899"/>
      <c r="W897" s="899"/>
      <c r="X897" s="899"/>
      <c r="Y897" s="899"/>
      <c r="Z897" s="899"/>
      <c r="AA897" s="899"/>
      <c r="AB897" s="899"/>
      <c r="AC897" s="899"/>
      <c r="AD897" s="899"/>
      <c r="AE897" s="899"/>
      <c r="AF897" s="899"/>
      <c r="AG897" s="899"/>
    </row>
    <row r="898" spans="1:34" s="3" customFormat="1" ht="16" customHeight="1">
      <c r="A898" s="7"/>
      <c r="B898" s="10"/>
      <c r="C898" s="12"/>
      <c r="D898" s="896"/>
      <c r="E898" s="896"/>
      <c r="F898" s="896"/>
      <c r="G898" s="896"/>
      <c r="H898" s="896"/>
      <c r="I898" s="896"/>
      <c r="J898" s="896"/>
      <c r="K898" s="896"/>
      <c r="L898" s="897"/>
      <c r="M898" s="896"/>
      <c r="N898" s="889"/>
      <c r="O898" s="889"/>
      <c r="P898" s="889"/>
      <c r="Q898" s="896"/>
      <c r="R898" s="896"/>
      <c r="S898" s="896"/>
      <c r="T898" s="898"/>
      <c r="U898" s="898"/>
      <c r="V898" s="899"/>
      <c r="W898" s="899"/>
      <c r="X898" s="899"/>
      <c r="Y898" s="899"/>
      <c r="Z898" s="899"/>
      <c r="AA898" s="899"/>
      <c r="AB898" s="899"/>
      <c r="AC898" s="899"/>
      <c r="AD898" s="899"/>
      <c r="AE898" s="899"/>
      <c r="AF898" s="899"/>
      <c r="AG898" s="899"/>
    </row>
    <row r="899" spans="1:34" s="3" customFormat="1" ht="16" customHeight="1">
      <c r="A899" s="7"/>
      <c r="B899" s="10"/>
      <c r="C899" s="12"/>
      <c r="D899" s="896"/>
      <c r="E899" s="896"/>
      <c r="F899" s="896"/>
      <c r="G899" s="896"/>
      <c r="H899" s="896"/>
      <c r="I899" s="896"/>
      <c r="J899" s="896"/>
      <c r="K899" s="896"/>
      <c r="L899" s="897"/>
      <c r="M899" s="896"/>
      <c r="N899" s="889"/>
      <c r="O899" s="889"/>
      <c r="P899" s="889"/>
      <c r="Q899" s="896"/>
      <c r="R899" s="896"/>
      <c r="S899" s="896"/>
      <c r="T899" s="898"/>
      <c r="U899" s="898"/>
      <c r="V899" s="899"/>
      <c r="W899" s="899"/>
      <c r="X899" s="899"/>
      <c r="Y899" s="899"/>
      <c r="Z899" s="899"/>
      <c r="AA899" s="899"/>
      <c r="AB899" s="899"/>
      <c r="AC899" s="899"/>
      <c r="AD899" s="899"/>
      <c r="AE899" s="899"/>
      <c r="AF899" s="899"/>
      <c r="AG899" s="899"/>
    </row>
    <row r="900" spans="1:34" s="3" customFormat="1" ht="16" customHeight="1">
      <c r="A900" s="7"/>
      <c r="B900" s="10"/>
      <c r="C900" s="12"/>
      <c r="D900" s="896"/>
      <c r="E900" s="896"/>
      <c r="F900" s="896"/>
      <c r="G900" s="896"/>
      <c r="H900" s="896"/>
      <c r="I900" s="896"/>
      <c r="J900" s="896"/>
      <c r="K900" s="896"/>
      <c r="L900" s="897"/>
      <c r="M900" s="896"/>
      <c r="N900" s="889"/>
      <c r="O900" s="889"/>
      <c r="P900" s="889"/>
      <c r="Q900" s="896"/>
      <c r="R900" s="896"/>
      <c r="S900" s="896"/>
      <c r="T900" s="898"/>
      <c r="U900" s="898"/>
      <c r="V900" s="899"/>
      <c r="W900" s="899"/>
      <c r="X900" s="899"/>
      <c r="Y900" s="899"/>
      <c r="Z900" s="899"/>
      <c r="AA900" s="899"/>
      <c r="AB900" s="899"/>
      <c r="AC900" s="899"/>
      <c r="AD900" s="899"/>
      <c r="AE900" s="899"/>
      <c r="AF900" s="899"/>
      <c r="AG900" s="899"/>
    </row>
    <row r="901" spans="1:34" s="3" customFormat="1" ht="16" customHeight="1">
      <c r="A901" s="7"/>
      <c r="B901" s="10"/>
      <c r="C901" s="12"/>
      <c r="D901" s="896"/>
      <c r="E901" s="896"/>
      <c r="F901" s="896"/>
      <c r="G901" s="896"/>
      <c r="H901" s="896"/>
      <c r="I901" s="896"/>
      <c r="J901" s="896"/>
      <c r="K901" s="896"/>
      <c r="L901" s="897"/>
      <c r="M901" s="896"/>
      <c r="N901" s="889"/>
      <c r="O901" s="889"/>
      <c r="P901" s="889"/>
      <c r="Q901" s="896"/>
      <c r="R901" s="896"/>
      <c r="S901" s="896"/>
      <c r="T901" s="898"/>
      <c r="U901" s="898"/>
      <c r="V901" s="899"/>
      <c r="W901" s="899"/>
      <c r="X901" s="899"/>
      <c r="Y901" s="899"/>
      <c r="Z901" s="899"/>
      <c r="AA901" s="899"/>
      <c r="AB901" s="899"/>
      <c r="AC901" s="899"/>
      <c r="AD901" s="899"/>
      <c r="AE901" s="899"/>
      <c r="AF901" s="899"/>
      <c r="AG901" s="899"/>
    </row>
    <row r="902" spans="1:34" s="3" customFormat="1" ht="16" customHeight="1">
      <c r="A902" s="44"/>
      <c r="B902" s="41"/>
      <c r="C902" s="41"/>
      <c r="D902" s="42"/>
      <c r="E902" s="42"/>
      <c r="F902" s="43"/>
      <c r="G902" s="42"/>
      <c r="H902" s="43"/>
      <c r="I902" s="43"/>
      <c r="J902" s="42"/>
      <c r="K902" s="42"/>
      <c r="L902" s="290"/>
      <c r="M902" s="43"/>
      <c r="N902" s="43"/>
      <c r="O902" s="42"/>
      <c r="P902" s="43"/>
      <c r="Q902" s="43"/>
      <c r="R902" s="42"/>
      <c r="S902" s="43"/>
      <c r="T902" s="42"/>
      <c r="U902" s="42"/>
      <c r="V902" s="44"/>
      <c r="W902" s="44"/>
      <c r="X902" s="44"/>
      <c r="Y902" s="44"/>
      <c r="Z902" s="44"/>
      <c r="AA902" s="44"/>
      <c r="AB902" s="44"/>
      <c r="AC902" s="44"/>
      <c r="AD902" s="44"/>
      <c r="AE902" s="44"/>
      <c r="AF902" s="44"/>
      <c r="AG902" s="44"/>
    </row>
    <row r="903" spans="1:34" s="3" customFormat="1" ht="16" customHeight="1" thickBot="1">
      <c r="A903" s="7"/>
      <c r="B903" s="19" t="s">
        <v>842</v>
      </c>
      <c r="C903" s="7"/>
      <c r="D903" s="17"/>
      <c r="E903" s="17"/>
      <c r="F903" s="18"/>
      <c r="G903" s="17"/>
      <c r="H903" s="18"/>
      <c r="I903" s="18"/>
      <c r="J903" s="17"/>
      <c r="K903" s="17"/>
      <c r="L903" s="281"/>
      <c r="M903" s="18"/>
      <c r="N903" s="9"/>
      <c r="O903" s="17"/>
      <c r="P903" s="18"/>
      <c r="Q903" s="18"/>
      <c r="R903" s="17"/>
      <c r="S903" s="882"/>
      <c r="T903" s="883" t="str">
        <f>'$REV-DB'!$T$34</f>
        <v>Federal Revenues</v>
      </c>
      <c r="U903" s="883" t="str">
        <f>'$REV-DB'!$U$34</f>
        <v>local Revenues</v>
      </c>
      <c r="V903" s="883" t="str">
        <f>'$REV-DB'!$V$34</f>
        <v>Other Revenues</v>
      </c>
      <c r="W903" s="883" t="str">
        <f>'$REV-DB'!$W$34</f>
        <v>State revenues</v>
      </c>
      <c r="X903" s="883" t="str">
        <f>'$REV-DB'!$X$34</f>
        <v>UD5</v>
      </c>
      <c r="Y903" s="883" t="str">
        <f>'$REV-DB'!$Y$34</f>
        <v>UD6</v>
      </c>
      <c r="Z903" s="883" t="str">
        <f>'$REV-DB'!$Z$34</f>
        <v>UD7</v>
      </c>
      <c r="AA903" s="883" t="str">
        <f>'$REV-DB'!$AA$34</f>
        <v>UD8</v>
      </c>
      <c r="AB903" s="883" t="str">
        <f>'$REV-DB'!$AB$34</f>
        <v>UD9</v>
      </c>
      <c r="AC903" s="883" t="str">
        <f>'$REV-DB'!$AC$34</f>
        <v>UD10</v>
      </c>
      <c r="AD903" s="883" t="str">
        <f>'$REV-DB'!$AD$34</f>
        <v>UD11</v>
      </c>
      <c r="AE903" s="883" t="str">
        <f>'$REV-DB'!$AE$34</f>
        <v>UD12</v>
      </c>
      <c r="AF903" s="883" t="str">
        <f>'$REV-DB'!$AF$34</f>
        <v>UD13</v>
      </c>
      <c r="AG903" s="883" t="str">
        <f>'$REV-DB'!$AG$34</f>
        <v>UD14</v>
      </c>
    </row>
    <row r="904" spans="1:34" s="3" customFormat="1" ht="16" customHeight="1" thickTop="1" thickBot="1">
      <c r="A904" s="7"/>
      <c r="B904" s="20" t="s">
        <v>1375</v>
      </c>
      <c r="C904" s="15"/>
      <c r="D904" s="939" t="s">
        <v>1386</v>
      </c>
      <c r="E904" s="939" t="s">
        <v>1387</v>
      </c>
      <c r="F904" s="939" t="s">
        <v>1388</v>
      </c>
      <c r="G904" s="939" t="s">
        <v>1389</v>
      </c>
      <c r="H904" s="939" t="s">
        <v>1406</v>
      </c>
      <c r="I904" s="939" t="s">
        <v>1390</v>
      </c>
      <c r="J904" s="939" t="s">
        <v>1391</v>
      </c>
      <c r="K904" s="939" t="s">
        <v>1392</v>
      </c>
      <c r="L904" s="939" t="s">
        <v>1188</v>
      </c>
      <c r="M904" s="939" t="s">
        <v>1437</v>
      </c>
      <c r="N904" s="939" t="s">
        <v>1348</v>
      </c>
      <c r="O904" s="939" t="s">
        <v>1393</v>
      </c>
      <c r="P904" s="939" t="s">
        <v>1342</v>
      </c>
      <c r="Q904" s="939" t="s">
        <v>1394</v>
      </c>
      <c r="R904" s="112" t="s">
        <v>1341</v>
      </c>
      <c r="S904" s="112" t="s">
        <v>846</v>
      </c>
      <c r="T904" s="939" t="s">
        <v>935</v>
      </c>
      <c r="U904" s="939" t="s">
        <v>936</v>
      </c>
      <c r="V904" s="939" t="s">
        <v>937</v>
      </c>
      <c r="W904" s="939" t="s">
        <v>938</v>
      </c>
      <c r="X904" s="939" t="s">
        <v>939</v>
      </c>
      <c r="Y904" s="939" t="s">
        <v>940</v>
      </c>
      <c r="Z904" s="939" t="s">
        <v>941</v>
      </c>
      <c r="AA904" s="939" t="s">
        <v>942</v>
      </c>
      <c r="AB904" s="939" t="s">
        <v>943</v>
      </c>
      <c r="AC904" s="939" t="s">
        <v>944</v>
      </c>
      <c r="AD904" s="939" t="s">
        <v>945</v>
      </c>
      <c r="AE904" s="939" t="s">
        <v>946</v>
      </c>
      <c r="AF904" s="939" t="s">
        <v>947</v>
      </c>
      <c r="AG904" s="939" t="s">
        <v>948</v>
      </c>
      <c r="AH904" s="6"/>
    </row>
    <row r="905" spans="1:34" s="3" customFormat="1" ht="16" customHeight="1" thickTop="1">
      <c r="A905" s="7"/>
      <c r="B905" s="19" t="s">
        <v>1346</v>
      </c>
      <c r="C905" s="12"/>
      <c r="D905" s="203"/>
      <c r="E905" s="203"/>
      <c r="F905" s="202"/>
      <c r="G905" s="203"/>
      <c r="H905" s="202"/>
      <c r="I905" s="202"/>
      <c r="J905" s="203"/>
      <c r="K905" s="203"/>
      <c r="L905" s="291" t="s">
        <v>1429</v>
      </c>
      <c r="M905" s="202"/>
      <c r="N905" s="45" t="str">
        <f>J$6</f>
        <v>FY2010-11</v>
      </c>
      <c r="O905" s="45" t="s">
        <v>843</v>
      </c>
      <c r="P905" s="45" t="s">
        <v>1347</v>
      </c>
      <c r="Q905" s="45"/>
      <c r="R905" s="203"/>
      <c r="S905" s="202" t="s">
        <v>871</v>
      </c>
      <c r="T905" s="203"/>
      <c r="U905" s="203"/>
      <c r="V905" s="204"/>
      <c r="W905" s="204"/>
      <c r="X905" s="204"/>
      <c r="Y905" s="204"/>
      <c r="Z905" s="204"/>
      <c r="AA905" s="204"/>
      <c r="AB905" s="204"/>
      <c r="AC905" s="204"/>
      <c r="AD905" s="204"/>
      <c r="AE905" s="204"/>
      <c r="AF905" s="204"/>
      <c r="AG905" s="204"/>
      <c r="AH905" s="6"/>
    </row>
    <row r="906" spans="1:34" s="3" customFormat="1" ht="16" customHeight="1">
      <c r="A906" s="7"/>
      <c r="B906" s="16">
        <f>DSUM('$REV-DB'!D35:AG374,"AMOUNT",D904:AG905)</f>
        <v>21208723.59</v>
      </c>
      <c r="C906" s="12"/>
      <c r="D906" s="896"/>
      <c r="E906" s="896"/>
      <c r="F906" s="896"/>
      <c r="G906" s="896"/>
      <c r="H906" s="896"/>
      <c r="I906" s="896"/>
      <c r="J906" s="896"/>
      <c r="K906" s="896"/>
      <c r="L906" s="897"/>
      <c r="M906" s="896"/>
      <c r="N906" s="889"/>
      <c r="O906" s="896"/>
      <c r="P906" s="889"/>
      <c r="Q906" s="900"/>
      <c r="R906" s="896"/>
      <c r="S906" s="896"/>
      <c r="T906" s="898"/>
      <c r="U906" s="898"/>
      <c r="V906" s="899"/>
      <c r="W906" s="899"/>
      <c r="X906" s="899"/>
      <c r="Y906" s="899"/>
      <c r="Z906" s="899"/>
      <c r="AA906" s="899"/>
      <c r="AB906" s="899"/>
      <c r="AC906" s="899"/>
      <c r="AD906" s="899"/>
      <c r="AE906" s="899"/>
      <c r="AF906" s="899"/>
      <c r="AG906" s="899"/>
      <c r="AH906" s="6"/>
    </row>
    <row r="907" spans="1:34" s="3" customFormat="1" ht="16" customHeight="1">
      <c r="A907" s="7"/>
      <c r="B907" s="10"/>
      <c r="C907" s="12"/>
      <c r="D907" s="896"/>
      <c r="E907" s="896"/>
      <c r="F907" s="896"/>
      <c r="G907" s="896"/>
      <c r="H907" s="896"/>
      <c r="I907" s="896"/>
      <c r="J907" s="896"/>
      <c r="K907" s="896"/>
      <c r="L907" s="897"/>
      <c r="M907" s="896"/>
      <c r="N907" s="889"/>
      <c r="O907" s="896"/>
      <c r="P907" s="889"/>
      <c r="Q907" s="900"/>
      <c r="R907" s="896"/>
      <c r="S907" s="896"/>
      <c r="T907" s="898"/>
      <c r="U907" s="898"/>
      <c r="V907" s="899"/>
      <c r="W907" s="899"/>
      <c r="X907" s="899"/>
      <c r="Y907" s="899"/>
      <c r="Z907" s="899"/>
      <c r="AA907" s="899"/>
      <c r="AB907" s="899"/>
      <c r="AC907" s="899"/>
      <c r="AD907" s="899"/>
      <c r="AE907" s="899"/>
      <c r="AF907" s="899"/>
      <c r="AG907" s="899"/>
    </row>
    <row r="908" spans="1:34" s="3" customFormat="1" ht="16" customHeight="1">
      <c r="A908" s="7"/>
      <c r="B908" s="10"/>
      <c r="C908" s="12"/>
      <c r="D908" s="896"/>
      <c r="E908" s="896"/>
      <c r="F908" s="896"/>
      <c r="G908" s="896"/>
      <c r="H908" s="896"/>
      <c r="I908" s="896"/>
      <c r="J908" s="896"/>
      <c r="K908" s="896"/>
      <c r="L908" s="897"/>
      <c r="M908" s="896"/>
      <c r="N908" s="889"/>
      <c r="O908" s="896"/>
      <c r="P908" s="889"/>
      <c r="Q908" s="900"/>
      <c r="R908" s="896"/>
      <c r="S908" s="896"/>
      <c r="T908" s="898"/>
      <c r="U908" s="898"/>
      <c r="V908" s="899"/>
      <c r="W908" s="899"/>
      <c r="X908" s="899"/>
      <c r="Y908" s="899"/>
      <c r="Z908" s="899"/>
      <c r="AA908" s="899"/>
      <c r="AB908" s="899"/>
      <c r="AC908" s="899"/>
      <c r="AD908" s="899"/>
      <c r="AE908" s="899"/>
      <c r="AF908" s="899"/>
      <c r="AG908" s="899"/>
    </row>
    <row r="909" spans="1:34" s="3" customFormat="1" ht="16" customHeight="1">
      <c r="A909" s="7"/>
      <c r="B909" s="10"/>
      <c r="C909" s="12"/>
      <c r="D909" s="896"/>
      <c r="E909" s="896"/>
      <c r="F909" s="896"/>
      <c r="G909" s="896"/>
      <c r="H909" s="896"/>
      <c r="I909" s="896"/>
      <c r="J909" s="896"/>
      <c r="K909" s="896"/>
      <c r="L909" s="897"/>
      <c r="M909" s="896"/>
      <c r="N909" s="889"/>
      <c r="O909" s="896"/>
      <c r="P909" s="889"/>
      <c r="Q909" s="900"/>
      <c r="R909" s="896"/>
      <c r="S909" s="896"/>
      <c r="T909" s="898"/>
      <c r="U909" s="898"/>
      <c r="V909" s="899"/>
      <c r="W909" s="899"/>
      <c r="X909" s="899"/>
      <c r="Y909" s="899"/>
      <c r="Z909" s="899"/>
      <c r="AA909" s="899"/>
      <c r="AB909" s="899"/>
      <c r="AC909" s="899"/>
      <c r="AD909" s="899"/>
      <c r="AE909" s="899"/>
      <c r="AF909" s="899"/>
      <c r="AG909" s="899"/>
    </row>
    <row r="910" spans="1:34" s="3" customFormat="1" ht="16" customHeight="1">
      <c r="A910" s="7"/>
      <c r="B910" s="10"/>
      <c r="C910" s="12"/>
      <c r="D910" s="896"/>
      <c r="E910" s="896"/>
      <c r="F910" s="896"/>
      <c r="G910" s="896"/>
      <c r="H910" s="896"/>
      <c r="I910" s="896"/>
      <c r="J910" s="896"/>
      <c r="K910" s="896"/>
      <c r="L910" s="897"/>
      <c r="M910" s="896"/>
      <c r="N910" s="889"/>
      <c r="O910" s="896"/>
      <c r="P910" s="889"/>
      <c r="Q910" s="900"/>
      <c r="R910" s="896"/>
      <c r="S910" s="896"/>
      <c r="T910" s="898"/>
      <c r="U910" s="898"/>
      <c r="V910" s="899"/>
      <c r="W910" s="899"/>
      <c r="X910" s="899"/>
      <c r="Y910" s="899"/>
      <c r="Z910" s="899"/>
      <c r="AA910" s="899"/>
      <c r="AB910" s="899"/>
      <c r="AC910" s="899"/>
      <c r="AD910" s="899"/>
      <c r="AE910" s="899"/>
      <c r="AF910" s="899"/>
      <c r="AG910" s="899"/>
    </row>
    <row r="911" spans="1:34" s="3" customFormat="1" ht="16" customHeight="1">
      <c r="A911" s="7"/>
      <c r="B911" s="10"/>
      <c r="C911" s="12"/>
      <c r="D911" s="896"/>
      <c r="E911" s="896"/>
      <c r="F911" s="896"/>
      <c r="G911" s="896"/>
      <c r="H911" s="896"/>
      <c r="I911" s="896"/>
      <c r="J911" s="896"/>
      <c r="K911" s="896"/>
      <c r="L911" s="897"/>
      <c r="M911" s="896"/>
      <c r="N911" s="889"/>
      <c r="O911" s="896"/>
      <c r="P911" s="889"/>
      <c r="Q911" s="900"/>
      <c r="R911" s="896"/>
      <c r="S911" s="896"/>
      <c r="T911" s="898"/>
      <c r="U911" s="898"/>
      <c r="V911" s="899"/>
      <c r="W911" s="899"/>
      <c r="X911" s="899"/>
      <c r="Y911" s="899"/>
      <c r="Z911" s="899"/>
      <c r="AA911" s="899"/>
      <c r="AB911" s="899"/>
      <c r="AC911" s="899"/>
      <c r="AD911" s="899"/>
      <c r="AE911" s="899"/>
      <c r="AF911" s="899"/>
      <c r="AG911" s="899"/>
    </row>
    <row r="912" spans="1:34" s="3" customFormat="1" ht="16" customHeight="1">
      <c r="A912" s="44"/>
      <c r="B912" s="41"/>
      <c r="C912" s="41"/>
      <c r="D912" s="42"/>
      <c r="E912" s="42"/>
      <c r="F912" s="43"/>
      <c r="G912" s="42"/>
      <c r="H912" s="43"/>
      <c r="I912" s="43"/>
      <c r="J912" s="42"/>
      <c r="K912" s="42"/>
      <c r="L912" s="290"/>
      <c r="M912" s="43"/>
      <c r="N912" s="43"/>
      <c r="O912" s="42"/>
      <c r="P912" s="43"/>
      <c r="Q912" s="43"/>
      <c r="R912" s="42"/>
      <c r="S912" s="43"/>
      <c r="T912" s="42"/>
      <c r="U912" s="42"/>
      <c r="V912" s="44"/>
      <c r="W912" s="44"/>
      <c r="X912" s="44"/>
      <c r="Y912" s="44"/>
      <c r="Z912" s="44"/>
      <c r="AA912" s="44"/>
      <c r="AB912" s="44"/>
      <c r="AC912" s="44"/>
      <c r="AD912" s="44"/>
      <c r="AE912" s="44"/>
      <c r="AF912" s="44"/>
      <c r="AG912" s="44"/>
    </row>
    <row r="913" spans="1:33" s="1052" customFormat="1" ht="16" customHeight="1" thickBot="1">
      <c r="A913" s="7"/>
      <c r="B913" s="19" t="s">
        <v>744</v>
      </c>
      <c r="C913" s="7"/>
      <c r="D913" s="17"/>
      <c r="E913" s="17"/>
      <c r="F913" s="18"/>
      <c r="G913" s="17"/>
      <c r="H913" s="18"/>
      <c r="I913" s="18"/>
      <c r="J913" s="17"/>
      <c r="K913" s="17"/>
      <c r="L913" s="281"/>
      <c r="M913" s="18"/>
      <c r="N913" s="9"/>
      <c r="O913" s="17"/>
      <c r="P913" s="18"/>
      <c r="Q913" s="18"/>
      <c r="R913" s="17"/>
      <c r="S913" s="882"/>
      <c r="T913" s="883" t="str">
        <f>'[1]$REV-DB'!$T$34</f>
        <v>UD1</v>
      </c>
      <c r="U913" s="883" t="str">
        <f>'[1]$REV-DB'!$U$34</f>
        <v>UD2</v>
      </c>
      <c r="V913" s="883" t="str">
        <f>'[1]$REV-DB'!$V$34</f>
        <v>UD3</v>
      </c>
      <c r="W913" s="883" t="str">
        <f>'[1]$REV-DB'!$W$34</f>
        <v>UD4</v>
      </c>
      <c r="X913" s="883" t="str">
        <f>'[1]$REV-DB'!$X$34</f>
        <v>UD5</v>
      </c>
      <c r="Y913" s="883" t="str">
        <f>'[1]$REV-DB'!$Y$34</f>
        <v>UD6</v>
      </c>
      <c r="Z913" s="883" t="str">
        <f>'[1]$REV-DB'!$Z$34</f>
        <v>UD7</v>
      </c>
      <c r="AA913" s="883" t="str">
        <f>'[1]$REV-DB'!$AA$34</f>
        <v>UD8</v>
      </c>
      <c r="AB913" s="883" t="str">
        <f>'[1]$REV-DB'!$AB$34</f>
        <v>UD9</v>
      </c>
      <c r="AC913" s="883" t="str">
        <f>'[1]$REV-DB'!$AC$34</f>
        <v>UD10</v>
      </c>
      <c r="AD913" s="883" t="str">
        <f>'[1]$REV-DB'!$AD$34</f>
        <v>UD11</v>
      </c>
      <c r="AE913" s="883" t="str">
        <f>'[1]$REV-DB'!$AE$34</f>
        <v>UD12</v>
      </c>
      <c r="AF913" s="883" t="str">
        <f>'[1]$REV-DB'!$AF$34</f>
        <v>UD13</v>
      </c>
      <c r="AG913" s="883" t="str">
        <f>'[1]$REV-DB'!$AG$34</f>
        <v>UD14</v>
      </c>
    </row>
    <row r="914" spans="1:33" s="1052" customFormat="1" ht="16" customHeight="1" thickTop="1" thickBot="1">
      <c r="A914" s="7"/>
      <c r="B914" s="20" t="s">
        <v>864</v>
      </c>
      <c r="C914" s="15"/>
      <c r="D914" s="990" t="s">
        <v>1386</v>
      </c>
      <c r="E914" s="990" t="s">
        <v>1387</v>
      </c>
      <c r="F914" s="990" t="s">
        <v>1388</v>
      </c>
      <c r="G914" s="990" t="s">
        <v>1389</v>
      </c>
      <c r="H914" s="990" t="s">
        <v>1406</v>
      </c>
      <c r="I914" s="990" t="s">
        <v>1390</v>
      </c>
      <c r="J914" s="990" t="s">
        <v>1391</v>
      </c>
      <c r="K914" s="990" t="s">
        <v>1392</v>
      </c>
      <c r="L914" s="990" t="s">
        <v>1188</v>
      </c>
      <c r="M914" s="990" t="s">
        <v>1437</v>
      </c>
      <c r="N914" s="990" t="s">
        <v>1348</v>
      </c>
      <c r="O914" s="990" t="s">
        <v>1393</v>
      </c>
      <c r="P914" s="990" t="s">
        <v>1342</v>
      </c>
      <c r="Q914" s="990" t="s">
        <v>1394</v>
      </c>
      <c r="R914" s="112" t="s">
        <v>1341</v>
      </c>
      <c r="S914" s="112" t="s">
        <v>846</v>
      </c>
      <c r="T914" s="990" t="s">
        <v>935</v>
      </c>
      <c r="U914" s="990" t="s">
        <v>936</v>
      </c>
      <c r="V914" s="990" t="s">
        <v>937</v>
      </c>
      <c r="W914" s="990" t="s">
        <v>938</v>
      </c>
      <c r="X914" s="990" t="s">
        <v>939</v>
      </c>
      <c r="Y914" s="990" t="s">
        <v>940</v>
      </c>
      <c r="Z914" s="990" t="s">
        <v>941</v>
      </c>
      <c r="AA914" s="990" t="s">
        <v>942</v>
      </c>
      <c r="AB914" s="990" t="s">
        <v>943</v>
      </c>
      <c r="AC914" s="990" t="s">
        <v>944</v>
      </c>
      <c r="AD914" s="990" t="s">
        <v>945</v>
      </c>
      <c r="AE914" s="990" t="s">
        <v>946</v>
      </c>
      <c r="AF914" s="990" t="s">
        <v>947</v>
      </c>
      <c r="AG914" s="990" t="s">
        <v>948</v>
      </c>
    </row>
    <row r="915" spans="1:33" s="1052" customFormat="1" ht="16" customHeight="1" thickTop="1">
      <c r="A915" s="7"/>
      <c r="B915" s="19" t="s">
        <v>1346</v>
      </c>
      <c r="C915" s="12"/>
      <c r="D915" s="203"/>
      <c r="E915" s="203"/>
      <c r="F915" s="202"/>
      <c r="G915" s="203"/>
      <c r="H915" s="202"/>
      <c r="I915" s="202"/>
      <c r="J915" s="203"/>
      <c r="K915" s="203"/>
      <c r="L915" s="291" t="s">
        <v>1429</v>
      </c>
      <c r="M915" s="202"/>
      <c r="N915" s="45" t="str">
        <f>J$6</f>
        <v>FY2010-11</v>
      </c>
      <c r="O915" s="45"/>
      <c r="P915" s="45" t="s">
        <v>1347</v>
      </c>
      <c r="Q915" s="45"/>
      <c r="R915" s="203"/>
      <c r="S915" s="202" t="s">
        <v>1303</v>
      </c>
      <c r="T915" s="203"/>
      <c r="U915" s="203"/>
      <c r="V915" s="204"/>
      <c r="W915" s="204"/>
      <c r="X915" s="204"/>
      <c r="Y915" s="204"/>
      <c r="Z915" s="204"/>
      <c r="AA915" s="204"/>
      <c r="AB915" s="204"/>
      <c r="AC915" s="204"/>
      <c r="AD915" s="204"/>
      <c r="AE915" s="204"/>
      <c r="AF915" s="204"/>
      <c r="AG915" s="204"/>
    </row>
    <row r="916" spans="1:33" s="1052" customFormat="1" ht="16" customHeight="1">
      <c r="A916" s="7"/>
      <c r="B916" s="16">
        <f>DSUM('$REV-DB'!D35:AG374,"AMOUNT",D914:AG915)</f>
        <v>0</v>
      </c>
      <c r="C916" s="12"/>
      <c r="D916" s="896"/>
      <c r="E916" s="896"/>
      <c r="F916" s="896"/>
      <c r="G916" s="896"/>
      <c r="H916" s="896"/>
      <c r="I916" s="896"/>
      <c r="J916" s="896"/>
      <c r="K916" s="896"/>
      <c r="L916" s="897"/>
      <c r="M916" s="896"/>
      <c r="N916" s="889"/>
      <c r="O916" s="896"/>
      <c r="P916" s="889"/>
      <c r="Q916" s="900"/>
      <c r="R916" s="896"/>
      <c r="S916" s="896"/>
      <c r="T916" s="898"/>
      <c r="U916" s="898"/>
      <c r="V916" s="899"/>
      <c r="W916" s="899"/>
      <c r="X916" s="899"/>
      <c r="Y916" s="899"/>
      <c r="Z916" s="899"/>
      <c r="AA916" s="899"/>
      <c r="AB916" s="899"/>
      <c r="AC916" s="899"/>
      <c r="AD916" s="899"/>
      <c r="AE916" s="899"/>
      <c r="AF916" s="899"/>
      <c r="AG916" s="899"/>
    </row>
    <row r="917" spans="1:33" s="1052" customFormat="1" ht="16" customHeight="1">
      <c r="A917" s="7"/>
      <c r="B917" s="10"/>
      <c r="C917" s="12"/>
      <c r="D917" s="896"/>
      <c r="E917" s="896"/>
      <c r="F917" s="896"/>
      <c r="G917" s="896"/>
      <c r="H917" s="896"/>
      <c r="I917" s="896"/>
      <c r="J917" s="896"/>
      <c r="K917" s="896"/>
      <c r="L917" s="897"/>
      <c r="M917" s="896"/>
      <c r="N917" s="889"/>
      <c r="O917" s="896"/>
      <c r="P917" s="889"/>
      <c r="Q917" s="900"/>
      <c r="R917" s="896"/>
      <c r="S917" s="896"/>
      <c r="T917" s="898"/>
      <c r="U917" s="898"/>
      <c r="V917" s="899"/>
      <c r="W917" s="899"/>
      <c r="X917" s="899"/>
      <c r="Y917" s="899"/>
      <c r="Z917" s="899"/>
      <c r="AA917" s="899"/>
      <c r="AB917" s="899"/>
      <c r="AC917" s="899"/>
      <c r="AD917" s="899"/>
      <c r="AE917" s="899"/>
      <c r="AF917" s="899"/>
      <c r="AG917" s="899"/>
    </row>
    <row r="918" spans="1:33" s="1052" customFormat="1" ht="16" customHeight="1">
      <c r="A918" s="7"/>
      <c r="B918" s="10"/>
      <c r="C918" s="12"/>
      <c r="D918" s="896"/>
      <c r="E918" s="896"/>
      <c r="F918" s="896"/>
      <c r="G918" s="896"/>
      <c r="H918" s="896"/>
      <c r="I918" s="896"/>
      <c r="J918" s="896"/>
      <c r="K918" s="896"/>
      <c r="L918" s="897"/>
      <c r="M918" s="896"/>
      <c r="N918" s="889"/>
      <c r="O918" s="896"/>
      <c r="P918" s="889"/>
      <c r="Q918" s="900"/>
      <c r="R918" s="896"/>
      <c r="S918" s="896"/>
      <c r="T918" s="898"/>
      <c r="U918" s="898"/>
      <c r="V918" s="899"/>
      <c r="W918" s="899"/>
      <c r="X918" s="899"/>
      <c r="Y918" s="899"/>
      <c r="Z918" s="899"/>
      <c r="AA918" s="899"/>
      <c r="AB918" s="899"/>
      <c r="AC918" s="899"/>
      <c r="AD918" s="899"/>
      <c r="AE918" s="899"/>
      <c r="AF918" s="899"/>
      <c r="AG918" s="899"/>
    </row>
    <row r="919" spans="1:33" s="1052" customFormat="1" ht="16" customHeight="1">
      <c r="A919" s="7"/>
      <c r="B919" s="10"/>
      <c r="C919" s="12"/>
      <c r="D919" s="896"/>
      <c r="E919" s="896"/>
      <c r="F919" s="896"/>
      <c r="G919" s="896"/>
      <c r="H919" s="896"/>
      <c r="I919" s="896"/>
      <c r="J919" s="896"/>
      <c r="K919" s="896"/>
      <c r="L919" s="897"/>
      <c r="M919" s="896"/>
      <c r="N919" s="889"/>
      <c r="O919" s="896"/>
      <c r="P919" s="889"/>
      <c r="Q919" s="900"/>
      <c r="R919" s="896"/>
      <c r="S919" s="896"/>
      <c r="T919" s="898"/>
      <c r="U919" s="898"/>
      <c r="V919" s="899"/>
      <c r="W919" s="899"/>
      <c r="X919" s="899"/>
      <c r="Y919" s="899"/>
      <c r="Z919" s="899"/>
      <c r="AA919" s="899"/>
      <c r="AB919" s="899"/>
      <c r="AC919" s="899"/>
      <c r="AD919" s="899"/>
      <c r="AE919" s="899"/>
      <c r="AF919" s="899"/>
      <c r="AG919" s="899"/>
    </row>
    <row r="920" spans="1:33" s="1052" customFormat="1" ht="16" customHeight="1">
      <c r="A920" s="7"/>
      <c r="B920" s="10"/>
      <c r="C920" s="12"/>
      <c r="D920" s="896"/>
      <c r="E920" s="896"/>
      <c r="F920" s="896"/>
      <c r="G920" s="896"/>
      <c r="H920" s="896"/>
      <c r="I920" s="896"/>
      <c r="J920" s="896"/>
      <c r="K920" s="896"/>
      <c r="L920" s="897"/>
      <c r="M920" s="896"/>
      <c r="N920" s="889"/>
      <c r="O920" s="896"/>
      <c r="P920" s="889"/>
      <c r="Q920" s="900"/>
      <c r="R920" s="896"/>
      <c r="S920" s="896"/>
      <c r="T920" s="898"/>
      <c r="U920" s="898"/>
      <c r="V920" s="899"/>
      <c r="W920" s="899"/>
      <c r="X920" s="899"/>
      <c r="Y920" s="899"/>
      <c r="Z920" s="899"/>
      <c r="AA920" s="899"/>
      <c r="AB920" s="899"/>
      <c r="AC920" s="899"/>
      <c r="AD920" s="899"/>
      <c r="AE920" s="899"/>
      <c r="AF920" s="899"/>
      <c r="AG920" s="899"/>
    </row>
    <row r="921" spans="1:33" s="1052" customFormat="1" ht="16" customHeight="1">
      <c r="A921" s="7"/>
      <c r="B921" s="10"/>
      <c r="C921" s="12"/>
      <c r="D921" s="896"/>
      <c r="E921" s="896"/>
      <c r="F921" s="896"/>
      <c r="G921" s="896"/>
      <c r="H921" s="896"/>
      <c r="I921" s="896"/>
      <c r="J921" s="896"/>
      <c r="K921" s="896"/>
      <c r="L921" s="897"/>
      <c r="M921" s="896"/>
      <c r="N921" s="889"/>
      <c r="O921" s="896"/>
      <c r="P921" s="889"/>
      <c r="Q921" s="900"/>
      <c r="R921" s="896"/>
      <c r="S921" s="896"/>
      <c r="T921" s="898"/>
      <c r="U921" s="898"/>
      <c r="V921" s="899"/>
      <c r="W921" s="899"/>
      <c r="X921" s="899"/>
      <c r="Y921" s="899"/>
      <c r="Z921" s="899"/>
      <c r="AA921" s="899"/>
      <c r="AB921" s="899"/>
      <c r="AC921" s="899"/>
      <c r="AD921" s="899"/>
      <c r="AE921" s="899"/>
      <c r="AF921" s="899"/>
      <c r="AG921" s="899"/>
    </row>
    <row r="922" spans="1:33" s="3" customFormat="1" ht="16" customHeight="1">
      <c r="A922" s="44"/>
      <c r="B922" s="41"/>
      <c r="C922" s="41"/>
      <c r="D922" s="42"/>
      <c r="E922" s="42"/>
      <c r="F922" s="43"/>
      <c r="G922" s="42"/>
      <c r="H922" s="43"/>
      <c r="I922" s="43"/>
      <c r="J922" s="42"/>
      <c r="K922" s="42"/>
      <c r="L922" s="290"/>
      <c r="M922" s="43"/>
      <c r="N922" s="43"/>
      <c r="O922" s="42"/>
      <c r="P922" s="43"/>
      <c r="Q922" s="43"/>
      <c r="R922" s="42"/>
      <c r="S922" s="43"/>
      <c r="T922" s="42"/>
      <c r="U922" s="42"/>
      <c r="V922" s="44"/>
      <c r="W922" s="44"/>
      <c r="X922" s="44"/>
      <c r="Y922" s="44"/>
      <c r="Z922" s="44"/>
      <c r="AA922" s="44"/>
      <c r="AB922" s="44"/>
      <c r="AC922" s="44"/>
      <c r="AD922" s="44"/>
      <c r="AE922" s="44"/>
      <c r="AF922" s="44"/>
      <c r="AG922" s="44"/>
    </row>
    <row r="923" spans="1:33" s="1052" customFormat="1" ht="16" customHeight="1" thickBot="1">
      <c r="A923" s="7"/>
      <c r="B923" s="19" t="s">
        <v>744</v>
      </c>
      <c r="C923" s="7"/>
      <c r="D923" s="17"/>
      <c r="E923" s="17"/>
      <c r="F923" s="18"/>
      <c r="G923" s="17"/>
      <c r="H923" s="18"/>
      <c r="I923" s="18"/>
      <c r="J923" s="17"/>
      <c r="K923" s="17"/>
      <c r="L923" s="281"/>
      <c r="M923" s="18"/>
      <c r="N923" s="9"/>
      <c r="O923" s="17"/>
      <c r="P923" s="18"/>
      <c r="Q923" s="18"/>
      <c r="R923" s="17"/>
      <c r="S923" s="882"/>
      <c r="T923" s="883" t="str">
        <f>'[1]$REV-DB'!$T$34</f>
        <v>UD1</v>
      </c>
      <c r="U923" s="883" t="str">
        <f>'[1]$REV-DB'!$U$34</f>
        <v>UD2</v>
      </c>
      <c r="V923" s="883" t="str">
        <f>'[1]$REV-DB'!$V$34</f>
        <v>UD3</v>
      </c>
      <c r="W923" s="883" t="str">
        <f>'[1]$REV-DB'!$W$34</f>
        <v>UD4</v>
      </c>
      <c r="X923" s="883" t="str">
        <f>'[1]$REV-DB'!$X$34</f>
        <v>UD5</v>
      </c>
      <c r="Y923" s="883" t="str">
        <f>'[1]$REV-DB'!$Y$34</f>
        <v>UD6</v>
      </c>
      <c r="Z923" s="883" t="str">
        <f>'[1]$REV-DB'!$Z$34</f>
        <v>UD7</v>
      </c>
      <c r="AA923" s="883" t="str">
        <f>'[1]$REV-DB'!$AA$34</f>
        <v>UD8</v>
      </c>
      <c r="AB923" s="883" t="str">
        <f>'[1]$REV-DB'!$AB$34</f>
        <v>UD9</v>
      </c>
      <c r="AC923" s="883" t="str">
        <f>'[1]$REV-DB'!$AC$34</f>
        <v>UD10</v>
      </c>
      <c r="AD923" s="883" t="str">
        <f>'[1]$REV-DB'!$AD$34</f>
        <v>UD11</v>
      </c>
      <c r="AE923" s="883" t="str">
        <f>'[1]$REV-DB'!$AE$34</f>
        <v>UD12</v>
      </c>
      <c r="AF923" s="883" t="str">
        <f>'[1]$REV-DB'!$AF$34</f>
        <v>UD13</v>
      </c>
      <c r="AG923" s="883" t="str">
        <f>'[1]$REV-DB'!$AG$34</f>
        <v>UD14</v>
      </c>
    </row>
    <row r="924" spans="1:33" s="1052" customFormat="1" ht="16" customHeight="1" thickTop="1" thickBot="1">
      <c r="A924" s="7"/>
      <c r="B924" s="20" t="s">
        <v>864</v>
      </c>
      <c r="C924" s="15"/>
      <c r="D924" s="990" t="s">
        <v>1386</v>
      </c>
      <c r="E924" s="990" t="s">
        <v>1387</v>
      </c>
      <c r="F924" s="990" t="s">
        <v>1388</v>
      </c>
      <c r="G924" s="990" t="s">
        <v>1389</v>
      </c>
      <c r="H924" s="990" t="s">
        <v>1406</v>
      </c>
      <c r="I924" s="990" t="s">
        <v>1390</v>
      </c>
      <c r="J924" s="990" t="s">
        <v>1391</v>
      </c>
      <c r="K924" s="990" t="s">
        <v>1392</v>
      </c>
      <c r="L924" s="990" t="s">
        <v>1188</v>
      </c>
      <c r="M924" s="990" t="s">
        <v>1437</v>
      </c>
      <c r="N924" s="990" t="s">
        <v>1348</v>
      </c>
      <c r="O924" s="990" t="s">
        <v>1393</v>
      </c>
      <c r="P924" s="990" t="s">
        <v>1342</v>
      </c>
      <c r="Q924" s="990" t="s">
        <v>1394</v>
      </c>
      <c r="R924" s="112" t="s">
        <v>1341</v>
      </c>
      <c r="S924" s="112" t="s">
        <v>846</v>
      </c>
      <c r="T924" s="990" t="s">
        <v>935</v>
      </c>
      <c r="U924" s="990" t="s">
        <v>936</v>
      </c>
      <c r="V924" s="990" t="s">
        <v>937</v>
      </c>
      <c r="W924" s="990" t="s">
        <v>938</v>
      </c>
      <c r="X924" s="990" t="s">
        <v>939</v>
      </c>
      <c r="Y924" s="990" t="s">
        <v>940</v>
      </c>
      <c r="Z924" s="990" t="s">
        <v>941</v>
      </c>
      <c r="AA924" s="990" t="s">
        <v>942</v>
      </c>
      <c r="AB924" s="990" t="s">
        <v>943</v>
      </c>
      <c r="AC924" s="990" t="s">
        <v>944</v>
      </c>
      <c r="AD924" s="990" t="s">
        <v>945</v>
      </c>
      <c r="AE924" s="990" t="s">
        <v>946</v>
      </c>
      <c r="AF924" s="990" t="s">
        <v>947</v>
      </c>
      <c r="AG924" s="990" t="s">
        <v>948</v>
      </c>
    </row>
    <row r="925" spans="1:33" s="1052" customFormat="1" ht="16" customHeight="1" thickTop="1">
      <c r="A925" s="7"/>
      <c r="B925" s="19" t="s">
        <v>1345</v>
      </c>
      <c r="C925" s="12"/>
      <c r="D925" s="203"/>
      <c r="E925" s="203"/>
      <c r="F925" s="202"/>
      <c r="G925" s="203"/>
      <c r="H925" s="202"/>
      <c r="I925" s="202"/>
      <c r="J925" s="203"/>
      <c r="K925" s="203"/>
      <c r="L925" s="291" t="s">
        <v>1429</v>
      </c>
      <c r="M925" s="202"/>
      <c r="N925" s="45" t="str">
        <f>J$6</f>
        <v>FY2010-11</v>
      </c>
      <c r="O925" s="45"/>
      <c r="P925" s="45" t="s">
        <v>1347</v>
      </c>
      <c r="Q925" s="45" t="s">
        <v>1380</v>
      </c>
      <c r="R925" s="203"/>
      <c r="S925" s="202" t="s">
        <v>1303</v>
      </c>
      <c r="T925" s="203"/>
      <c r="U925" s="203"/>
      <c r="V925" s="204"/>
      <c r="W925" s="204"/>
      <c r="X925" s="204"/>
      <c r="Y925" s="204"/>
      <c r="Z925" s="204"/>
      <c r="AA925" s="204"/>
      <c r="AB925" s="204"/>
      <c r="AC925" s="204"/>
      <c r="AD925" s="204"/>
      <c r="AE925" s="204"/>
      <c r="AF925" s="204"/>
      <c r="AG925" s="204"/>
    </row>
    <row r="926" spans="1:33" s="1052" customFormat="1" ht="16" customHeight="1">
      <c r="A926" s="7"/>
      <c r="B926" s="16">
        <f>DSUM('$REV-DB'!D35:AG374,"AMOUNT",D924:AG925)</f>
        <v>0</v>
      </c>
      <c r="C926" s="12"/>
      <c r="D926" s="896"/>
      <c r="E926" s="896"/>
      <c r="F926" s="896"/>
      <c r="G926" s="896"/>
      <c r="H926" s="896"/>
      <c r="I926" s="896"/>
      <c r="J926" s="896"/>
      <c r="K926" s="896"/>
      <c r="L926" s="897"/>
      <c r="M926" s="896"/>
      <c r="N926" s="889"/>
      <c r="O926" s="896"/>
      <c r="P926" s="889"/>
      <c r="Q926" s="900"/>
      <c r="R926" s="896"/>
      <c r="S926" s="896"/>
      <c r="T926" s="898"/>
      <c r="U926" s="898"/>
      <c r="V926" s="899"/>
      <c r="W926" s="899"/>
      <c r="X926" s="899"/>
      <c r="Y926" s="899"/>
      <c r="Z926" s="899"/>
      <c r="AA926" s="899"/>
      <c r="AB926" s="899"/>
      <c r="AC926" s="899"/>
      <c r="AD926" s="899"/>
      <c r="AE926" s="899"/>
      <c r="AF926" s="899"/>
      <c r="AG926" s="899"/>
    </row>
    <row r="927" spans="1:33" s="1052" customFormat="1" ht="16" customHeight="1">
      <c r="A927" s="7"/>
      <c r="B927" s="10"/>
      <c r="C927" s="12"/>
      <c r="D927" s="896"/>
      <c r="E927" s="896"/>
      <c r="F927" s="896"/>
      <c r="G927" s="896"/>
      <c r="H927" s="896"/>
      <c r="I927" s="896"/>
      <c r="J927" s="896"/>
      <c r="K927" s="896"/>
      <c r="L927" s="897"/>
      <c r="M927" s="896"/>
      <c r="N927" s="889"/>
      <c r="O927" s="896"/>
      <c r="P927" s="889"/>
      <c r="Q927" s="900"/>
      <c r="R927" s="896"/>
      <c r="S927" s="896"/>
      <c r="T927" s="898"/>
      <c r="U927" s="898"/>
      <c r="V927" s="899"/>
      <c r="W927" s="899"/>
      <c r="X927" s="899"/>
      <c r="Y927" s="899"/>
      <c r="Z927" s="899"/>
      <c r="AA927" s="899"/>
      <c r="AB927" s="899"/>
      <c r="AC927" s="899"/>
      <c r="AD927" s="899"/>
      <c r="AE927" s="899"/>
      <c r="AF927" s="899"/>
      <c r="AG927" s="899"/>
    </row>
    <row r="928" spans="1:33" s="1052" customFormat="1" ht="16" customHeight="1">
      <c r="A928" s="7"/>
      <c r="B928" s="10"/>
      <c r="C928" s="12"/>
      <c r="D928" s="896"/>
      <c r="E928" s="896"/>
      <c r="F928" s="896"/>
      <c r="G928" s="896"/>
      <c r="H928" s="896"/>
      <c r="I928" s="896"/>
      <c r="J928" s="896"/>
      <c r="K928" s="896"/>
      <c r="L928" s="897"/>
      <c r="M928" s="896"/>
      <c r="N928" s="889"/>
      <c r="O928" s="896"/>
      <c r="P928" s="889"/>
      <c r="Q928" s="900"/>
      <c r="R928" s="896"/>
      <c r="S928" s="896"/>
      <c r="T928" s="898"/>
      <c r="U928" s="898"/>
      <c r="V928" s="899"/>
      <c r="W928" s="899"/>
      <c r="X928" s="899"/>
      <c r="Y928" s="899"/>
      <c r="Z928" s="899"/>
      <c r="AA928" s="899"/>
      <c r="AB928" s="899"/>
      <c r="AC928" s="899"/>
      <c r="AD928" s="899"/>
      <c r="AE928" s="899"/>
      <c r="AF928" s="899"/>
      <c r="AG928" s="899"/>
    </row>
    <row r="929" spans="1:33" s="1052" customFormat="1" ht="16" customHeight="1">
      <c r="A929" s="7"/>
      <c r="B929" s="10"/>
      <c r="C929" s="12"/>
      <c r="D929" s="896"/>
      <c r="E929" s="896"/>
      <c r="F929" s="896"/>
      <c r="G929" s="896"/>
      <c r="H929" s="896"/>
      <c r="I929" s="896"/>
      <c r="J929" s="896"/>
      <c r="K929" s="896"/>
      <c r="L929" s="897"/>
      <c r="M929" s="896"/>
      <c r="N929" s="889"/>
      <c r="O929" s="896"/>
      <c r="P929" s="889"/>
      <c r="Q929" s="900"/>
      <c r="R929" s="896"/>
      <c r="S929" s="896"/>
      <c r="T929" s="898"/>
      <c r="U929" s="898"/>
      <c r="V929" s="899"/>
      <c r="W929" s="899"/>
      <c r="X929" s="899"/>
      <c r="Y929" s="899"/>
      <c r="Z929" s="899"/>
      <c r="AA929" s="899"/>
      <c r="AB929" s="899"/>
      <c r="AC929" s="899"/>
      <c r="AD929" s="899"/>
      <c r="AE929" s="899"/>
      <c r="AF929" s="899"/>
      <c r="AG929" s="899"/>
    </row>
    <row r="930" spans="1:33" s="1052" customFormat="1" ht="16" customHeight="1">
      <c r="A930" s="7"/>
      <c r="B930" s="10"/>
      <c r="C930" s="12"/>
      <c r="D930" s="896"/>
      <c r="E930" s="896"/>
      <c r="F930" s="896"/>
      <c r="G930" s="896"/>
      <c r="H930" s="896"/>
      <c r="I930" s="896"/>
      <c r="J930" s="896"/>
      <c r="K930" s="896"/>
      <c r="L930" s="897"/>
      <c r="M930" s="896"/>
      <c r="N930" s="889"/>
      <c r="O930" s="896"/>
      <c r="P930" s="889"/>
      <c r="Q930" s="900"/>
      <c r="R930" s="896"/>
      <c r="S930" s="896"/>
      <c r="T930" s="898"/>
      <c r="U930" s="898"/>
      <c r="V930" s="899"/>
      <c r="W930" s="899"/>
      <c r="X930" s="899"/>
      <c r="Y930" s="899"/>
      <c r="Z930" s="899"/>
      <c r="AA930" s="899"/>
      <c r="AB930" s="899"/>
      <c r="AC930" s="899"/>
      <c r="AD930" s="899"/>
      <c r="AE930" s="899"/>
      <c r="AF930" s="899"/>
      <c r="AG930" s="899"/>
    </row>
    <row r="931" spans="1:33" s="1052" customFormat="1" ht="16" customHeight="1">
      <c r="A931" s="7"/>
      <c r="B931" s="10"/>
      <c r="C931" s="12"/>
      <c r="D931" s="896"/>
      <c r="E931" s="896"/>
      <c r="F931" s="896"/>
      <c r="G931" s="896"/>
      <c r="H931" s="896"/>
      <c r="I931" s="896"/>
      <c r="J931" s="896"/>
      <c r="K931" s="896"/>
      <c r="L931" s="897"/>
      <c r="M931" s="896"/>
      <c r="N931" s="889"/>
      <c r="O931" s="896"/>
      <c r="P931" s="889"/>
      <c r="Q931" s="900"/>
      <c r="R931" s="896"/>
      <c r="S931" s="896"/>
      <c r="T931" s="898"/>
      <c r="U931" s="898"/>
      <c r="V931" s="899"/>
      <c r="W931" s="899"/>
      <c r="X931" s="899"/>
      <c r="Y931" s="899"/>
      <c r="Z931" s="899"/>
      <c r="AA931" s="899"/>
      <c r="AB931" s="899"/>
      <c r="AC931" s="899"/>
      <c r="AD931" s="899"/>
      <c r="AE931" s="899"/>
      <c r="AF931" s="899"/>
      <c r="AG931" s="899"/>
    </row>
    <row r="932" spans="1:33" s="1052" customFormat="1" ht="16" customHeight="1">
      <c r="A932" s="44"/>
      <c r="B932" s="41"/>
      <c r="C932" s="41"/>
      <c r="D932" s="42"/>
      <c r="E932" s="42"/>
      <c r="F932" s="43"/>
      <c r="G932" s="42"/>
      <c r="H932" s="43"/>
      <c r="I932" s="43"/>
      <c r="J932" s="42"/>
      <c r="K932" s="42"/>
      <c r="L932" s="290"/>
      <c r="M932" s="43"/>
      <c r="N932" s="43"/>
      <c r="O932" s="42"/>
      <c r="P932" s="43"/>
      <c r="Q932" s="43"/>
      <c r="R932" s="42"/>
      <c r="S932" s="43"/>
      <c r="T932" s="42"/>
      <c r="U932" s="42"/>
      <c r="V932" s="44"/>
      <c r="W932" s="44"/>
      <c r="X932" s="44"/>
      <c r="Y932" s="44"/>
      <c r="Z932" s="44"/>
      <c r="AA932" s="44"/>
      <c r="AB932" s="44"/>
      <c r="AC932" s="44"/>
      <c r="AD932" s="44"/>
      <c r="AE932" s="44"/>
      <c r="AF932" s="44"/>
      <c r="AG932" s="44"/>
    </row>
    <row r="933" spans="1:33" s="1052" customFormat="1" ht="16" customHeight="1" thickBot="1">
      <c r="A933" s="7"/>
      <c r="B933" s="19" t="s">
        <v>744</v>
      </c>
      <c r="C933" s="7"/>
      <c r="D933" s="17"/>
      <c r="E933" s="17"/>
      <c r="F933" s="18"/>
      <c r="G933" s="17"/>
      <c r="H933" s="18"/>
      <c r="I933" s="18"/>
      <c r="J933" s="17"/>
      <c r="K933" s="17"/>
      <c r="L933" s="281"/>
      <c r="M933" s="18"/>
      <c r="N933" s="9"/>
      <c r="O933" s="17"/>
      <c r="P933" s="18"/>
      <c r="Q933" s="18"/>
      <c r="R933" s="17"/>
      <c r="S933" s="882"/>
      <c r="T933" s="883" t="str">
        <f>'[1]$REV-DB'!$T$34</f>
        <v>UD1</v>
      </c>
      <c r="U933" s="883" t="str">
        <f>'[1]$REV-DB'!$U$34</f>
        <v>UD2</v>
      </c>
      <c r="V933" s="883" t="str">
        <f>'[1]$REV-DB'!$V$34</f>
        <v>UD3</v>
      </c>
      <c r="W933" s="883" t="str">
        <f>'[1]$REV-DB'!$W$34</f>
        <v>UD4</v>
      </c>
      <c r="X933" s="883" t="str">
        <f>'[1]$REV-DB'!$X$34</f>
        <v>UD5</v>
      </c>
      <c r="Y933" s="883" t="str">
        <f>'[1]$REV-DB'!$Y$34</f>
        <v>UD6</v>
      </c>
      <c r="Z933" s="883" t="str">
        <f>'[1]$REV-DB'!$Z$34</f>
        <v>UD7</v>
      </c>
      <c r="AA933" s="883" t="str">
        <f>'[1]$REV-DB'!$AA$34</f>
        <v>UD8</v>
      </c>
      <c r="AB933" s="883" t="str">
        <f>'[1]$REV-DB'!$AB$34</f>
        <v>UD9</v>
      </c>
      <c r="AC933" s="883" t="str">
        <f>'[1]$REV-DB'!$AC$34</f>
        <v>UD10</v>
      </c>
      <c r="AD933" s="883" t="str">
        <f>'[1]$REV-DB'!$AD$34</f>
        <v>UD11</v>
      </c>
      <c r="AE933" s="883" t="str">
        <f>'[1]$REV-DB'!$AE$34</f>
        <v>UD12</v>
      </c>
      <c r="AF933" s="883" t="str">
        <f>'[1]$REV-DB'!$AF$34</f>
        <v>UD13</v>
      </c>
      <c r="AG933" s="883" t="str">
        <f>'[1]$REV-DB'!$AG$34</f>
        <v>UD14</v>
      </c>
    </row>
    <row r="934" spans="1:33" s="1052" customFormat="1" ht="16" customHeight="1" thickTop="1" thickBot="1">
      <c r="A934" s="7"/>
      <c r="B934" s="20" t="s">
        <v>864</v>
      </c>
      <c r="C934" s="15"/>
      <c r="D934" s="990" t="s">
        <v>1386</v>
      </c>
      <c r="E934" s="990" t="s">
        <v>1387</v>
      </c>
      <c r="F934" s="990" t="s">
        <v>1388</v>
      </c>
      <c r="G934" s="990" t="s">
        <v>1389</v>
      </c>
      <c r="H934" s="990" t="s">
        <v>1406</v>
      </c>
      <c r="I934" s="990" t="s">
        <v>1390</v>
      </c>
      <c r="J934" s="990" t="s">
        <v>1391</v>
      </c>
      <c r="K934" s="990" t="s">
        <v>1392</v>
      </c>
      <c r="L934" s="990" t="s">
        <v>1188</v>
      </c>
      <c r="M934" s="990" t="s">
        <v>1437</v>
      </c>
      <c r="N934" s="990" t="s">
        <v>1348</v>
      </c>
      <c r="O934" s="990" t="s">
        <v>1393</v>
      </c>
      <c r="P934" s="990" t="s">
        <v>1342</v>
      </c>
      <c r="Q934" s="990" t="s">
        <v>1394</v>
      </c>
      <c r="R934" s="112" t="s">
        <v>1341</v>
      </c>
      <c r="S934" s="112" t="s">
        <v>846</v>
      </c>
      <c r="T934" s="990" t="s">
        <v>935</v>
      </c>
      <c r="U934" s="990" t="s">
        <v>936</v>
      </c>
      <c r="V934" s="990" t="s">
        <v>937</v>
      </c>
      <c r="W934" s="990" t="s">
        <v>938</v>
      </c>
      <c r="X934" s="990" t="s">
        <v>939</v>
      </c>
      <c r="Y934" s="990" t="s">
        <v>940</v>
      </c>
      <c r="Z934" s="990" t="s">
        <v>941</v>
      </c>
      <c r="AA934" s="990" t="s">
        <v>942</v>
      </c>
      <c r="AB934" s="990" t="s">
        <v>943</v>
      </c>
      <c r="AC934" s="990" t="s">
        <v>944</v>
      </c>
      <c r="AD934" s="990" t="s">
        <v>945</v>
      </c>
      <c r="AE934" s="990" t="s">
        <v>946</v>
      </c>
      <c r="AF934" s="990" t="s">
        <v>947</v>
      </c>
      <c r="AG934" s="990" t="s">
        <v>948</v>
      </c>
    </row>
    <row r="935" spans="1:33" s="1052" customFormat="1" ht="16" customHeight="1" thickTop="1">
      <c r="A935" s="7"/>
      <c r="B935" s="19" t="s">
        <v>1344</v>
      </c>
      <c r="C935" s="12"/>
      <c r="D935" s="203"/>
      <c r="E935" s="203"/>
      <c r="F935" s="202"/>
      <c r="G935" s="203"/>
      <c r="H935" s="202"/>
      <c r="I935" s="202"/>
      <c r="J935" s="203"/>
      <c r="K935" s="203"/>
      <c r="L935" s="291" t="s">
        <v>1429</v>
      </c>
      <c r="M935" s="202"/>
      <c r="N935" s="45" t="str">
        <f>J$6</f>
        <v>FY2010-11</v>
      </c>
      <c r="O935" s="45"/>
      <c r="P935" s="45" t="s">
        <v>1347</v>
      </c>
      <c r="Q935" s="45" t="s">
        <v>1339</v>
      </c>
      <c r="R935" s="203"/>
      <c r="S935" s="202" t="s">
        <v>1303</v>
      </c>
      <c r="T935" s="203"/>
      <c r="U935" s="203"/>
      <c r="V935" s="204"/>
      <c r="W935" s="204"/>
      <c r="X935" s="204"/>
      <c r="Y935" s="204"/>
      <c r="Z935" s="204"/>
      <c r="AA935" s="204"/>
      <c r="AB935" s="204"/>
      <c r="AC935" s="204"/>
      <c r="AD935" s="204"/>
      <c r="AE935" s="204"/>
      <c r="AF935" s="204"/>
      <c r="AG935" s="204"/>
    </row>
    <row r="936" spans="1:33" s="1052" customFormat="1" ht="16" customHeight="1">
      <c r="A936" s="7"/>
      <c r="B936" s="16">
        <f>DSUM('$REV-DB'!D35:AG374,"AMOUNT",D934:AG935)</f>
        <v>0</v>
      </c>
      <c r="C936" s="12"/>
      <c r="D936" s="896"/>
      <c r="E936" s="896"/>
      <c r="F936" s="896"/>
      <c r="G936" s="896"/>
      <c r="H936" s="896"/>
      <c r="I936" s="896"/>
      <c r="J936" s="896"/>
      <c r="K936" s="896"/>
      <c r="L936" s="897"/>
      <c r="M936" s="896"/>
      <c r="N936" s="889"/>
      <c r="O936" s="896"/>
      <c r="P936" s="889"/>
      <c r="Q936" s="900"/>
      <c r="R936" s="896"/>
      <c r="S936" s="896"/>
      <c r="T936" s="898"/>
      <c r="U936" s="898"/>
      <c r="V936" s="899"/>
      <c r="W936" s="899"/>
      <c r="X936" s="899"/>
      <c r="Y936" s="899"/>
      <c r="Z936" s="899"/>
      <c r="AA936" s="899"/>
      <c r="AB936" s="899"/>
      <c r="AC936" s="899"/>
      <c r="AD936" s="899"/>
      <c r="AE936" s="899"/>
      <c r="AF936" s="899"/>
      <c r="AG936" s="899"/>
    </row>
    <row r="937" spans="1:33" s="1052" customFormat="1" ht="16" customHeight="1">
      <c r="A937" s="7"/>
      <c r="B937" s="10"/>
      <c r="C937" s="12"/>
      <c r="D937" s="896"/>
      <c r="E937" s="896"/>
      <c r="F937" s="896"/>
      <c r="G937" s="896"/>
      <c r="H937" s="896"/>
      <c r="I937" s="896"/>
      <c r="J937" s="896"/>
      <c r="K937" s="896"/>
      <c r="L937" s="897"/>
      <c r="M937" s="896"/>
      <c r="N937" s="889"/>
      <c r="O937" s="896"/>
      <c r="P937" s="889"/>
      <c r="Q937" s="900"/>
      <c r="R937" s="896"/>
      <c r="S937" s="896"/>
      <c r="T937" s="898"/>
      <c r="U937" s="898"/>
      <c r="V937" s="899"/>
      <c r="W937" s="899"/>
      <c r="X937" s="899"/>
      <c r="Y937" s="899"/>
      <c r="Z937" s="899"/>
      <c r="AA937" s="899"/>
      <c r="AB937" s="899"/>
      <c r="AC937" s="899"/>
      <c r="AD937" s="899"/>
      <c r="AE937" s="899"/>
      <c r="AF937" s="899"/>
      <c r="AG937" s="899"/>
    </row>
    <row r="938" spans="1:33" s="1052" customFormat="1" ht="16" customHeight="1">
      <c r="A938" s="7"/>
      <c r="B938" s="10"/>
      <c r="C938" s="12"/>
      <c r="D938" s="896"/>
      <c r="E938" s="896"/>
      <c r="F938" s="896"/>
      <c r="G938" s="896"/>
      <c r="H938" s="896"/>
      <c r="I938" s="896"/>
      <c r="J938" s="896"/>
      <c r="K938" s="896"/>
      <c r="L938" s="897"/>
      <c r="M938" s="896"/>
      <c r="N938" s="889"/>
      <c r="O938" s="896"/>
      <c r="P938" s="889"/>
      <c r="Q938" s="900"/>
      <c r="R938" s="896"/>
      <c r="S938" s="896"/>
      <c r="T938" s="898"/>
      <c r="U938" s="898"/>
      <c r="V938" s="899"/>
      <c r="W938" s="899"/>
      <c r="X938" s="899"/>
      <c r="Y938" s="899"/>
      <c r="Z938" s="899"/>
      <c r="AA938" s="899"/>
      <c r="AB938" s="899"/>
      <c r="AC938" s="899"/>
      <c r="AD938" s="899"/>
      <c r="AE938" s="899"/>
      <c r="AF938" s="899"/>
      <c r="AG938" s="899"/>
    </row>
    <row r="939" spans="1:33" s="1052" customFormat="1" ht="16" customHeight="1">
      <c r="A939" s="7"/>
      <c r="B939" s="10"/>
      <c r="C939" s="12"/>
      <c r="D939" s="896"/>
      <c r="E939" s="896"/>
      <c r="F939" s="896"/>
      <c r="G939" s="896"/>
      <c r="H939" s="896"/>
      <c r="I939" s="896"/>
      <c r="J939" s="896"/>
      <c r="K939" s="896"/>
      <c r="L939" s="897"/>
      <c r="M939" s="896"/>
      <c r="N939" s="889"/>
      <c r="O939" s="896"/>
      <c r="P939" s="889"/>
      <c r="Q939" s="900"/>
      <c r="R939" s="896"/>
      <c r="S939" s="896"/>
      <c r="T939" s="898"/>
      <c r="U939" s="898"/>
      <c r="V939" s="899"/>
      <c r="W939" s="899"/>
      <c r="X939" s="899"/>
      <c r="Y939" s="899"/>
      <c r="Z939" s="899"/>
      <c r="AA939" s="899"/>
      <c r="AB939" s="899"/>
      <c r="AC939" s="899"/>
      <c r="AD939" s="899"/>
      <c r="AE939" s="899"/>
      <c r="AF939" s="899"/>
      <c r="AG939" s="899"/>
    </row>
    <row r="940" spans="1:33" s="1052" customFormat="1" ht="16" customHeight="1">
      <c r="A940" s="7"/>
      <c r="B940" s="10"/>
      <c r="C940" s="12"/>
      <c r="D940" s="896"/>
      <c r="E940" s="896"/>
      <c r="F940" s="896"/>
      <c r="G940" s="896"/>
      <c r="H940" s="896"/>
      <c r="I940" s="896"/>
      <c r="J940" s="896"/>
      <c r="K940" s="896"/>
      <c r="L940" s="897"/>
      <c r="M940" s="896"/>
      <c r="N940" s="889"/>
      <c r="O940" s="896"/>
      <c r="P940" s="889"/>
      <c r="Q940" s="900"/>
      <c r="R940" s="896"/>
      <c r="S940" s="896"/>
      <c r="T940" s="898"/>
      <c r="U940" s="898"/>
      <c r="V940" s="899"/>
      <c r="W940" s="899"/>
      <c r="X940" s="899"/>
      <c r="Y940" s="899"/>
      <c r="Z940" s="899"/>
      <c r="AA940" s="899"/>
      <c r="AB940" s="899"/>
      <c r="AC940" s="899"/>
      <c r="AD940" s="899"/>
      <c r="AE940" s="899"/>
      <c r="AF940" s="899"/>
      <c r="AG940" s="899"/>
    </row>
    <row r="941" spans="1:33" s="1052" customFormat="1" ht="16" customHeight="1">
      <c r="A941" s="7"/>
      <c r="B941" s="10"/>
      <c r="C941" s="12"/>
      <c r="D941" s="896"/>
      <c r="E941" s="896"/>
      <c r="F941" s="896"/>
      <c r="G941" s="896"/>
      <c r="H941" s="896"/>
      <c r="I941" s="896"/>
      <c r="J941" s="896"/>
      <c r="K941" s="896"/>
      <c r="L941" s="897"/>
      <c r="M941" s="896"/>
      <c r="N941" s="889"/>
      <c r="O941" s="896"/>
      <c r="P941" s="889"/>
      <c r="Q941" s="900"/>
      <c r="R941" s="896"/>
      <c r="S941" s="896"/>
      <c r="T941" s="898"/>
      <c r="U941" s="898"/>
      <c r="V941" s="899"/>
      <c r="W941" s="899"/>
      <c r="X941" s="899"/>
      <c r="Y941" s="899"/>
      <c r="Z941" s="899"/>
      <c r="AA941" s="899"/>
      <c r="AB941" s="899"/>
      <c r="AC941" s="899"/>
      <c r="AD941" s="899"/>
      <c r="AE941" s="899"/>
      <c r="AF941" s="899"/>
      <c r="AG941" s="899"/>
    </row>
    <row r="942" spans="1:33" s="1052" customFormat="1" ht="16" customHeight="1">
      <c r="A942" s="44"/>
      <c r="B942" s="41"/>
      <c r="C942" s="41"/>
      <c r="D942" s="42"/>
      <c r="E942" s="42"/>
      <c r="F942" s="43"/>
      <c r="G942" s="42"/>
      <c r="H942" s="43"/>
      <c r="I942" s="43"/>
      <c r="J942" s="42"/>
      <c r="K942" s="42"/>
      <c r="L942" s="290"/>
      <c r="M942" s="43"/>
      <c r="N942" s="43"/>
      <c r="O942" s="42"/>
      <c r="P942" s="43"/>
      <c r="Q942" s="43"/>
      <c r="R942" s="42"/>
      <c r="S942" s="43"/>
      <c r="T942" s="42"/>
      <c r="U942" s="42"/>
      <c r="V942" s="44"/>
      <c r="W942" s="44"/>
      <c r="X942" s="44"/>
      <c r="Y942" s="44"/>
      <c r="Z942" s="44"/>
      <c r="AA942" s="44"/>
      <c r="AB942" s="44"/>
      <c r="AC942" s="44"/>
      <c r="AD942" s="44"/>
      <c r="AE942" s="44"/>
      <c r="AF942" s="44"/>
      <c r="AG942" s="44"/>
    </row>
    <row r="943" spans="1:33" s="1052" customFormat="1" ht="16" customHeight="1" thickBot="1">
      <c r="A943" s="7"/>
      <c r="B943" s="19" t="s">
        <v>744</v>
      </c>
      <c r="C943" s="7"/>
      <c r="D943" s="17"/>
      <c r="E943" s="17"/>
      <c r="F943" s="18"/>
      <c r="G943" s="17"/>
      <c r="H943" s="18"/>
      <c r="I943" s="18"/>
      <c r="J943" s="17"/>
      <c r="K943" s="17"/>
      <c r="L943" s="281"/>
      <c r="M943" s="18"/>
      <c r="N943" s="9"/>
      <c r="O943" s="17"/>
      <c r="P943" s="18"/>
      <c r="Q943" s="18"/>
      <c r="R943" s="17"/>
      <c r="S943" s="882"/>
      <c r="T943" s="883" t="str">
        <f>'[1]$REV-DB'!$T$34</f>
        <v>UD1</v>
      </c>
      <c r="U943" s="883" t="str">
        <f>'[1]$REV-DB'!$U$34</f>
        <v>UD2</v>
      </c>
      <c r="V943" s="883" t="str">
        <f>'[1]$REV-DB'!$V$34</f>
        <v>UD3</v>
      </c>
      <c r="W943" s="883" t="str">
        <f>'[1]$REV-DB'!$W$34</f>
        <v>UD4</v>
      </c>
      <c r="X943" s="883" t="str">
        <f>'[1]$REV-DB'!$X$34</f>
        <v>UD5</v>
      </c>
      <c r="Y943" s="883" t="str">
        <f>'[1]$REV-DB'!$Y$34</f>
        <v>UD6</v>
      </c>
      <c r="Z943" s="883" t="str">
        <f>'[1]$REV-DB'!$Z$34</f>
        <v>UD7</v>
      </c>
      <c r="AA943" s="883" t="str">
        <f>'[1]$REV-DB'!$AA$34</f>
        <v>UD8</v>
      </c>
      <c r="AB943" s="883" t="str">
        <f>'[1]$REV-DB'!$AB$34</f>
        <v>UD9</v>
      </c>
      <c r="AC943" s="883" t="str">
        <f>'[1]$REV-DB'!$AC$34</f>
        <v>UD10</v>
      </c>
      <c r="AD943" s="883" t="str">
        <f>'[1]$REV-DB'!$AD$34</f>
        <v>UD11</v>
      </c>
      <c r="AE943" s="883" t="str">
        <f>'[1]$REV-DB'!$AE$34</f>
        <v>UD12</v>
      </c>
      <c r="AF943" s="883" t="str">
        <f>'[1]$REV-DB'!$AF$34</f>
        <v>UD13</v>
      </c>
      <c r="AG943" s="883" t="str">
        <f>'[1]$REV-DB'!$AG$34</f>
        <v>UD14</v>
      </c>
    </row>
    <row r="944" spans="1:33" s="1052" customFormat="1" ht="16" customHeight="1" thickTop="1" thickBot="1">
      <c r="A944" s="7"/>
      <c r="B944" s="20" t="s">
        <v>864</v>
      </c>
      <c r="C944" s="15"/>
      <c r="D944" s="990" t="s">
        <v>1386</v>
      </c>
      <c r="E944" s="990" t="s">
        <v>1387</v>
      </c>
      <c r="F944" s="990" t="s">
        <v>1388</v>
      </c>
      <c r="G944" s="990" t="s">
        <v>1389</v>
      </c>
      <c r="H944" s="990" t="s">
        <v>1406</v>
      </c>
      <c r="I944" s="990" t="s">
        <v>1390</v>
      </c>
      <c r="J944" s="990" t="s">
        <v>1391</v>
      </c>
      <c r="K944" s="990" t="s">
        <v>1392</v>
      </c>
      <c r="L944" s="990" t="s">
        <v>1188</v>
      </c>
      <c r="M944" s="990" t="s">
        <v>1437</v>
      </c>
      <c r="N944" s="990" t="s">
        <v>1348</v>
      </c>
      <c r="O944" s="990" t="s">
        <v>1393</v>
      </c>
      <c r="P944" s="990" t="s">
        <v>1342</v>
      </c>
      <c r="Q944" s="990" t="s">
        <v>1394</v>
      </c>
      <c r="R944" s="112" t="s">
        <v>1341</v>
      </c>
      <c r="S944" s="112" t="s">
        <v>846</v>
      </c>
      <c r="T944" s="990" t="s">
        <v>935</v>
      </c>
      <c r="U944" s="990" t="s">
        <v>936</v>
      </c>
      <c r="V944" s="990" t="s">
        <v>937</v>
      </c>
      <c r="W944" s="990" t="s">
        <v>938</v>
      </c>
      <c r="X944" s="990" t="s">
        <v>939</v>
      </c>
      <c r="Y944" s="990" t="s">
        <v>940</v>
      </c>
      <c r="Z944" s="990" t="s">
        <v>941</v>
      </c>
      <c r="AA944" s="990" t="s">
        <v>942</v>
      </c>
      <c r="AB944" s="990" t="s">
        <v>943</v>
      </c>
      <c r="AC944" s="990" t="s">
        <v>944</v>
      </c>
      <c r="AD944" s="990" t="s">
        <v>945</v>
      </c>
      <c r="AE944" s="990" t="s">
        <v>946</v>
      </c>
      <c r="AF944" s="990" t="s">
        <v>947</v>
      </c>
      <c r="AG944" s="990" t="s">
        <v>948</v>
      </c>
    </row>
    <row r="945" spans="1:33" s="1052" customFormat="1" ht="16" customHeight="1" thickTop="1">
      <c r="A945" s="7"/>
      <c r="B945" s="19" t="s">
        <v>1343</v>
      </c>
      <c r="C945" s="12"/>
      <c r="D945" s="203"/>
      <c r="E945" s="203"/>
      <c r="F945" s="202"/>
      <c r="G945" s="203"/>
      <c r="H945" s="202"/>
      <c r="I945" s="202"/>
      <c r="J945" s="203"/>
      <c r="K945" s="203"/>
      <c r="L945" s="291" t="s">
        <v>1429</v>
      </c>
      <c r="M945" s="202"/>
      <c r="N945" s="45" t="str">
        <f>J$6</f>
        <v>FY2010-11</v>
      </c>
      <c r="O945" s="45"/>
      <c r="P945" s="45" t="s">
        <v>1347</v>
      </c>
      <c r="Q945" s="45" t="s">
        <v>1379</v>
      </c>
      <c r="R945" s="203"/>
      <c r="S945" s="202" t="s">
        <v>1303</v>
      </c>
      <c r="T945" s="203"/>
      <c r="U945" s="203"/>
      <c r="V945" s="204"/>
      <c r="W945" s="204"/>
      <c r="X945" s="204"/>
      <c r="Y945" s="204"/>
      <c r="Z945" s="204"/>
      <c r="AA945" s="204"/>
      <c r="AB945" s="204"/>
      <c r="AC945" s="204"/>
      <c r="AD945" s="204"/>
      <c r="AE945" s="204"/>
      <c r="AF945" s="204"/>
      <c r="AG945" s="204"/>
    </row>
    <row r="946" spans="1:33" s="1052" customFormat="1" ht="16" customHeight="1">
      <c r="A946" s="7"/>
      <c r="B946" s="16">
        <f>DSUM('$REV-DB'!D35:AG374,"AMOUNT",D944:AG945)</f>
        <v>0</v>
      </c>
      <c r="C946" s="12"/>
      <c r="D946" s="896"/>
      <c r="E946" s="896"/>
      <c r="F946" s="896"/>
      <c r="G946" s="896"/>
      <c r="H946" s="896"/>
      <c r="I946" s="896"/>
      <c r="J946" s="896"/>
      <c r="K946" s="896"/>
      <c r="L946" s="897"/>
      <c r="M946" s="896"/>
      <c r="N946" s="889"/>
      <c r="O946" s="896"/>
      <c r="P946" s="889"/>
      <c r="Q946" s="900"/>
      <c r="R946" s="896"/>
      <c r="S946" s="896"/>
      <c r="T946" s="898"/>
      <c r="U946" s="898"/>
      <c r="V946" s="899"/>
      <c r="W946" s="899"/>
      <c r="X946" s="899"/>
      <c r="Y946" s="899"/>
      <c r="Z946" s="899"/>
      <c r="AA946" s="899"/>
      <c r="AB946" s="899"/>
      <c r="AC946" s="899"/>
      <c r="AD946" s="899"/>
      <c r="AE946" s="899"/>
      <c r="AF946" s="899"/>
      <c r="AG946" s="899"/>
    </row>
    <row r="947" spans="1:33" s="1052" customFormat="1" ht="16" customHeight="1">
      <c r="A947" s="7"/>
      <c r="B947" s="10"/>
      <c r="C947" s="12"/>
      <c r="D947" s="896"/>
      <c r="E947" s="896"/>
      <c r="F947" s="896"/>
      <c r="G947" s="896"/>
      <c r="H947" s="896"/>
      <c r="I947" s="896"/>
      <c r="J947" s="896"/>
      <c r="K947" s="896"/>
      <c r="L947" s="897"/>
      <c r="M947" s="896"/>
      <c r="N947" s="889"/>
      <c r="O947" s="896"/>
      <c r="P947" s="889"/>
      <c r="Q947" s="900"/>
      <c r="R947" s="896"/>
      <c r="S947" s="896"/>
      <c r="T947" s="898"/>
      <c r="U947" s="898"/>
      <c r="V947" s="899"/>
      <c r="W947" s="899"/>
      <c r="X947" s="899"/>
      <c r="Y947" s="899"/>
      <c r="Z947" s="899"/>
      <c r="AA947" s="899"/>
      <c r="AB947" s="899"/>
      <c r="AC947" s="899"/>
      <c r="AD947" s="899"/>
      <c r="AE947" s="899"/>
      <c r="AF947" s="899"/>
      <c r="AG947" s="899"/>
    </row>
    <row r="948" spans="1:33" s="1052" customFormat="1" ht="16" customHeight="1">
      <c r="A948" s="7"/>
      <c r="B948" s="10"/>
      <c r="C948" s="12"/>
      <c r="D948" s="896"/>
      <c r="E948" s="896"/>
      <c r="F948" s="896"/>
      <c r="G948" s="896"/>
      <c r="H948" s="896"/>
      <c r="I948" s="896"/>
      <c r="J948" s="896"/>
      <c r="K948" s="896"/>
      <c r="L948" s="897"/>
      <c r="M948" s="896"/>
      <c r="N948" s="889"/>
      <c r="O948" s="896"/>
      <c r="P948" s="889"/>
      <c r="Q948" s="900"/>
      <c r="R948" s="896"/>
      <c r="S948" s="896"/>
      <c r="T948" s="898"/>
      <c r="U948" s="898"/>
      <c r="V948" s="899"/>
      <c r="W948" s="899"/>
      <c r="X948" s="899"/>
      <c r="Y948" s="899"/>
      <c r="Z948" s="899"/>
      <c r="AA948" s="899"/>
      <c r="AB948" s="899"/>
      <c r="AC948" s="899"/>
      <c r="AD948" s="899"/>
      <c r="AE948" s="899"/>
      <c r="AF948" s="899"/>
      <c r="AG948" s="899"/>
    </row>
    <row r="949" spans="1:33" s="1052" customFormat="1" ht="16" customHeight="1">
      <c r="A949" s="7"/>
      <c r="B949" s="10"/>
      <c r="C949" s="12"/>
      <c r="D949" s="896"/>
      <c r="E949" s="896"/>
      <c r="F949" s="896"/>
      <c r="G949" s="896"/>
      <c r="H949" s="896"/>
      <c r="I949" s="896"/>
      <c r="J949" s="896"/>
      <c r="K949" s="896"/>
      <c r="L949" s="897"/>
      <c r="M949" s="896"/>
      <c r="N949" s="889"/>
      <c r="O949" s="896"/>
      <c r="P949" s="889"/>
      <c r="Q949" s="900"/>
      <c r="R949" s="896"/>
      <c r="S949" s="896"/>
      <c r="T949" s="898"/>
      <c r="U949" s="898"/>
      <c r="V949" s="899"/>
      <c r="W949" s="899"/>
      <c r="X949" s="899"/>
      <c r="Y949" s="899"/>
      <c r="Z949" s="899"/>
      <c r="AA949" s="899"/>
      <c r="AB949" s="899"/>
      <c r="AC949" s="899"/>
      <c r="AD949" s="899"/>
      <c r="AE949" s="899"/>
      <c r="AF949" s="899"/>
      <c r="AG949" s="899"/>
    </row>
    <row r="950" spans="1:33" s="1052" customFormat="1" ht="16" customHeight="1">
      <c r="A950" s="7"/>
      <c r="B950" s="10"/>
      <c r="C950" s="12"/>
      <c r="D950" s="896"/>
      <c r="E950" s="896"/>
      <c r="F950" s="896"/>
      <c r="G950" s="896"/>
      <c r="H950" s="896"/>
      <c r="I950" s="896"/>
      <c r="J950" s="896"/>
      <c r="K950" s="896"/>
      <c r="L950" s="897"/>
      <c r="M950" s="896"/>
      <c r="N950" s="889"/>
      <c r="O950" s="896"/>
      <c r="P950" s="889"/>
      <c r="Q950" s="900"/>
      <c r="R950" s="896"/>
      <c r="S950" s="896"/>
      <c r="T950" s="898"/>
      <c r="U950" s="898"/>
      <c r="V950" s="899"/>
      <c r="W950" s="899"/>
      <c r="X950" s="899"/>
      <c r="Y950" s="899"/>
      <c r="Z950" s="899"/>
      <c r="AA950" s="899"/>
      <c r="AB950" s="899"/>
      <c r="AC950" s="899"/>
      <c r="AD950" s="899"/>
      <c r="AE950" s="899"/>
      <c r="AF950" s="899"/>
      <c r="AG950" s="899"/>
    </row>
    <row r="951" spans="1:33" s="1052" customFormat="1" ht="16" customHeight="1">
      <c r="A951" s="7"/>
      <c r="B951" s="10"/>
      <c r="C951" s="12"/>
      <c r="D951" s="896"/>
      <c r="E951" s="896"/>
      <c r="F951" s="896"/>
      <c r="G951" s="896"/>
      <c r="H951" s="896"/>
      <c r="I951" s="896"/>
      <c r="J951" s="896"/>
      <c r="K951" s="896"/>
      <c r="L951" s="897"/>
      <c r="M951" s="896"/>
      <c r="N951" s="889"/>
      <c r="O951" s="896"/>
      <c r="P951" s="889"/>
      <c r="Q951" s="900"/>
      <c r="R951" s="896"/>
      <c r="S951" s="896"/>
      <c r="T951" s="898"/>
      <c r="U951" s="898"/>
      <c r="V951" s="899"/>
      <c r="W951" s="899"/>
      <c r="X951" s="899"/>
      <c r="Y951" s="899"/>
      <c r="Z951" s="899"/>
      <c r="AA951" s="899"/>
      <c r="AB951" s="899"/>
      <c r="AC951" s="899"/>
      <c r="AD951" s="899"/>
      <c r="AE951" s="899"/>
      <c r="AF951" s="899"/>
      <c r="AG951" s="899"/>
    </row>
    <row r="952" spans="1:33" s="1052" customFormat="1" ht="16" customHeight="1">
      <c r="A952" s="44"/>
      <c r="B952" s="41"/>
      <c r="C952" s="41"/>
      <c r="D952" s="42"/>
      <c r="E952" s="42"/>
      <c r="F952" s="43"/>
      <c r="G952" s="42"/>
      <c r="H952" s="43"/>
      <c r="I952" s="43"/>
      <c r="J952" s="42"/>
      <c r="K952" s="42"/>
      <c r="L952" s="290"/>
      <c r="M952" s="43"/>
      <c r="N952" s="43"/>
      <c r="O952" s="42"/>
      <c r="P952" s="43"/>
      <c r="Q952" s="43"/>
      <c r="R952" s="42"/>
      <c r="S952" s="43"/>
      <c r="T952" s="42"/>
      <c r="U952" s="42"/>
      <c r="V952" s="44"/>
      <c r="W952" s="44"/>
      <c r="X952" s="44"/>
      <c r="Y952" s="44"/>
      <c r="Z952" s="44"/>
      <c r="AA952" s="44"/>
      <c r="AB952" s="44"/>
      <c r="AC952" s="44"/>
      <c r="AD952" s="44"/>
      <c r="AE952" s="44"/>
      <c r="AF952" s="44"/>
      <c r="AG952" s="44"/>
    </row>
    <row r="953" spans="1:33" s="1052" customFormat="1" ht="16" customHeight="1" thickBot="1">
      <c r="A953" s="7"/>
      <c r="B953" s="19" t="s">
        <v>744</v>
      </c>
      <c r="C953" s="7"/>
      <c r="D953" s="17"/>
      <c r="E953" s="17"/>
      <c r="F953" s="18"/>
      <c r="G953" s="17"/>
      <c r="H953" s="18"/>
      <c r="I953" s="18"/>
      <c r="J953" s="17"/>
      <c r="K953" s="17"/>
      <c r="L953" s="281"/>
      <c r="M953" s="18"/>
      <c r="N953" s="9"/>
      <c r="O953" s="17"/>
      <c r="P953" s="18"/>
      <c r="Q953" s="18"/>
      <c r="R953" s="17"/>
      <c r="S953" s="882"/>
      <c r="T953" s="883" t="str">
        <f>'[1]$REV-DB'!$T$34</f>
        <v>UD1</v>
      </c>
      <c r="U953" s="883" t="str">
        <f>'[1]$REV-DB'!$U$34</f>
        <v>UD2</v>
      </c>
      <c r="V953" s="883" t="str">
        <f>'[1]$REV-DB'!$V$34</f>
        <v>UD3</v>
      </c>
      <c r="W953" s="883" t="str">
        <f>'[1]$REV-DB'!$W$34</f>
        <v>UD4</v>
      </c>
      <c r="X953" s="883" t="str">
        <f>'[1]$REV-DB'!$X$34</f>
        <v>UD5</v>
      </c>
      <c r="Y953" s="883" t="str">
        <f>'[1]$REV-DB'!$Y$34</f>
        <v>UD6</v>
      </c>
      <c r="Z953" s="883" t="str">
        <f>'[1]$REV-DB'!$Z$34</f>
        <v>UD7</v>
      </c>
      <c r="AA953" s="883" t="str">
        <f>'[1]$REV-DB'!$AA$34</f>
        <v>UD8</v>
      </c>
      <c r="AB953" s="883" t="str">
        <f>'[1]$REV-DB'!$AB$34</f>
        <v>UD9</v>
      </c>
      <c r="AC953" s="883" t="str">
        <f>'[1]$REV-DB'!$AC$34</f>
        <v>UD10</v>
      </c>
      <c r="AD953" s="883" t="str">
        <f>'[1]$REV-DB'!$AD$34</f>
        <v>UD11</v>
      </c>
      <c r="AE953" s="883" t="str">
        <f>'[1]$REV-DB'!$AE$34</f>
        <v>UD12</v>
      </c>
      <c r="AF953" s="883" t="str">
        <f>'[1]$REV-DB'!$AF$34</f>
        <v>UD13</v>
      </c>
      <c r="AG953" s="883" t="str">
        <f>'[1]$REV-DB'!$AG$34</f>
        <v>UD14</v>
      </c>
    </row>
    <row r="954" spans="1:33" s="1052" customFormat="1" ht="16" customHeight="1" thickTop="1" thickBot="1">
      <c r="A954" s="7"/>
      <c r="B954" s="20" t="s">
        <v>864</v>
      </c>
      <c r="C954" s="15"/>
      <c r="D954" s="990" t="s">
        <v>1386</v>
      </c>
      <c r="E954" s="990" t="s">
        <v>1387</v>
      </c>
      <c r="F954" s="990" t="s">
        <v>1388</v>
      </c>
      <c r="G954" s="990" t="s">
        <v>1389</v>
      </c>
      <c r="H954" s="990" t="s">
        <v>1406</v>
      </c>
      <c r="I954" s="990" t="s">
        <v>1390</v>
      </c>
      <c r="J954" s="990" t="s">
        <v>1391</v>
      </c>
      <c r="K954" s="990" t="s">
        <v>1392</v>
      </c>
      <c r="L954" s="990" t="s">
        <v>1188</v>
      </c>
      <c r="M954" s="990" t="s">
        <v>1437</v>
      </c>
      <c r="N954" s="990" t="s">
        <v>1348</v>
      </c>
      <c r="O954" s="990" t="s">
        <v>1393</v>
      </c>
      <c r="P954" s="990" t="s">
        <v>1342</v>
      </c>
      <c r="Q954" s="990" t="s">
        <v>1394</v>
      </c>
      <c r="R954" s="112" t="s">
        <v>1341</v>
      </c>
      <c r="S954" s="112" t="s">
        <v>846</v>
      </c>
      <c r="T954" s="990" t="s">
        <v>935</v>
      </c>
      <c r="U954" s="990" t="s">
        <v>936</v>
      </c>
      <c r="V954" s="990" t="s">
        <v>937</v>
      </c>
      <c r="W954" s="990" t="s">
        <v>938</v>
      </c>
      <c r="X954" s="990" t="s">
        <v>939</v>
      </c>
      <c r="Y954" s="990" t="s">
        <v>940</v>
      </c>
      <c r="Z954" s="990" t="s">
        <v>941</v>
      </c>
      <c r="AA954" s="990" t="s">
        <v>942</v>
      </c>
      <c r="AB954" s="990" t="s">
        <v>943</v>
      </c>
      <c r="AC954" s="990" t="s">
        <v>944</v>
      </c>
      <c r="AD954" s="990" t="s">
        <v>945</v>
      </c>
      <c r="AE954" s="990" t="s">
        <v>946</v>
      </c>
      <c r="AF954" s="990" t="s">
        <v>947</v>
      </c>
      <c r="AG954" s="990" t="s">
        <v>948</v>
      </c>
    </row>
    <row r="955" spans="1:33" s="1052" customFormat="1" ht="16" customHeight="1" thickTop="1">
      <c r="A955" s="7"/>
      <c r="B955" s="19" t="s">
        <v>1349</v>
      </c>
      <c r="C955" s="12"/>
      <c r="D955" s="203"/>
      <c r="E955" s="203"/>
      <c r="F955" s="202"/>
      <c r="G955" s="203"/>
      <c r="H955" s="202"/>
      <c r="I955" s="202"/>
      <c r="J955" s="203"/>
      <c r="K955" s="203"/>
      <c r="L955" s="291" t="s">
        <v>1429</v>
      </c>
      <c r="M955" s="202"/>
      <c r="N955" s="45" t="str">
        <f>J$6</f>
        <v>FY2010-11</v>
      </c>
      <c r="O955" s="45"/>
      <c r="P955" s="45" t="s">
        <v>1347</v>
      </c>
      <c r="Q955" s="45" t="s">
        <v>1397</v>
      </c>
      <c r="R955" s="203"/>
      <c r="S955" s="202" t="s">
        <v>1303</v>
      </c>
      <c r="T955" s="203"/>
      <c r="U955" s="203"/>
      <c r="V955" s="204"/>
      <c r="W955" s="204"/>
      <c r="X955" s="204"/>
      <c r="Y955" s="204"/>
      <c r="Z955" s="204"/>
      <c r="AA955" s="204"/>
      <c r="AB955" s="204"/>
      <c r="AC955" s="204"/>
      <c r="AD955" s="204"/>
      <c r="AE955" s="204"/>
      <c r="AF955" s="204"/>
      <c r="AG955" s="204"/>
    </row>
    <row r="956" spans="1:33" s="1052" customFormat="1" ht="16" customHeight="1">
      <c r="A956" s="7"/>
      <c r="B956" s="16">
        <f>DSUM('$REV-DB'!D35:AG374,"AMOUNT",D954:AG955)</f>
        <v>0</v>
      </c>
      <c r="C956" s="12"/>
      <c r="D956" s="896"/>
      <c r="E956" s="896"/>
      <c r="F956" s="896"/>
      <c r="G956" s="896"/>
      <c r="H956" s="896"/>
      <c r="I956" s="896"/>
      <c r="J956" s="896"/>
      <c r="K956" s="896"/>
      <c r="L956" s="897"/>
      <c r="M956" s="896"/>
      <c r="N956" s="889"/>
      <c r="O956" s="896"/>
      <c r="P956" s="889"/>
      <c r="Q956" s="900"/>
      <c r="R956" s="896"/>
      <c r="S956" s="896"/>
      <c r="T956" s="898"/>
      <c r="U956" s="898"/>
      <c r="V956" s="899"/>
      <c r="W956" s="899"/>
      <c r="X956" s="899"/>
      <c r="Y956" s="899"/>
      <c r="Z956" s="899"/>
      <c r="AA956" s="899"/>
      <c r="AB956" s="899"/>
      <c r="AC956" s="899"/>
      <c r="AD956" s="899"/>
      <c r="AE956" s="899"/>
      <c r="AF956" s="899"/>
      <c r="AG956" s="899"/>
    </row>
    <row r="957" spans="1:33" s="1052" customFormat="1" ht="16" customHeight="1">
      <c r="A957" s="7"/>
      <c r="B957" s="10"/>
      <c r="C957" s="12"/>
      <c r="D957" s="896"/>
      <c r="E957" s="896"/>
      <c r="F957" s="896"/>
      <c r="G957" s="896"/>
      <c r="H957" s="896"/>
      <c r="I957" s="896"/>
      <c r="J957" s="896"/>
      <c r="K957" s="896"/>
      <c r="L957" s="897"/>
      <c r="M957" s="896"/>
      <c r="N957" s="889"/>
      <c r="O957" s="896"/>
      <c r="P957" s="889"/>
      <c r="Q957" s="900"/>
      <c r="R957" s="896"/>
      <c r="S957" s="896"/>
      <c r="T957" s="898"/>
      <c r="U957" s="898"/>
      <c r="V957" s="899"/>
      <c r="W957" s="899"/>
      <c r="X957" s="899"/>
      <c r="Y957" s="899"/>
      <c r="Z957" s="899"/>
      <c r="AA957" s="899"/>
      <c r="AB957" s="899"/>
      <c r="AC957" s="899"/>
      <c r="AD957" s="899"/>
      <c r="AE957" s="899"/>
      <c r="AF957" s="899"/>
      <c r="AG957" s="899"/>
    </row>
    <row r="958" spans="1:33" s="1052" customFormat="1" ht="16" customHeight="1">
      <c r="A958" s="7"/>
      <c r="B958" s="10"/>
      <c r="C958" s="12"/>
      <c r="D958" s="896"/>
      <c r="E958" s="896"/>
      <c r="F958" s="896"/>
      <c r="G958" s="896"/>
      <c r="H958" s="896"/>
      <c r="I958" s="896"/>
      <c r="J958" s="896"/>
      <c r="K958" s="896"/>
      <c r="L958" s="897"/>
      <c r="M958" s="896"/>
      <c r="N958" s="889"/>
      <c r="O958" s="896"/>
      <c r="P958" s="889"/>
      <c r="Q958" s="900"/>
      <c r="R958" s="896"/>
      <c r="S958" s="896"/>
      <c r="T958" s="898"/>
      <c r="U958" s="898"/>
      <c r="V958" s="899"/>
      <c r="W958" s="899"/>
      <c r="X958" s="899"/>
      <c r="Y958" s="899"/>
      <c r="Z958" s="899"/>
      <c r="AA958" s="899"/>
      <c r="AB958" s="899"/>
      <c r="AC958" s="899"/>
      <c r="AD958" s="899"/>
      <c r="AE958" s="899"/>
      <c r="AF958" s="899"/>
      <c r="AG958" s="899"/>
    </row>
    <row r="959" spans="1:33" s="1052" customFormat="1" ht="16" customHeight="1">
      <c r="A959" s="7"/>
      <c r="B959" s="10"/>
      <c r="C959" s="12"/>
      <c r="D959" s="896"/>
      <c r="E959" s="896"/>
      <c r="F959" s="896"/>
      <c r="G959" s="896"/>
      <c r="H959" s="896"/>
      <c r="I959" s="896"/>
      <c r="J959" s="896"/>
      <c r="K959" s="896"/>
      <c r="L959" s="897"/>
      <c r="M959" s="896"/>
      <c r="N959" s="889"/>
      <c r="O959" s="896"/>
      <c r="P959" s="889"/>
      <c r="Q959" s="900"/>
      <c r="R959" s="896"/>
      <c r="S959" s="896"/>
      <c r="T959" s="898"/>
      <c r="U959" s="898"/>
      <c r="V959" s="899"/>
      <c r="W959" s="899"/>
      <c r="X959" s="899"/>
      <c r="Y959" s="899"/>
      <c r="Z959" s="899"/>
      <c r="AA959" s="899"/>
      <c r="AB959" s="899"/>
      <c r="AC959" s="899"/>
      <c r="AD959" s="899"/>
      <c r="AE959" s="899"/>
      <c r="AF959" s="899"/>
      <c r="AG959" s="899"/>
    </row>
    <row r="960" spans="1:33" s="1052" customFormat="1" ht="16" customHeight="1">
      <c r="A960" s="7"/>
      <c r="B960" s="10"/>
      <c r="C960" s="12"/>
      <c r="D960" s="896"/>
      <c r="E960" s="896"/>
      <c r="F960" s="896"/>
      <c r="G960" s="896"/>
      <c r="H960" s="896"/>
      <c r="I960" s="896"/>
      <c r="J960" s="896"/>
      <c r="K960" s="896"/>
      <c r="L960" s="897"/>
      <c r="M960" s="896"/>
      <c r="N960" s="889"/>
      <c r="O960" s="896"/>
      <c r="P960" s="889"/>
      <c r="Q960" s="900"/>
      <c r="R960" s="896"/>
      <c r="S960" s="896"/>
      <c r="T960" s="898"/>
      <c r="U960" s="898"/>
      <c r="V960" s="899"/>
      <c r="W960" s="899"/>
      <c r="X960" s="899"/>
      <c r="Y960" s="899"/>
      <c r="Z960" s="899"/>
      <c r="AA960" s="899"/>
      <c r="AB960" s="899"/>
      <c r="AC960" s="899"/>
      <c r="AD960" s="899"/>
      <c r="AE960" s="899"/>
      <c r="AF960" s="899"/>
      <c r="AG960" s="899"/>
    </row>
    <row r="961" spans="1:33" s="1052" customFormat="1" ht="16" customHeight="1">
      <c r="A961" s="7"/>
      <c r="B961" s="10"/>
      <c r="C961" s="12"/>
      <c r="D961" s="896"/>
      <c r="E961" s="896"/>
      <c r="F961" s="896"/>
      <c r="G961" s="896"/>
      <c r="H961" s="896"/>
      <c r="I961" s="896"/>
      <c r="J961" s="896"/>
      <c r="K961" s="896"/>
      <c r="L961" s="897"/>
      <c r="M961" s="896"/>
      <c r="N961" s="889"/>
      <c r="O961" s="896"/>
      <c r="P961" s="889"/>
      <c r="Q961" s="900"/>
      <c r="R961" s="896"/>
      <c r="S961" s="896"/>
      <c r="T961" s="898"/>
      <c r="U961" s="898"/>
      <c r="V961" s="899"/>
      <c r="W961" s="899"/>
      <c r="X961" s="899"/>
      <c r="Y961" s="899"/>
      <c r="Z961" s="899"/>
      <c r="AA961" s="899"/>
      <c r="AB961" s="899"/>
      <c r="AC961" s="899"/>
      <c r="AD961" s="899"/>
      <c r="AE961" s="899"/>
      <c r="AF961" s="899"/>
      <c r="AG961" s="899"/>
    </row>
    <row r="962" spans="1:33" s="1052" customFormat="1" ht="16" customHeight="1">
      <c r="A962" s="44"/>
      <c r="B962" s="41"/>
      <c r="C962" s="41"/>
      <c r="D962" s="42"/>
      <c r="E962" s="42"/>
      <c r="F962" s="43"/>
      <c r="G962" s="42"/>
      <c r="H962" s="43"/>
      <c r="I962" s="43"/>
      <c r="J962" s="42"/>
      <c r="K962" s="42"/>
      <c r="L962" s="290"/>
      <c r="M962" s="43"/>
      <c r="N962" s="43"/>
      <c r="O962" s="42"/>
      <c r="P962" s="43"/>
      <c r="Q962" s="43"/>
      <c r="R962" s="42"/>
      <c r="S962" s="43"/>
      <c r="T962" s="42"/>
      <c r="U962" s="42"/>
      <c r="V962" s="44"/>
      <c r="W962" s="44"/>
      <c r="X962" s="44"/>
      <c r="Y962" s="44"/>
      <c r="Z962" s="44"/>
      <c r="AA962" s="44"/>
      <c r="AB962" s="44"/>
      <c r="AC962" s="44"/>
      <c r="AD962" s="44"/>
      <c r="AE962" s="44"/>
      <c r="AF962" s="44"/>
      <c r="AG962" s="44"/>
    </row>
    <row r="963" spans="1:33" s="1052" customFormat="1" ht="16" customHeight="1" thickBot="1">
      <c r="A963" s="7"/>
      <c r="B963" s="19" t="s">
        <v>744</v>
      </c>
      <c r="C963" s="7"/>
      <c r="D963" s="17"/>
      <c r="E963" s="17"/>
      <c r="F963" s="18"/>
      <c r="G963" s="17"/>
      <c r="H963" s="18"/>
      <c r="I963" s="18"/>
      <c r="J963" s="17"/>
      <c r="K963" s="17"/>
      <c r="L963" s="281"/>
      <c r="M963" s="18"/>
      <c r="N963" s="9"/>
      <c r="O963" s="17"/>
      <c r="P963" s="18"/>
      <c r="Q963" s="18"/>
      <c r="R963" s="17"/>
      <c r="S963" s="882"/>
      <c r="T963" s="883" t="str">
        <f>'[1]$REV-DB'!$T$34</f>
        <v>UD1</v>
      </c>
      <c r="U963" s="883" t="str">
        <f>'[1]$REV-DB'!$U$34</f>
        <v>UD2</v>
      </c>
      <c r="V963" s="883" t="str">
        <f>'[1]$REV-DB'!$V$34</f>
        <v>UD3</v>
      </c>
      <c r="W963" s="883" t="str">
        <f>'[1]$REV-DB'!$W$34</f>
        <v>UD4</v>
      </c>
      <c r="X963" s="883" t="str">
        <f>'[1]$REV-DB'!$X$34</f>
        <v>UD5</v>
      </c>
      <c r="Y963" s="883" t="str">
        <f>'[1]$REV-DB'!$Y$34</f>
        <v>UD6</v>
      </c>
      <c r="Z963" s="883" t="str">
        <f>'[1]$REV-DB'!$Z$34</f>
        <v>UD7</v>
      </c>
      <c r="AA963" s="883" t="str">
        <f>'[1]$REV-DB'!$AA$34</f>
        <v>UD8</v>
      </c>
      <c r="AB963" s="883" t="str">
        <f>'[1]$REV-DB'!$AB$34</f>
        <v>UD9</v>
      </c>
      <c r="AC963" s="883" t="str">
        <f>'[1]$REV-DB'!$AC$34</f>
        <v>UD10</v>
      </c>
      <c r="AD963" s="883" t="str">
        <f>'[1]$REV-DB'!$AD$34</f>
        <v>UD11</v>
      </c>
      <c r="AE963" s="883" t="str">
        <f>'[1]$REV-DB'!$AE$34</f>
        <v>UD12</v>
      </c>
      <c r="AF963" s="883" t="str">
        <f>'[1]$REV-DB'!$AF$34</f>
        <v>UD13</v>
      </c>
      <c r="AG963" s="883" t="str">
        <f>'[1]$REV-DB'!$AG$34</f>
        <v>UD14</v>
      </c>
    </row>
    <row r="964" spans="1:33" s="1052" customFormat="1" ht="16" customHeight="1" thickTop="1" thickBot="1">
      <c r="A964" s="7"/>
      <c r="B964" s="20" t="s">
        <v>864</v>
      </c>
      <c r="C964" s="15"/>
      <c r="D964" s="990" t="s">
        <v>1386</v>
      </c>
      <c r="E964" s="990" t="s">
        <v>1387</v>
      </c>
      <c r="F964" s="990" t="s">
        <v>1388</v>
      </c>
      <c r="G964" s="990" t="s">
        <v>1389</v>
      </c>
      <c r="H964" s="990" t="s">
        <v>1406</v>
      </c>
      <c r="I964" s="990" t="s">
        <v>1390</v>
      </c>
      <c r="J964" s="990" t="s">
        <v>1391</v>
      </c>
      <c r="K964" s="990" t="s">
        <v>1392</v>
      </c>
      <c r="L964" s="990" t="s">
        <v>1188</v>
      </c>
      <c r="M964" s="990" t="s">
        <v>1437</v>
      </c>
      <c r="N964" s="990" t="s">
        <v>1348</v>
      </c>
      <c r="O964" s="990" t="s">
        <v>1393</v>
      </c>
      <c r="P964" s="990" t="s">
        <v>1342</v>
      </c>
      <c r="Q964" s="990" t="s">
        <v>1394</v>
      </c>
      <c r="R964" s="112" t="s">
        <v>1341</v>
      </c>
      <c r="S964" s="112" t="s">
        <v>846</v>
      </c>
      <c r="T964" s="990" t="s">
        <v>935</v>
      </c>
      <c r="U964" s="990" t="s">
        <v>936</v>
      </c>
      <c r="V964" s="990" t="s">
        <v>937</v>
      </c>
      <c r="W964" s="990" t="s">
        <v>938</v>
      </c>
      <c r="X964" s="990" t="s">
        <v>939</v>
      </c>
      <c r="Y964" s="990" t="s">
        <v>940</v>
      </c>
      <c r="Z964" s="990" t="s">
        <v>941</v>
      </c>
      <c r="AA964" s="990" t="s">
        <v>942</v>
      </c>
      <c r="AB964" s="990" t="s">
        <v>943</v>
      </c>
      <c r="AC964" s="990" t="s">
        <v>944</v>
      </c>
      <c r="AD964" s="990" t="s">
        <v>945</v>
      </c>
      <c r="AE964" s="990" t="s">
        <v>946</v>
      </c>
      <c r="AF964" s="990" t="s">
        <v>947</v>
      </c>
      <c r="AG964" s="990" t="s">
        <v>948</v>
      </c>
    </row>
    <row r="965" spans="1:33" s="1052" customFormat="1" ht="16" customHeight="1" thickTop="1">
      <c r="A965" s="7"/>
      <c r="B965" s="19" t="s">
        <v>745</v>
      </c>
      <c r="C965" s="12"/>
      <c r="D965" s="203"/>
      <c r="E965" s="203"/>
      <c r="F965" s="202"/>
      <c r="G965" s="203"/>
      <c r="H965" s="202"/>
      <c r="I965" s="202"/>
      <c r="J965" s="203"/>
      <c r="K965" s="203"/>
      <c r="L965" s="291" t="s">
        <v>1429</v>
      </c>
      <c r="M965" s="202"/>
      <c r="N965" s="45" t="str">
        <f>J$6</f>
        <v>FY2010-11</v>
      </c>
      <c r="O965" s="45"/>
      <c r="P965" s="45" t="s">
        <v>1347</v>
      </c>
      <c r="Q965" s="45" t="s">
        <v>1465</v>
      </c>
      <c r="R965" s="203"/>
      <c r="S965" s="202" t="s">
        <v>1303</v>
      </c>
      <c r="T965" s="203"/>
      <c r="U965" s="203"/>
      <c r="V965" s="204"/>
      <c r="W965" s="204"/>
      <c r="X965" s="204"/>
      <c r="Y965" s="204"/>
      <c r="Z965" s="204"/>
      <c r="AA965" s="204"/>
      <c r="AB965" s="204"/>
      <c r="AC965" s="204"/>
      <c r="AD965" s="204"/>
      <c r="AE965" s="204"/>
      <c r="AF965" s="204"/>
      <c r="AG965" s="204"/>
    </row>
    <row r="966" spans="1:33" s="1052" customFormat="1" ht="16" customHeight="1">
      <c r="A966" s="7"/>
      <c r="B966" s="16">
        <f>DSUM('$REV-DB'!D35:AG374,"AMOUNT",D964:AG965)</f>
        <v>0</v>
      </c>
      <c r="C966" s="12"/>
      <c r="D966" s="896"/>
      <c r="E966" s="896"/>
      <c r="F966" s="896"/>
      <c r="G966" s="896"/>
      <c r="H966" s="896"/>
      <c r="I966" s="896"/>
      <c r="J966" s="896"/>
      <c r="K966" s="896"/>
      <c r="L966" s="897"/>
      <c r="M966" s="896"/>
      <c r="N966" s="889"/>
      <c r="O966" s="896"/>
      <c r="P966" s="889"/>
      <c r="Q966" s="900"/>
      <c r="R966" s="896"/>
      <c r="S966" s="896"/>
      <c r="T966" s="898"/>
      <c r="U966" s="898"/>
      <c r="V966" s="899"/>
      <c r="W966" s="899"/>
      <c r="X966" s="899"/>
      <c r="Y966" s="899"/>
      <c r="Z966" s="899"/>
      <c r="AA966" s="899"/>
      <c r="AB966" s="899"/>
      <c r="AC966" s="899"/>
      <c r="AD966" s="899"/>
      <c r="AE966" s="899"/>
      <c r="AF966" s="899"/>
      <c r="AG966" s="899"/>
    </row>
    <row r="967" spans="1:33" s="1052" customFormat="1" ht="16" customHeight="1">
      <c r="A967" s="7"/>
      <c r="B967" s="10"/>
      <c r="C967" s="12"/>
      <c r="D967" s="896"/>
      <c r="E967" s="896"/>
      <c r="F967" s="896"/>
      <c r="G967" s="896"/>
      <c r="H967" s="896"/>
      <c r="I967" s="896"/>
      <c r="J967" s="896"/>
      <c r="K967" s="896"/>
      <c r="L967" s="897"/>
      <c r="M967" s="896"/>
      <c r="N967" s="889"/>
      <c r="O967" s="896"/>
      <c r="P967" s="889"/>
      <c r="Q967" s="900"/>
      <c r="R967" s="896"/>
      <c r="S967" s="896"/>
      <c r="T967" s="898"/>
      <c r="U967" s="898"/>
      <c r="V967" s="899"/>
      <c r="W967" s="899"/>
      <c r="X967" s="899"/>
      <c r="Y967" s="899"/>
      <c r="Z967" s="899"/>
      <c r="AA967" s="899"/>
      <c r="AB967" s="899"/>
      <c r="AC967" s="899"/>
      <c r="AD967" s="899"/>
      <c r="AE967" s="899"/>
      <c r="AF967" s="899"/>
      <c r="AG967" s="899"/>
    </row>
    <row r="968" spans="1:33" s="1052" customFormat="1" ht="16" customHeight="1">
      <c r="A968" s="7"/>
      <c r="B968" s="10"/>
      <c r="C968" s="12"/>
      <c r="D968" s="896"/>
      <c r="E968" s="896"/>
      <c r="F968" s="896"/>
      <c r="G968" s="896"/>
      <c r="H968" s="896"/>
      <c r="I968" s="896"/>
      <c r="J968" s="896"/>
      <c r="K968" s="896"/>
      <c r="L968" s="897"/>
      <c r="M968" s="896"/>
      <c r="N968" s="889"/>
      <c r="O968" s="896"/>
      <c r="P968" s="889"/>
      <c r="Q968" s="900"/>
      <c r="R968" s="896"/>
      <c r="S968" s="896"/>
      <c r="T968" s="898"/>
      <c r="U968" s="898"/>
      <c r="V968" s="899"/>
      <c r="W968" s="899"/>
      <c r="X968" s="899"/>
      <c r="Y968" s="899"/>
      <c r="Z968" s="899"/>
      <c r="AA968" s="899"/>
      <c r="AB968" s="899"/>
      <c r="AC968" s="899"/>
      <c r="AD968" s="899"/>
      <c r="AE968" s="899"/>
      <c r="AF968" s="899"/>
      <c r="AG968" s="899"/>
    </row>
    <row r="969" spans="1:33" s="1052" customFormat="1" ht="16" customHeight="1">
      <c r="A969" s="7"/>
      <c r="B969" s="10"/>
      <c r="C969" s="12"/>
      <c r="D969" s="896"/>
      <c r="E969" s="896"/>
      <c r="F969" s="896"/>
      <c r="G969" s="896"/>
      <c r="H969" s="896"/>
      <c r="I969" s="896"/>
      <c r="J969" s="896"/>
      <c r="K969" s="896"/>
      <c r="L969" s="897"/>
      <c r="M969" s="896"/>
      <c r="N969" s="889"/>
      <c r="O969" s="896"/>
      <c r="P969" s="889"/>
      <c r="Q969" s="900"/>
      <c r="R969" s="896"/>
      <c r="S969" s="896"/>
      <c r="T969" s="898"/>
      <c r="U969" s="898"/>
      <c r="V969" s="899"/>
      <c r="W969" s="899"/>
      <c r="X969" s="899"/>
      <c r="Y969" s="899"/>
      <c r="Z969" s="899"/>
      <c r="AA969" s="899"/>
      <c r="AB969" s="899"/>
      <c r="AC969" s="899"/>
      <c r="AD969" s="899"/>
      <c r="AE969" s="899"/>
      <c r="AF969" s="899"/>
      <c r="AG969" s="899"/>
    </row>
    <row r="970" spans="1:33" s="1052" customFormat="1" ht="16" customHeight="1">
      <c r="A970" s="7"/>
      <c r="B970" s="10"/>
      <c r="C970" s="12"/>
      <c r="D970" s="896"/>
      <c r="E970" s="896"/>
      <c r="F970" s="896"/>
      <c r="G970" s="896"/>
      <c r="H970" s="896"/>
      <c r="I970" s="896"/>
      <c r="J970" s="896"/>
      <c r="K970" s="896"/>
      <c r="L970" s="897"/>
      <c r="M970" s="896"/>
      <c r="N970" s="889"/>
      <c r="O970" s="896"/>
      <c r="P970" s="889"/>
      <c r="Q970" s="900"/>
      <c r="R970" s="896"/>
      <c r="S970" s="896"/>
      <c r="T970" s="898"/>
      <c r="U970" s="898"/>
      <c r="V970" s="899"/>
      <c r="W970" s="899"/>
      <c r="X970" s="899"/>
      <c r="Y970" s="899"/>
      <c r="Z970" s="899"/>
      <c r="AA970" s="899"/>
      <c r="AB970" s="899"/>
      <c r="AC970" s="899"/>
      <c r="AD970" s="899"/>
      <c r="AE970" s="899"/>
      <c r="AF970" s="899"/>
      <c r="AG970" s="899"/>
    </row>
    <row r="971" spans="1:33" s="1052" customFormat="1" ht="16" customHeight="1">
      <c r="A971" s="7"/>
      <c r="B971" s="10"/>
      <c r="C971" s="12"/>
      <c r="D971" s="896"/>
      <c r="E971" s="896"/>
      <c r="F971" s="896"/>
      <c r="G971" s="896"/>
      <c r="H971" s="896"/>
      <c r="I971" s="896"/>
      <c r="J971" s="896"/>
      <c r="K971" s="896"/>
      <c r="L971" s="897"/>
      <c r="M971" s="896"/>
      <c r="N971" s="889"/>
      <c r="O971" s="896"/>
      <c r="P971" s="889"/>
      <c r="Q971" s="900"/>
      <c r="R971" s="896"/>
      <c r="S971" s="896"/>
      <c r="T971" s="898"/>
      <c r="U971" s="898"/>
      <c r="V971" s="899"/>
      <c r="W971" s="899"/>
      <c r="X971" s="899"/>
      <c r="Y971" s="899"/>
      <c r="Z971" s="899"/>
      <c r="AA971" s="899"/>
      <c r="AB971" s="899"/>
      <c r="AC971" s="899"/>
      <c r="AD971" s="899"/>
      <c r="AE971" s="899"/>
      <c r="AF971" s="899"/>
      <c r="AG971" s="899"/>
    </row>
    <row r="972" spans="1:33" s="1052" customFormat="1" ht="16" customHeight="1">
      <c r="A972" s="44"/>
      <c r="B972" s="41"/>
      <c r="C972" s="41"/>
      <c r="D972" s="42"/>
      <c r="E972" s="42"/>
      <c r="F972" s="43"/>
      <c r="G972" s="42"/>
      <c r="H972" s="43"/>
      <c r="I972" s="43"/>
      <c r="J972" s="42"/>
      <c r="K972" s="42"/>
      <c r="L972" s="290"/>
      <c r="M972" s="43"/>
      <c r="N972" s="43"/>
      <c r="O972" s="42"/>
      <c r="P972" s="43"/>
      <c r="Q972" s="43"/>
      <c r="R972" s="42"/>
      <c r="S972" s="43"/>
      <c r="T972" s="42"/>
      <c r="U972" s="42"/>
      <c r="V972" s="44"/>
      <c r="W972" s="44"/>
      <c r="X972" s="44"/>
      <c r="Y972" s="44"/>
      <c r="Z972" s="44"/>
      <c r="AA972" s="44"/>
      <c r="AB972" s="44"/>
      <c r="AC972" s="44"/>
      <c r="AD972" s="44"/>
      <c r="AE972" s="44"/>
      <c r="AF972" s="44"/>
      <c r="AG972" s="44"/>
    </row>
    <row r="973" spans="1:33" s="1052" customFormat="1" ht="16" customHeight="1" thickBot="1">
      <c r="A973" s="7"/>
      <c r="B973" s="19" t="s">
        <v>744</v>
      </c>
      <c r="C973" s="7"/>
      <c r="D973" s="17"/>
      <c r="E973" s="17"/>
      <c r="F973" s="18"/>
      <c r="G973" s="17"/>
      <c r="H973" s="18"/>
      <c r="I973" s="18"/>
      <c r="J973" s="17"/>
      <c r="K973" s="17"/>
      <c r="L973" s="281"/>
      <c r="M973" s="18"/>
      <c r="N973" s="9"/>
      <c r="O973" s="17"/>
      <c r="P973" s="18"/>
      <c r="Q973" s="18"/>
      <c r="R973" s="17"/>
      <c r="S973" s="882"/>
      <c r="T973" s="883" t="str">
        <f>'[1]$REV-DB'!$T$34</f>
        <v>UD1</v>
      </c>
      <c r="U973" s="883" t="str">
        <f>'[1]$REV-DB'!$U$34</f>
        <v>UD2</v>
      </c>
      <c r="V973" s="883" t="str">
        <f>'[1]$REV-DB'!$V$34</f>
        <v>UD3</v>
      </c>
      <c r="W973" s="883" t="str">
        <f>'[1]$REV-DB'!$W$34</f>
        <v>UD4</v>
      </c>
      <c r="X973" s="883" t="str">
        <f>'[1]$REV-DB'!$X$34</f>
        <v>UD5</v>
      </c>
      <c r="Y973" s="883" t="str">
        <f>'[1]$REV-DB'!$Y$34</f>
        <v>UD6</v>
      </c>
      <c r="Z973" s="883" t="str">
        <f>'[1]$REV-DB'!$Z$34</f>
        <v>UD7</v>
      </c>
      <c r="AA973" s="883" t="str">
        <f>'[1]$REV-DB'!$AA$34</f>
        <v>UD8</v>
      </c>
      <c r="AB973" s="883" t="str">
        <f>'[1]$REV-DB'!$AB$34</f>
        <v>UD9</v>
      </c>
      <c r="AC973" s="883" t="str">
        <f>'[1]$REV-DB'!$AC$34</f>
        <v>UD10</v>
      </c>
      <c r="AD973" s="883" t="str">
        <f>'[1]$REV-DB'!$AD$34</f>
        <v>UD11</v>
      </c>
      <c r="AE973" s="883" t="str">
        <f>'[1]$REV-DB'!$AE$34</f>
        <v>UD12</v>
      </c>
      <c r="AF973" s="883" t="str">
        <f>'[1]$REV-DB'!$AF$34</f>
        <v>UD13</v>
      </c>
      <c r="AG973" s="883" t="str">
        <f>'[1]$REV-DB'!$AG$34</f>
        <v>UD14</v>
      </c>
    </row>
    <row r="974" spans="1:33" s="1052" customFormat="1" ht="16" customHeight="1" thickTop="1" thickBot="1">
      <c r="A974" s="7"/>
      <c r="B974" s="20" t="s">
        <v>864</v>
      </c>
      <c r="C974" s="15"/>
      <c r="D974" s="990" t="s">
        <v>1386</v>
      </c>
      <c r="E974" s="990" t="s">
        <v>1387</v>
      </c>
      <c r="F974" s="990" t="s">
        <v>1388</v>
      </c>
      <c r="G974" s="990" t="s">
        <v>1389</v>
      </c>
      <c r="H974" s="990" t="s">
        <v>1406</v>
      </c>
      <c r="I974" s="990" t="s">
        <v>1390</v>
      </c>
      <c r="J974" s="990" t="s">
        <v>1391</v>
      </c>
      <c r="K974" s="990" t="s">
        <v>1392</v>
      </c>
      <c r="L974" s="990" t="s">
        <v>1188</v>
      </c>
      <c r="M974" s="990" t="s">
        <v>1437</v>
      </c>
      <c r="N974" s="990" t="s">
        <v>1348</v>
      </c>
      <c r="O974" s="990" t="s">
        <v>1393</v>
      </c>
      <c r="P974" s="990" t="s">
        <v>1342</v>
      </c>
      <c r="Q974" s="990" t="s">
        <v>1394</v>
      </c>
      <c r="R974" s="112" t="s">
        <v>1341</v>
      </c>
      <c r="S974" s="112" t="s">
        <v>846</v>
      </c>
      <c r="T974" s="990" t="s">
        <v>935</v>
      </c>
      <c r="U974" s="990" t="s">
        <v>936</v>
      </c>
      <c r="V974" s="990" t="s">
        <v>937</v>
      </c>
      <c r="W974" s="990" t="s">
        <v>938</v>
      </c>
      <c r="X974" s="990" t="s">
        <v>939</v>
      </c>
      <c r="Y974" s="990" t="s">
        <v>940</v>
      </c>
      <c r="Z974" s="990" t="s">
        <v>941</v>
      </c>
      <c r="AA974" s="990" t="s">
        <v>942</v>
      </c>
      <c r="AB974" s="990" t="s">
        <v>943</v>
      </c>
      <c r="AC974" s="990" t="s">
        <v>944</v>
      </c>
      <c r="AD974" s="990" t="s">
        <v>945</v>
      </c>
      <c r="AE974" s="990" t="s">
        <v>946</v>
      </c>
      <c r="AF974" s="990" t="s">
        <v>947</v>
      </c>
      <c r="AG974" s="990" t="s">
        <v>948</v>
      </c>
    </row>
    <row r="975" spans="1:33" s="1052" customFormat="1" ht="16" customHeight="1" thickTop="1">
      <c r="A975" s="7"/>
      <c r="B975" s="19" t="s">
        <v>1350</v>
      </c>
      <c r="C975" s="12"/>
      <c r="D975" s="203"/>
      <c r="E975" s="203"/>
      <c r="F975" s="202"/>
      <c r="G975" s="203"/>
      <c r="H975" s="202"/>
      <c r="I975" s="202"/>
      <c r="J975" s="203"/>
      <c r="K975" s="203"/>
      <c r="L975" s="291" t="s">
        <v>1429</v>
      </c>
      <c r="M975" s="202"/>
      <c r="N975" s="45" t="str">
        <f>J$6</f>
        <v>FY2010-11</v>
      </c>
      <c r="O975" s="45"/>
      <c r="P975" s="45" t="s">
        <v>1347</v>
      </c>
      <c r="Q975" s="45" t="s">
        <v>1340</v>
      </c>
      <c r="R975" s="203"/>
      <c r="S975" s="202" t="s">
        <v>1303</v>
      </c>
      <c r="T975" s="203"/>
      <c r="U975" s="203"/>
      <c r="V975" s="204"/>
      <c r="W975" s="204"/>
      <c r="X975" s="204"/>
      <c r="Y975" s="204"/>
      <c r="Z975" s="204"/>
      <c r="AA975" s="204"/>
      <c r="AB975" s="204"/>
      <c r="AC975" s="204"/>
      <c r="AD975" s="204"/>
      <c r="AE975" s="204"/>
      <c r="AF975" s="204"/>
      <c r="AG975" s="204"/>
    </row>
    <row r="976" spans="1:33" s="1052" customFormat="1" ht="16" customHeight="1">
      <c r="A976" s="7"/>
      <c r="B976" s="16">
        <f>DSUM('$REV-DB'!D35:AG374,"AMOUNT",D974:AG975)</f>
        <v>0</v>
      </c>
      <c r="C976" s="12"/>
      <c r="D976" s="896"/>
      <c r="E976" s="896"/>
      <c r="F976" s="896"/>
      <c r="G976" s="896"/>
      <c r="H976" s="896"/>
      <c r="I976" s="896"/>
      <c r="J976" s="896"/>
      <c r="K976" s="896"/>
      <c r="L976" s="897"/>
      <c r="M976" s="896"/>
      <c r="N976" s="889"/>
      <c r="O976" s="896"/>
      <c r="P976" s="889"/>
      <c r="Q976" s="900"/>
      <c r="R976" s="896"/>
      <c r="S976" s="896"/>
      <c r="T976" s="898"/>
      <c r="U976" s="898"/>
      <c r="V976" s="899"/>
      <c r="W976" s="899"/>
      <c r="X976" s="899"/>
      <c r="Y976" s="899"/>
      <c r="Z976" s="899"/>
      <c r="AA976" s="899"/>
      <c r="AB976" s="899"/>
      <c r="AC976" s="899"/>
      <c r="AD976" s="899"/>
      <c r="AE976" s="899"/>
      <c r="AF976" s="899"/>
      <c r="AG976" s="899"/>
    </row>
    <row r="977" spans="1:33" s="1052" customFormat="1" ht="16" customHeight="1">
      <c r="A977" s="7"/>
      <c r="B977" s="10"/>
      <c r="C977" s="12"/>
      <c r="D977" s="896"/>
      <c r="E977" s="896"/>
      <c r="F977" s="896"/>
      <c r="G977" s="896"/>
      <c r="H977" s="896"/>
      <c r="I977" s="896"/>
      <c r="J977" s="896"/>
      <c r="K977" s="896"/>
      <c r="L977" s="897"/>
      <c r="M977" s="896"/>
      <c r="N977" s="889"/>
      <c r="O977" s="896"/>
      <c r="P977" s="889"/>
      <c r="Q977" s="900"/>
      <c r="R977" s="896"/>
      <c r="S977" s="896"/>
      <c r="T977" s="898"/>
      <c r="U977" s="898"/>
      <c r="V977" s="899"/>
      <c r="W977" s="899"/>
      <c r="X977" s="899"/>
      <c r="Y977" s="899"/>
      <c r="Z977" s="899"/>
      <c r="AA977" s="899"/>
      <c r="AB977" s="899"/>
      <c r="AC977" s="899"/>
      <c r="AD977" s="899"/>
      <c r="AE977" s="899"/>
      <c r="AF977" s="899"/>
      <c r="AG977" s="899"/>
    </row>
    <row r="978" spans="1:33" s="1052" customFormat="1" ht="16" customHeight="1">
      <c r="A978" s="7"/>
      <c r="B978" s="10"/>
      <c r="C978" s="12"/>
      <c r="D978" s="896"/>
      <c r="E978" s="896"/>
      <c r="F978" s="896"/>
      <c r="G978" s="896"/>
      <c r="H978" s="896"/>
      <c r="I978" s="896"/>
      <c r="J978" s="896"/>
      <c r="K978" s="896"/>
      <c r="L978" s="897"/>
      <c r="M978" s="896"/>
      <c r="N978" s="889"/>
      <c r="O978" s="896"/>
      <c r="P978" s="889"/>
      <c r="Q978" s="900"/>
      <c r="R978" s="896"/>
      <c r="S978" s="896"/>
      <c r="T978" s="898"/>
      <c r="U978" s="898"/>
      <c r="V978" s="899"/>
      <c r="W978" s="899"/>
      <c r="X978" s="899"/>
      <c r="Y978" s="899"/>
      <c r="Z978" s="899"/>
      <c r="AA978" s="899"/>
      <c r="AB978" s="899"/>
      <c r="AC978" s="899"/>
      <c r="AD978" s="899"/>
      <c r="AE978" s="899"/>
      <c r="AF978" s="899"/>
      <c r="AG978" s="899"/>
    </row>
    <row r="979" spans="1:33" s="1052" customFormat="1" ht="16" customHeight="1">
      <c r="A979" s="7"/>
      <c r="B979" s="10"/>
      <c r="C979" s="12"/>
      <c r="D979" s="896"/>
      <c r="E979" s="896"/>
      <c r="F979" s="896"/>
      <c r="G979" s="896"/>
      <c r="H979" s="896"/>
      <c r="I979" s="896"/>
      <c r="J979" s="896"/>
      <c r="K979" s="896"/>
      <c r="L979" s="897"/>
      <c r="M979" s="896"/>
      <c r="N979" s="889"/>
      <c r="O979" s="896"/>
      <c r="P979" s="889"/>
      <c r="Q979" s="900"/>
      <c r="R979" s="896"/>
      <c r="S979" s="896"/>
      <c r="T979" s="898"/>
      <c r="U979" s="898"/>
      <c r="V979" s="899"/>
      <c r="W979" s="899"/>
      <c r="X979" s="899"/>
      <c r="Y979" s="899"/>
      <c r="Z979" s="899"/>
      <c r="AA979" s="899"/>
      <c r="AB979" s="899"/>
      <c r="AC979" s="899"/>
      <c r="AD979" s="899"/>
      <c r="AE979" s="899"/>
      <c r="AF979" s="899"/>
      <c r="AG979" s="899"/>
    </row>
    <row r="980" spans="1:33" s="1052" customFormat="1" ht="16" customHeight="1">
      <c r="A980" s="7"/>
      <c r="B980" s="10"/>
      <c r="C980" s="12"/>
      <c r="D980" s="896"/>
      <c r="E980" s="896"/>
      <c r="F980" s="896"/>
      <c r="G980" s="896"/>
      <c r="H980" s="896"/>
      <c r="I980" s="896"/>
      <c r="J980" s="896"/>
      <c r="K980" s="896"/>
      <c r="L980" s="897"/>
      <c r="M980" s="896"/>
      <c r="N980" s="889"/>
      <c r="O980" s="896"/>
      <c r="P980" s="889"/>
      <c r="Q980" s="900"/>
      <c r="R980" s="896"/>
      <c r="S980" s="896"/>
      <c r="T980" s="898"/>
      <c r="U980" s="898"/>
      <c r="V980" s="899"/>
      <c r="W980" s="899"/>
      <c r="X980" s="899"/>
      <c r="Y980" s="899"/>
      <c r="Z980" s="899"/>
      <c r="AA980" s="899"/>
      <c r="AB980" s="899"/>
      <c r="AC980" s="899"/>
      <c r="AD980" s="899"/>
      <c r="AE980" s="899"/>
      <c r="AF980" s="899"/>
      <c r="AG980" s="899"/>
    </row>
    <row r="981" spans="1:33" s="1052" customFormat="1" ht="16" customHeight="1">
      <c r="A981" s="7"/>
      <c r="B981" s="10"/>
      <c r="C981" s="12"/>
      <c r="D981" s="896"/>
      <c r="E981" s="896"/>
      <c r="F981" s="896"/>
      <c r="G981" s="896"/>
      <c r="H981" s="896"/>
      <c r="I981" s="896"/>
      <c r="J981" s="896"/>
      <c r="K981" s="896"/>
      <c r="L981" s="897"/>
      <c r="M981" s="896"/>
      <c r="N981" s="889"/>
      <c r="O981" s="896"/>
      <c r="P981" s="889"/>
      <c r="Q981" s="900"/>
      <c r="R981" s="896"/>
      <c r="S981" s="896"/>
      <c r="T981" s="898"/>
      <c r="U981" s="898"/>
      <c r="V981" s="899"/>
      <c r="W981" s="899"/>
      <c r="X981" s="899"/>
      <c r="Y981" s="899"/>
      <c r="Z981" s="899"/>
      <c r="AA981" s="899"/>
      <c r="AB981" s="899"/>
      <c r="AC981" s="899"/>
      <c r="AD981" s="899"/>
      <c r="AE981" s="899"/>
      <c r="AF981" s="899"/>
      <c r="AG981" s="899"/>
    </row>
    <row r="982" spans="1:33" s="1052" customFormat="1" ht="16" customHeight="1">
      <c r="A982" s="44"/>
      <c r="B982" s="41"/>
      <c r="C982" s="41"/>
      <c r="D982" s="42"/>
      <c r="E982" s="42"/>
      <c r="F982" s="43"/>
      <c r="G982" s="42"/>
      <c r="H982" s="43"/>
      <c r="I982" s="43"/>
      <c r="J982" s="42"/>
      <c r="K982" s="42"/>
      <c r="L982" s="290"/>
      <c r="M982" s="43"/>
      <c r="N982" s="43"/>
      <c r="O982" s="42"/>
      <c r="P982" s="43"/>
      <c r="Q982" s="43"/>
      <c r="R982" s="42"/>
      <c r="S982" s="43"/>
      <c r="T982" s="42"/>
      <c r="U982" s="42"/>
      <c r="V982" s="44"/>
      <c r="W982" s="44"/>
      <c r="X982" s="44"/>
      <c r="Y982" s="44"/>
      <c r="Z982" s="44"/>
      <c r="AA982" s="44"/>
      <c r="AB982" s="44"/>
      <c r="AC982" s="44"/>
      <c r="AD982" s="44"/>
      <c r="AE982" s="44"/>
      <c r="AF982" s="44"/>
      <c r="AG982" s="44"/>
    </row>
  </sheetData>
  <mergeCells count="8">
    <mergeCell ref="B18:B21"/>
    <mergeCell ref="I1:L4"/>
    <mergeCell ref="P1:Q1"/>
    <mergeCell ref="I8:L8"/>
    <mergeCell ref="I9:L9"/>
    <mergeCell ref="I10:L10"/>
    <mergeCell ref="I11:AG12"/>
    <mergeCell ref="A11:H12"/>
  </mergeCells>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BX101"/>
  <sheetViews>
    <sheetView workbookViewId="0"/>
  </sheetViews>
  <sheetFormatPr baseColWidth="10" defaultColWidth="8.83203125" defaultRowHeight="16" customHeight="1" x14ac:dyDescent="0"/>
  <cols>
    <col min="1" max="1" width="14" style="142" customWidth="1"/>
    <col min="2" max="2" width="20.83203125" style="142" customWidth="1"/>
    <col min="3" max="3" width="14.83203125" style="142" customWidth="1"/>
    <col min="4" max="5" width="24.83203125" style="142" customWidth="1"/>
    <col min="6" max="6" width="24.6640625" style="142" customWidth="1"/>
    <col min="7" max="7" width="8.83203125" style="142"/>
    <col min="8" max="8" width="37.1640625" style="142" customWidth="1"/>
    <col min="9" max="16384" width="8.83203125" style="142"/>
  </cols>
  <sheetData>
    <row r="1" spans="1:76" ht="16" customHeight="1">
      <c r="A1" s="171"/>
      <c r="B1" s="171"/>
      <c r="C1" s="171"/>
      <c r="D1" s="171"/>
      <c r="E1" s="171"/>
      <c r="F1" s="171"/>
      <c r="G1" s="171"/>
      <c r="H1" s="171"/>
      <c r="I1" s="171"/>
    </row>
    <row r="2" spans="1:76" ht="16" customHeight="1">
      <c r="A2" s="171"/>
      <c r="B2" s="1943" t="s">
        <v>863</v>
      </c>
      <c r="C2" s="1943"/>
      <c r="D2" s="1943"/>
      <c r="E2" s="1943"/>
      <c r="F2" s="1943"/>
      <c r="G2" s="171"/>
      <c r="H2" s="171"/>
      <c r="I2" s="171"/>
    </row>
    <row r="3" spans="1:76" ht="16" customHeight="1">
      <c r="A3" s="171"/>
      <c r="B3" s="1944" t="s">
        <v>1336</v>
      </c>
      <c r="C3" s="1944"/>
      <c r="D3" s="1944"/>
      <c r="E3" s="1944"/>
      <c r="F3" s="1944"/>
      <c r="G3" s="162"/>
      <c r="H3" s="162"/>
      <c r="I3" s="162"/>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row>
    <row r="4" spans="1:76" ht="16" customHeight="1">
      <c r="A4" s="171"/>
      <c r="B4" s="1945" t="s">
        <v>1145</v>
      </c>
      <c r="C4" s="1945"/>
      <c r="D4" s="1945"/>
      <c r="E4" s="1945"/>
      <c r="F4" s="1945"/>
      <c r="G4" s="162"/>
      <c r="H4" s="162"/>
      <c r="I4" s="162"/>
      <c r="J4" s="143"/>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row>
    <row r="5" spans="1:76" ht="16" customHeight="1">
      <c r="A5" s="171"/>
      <c r="B5" s="1945"/>
      <c r="C5" s="1945"/>
      <c r="D5" s="1945"/>
      <c r="E5" s="1945"/>
      <c r="F5" s="1945"/>
      <c r="G5" s="162"/>
      <c r="H5" s="162"/>
      <c r="I5" s="162"/>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row>
    <row r="6" spans="1:76" ht="16" customHeight="1">
      <c r="A6" s="171"/>
      <c r="B6" s="1942" t="str">
        <f>'FIG3'!W49</f>
        <v>AR</v>
      </c>
      <c r="C6" s="1942"/>
      <c r="D6" s="153"/>
      <c r="E6" s="153"/>
      <c r="F6" s="153"/>
      <c r="G6" s="162"/>
      <c r="H6" s="1941"/>
      <c r="I6" s="162"/>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row>
    <row r="7" spans="1:76" ht="16" customHeight="1">
      <c r="A7" s="171"/>
      <c r="B7" s="1942" t="str">
        <f>'FIG3'!W50</f>
        <v>FY2010-11</v>
      </c>
      <c r="C7" s="1942"/>
      <c r="D7" s="153"/>
      <c r="E7" s="153"/>
      <c r="F7" s="153"/>
      <c r="G7" s="162"/>
      <c r="H7" s="1941"/>
      <c r="I7" s="162"/>
      <c r="J7" s="143"/>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row>
    <row r="8" spans="1:76" ht="16" customHeight="1">
      <c r="A8" s="171"/>
      <c r="B8" s="163" t="s">
        <v>1335</v>
      </c>
      <c r="C8" s="153"/>
      <c r="D8" s="153"/>
      <c r="E8" s="153"/>
      <c r="F8" s="153"/>
      <c r="G8" s="162"/>
      <c r="H8" s="1941"/>
      <c r="I8" s="162"/>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row>
    <row r="9" spans="1:76" ht="16" customHeight="1">
      <c r="A9" s="171"/>
      <c r="B9" s="144" t="s">
        <v>1324</v>
      </c>
      <c r="C9" s="144" t="s">
        <v>1323</v>
      </c>
      <c r="D9" s="376" t="s">
        <v>1321</v>
      </c>
      <c r="E9" s="376" t="s">
        <v>1322</v>
      </c>
      <c r="F9" s="145" t="s">
        <v>1371</v>
      </c>
      <c r="G9" s="162"/>
      <c r="H9" s="1941"/>
      <c r="I9" s="162"/>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row>
    <row r="10" spans="1:76" ht="16" customHeight="1" thickBot="1">
      <c r="A10" s="171"/>
      <c r="B10" s="154">
        <f>'FIG3'!V57</f>
        <v>0</v>
      </c>
      <c r="C10" s="148" t="str">
        <f>'$REV-DSUM'!B15</f>
        <v>Total</v>
      </c>
      <c r="D10" s="860">
        <f>'$REV-DSUM'!B16</f>
        <v>5249197193.0299997</v>
      </c>
      <c r="E10" s="860">
        <f>'$REV-DB'!AD23</f>
        <v>5249197193.0299997</v>
      </c>
      <c r="F10" s="227">
        <f>D10-E10</f>
        <v>0</v>
      </c>
      <c r="G10" s="162"/>
      <c r="H10" s="1941"/>
      <c r="I10" s="162"/>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row>
    <row r="11" spans="1:76" ht="16" customHeight="1" thickTop="1">
      <c r="A11" s="171"/>
      <c r="B11" s="155" t="s">
        <v>1399</v>
      </c>
      <c r="C11" s="146" t="str">
        <f>'$REV-DSUM'!B25</f>
        <v>Federal</v>
      </c>
      <c r="D11" s="861">
        <f>'$REV-DSUM'!B26</f>
        <v>815268896.76000047</v>
      </c>
      <c r="E11" s="861">
        <f>'$REV-DB'!X23</f>
        <v>815268896.76000047</v>
      </c>
      <c r="F11" s="228">
        <f t="shared" ref="F11:F85" si="0">D11-E11</f>
        <v>0</v>
      </c>
      <c r="G11" s="162"/>
      <c r="H11" s="1941"/>
      <c r="I11" s="162"/>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row>
    <row r="12" spans="1:76" ht="16" customHeight="1">
      <c r="A12" s="171"/>
      <c r="B12" s="155"/>
      <c r="C12" s="146" t="str">
        <f>'$REV-DSUM'!B35</f>
        <v>State</v>
      </c>
      <c r="D12" s="861">
        <f>'$REV-DSUM'!B36</f>
        <v>2372611931.1099997</v>
      </c>
      <c r="E12" s="861">
        <f>'$REV-DB'!Y23</f>
        <v>2372611931.1099997</v>
      </c>
      <c r="F12" s="228">
        <f t="shared" si="0"/>
        <v>0</v>
      </c>
      <c r="G12" s="162"/>
      <c r="H12" s="1941"/>
      <c r="I12" s="162"/>
      <c r="J12" s="143"/>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row>
    <row r="13" spans="1:76" ht="16" customHeight="1">
      <c r="A13" s="171"/>
      <c r="B13" s="155"/>
      <c r="C13" s="146" t="str">
        <f>'$REV-DSUM'!B45</f>
        <v>Local</v>
      </c>
      <c r="D13" s="861">
        <f>'$REV-DSUM'!B46</f>
        <v>1449262988.8400004</v>
      </c>
      <c r="E13" s="861">
        <f>'$REV-DB'!Z23</f>
        <v>1449262988.8400004</v>
      </c>
      <c r="F13" s="228">
        <f t="shared" si="0"/>
        <v>0</v>
      </c>
      <c r="G13" s="162"/>
      <c r="H13" s="162"/>
      <c r="I13" s="162"/>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row>
    <row r="14" spans="1:76" ht="16" customHeight="1">
      <c r="A14" s="171"/>
      <c r="B14" s="155"/>
      <c r="C14" s="146" t="str">
        <f>'$REV-DSUM'!B55</f>
        <v>Other</v>
      </c>
      <c r="D14" s="861">
        <f>'$REV-DSUM'!B56</f>
        <v>608915488.74999976</v>
      </c>
      <c r="E14" s="861">
        <f>'$REV-DB'!AA23</f>
        <v>608915488.74999976</v>
      </c>
      <c r="F14" s="228">
        <f t="shared" si="0"/>
        <v>0</v>
      </c>
      <c r="G14" s="162"/>
      <c r="H14" s="162"/>
      <c r="I14" s="162"/>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row>
    <row r="15" spans="1:76" ht="16" customHeight="1">
      <c r="A15" s="171"/>
      <c r="B15" s="155"/>
      <c r="C15" s="146" t="s">
        <v>1177</v>
      </c>
      <c r="D15" s="861">
        <f>'$REV-DSUM'!B66</f>
        <v>3137887.5700000008</v>
      </c>
      <c r="E15" s="861">
        <f>'$REV-DB'!AB23</f>
        <v>3137887.5700000008</v>
      </c>
      <c r="F15" s="228">
        <f t="shared" si="0"/>
        <v>0</v>
      </c>
      <c r="G15" s="162"/>
      <c r="H15" s="162"/>
      <c r="I15" s="162"/>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row>
    <row r="16" spans="1:76" ht="16" customHeight="1">
      <c r="A16" s="171"/>
      <c r="B16" s="156"/>
      <c r="C16" s="147" t="str">
        <f>'$REV-DSUM'!B75</f>
        <v>Indeterminate</v>
      </c>
      <c r="D16" s="862">
        <f>'$REV-DSUM'!B76</f>
        <v>0</v>
      </c>
      <c r="E16" s="862">
        <f>'$REV-DB'!AC23</f>
        <v>0</v>
      </c>
      <c r="F16" s="229">
        <f t="shared" si="0"/>
        <v>0</v>
      </c>
      <c r="G16" s="162"/>
      <c r="H16" s="162"/>
      <c r="I16" s="162"/>
      <c r="J16" s="143"/>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row>
    <row r="17" spans="1:76" ht="16" customHeight="1" thickBot="1">
      <c r="A17" s="171"/>
      <c r="B17" s="154">
        <f>'FIG3'!V57</f>
        <v>0</v>
      </c>
      <c r="C17" s="149" t="s">
        <v>1346</v>
      </c>
      <c r="D17" s="860">
        <f>'$REV-DSUM'!B86</f>
        <v>53202531.510000013</v>
      </c>
      <c r="E17" s="860">
        <f>'$REV-DB'!AD24</f>
        <v>53202531.510000005</v>
      </c>
      <c r="F17" s="227">
        <f>D17-E17</f>
        <v>0</v>
      </c>
      <c r="G17" s="162"/>
      <c r="H17" s="162"/>
      <c r="I17" s="162"/>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row>
    <row r="18" spans="1:76" ht="16" customHeight="1" thickTop="1">
      <c r="A18" s="171"/>
      <c r="B18" s="155" t="s">
        <v>1375</v>
      </c>
      <c r="C18" s="146" t="s">
        <v>1345</v>
      </c>
      <c r="D18" s="861">
        <f>'$REV-DSUM'!B96</f>
        <v>7677790.1400000015</v>
      </c>
      <c r="E18" s="861">
        <f>'$REV-DB'!X24</f>
        <v>7677790.1400000006</v>
      </c>
      <c r="F18" s="228">
        <f t="shared" si="0"/>
        <v>0</v>
      </c>
      <c r="G18" s="162"/>
      <c r="H18" s="162"/>
      <c r="I18" s="162"/>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row>
    <row r="19" spans="1:76" ht="16" customHeight="1">
      <c r="A19" s="171"/>
      <c r="B19" s="155"/>
      <c r="C19" s="146" t="s">
        <v>1344</v>
      </c>
      <c r="D19" s="861">
        <f>'$REV-DSUM'!B106</f>
        <v>39558360.810000002</v>
      </c>
      <c r="E19" s="861">
        <f>'$REV-DB'!Y24</f>
        <v>39558360.810000002</v>
      </c>
      <c r="F19" s="228">
        <f t="shared" si="0"/>
        <v>0</v>
      </c>
      <c r="G19" s="162"/>
      <c r="H19" s="162"/>
      <c r="I19" s="162"/>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row>
    <row r="20" spans="1:76" ht="16" customHeight="1">
      <c r="A20" s="171"/>
      <c r="B20" s="155"/>
      <c r="C20" s="146" t="s">
        <v>1343</v>
      </c>
      <c r="D20" s="861">
        <f>'$REV-DSUM'!B116</f>
        <v>0</v>
      </c>
      <c r="E20" s="861">
        <f>'$REV-DB'!Z24</f>
        <v>0</v>
      </c>
      <c r="F20" s="228">
        <f t="shared" si="0"/>
        <v>0</v>
      </c>
      <c r="G20" s="162"/>
      <c r="H20" s="162"/>
      <c r="I20" s="162"/>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row>
    <row r="21" spans="1:76" ht="16" customHeight="1">
      <c r="A21" s="171"/>
      <c r="B21" s="155"/>
      <c r="C21" s="146" t="s">
        <v>1349</v>
      </c>
      <c r="D21" s="861">
        <f>'$REV-DSUM'!B126</f>
        <v>5966380.5599999996</v>
      </c>
      <c r="E21" s="861">
        <f>'$REV-DB'!AA24</f>
        <v>5966380.5600000005</v>
      </c>
      <c r="F21" s="228">
        <f t="shared" si="0"/>
        <v>0</v>
      </c>
      <c r="G21" s="162"/>
      <c r="H21" s="162"/>
      <c r="I21" s="162"/>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row>
    <row r="22" spans="1:76" ht="16" customHeight="1">
      <c r="A22" s="171"/>
      <c r="B22" s="155"/>
      <c r="C22" s="146" t="s">
        <v>1177</v>
      </c>
      <c r="D22" s="861">
        <f>'$REV-DSUM'!B136</f>
        <v>0</v>
      </c>
      <c r="E22" s="861">
        <f>'$REV-DB'!AB24</f>
        <v>0</v>
      </c>
      <c r="F22" s="228">
        <f t="shared" si="0"/>
        <v>0</v>
      </c>
      <c r="G22" s="162"/>
      <c r="H22" s="162"/>
      <c r="I22" s="162"/>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3"/>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3"/>
      <c r="BJ22" s="143"/>
      <c r="BK22" s="143"/>
      <c r="BL22" s="143"/>
      <c r="BM22" s="143"/>
      <c r="BN22" s="143"/>
      <c r="BO22" s="143"/>
      <c r="BP22" s="143"/>
      <c r="BQ22" s="143"/>
      <c r="BR22" s="143"/>
      <c r="BS22" s="143"/>
      <c r="BT22" s="143"/>
      <c r="BU22" s="143"/>
      <c r="BV22" s="143"/>
      <c r="BW22" s="143"/>
      <c r="BX22" s="143"/>
    </row>
    <row r="23" spans="1:76" ht="16" customHeight="1">
      <c r="A23" s="171"/>
      <c r="B23" s="156"/>
      <c r="C23" s="147" t="s">
        <v>1350</v>
      </c>
      <c r="D23" s="862">
        <f>'$REV-DSUM'!B146</f>
        <v>0</v>
      </c>
      <c r="E23" s="862">
        <f>'$REV-DB'!AC24</f>
        <v>0</v>
      </c>
      <c r="F23" s="229">
        <f t="shared" si="0"/>
        <v>0</v>
      </c>
      <c r="G23" s="162"/>
      <c r="H23" s="162"/>
      <c r="I23" s="162"/>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3"/>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3"/>
      <c r="BL23" s="143"/>
      <c r="BM23" s="143"/>
      <c r="BN23" s="143"/>
      <c r="BO23" s="143"/>
      <c r="BP23" s="143"/>
      <c r="BQ23" s="143"/>
      <c r="BR23" s="143"/>
      <c r="BS23" s="143"/>
      <c r="BT23" s="143"/>
      <c r="BU23" s="143"/>
      <c r="BV23" s="143"/>
      <c r="BW23" s="143"/>
      <c r="BX23" s="143"/>
    </row>
    <row r="24" spans="1:76" ht="16" customHeight="1" thickBot="1">
      <c r="A24" s="171"/>
      <c r="B24" s="154" t="str">
        <f>'FIG3'!V52</f>
        <v>FA1</v>
      </c>
      <c r="C24" s="149" t="s">
        <v>1346</v>
      </c>
      <c r="D24" s="860">
        <f>'$REV-DSUM'!B156</f>
        <v>349130780.80000001</v>
      </c>
      <c r="E24" s="860">
        <f>'$REV-DB'!AD9</f>
        <v>349130780.80000001</v>
      </c>
      <c r="F24" s="227">
        <f>D24-E24</f>
        <v>0</v>
      </c>
      <c r="G24" s="162"/>
      <c r="H24" s="162"/>
      <c r="I24" s="162"/>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3"/>
      <c r="AW24" s="143"/>
      <c r="AX24" s="143"/>
      <c r="AY24" s="143"/>
      <c r="AZ24" s="143"/>
      <c r="BA24" s="143"/>
      <c r="BB24" s="143"/>
      <c r="BC24" s="143"/>
      <c r="BD24" s="143"/>
      <c r="BE24" s="143"/>
      <c r="BF24" s="143"/>
      <c r="BG24" s="143"/>
      <c r="BH24" s="143"/>
      <c r="BI24" s="143"/>
      <c r="BJ24" s="143"/>
      <c r="BK24" s="143"/>
      <c r="BL24" s="143"/>
      <c r="BM24" s="143"/>
      <c r="BN24" s="143"/>
      <c r="BO24" s="143"/>
      <c r="BP24" s="143"/>
      <c r="BQ24" s="143"/>
      <c r="BR24" s="143"/>
      <c r="BS24" s="143"/>
      <c r="BT24" s="143"/>
      <c r="BU24" s="143"/>
      <c r="BV24" s="143"/>
      <c r="BW24" s="143"/>
      <c r="BX24" s="143"/>
    </row>
    <row r="25" spans="1:76" ht="16" customHeight="1" thickTop="1">
      <c r="A25" s="171"/>
      <c r="B25" s="155" t="str">
        <f>'FIG3'!W52</f>
        <v>Little Rock</v>
      </c>
      <c r="C25" s="146" t="s">
        <v>1345</v>
      </c>
      <c r="D25" s="861">
        <f>'$REV-DSUM'!B166</f>
        <v>56665217.240000002</v>
      </c>
      <c r="E25" s="861">
        <f>'$REV-DB'!X9</f>
        <v>56665217.240000002</v>
      </c>
      <c r="F25" s="228">
        <f t="shared" si="0"/>
        <v>0</v>
      </c>
      <c r="G25" s="162"/>
      <c r="H25" s="162"/>
      <c r="I25" s="162"/>
      <c r="J25" s="143"/>
      <c r="K25" s="143"/>
      <c r="L25" s="143"/>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43"/>
      <c r="BR25" s="143"/>
      <c r="BS25" s="143"/>
      <c r="BT25" s="143"/>
      <c r="BU25" s="143"/>
      <c r="BV25" s="143"/>
      <c r="BW25" s="143"/>
      <c r="BX25" s="143"/>
    </row>
    <row r="26" spans="1:76" ht="16" customHeight="1">
      <c r="A26" s="171"/>
      <c r="B26" s="155" t="str">
        <f>'FIG3'!X52</f>
        <v>School District</v>
      </c>
      <c r="C26" s="146" t="s">
        <v>1344</v>
      </c>
      <c r="D26" s="861">
        <f>'$REV-DSUM'!B176</f>
        <v>136201749.15000001</v>
      </c>
      <c r="E26" s="861">
        <f>'$REV-DB'!Y9</f>
        <v>136201749.15000001</v>
      </c>
      <c r="F26" s="228">
        <f t="shared" si="0"/>
        <v>0</v>
      </c>
      <c r="G26" s="162"/>
      <c r="H26" s="162"/>
      <c r="I26" s="162"/>
      <c r="J26" s="143"/>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3"/>
      <c r="AN26" s="143"/>
      <c r="AO26" s="143"/>
      <c r="AP26" s="143"/>
      <c r="AQ26" s="143"/>
      <c r="AR26" s="143"/>
      <c r="AS26" s="143"/>
      <c r="AT26" s="143"/>
      <c r="AU26" s="143"/>
      <c r="AV26" s="143"/>
      <c r="AW26" s="143"/>
      <c r="AX26" s="143"/>
      <c r="AY26" s="143"/>
      <c r="AZ26" s="143"/>
      <c r="BA26" s="143"/>
      <c r="BB26" s="143"/>
      <c r="BC26" s="143"/>
      <c r="BD26" s="143"/>
      <c r="BE26" s="143"/>
      <c r="BF26" s="143"/>
      <c r="BG26" s="143"/>
      <c r="BH26" s="143"/>
      <c r="BI26" s="143"/>
      <c r="BJ26" s="143"/>
      <c r="BK26" s="143"/>
      <c r="BL26" s="143"/>
      <c r="BM26" s="143"/>
      <c r="BN26" s="143"/>
      <c r="BO26" s="143"/>
      <c r="BP26" s="143"/>
      <c r="BQ26" s="143"/>
      <c r="BR26" s="143"/>
      <c r="BS26" s="143"/>
      <c r="BT26" s="143"/>
      <c r="BU26" s="143"/>
      <c r="BV26" s="143"/>
      <c r="BW26" s="143"/>
      <c r="BX26" s="143"/>
    </row>
    <row r="27" spans="1:76" ht="16" customHeight="1">
      <c r="A27" s="171"/>
      <c r="B27" s="155" t="s">
        <v>1399</v>
      </c>
      <c r="C27" s="146" t="s">
        <v>1343</v>
      </c>
      <c r="D27" s="861">
        <f>'$REV-DSUM'!B186</f>
        <v>139616052.41</v>
      </c>
      <c r="E27" s="861">
        <f>'$REV-DB'!Z9</f>
        <v>139616052.41</v>
      </c>
      <c r="F27" s="228">
        <f t="shared" si="0"/>
        <v>0</v>
      </c>
      <c r="G27" s="162"/>
      <c r="H27" s="162"/>
      <c r="I27" s="162"/>
      <c r="J27" s="143"/>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row>
    <row r="28" spans="1:76" ht="16" customHeight="1">
      <c r="A28" s="171"/>
      <c r="B28" s="155"/>
      <c r="C28" s="146" t="s">
        <v>1349</v>
      </c>
      <c r="D28" s="861">
        <f>'$REV-DSUM'!B196</f>
        <v>16626147.98</v>
      </c>
      <c r="E28" s="861">
        <f>'$REV-DB'!AA9</f>
        <v>16626147.98</v>
      </c>
      <c r="F28" s="228">
        <f t="shared" si="0"/>
        <v>0</v>
      </c>
      <c r="G28" s="162"/>
      <c r="H28" s="162"/>
      <c r="I28" s="162"/>
      <c r="J28" s="143"/>
      <c r="K28" s="143"/>
      <c r="L28" s="143"/>
      <c r="M28" s="143"/>
      <c r="N28" s="143"/>
      <c r="O28" s="143"/>
      <c r="P28" s="143"/>
      <c r="Q28" s="143"/>
      <c r="R28" s="143"/>
      <c r="S28" s="143"/>
      <c r="T28" s="143"/>
      <c r="U28" s="143"/>
      <c r="V28" s="143"/>
      <c r="W28" s="143"/>
      <c r="X28" s="143"/>
      <c r="Y28" s="143"/>
      <c r="Z28" s="143"/>
      <c r="AA28" s="143"/>
      <c r="AB28" s="143"/>
      <c r="AC28" s="143"/>
      <c r="AD28" s="143"/>
      <c r="AE28" s="143"/>
      <c r="AF28" s="143"/>
      <c r="AG28" s="143"/>
      <c r="AH28" s="143"/>
      <c r="AI28" s="143"/>
      <c r="AJ28" s="143"/>
      <c r="AK28" s="143"/>
      <c r="AL28" s="143"/>
      <c r="AM28" s="143"/>
      <c r="AN28" s="143"/>
      <c r="AO28" s="143"/>
      <c r="AP28" s="143"/>
      <c r="AQ28" s="143"/>
      <c r="AR28" s="143"/>
      <c r="AS28" s="143"/>
      <c r="AT28" s="143"/>
      <c r="AU28" s="143"/>
      <c r="AV28" s="143"/>
      <c r="AW28" s="143"/>
      <c r="AX28" s="143"/>
      <c r="AY28" s="143"/>
      <c r="AZ28" s="143"/>
      <c r="BA28" s="143"/>
      <c r="BB28" s="143"/>
      <c r="BC28" s="143"/>
      <c r="BD28" s="143"/>
      <c r="BE28" s="143"/>
      <c r="BF28" s="143"/>
      <c r="BG28" s="143"/>
      <c r="BH28" s="143"/>
      <c r="BI28" s="143"/>
      <c r="BJ28" s="143"/>
      <c r="BK28" s="143"/>
      <c r="BL28" s="143"/>
      <c r="BM28" s="143"/>
      <c r="BN28" s="143"/>
      <c r="BO28" s="143"/>
      <c r="BP28" s="143"/>
      <c r="BQ28" s="143"/>
      <c r="BR28" s="143"/>
      <c r="BS28" s="143"/>
      <c r="BT28" s="143"/>
      <c r="BU28" s="143"/>
      <c r="BV28" s="143"/>
      <c r="BW28" s="143"/>
      <c r="BX28" s="143"/>
    </row>
    <row r="29" spans="1:76" ht="16" customHeight="1">
      <c r="A29" s="171"/>
      <c r="B29" s="155"/>
      <c r="C29" s="146" t="s">
        <v>1177</v>
      </c>
      <c r="D29" s="861">
        <f>'$REV-DSUM'!B206</f>
        <v>21614.02</v>
      </c>
      <c r="E29" s="861">
        <f>'$REV-DB'!AB9</f>
        <v>21614.02</v>
      </c>
      <c r="F29" s="228">
        <f t="shared" si="0"/>
        <v>0</v>
      </c>
      <c r="G29" s="162"/>
      <c r="H29" s="162"/>
      <c r="I29" s="162"/>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3"/>
      <c r="BL29" s="143"/>
      <c r="BM29" s="143"/>
      <c r="BN29" s="143"/>
      <c r="BO29" s="143"/>
      <c r="BP29" s="143"/>
      <c r="BQ29" s="143"/>
      <c r="BR29" s="143"/>
      <c r="BS29" s="143"/>
      <c r="BT29" s="143"/>
      <c r="BU29" s="143"/>
      <c r="BV29" s="143"/>
      <c r="BW29" s="143"/>
      <c r="BX29" s="143"/>
    </row>
    <row r="30" spans="1:76" ht="16" customHeight="1">
      <c r="A30" s="171"/>
      <c r="B30" s="156"/>
      <c r="C30" s="147" t="s">
        <v>1350</v>
      </c>
      <c r="D30" s="862">
        <f>'$REV-DSUM'!B216</f>
        <v>0</v>
      </c>
      <c r="E30" s="862">
        <f>'$REV-DB'!AC9</f>
        <v>0</v>
      </c>
      <c r="F30" s="229">
        <f t="shared" si="0"/>
        <v>0</v>
      </c>
      <c r="G30" s="162"/>
      <c r="H30" s="162"/>
      <c r="I30" s="162"/>
      <c r="J30" s="143"/>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3"/>
      <c r="BL30" s="143"/>
      <c r="BM30" s="143"/>
      <c r="BN30" s="143"/>
      <c r="BO30" s="143"/>
      <c r="BP30" s="143"/>
      <c r="BQ30" s="143"/>
      <c r="BR30" s="143"/>
      <c r="BS30" s="143"/>
      <c r="BT30" s="143"/>
      <c r="BU30" s="143"/>
      <c r="BV30" s="143"/>
      <c r="BW30" s="143"/>
      <c r="BX30" s="143"/>
    </row>
    <row r="31" spans="1:76" ht="16" customHeight="1" thickBot="1">
      <c r="A31" s="171"/>
      <c r="B31" s="154" t="str">
        <f>B24</f>
        <v>FA1</v>
      </c>
      <c r="C31" s="149" t="s">
        <v>1346</v>
      </c>
      <c r="D31" s="860">
        <f>'$REV-DSUM'!B226</f>
        <v>21208723.59</v>
      </c>
      <c r="E31" s="860">
        <f>'$REV-DB'!AD10</f>
        <v>21208723.59</v>
      </c>
      <c r="F31" s="227">
        <f>D31-E31</f>
        <v>0</v>
      </c>
      <c r="G31" s="162"/>
      <c r="H31" s="162"/>
      <c r="I31" s="162"/>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c r="AM31" s="143"/>
      <c r="AN31" s="143"/>
      <c r="AO31" s="143"/>
      <c r="AP31" s="143"/>
      <c r="AQ31" s="143"/>
      <c r="AR31" s="143"/>
      <c r="AS31" s="143"/>
      <c r="AT31" s="143"/>
      <c r="AU31" s="143"/>
      <c r="AV31" s="143"/>
      <c r="AW31" s="143"/>
      <c r="AX31" s="143"/>
      <c r="AY31" s="143"/>
      <c r="AZ31" s="143"/>
      <c r="BA31" s="143"/>
      <c r="BB31" s="143"/>
      <c r="BC31" s="143"/>
      <c r="BD31" s="143"/>
      <c r="BE31" s="143"/>
      <c r="BF31" s="143"/>
      <c r="BG31" s="143"/>
      <c r="BH31" s="143"/>
      <c r="BI31" s="143"/>
      <c r="BJ31" s="143"/>
      <c r="BK31" s="143"/>
      <c r="BL31" s="143"/>
      <c r="BM31" s="143"/>
      <c r="BN31" s="143"/>
      <c r="BO31" s="143"/>
      <c r="BP31" s="143"/>
      <c r="BQ31" s="143"/>
      <c r="BR31" s="143"/>
      <c r="BS31" s="143"/>
      <c r="BT31" s="143"/>
      <c r="BU31" s="143"/>
      <c r="BV31" s="143"/>
      <c r="BW31" s="143"/>
      <c r="BX31" s="143"/>
    </row>
    <row r="32" spans="1:76" ht="16" customHeight="1" thickTop="1">
      <c r="A32" s="171"/>
      <c r="B32" s="155" t="str">
        <f>B25</f>
        <v>Little Rock</v>
      </c>
      <c r="C32" s="146" t="s">
        <v>1345</v>
      </c>
      <c r="D32" s="861">
        <f>'$REV-DSUM'!B236</f>
        <v>3368764.11</v>
      </c>
      <c r="E32" s="861">
        <f>'$REV-DB'!X10</f>
        <v>3368764.11</v>
      </c>
      <c r="F32" s="228">
        <f t="shared" si="0"/>
        <v>0</v>
      </c>
      <c r="G32" s="162"/>
      <c r="H32" s="162"/>
      <c r="I32" s="162"/>
      <c r="J32" s="143"/>
      <c r="K32" s="143"/>
      <c r="L32" s="143"/>
      <c r="M32" s="143"/>
      <c r="N32" s="143"/>
      <c r="O32" s="143"/>
      <c r="P32" s="143"/>
      <c r="Q32" s="143"/>
      <c r="R32" s="143"/>
      <c r="S32" s="143"/>
      <c r="T32" s="143"/>
      <c r="U32" s="143"/>
      <c r="V32" s="143"/>
      <c r="W32" s="143"/>
      <c r="X32" s="143"/>
      <c r="Y32" s="143"/>
      <c r="Z32" s="143"/>
      <c r="AA32" s="143"/>
      <c r="AB32" s="143"/>
      <c r="AC32" s="143"/>
      <c r="AD32" s="143"/>
      <c r="AE32" s="143"/>
      <c r="AF32" s="143"/>
      <c r="AG32" s="143"/>
      <c r="AH32" s="143"/>
      <c r="AI32" s="143"/>
      <c r="AJ32" s="143"/>
      <c r="AK32" s="143"/>
      <c r="AL32" s="143"/>
      <c r="AM32" s="143"/>
      <c r="AN32" s="143"/>
      <c r="AO32" s="143"/>
      <c r="AP32" s="143"/>
      <c r="AQ32" s="143"/>
      <c r="AR32" s="143"/>
      <c r="AS32" s="143"/>
      <c r="AT32" s="143"/>
      <c r="AU32" s="143"/>
      <c r="AV32" s="143"/>
      <c r="AW32" s="143"/>
      <c r="AX32" s="143"/>
      <c r="AY32" s="143"/>
      <c r="AZ32" s="143"/>
      <c r="BA32" s="143"/>
      <c r="BB32" s="143"/>
      <c r="BC32" s="143"/>
      <c r="BD32" s="143"/>
      <c r="BE32" s="143"/>
      <c r="BF32" s="143"/>
      <c r="BG32" s="143"/>
      <c r="BH32" s="143"/>
      <c r="BI32" s="143"/>
      <c r="BJ32" s="143"/>
      <c r="BK32" s="143"/>
      <c r="BL32" s="143"/>
      <c r="BM32" s="143"/>
      <c r="BN32" s="143"/>
      <c r="BO32" s="143"/>
      <c r="BP32" s="143"/>
      <c r="BQ32" s="143"/>
      <c r="BR32" s="143"/>
      <c r="BS32" s="143"/>
      <c r="BT32" s="143"/>
      <c r="BU32" s="143"/>
      <c r="BV32" s="143"/>
      <c r="BW32" s="143"/>
      <c r="BX32" s="143"/>
    </row>
    <row r="33" spans="1:76" ht="16" customHeight="1">
      <c r="A33" s="171"/>
      <c r="B33" s="155" t="str">
        <f>B26</f>
        <v>School District</v>
      </c>
      <c r="C33" s="146" t="s">
        <v>1344</v>
      </c>
      <c r="D33" s="861">
        <f>'$REV-DSUM'!B246</f>
        <v>15972602.6</v>
      </c>
      <c r="E33" s="861">
        <f>'$REV-DB'!Y10</f>
        <v>15972602.6</v>
      </c>
      <c r="F33" s="228">
        <f t="shared" si="0"/>
        <v>0</v>
      </c>
      <c r="G33" s="162"/>
      <c r="H33" s="162"/>
      <c r="I33" s="162"/>
      <c r="J33" s="143"/>
      <c r="K33" s="143"/>
      <c r="L33" s="143"/>
      <c r="M33" s="143"/>
      <c r="N33" s="143"/>
      <c r="O33" s="143"/>
      <c r="P33" s="143"/>
      <c r="Q33" s="143"/>
      <c r="R33" s="143"/>
      <c r="S33" s="143"/>
      <c r="T33" s="143"/>
      <c r="U33" s="143"/>
      <c r="V33" s="143"/>
      <c r="W33" s="143"/>
      <c r="X33" s="143"/>
      <c r="Y33" s="143"/>
      <c r="Z33" s="143"/>
      <c r="AA33" s="143"/>
      <c r="AB33" s="143"/>
      <c r="AC33" s="143"/>
      <c r="AD33" s="143"/>
      <c r="AE33" s="143"/>
      <c r="AF33" s="143"/>
      <c r="AG33" s="143"/>
      <c r="AH33" s="143"/>
      <c r="AI33" s="143"/>
      <c r="AJ33" s="143"/>
      <c r="AK33" s="143"/>
      <c r="AL33" s="143"/>
      <c r="AM33" s="143"/>
      <c r="AN33" s="143"/>
      <c r="AO33" s="143"/>
      <c r="AP33" s="143"/>
      <c r="AQ33" s="143"/>
      <c r="AR33" s="143"/>
      <c r="AS33" s="143"/>
      <c r="AT33" s="143"/>
      <c r="AU33" s="143"/>
      <c r="AV33" s="143"/>
      <c r="AW33" s="143"/>
      <c r="AX33" s="143"/>
      <c r="AY33" s="143"/>
      <c r="AZ33" s="143"/>
      <c r="BA33" s="143"/>
      <c r="BB33" s="143"/>
      <c r="BC33" s="143"/>
      <c r="BD33" s="143"/>
      <c r="BE33" s="143"/>
      <c r="BF33" s="143"/>
      <c r="BG33" s="143"/>
      <c r="BH33" s="143"/>
      <c r="BI33" s="143"/>
      <c r="BJ33" s="143"/>
      <c r="BK33" s="143"/>
      <c r="BL33" s="143"/>
      <c r="BM33" s="143"/>
      <c r="BN33" s="143"/>
      <c r="BO33" s="143"/>
      <c r="BP33" s="143"/>
      <c r="BQ33" s="143"/>
      <c r="BR33" s="143"/>
      <c r="BS33" s="143"/>
      <c r="BT33" s="143"/>
      <c r="BU33" s="143"/>
      <c r="BV33" s="143"/>
      <c r="BW33" s="143"/>
      <c r="BX33" s="143"/>
    </row>
    <row r="34" spans="1:76" ht="16" customHeight="1">
      <c r="A34" s="171"/>
      <c r="B34" s="155" t="s">
        <v>1375</v>
      </c>
      <c r="C34" s="146" t="s">
        <v>1343</v>
      </c>
      <c r="D34" s="861">
        <f>'$REV-DSUM'!B256</f>
        <v>0</v>
      </c>
      <c r="E34" s="861">
        <f>'$REV-DB'!Z10</f>
        <v>0</v>
      </c>
      <c r="F34" s="228">
        <f t="shared" si="0"/>
        <v>0</v>
      </c>
      <c r="G34" s="162"/>
      <c r="H34" s="162"/>
      <c r="I34" s="162"/>
      <c r="J34" s="143"/>
      <c r="K34" s="143"/>
      <c r="L34" s="143"/>
      <c r="M34" s="143"/>
      <c r="N34" s="143"/>
      <c r="O34" s="143"/>
      <c r="P34" s="143"/>
      <c r="Q34" s="143"/>
      <c r="R34" s="143"/>
      <c r="S34" s="143"/>
      <c r="T34" s="143"/>
      <c r="U34" s="143"/>
      <c r="V34" s="143"/>
      <c r="W34" s="143"/>
      <c r="X34" s="143"/>
      <c r="Y34" s="143"/>
      <c r="Z34" s="143"/>
      <c r="AA34" s="143"/>
      <c r="AB34" s="143"/>
      <c r="AC34" s="143"/>
      <c r="AD34" s="143"/>
      <c r="AE34" s="143"/>
      <c r="AF34" s="143"/>
      <c r="AG34" s="143"/>
      <c r="AH34" s="143"/>
      <c r="AI34" s="143"/>
      <c r="AJ34" s="143"/>
      <c r="AK34" s="143"/>
      <c r="AL34" s="143"/>
      <c r="AM34" s="143"/>
      <c r="AN34" s="143"/>
      <c r="AO34" s="143"/>
      <c r="AP34" s="143"/>
      <c r="AQ34" s="143"/>
      <c r="AR34" s="143"/>
      <c r="AS34" s="143"/>
      <c r="AT34" s="143"/>
      <c r="AU34" s="143"/>
      <c r="AV34" s="143"/>
      <c r="AW34" s="143"/>
      <c r="AX34" s="143"/>
      <c r="AY34" s="143"/>
      <c r="AZ34" s="143"/>
      <c r="BA34" s="143"/>
      <c r="BB34" s="143"/>
      <c r="BC34" s="143"/>
      <c r="BD34" s="143"/>
      <c r="BE34" s="143"/>
      <c r="BF34" s="143"/>
      <c r="BG34" s="143"/>
      <c r="BH34" s="143"/>
      <c r="BI34" s="143"/>
      <c r="BJ34" s="143"/>
      <c r="BK34" s="143"/>
      <c r="BL34" s="143"/>
      <c r="BM34" s="143"/>
      <c r="BN34" s="143"/>
      <c r="BO34" s="143"/>
      <c r="BP34" s="143"/>
      <c r="BQ34" s="143"/>
      <c r="BR34" s="143"/>
      <c r="BS34" s="143"/>
      <c r="BT34" s="143"/>
      <c r="BU34" s="143"/>
      <c r="BV34" s="143"/>
      <c r="BW34" s="143"/>
      <c r="BX34" s="143"/>
    </row>
    <row r="35" spans="1:76" ht="16" customHeight="1">
      <c r="A35" s="171"/>
      <c r="B35" s="155"/>
      <c r="C35" s="146" t="s">
        <v>1349</v>
      </c>
      <c r="D35" s="861">
        <f>'$REV-DSUM'!B266</f>
        <v>1867356.88</v>
      </c>
      <c r="E35" s="861">
        <f>'$REV-DB'!AA10</f>
        <v>1867356.88</v>
      </c>
      <c r="F35" s="228">
        <f t="shared" si="0"/>
        <v>0</v>
      </c>
      <c r="G35" s="162"/>
      <c r="H35" s="162"/>
      <c r="I35" s="162"/>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row>
    <row r="36" spans="1:76" ht="16" customHeight="1">
      <c r="A36" s="171"/>
      <c r="B36" s="155"/>
      <c r="C36" s="146" t="s">
        <v>1177</v>
      </c>
      <c r="D36" s="861">
        <f>'$REV-DSUM'!B276</f>
        <v>0</v>
      </c>
      <c r="E36" s="861">
        <f>'$REV-DB'!AB10</f>
        <v>0</v>
      </c>
      <c r="F36" s="228">
        <f t="shared" si="0"/>
        <v>0</v>
      </c>
      <c r="G36" s="162"/>
      <c r="H36" s="162"/>
      <c r="I36" s="162"/>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c r="AH36" s="143"/>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43"/>
      <c r="BR36" s="143"/>
      <c r="BS36" s="143"/>
      <c r="BT36" s="143"/>
      <c r="BU36" s="143"/>
      <c r="BV36" s="143"/>
      <c r="BW36" s="143"/>
      <c r="BX36" s="143"/>
    </row>
    <row r="37" spans="1:76" ht="16" customHeight="1">
      <c r="A37" s="171"/>
      <c r="B37" s="156"/>
      <c r="C37" s="147" t="s">
        <v>1350</v>
      </c>
      <c r="D37" s="862">
        <f>'$REV-DSUM'!B286</f>
        <v>0</v>
      </c>
      <c r="E37" s="862">
        <f>'$REV-DB'!AC10</f>
        <v>0</v>
      </c>
      <c r="F37" s="229">
        <f t="shared" si="0"/>
        <v>0</v>
      </c>
      <c r="G37" s="162"/>
      <c r="H37" s="162"/>
      <c r="I37" s="162"/>
      <c r="J37" s="143"/>
      <c r="K37" s="143"/>
      <c r="L37" s="143"/>
      <c r="M37" s="143"/>
      <c r="N37" s="143"/>
      <c r="O37" s="143"/>
      <c r="P37" s="143"/>
      <c r="Q37" s="143"/>
      <c r="R37" s="143"/>
      <c r="S37" s="143"/>
      <c r="T37" s="143"/>
      <c r="U37" s="143"/>
      <c r="V37" s="143"/>
      <c r="W37" s="143"/>
      <c r="X37" s="143"/>
      <c r="Y37" s="143"/>
      <c r="Z37" s="143"/>
      <c r="AA37" s="143"/>
      <c r="AB37" s="143"/>
      <c r="AC37" s="143"/>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3"/>
      <c r="BL37" s="143"/>
      <c r="BM37" s="143"/>
      <c r="BN37" s="143"/>
      <c r="BO37" s="143"/>
      <c r="BP37" s="143"/>
      <c r="BQ37" s="143"/>
      <c r="BR37" s="143"/>
      <c r="BS37" s="143"/>
      <c r="BT37" s="143"/>
      <c r="BU37" s="143"/>
      <c r="BV37" s="143"/>
      <c r="BW37" s="143"/>
      <c r="BX37" s="143"/>
    </row>
    <row r="38" spans="1:76" ht="16" customHeight="1" thickBot="1">
      <c r="A38" s="171"/>
      <c r="B38" s="157" t="str">
        <f>'FIG3'!V53</f>
        <v>FA2</v>
      </c>
      <c r="C38" s="150" t="s">
        <v>1346</v>
      </c>
      <c r="D38" s="860">
        <f>'$REV-DSUM'!B296</f>
        <v>0</v>
      </c>
      <c r="E38" s="860">
        <f>'$REV-DB'!AD11</f>
        <v>0</v>
      </c>
      <c r="F38" s="227">
        <f>D38-E38</f>
        <v>0</v>
      </c>
      <c r="G38" s="162"/>
      <c r="H38" s="162"/>
      <c r="I38" s="162"/>
      <c r="J38" s="143"/>
      <c r="K38" s="143"/>
      <c r="L38" s="143"/>
      <c r="M38" s="143"/>
      <c r="N38" s="143"/>
      <c r="O38" s="143"/>
      <c r="P38" s="143"/>
      <c r="Q38" s="143"/>
      <c r="R38" s="143"/>
      <c r="S38" s="143"/>
      <c r="T38" s="143"/>
      <c r="U38" s="143"/>
      <c r="V38" s="143"/>
      <c r="W38" s="143"/>
      <c r="X38" s="143"/>
      <c r="Y38" s="143"/>
      <c r="Z38" s="143"/>
      <c r="AA38" s="143"/>
      <c r="AB38" s="143"/>
      <c r="AC38" s="143"/>
      <c r="AD38" s="143"/>
      <c r="AE38" s="143"/>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c r="BP38" s="143"/>
      <c r="BQ38" s="143"/>
      <c r="BR38" s="143"/>
      <c r="BS38" s="143"/>
      <c r="BT38" s="143"/>
      <c r="BU38" s="143"/>
      <c r="BV38" s="143"/>
      <c r="BW38" s="143"/>
      <c r="BX38" s="143"/>
    </row>
    <row r="39" spans="1:76" ht="16" customHeight="1" thickTop="1">
      <c r="A39" s="171"/>
      <c r="B39" s="158" t="str">
        <f>'FIG3'!W53</f>
        <v>FA2L1</v>
      </c>
      <c r="C39" s="151" t="s">
        <v>1345</v>
      </c>
      <c r="D39" s="861">
        <f>'$REV-DSUM'!B306</f>
        <v>0</v>
      </c>
      <c r="E39" s="861">
        <f>'$REV-DB'!X11</f>
        <v>0</v>
      </c>
      <c r="F39" s="228">
        <f t="shared" si="0"/>
        <v>0</v>
      </c>
      <c r="G39" s="162"/>
      <c r="H39" s="162"/>
      <c r="I39" s="162"/>
      <c r="J39" s="143"/>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c r="AN39" s="143"/>
      <c r="AO39" s="143"/>
      <c r="AP39" s="143"/>
      <c r="AQ39" s="143"/>
      <c r="AR39" s="143"/>
      <c r="AS39" s="143"/>
      <c r="AT39" s="143"/>
      <c r="AU39" s="143"/>
      <c r="AV39" s="143"/>
      <c r="AW39" s="143"/>
      <c r="AX39" s="143"/>
      <c r="AY39" s="143"/>
      <c r="AZ39" s="143"/>
      <c r="BA39" s="143"/>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row>
    <row r="40" spans="1:76" ht="16" customHeight="1">
      <c r="A40" s="171"/>
      <c r="B40" s="158" t="str">
        <f>'FIG3'!X53</f>
        <v>FA2L2</v>
      </c>
      <c r="C40" s="151" t="s">
        <v>1344</v>
      </c>
      <c r="D40" s="861">
        <f>'$REV-DSUM'!B316</f>
        <v>0</v>
      </c>
      <c r="E40" s="861">
        <f>'$REV-DB'!Y11</f>
        <v>0</v>
      </c>
      <c r="F40" s="228">
        <f t="shared" si="0"/>
        <v>0</v>
      </c>
      <c r="G40" s="162"/>
      <c r="H40" s="162"/>
      <c r="I40" s="162"/>
      <c r="J40" s="143"/>
      <c r="K40" s="143"/>
      <c r="L40" s="143"/>
      <c r="M40" s="143"/>
      <c r="N40" s="143"/>
      <c r="O40" s="143"/>
      <c r="P40" s="143"/>
      <c r="Q40" s="143"/>
      <c r="R40" s="143"/>
      <c r="S40" s="143"/>
      <c r="T40" s="143"/>
      <c r="U40" s="143"/>
      <c r="V40" s="143"/>
      <c r="W40" s="143"/>
      <c r="X40" s="143"/>
      <c r="Y40" s="143"/>
      <c r="Z40" s="143"/>
      <c r="AA40" s="143"/>
      <c r="AB40" s="143"/>
      <c r="AC40" s="143"/>
      <c r="AD40" s="143"/>
      <c r="AE40" s="143"/>
      <c r="AF40" s="143"/>
      <c r="AG40" s="143"/>
      <c r="AH40" s="143"/>
      <c r="AI40" s="143"/>
      <c r="AJ40" s="143"/>
      <c r="AK40" s="143"/>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c r="BM40" s="143"/>
      <c r="BN40" s="143"/>
      <c r="BO40" s="143"/>
      <c r="BP40" s="143"/>
      <c r="BQ40" s="143"/>
      <c r="BR40" s="143"/>
      <c r="BS40" s="143"/>
      <c r="BT40" s="143"/>
      <c r="BU40" s="143"/>
      <c r="BV40" s="143"/>
      <c r="BW40" s="143"/>
      <c r="BX40" s="143"/>
    </row>
    <row r="41" spans="1:76" ht="16" customHeight="1">
      <c r="A41" s="171"/>
      <c r="B41" s="158" t="s">
        <v>1399</v>
      </c>
      <c r="C41" s="151" t="s">
        <v>1343</v>
      </c>
      <c r="D41" s="861">
        <f>'$REV-DSUM'!B326</f>
        <v>0</v>
      </c>
      <c r="E41" s="861">
        <f>'$REV-DB'!Z11</f>
        <v>0</v>
      </c>
      <c r="F41" s="228">
        <f t="shared" si="0"/>
        <v>0</v>
      </c>
      <c r="G41" s="162"/>
      <c r="H41" s="162"/>
      <c r="I41" s="162"/>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c r="BT41" s="143"/>
      <c r="BU41" s="143"/>
      <c r="BV41" s="143"/>
      <c r="BW41" s="143"/>
      <c r="BX41" s="143"/>
    </row>
    <row r="42" spans="1:76" ht="16" customHeight="1">
      <c r="A42" s="171"/>
      <c r="B42" s="158"/>
      <c r="C42" s="151" t="s">
        <v>1349</v>
      </c>
      <c r="D42" s="861">
        <f>'$REV-DSUM'!B336</f>
        <v>0</v>
      </c>
      <c r="E42" s="861">
        <f>'$REV-DB'!AA11</f>
        <v>0</v>
      </c>
      <c r="F42" s="228">
        <f t="shared" si="0"/>
        <v>0</v>
      </c>
      <c r="G42" s="162"/>
      <c r="H42" s="162"/>
      <c r="I42" s="162"/>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c r="AK42" s="143"/>
      <c r="AL42" s="143"/>
      <c r="AM42" s="143"/>
      <c r="AN42" s="143"/>
      <c r="AO42" s="143"/>
      <c r="AP42" s="143"/>
      <c r="AQ42" s="143"/>
      <c r="AR42" s="143"/>
      <c r="AS42" s="143"/>
      <c r="AT42" s="143"/>
      <c r="AU42" s="143"/>
      <c r="AV42" s="143"/>
      <c r="AW42" s="143"/>
      <c r="AX42" s="143"/>
      <c r="AY42" s="143"/>
      <c r="AZ42" s="143"/>
      <c r="BA42" s="143"/>
      <c r="BB42" s="143"/>
      <c r="BC42" s="143"/>
      <c r="BD42" s="143"/>
      <c r="BE42" s="143"/>
      <c r="BF42" s="143"/>
      <c r="BG42" s="143"/>
      <c r="BH42" s="143"/>
      <c r="BI42" s="143"/>
      <c r="BJ42" s="143"/>
      <c r="BK42" s="143"/>
      <c r="BL42" s="143"/>
      <c r="BM42" s="143"/>
      <c r="BN42" s="143"/>
      <c r="BO42" s="143"/>
      <c r="BP42" s="143"/>
      <c r="BQ42" s="143"/>
      <c r="BR42" s="143"/>
      <c r="BS42" s="143"/>
      <c r="BT42" s="143"/>
      <c r="BU42" s="143"/>
      <c r="BV42" s="143"/>
      <c r="BW42" s="143"/>
      <c r="BX42" s="143"/>
    </row>
    <row r="43" spans="1:76" ht="16" customHeight="1">
      <c r="A43" s="171"/>
      <c r="B43" s="158"/>
      <c r="C43" s="146" t="s">
        <v>1177</v>
      </c>
      <c r="D43" s="861">
        <f>'$REV-DSUM'!B346</f>
        <v>0</v>
      </c>
      <c r="E43" s="861">
        <f>'$REV-DB'!AB11</f>
        <v>0</v>
      </c>
      <c r="F43" s="228">
        <f t="shared" si="0"/>
        <v>0</v>
      </c>
      <c r="G43" s="162"/>
      <c r="H43" s="162"/>
      <c r="I43" s="162"/>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c r="BS43" s="143"/>
      <c r="BT43" s="143"/>
      <c r="BU43" s="143"/>
      <c r="BV43" s="143"/>
      <c r="BW43" s="143"/>
      <c r="BX43" s="143"/>
    </row>
    <row r="44" spans="1:76" ht="16" customHeight="1">
      <c r="A44" s="171"/>
      <c r="B44" s="159"/>
      <c r="C44" s="152" t="s">
        <v>1350</v>
      </c>
      <c r="D44" s="862">
        <f>'$REV-DSUM'!B356</f>
        <v>0</v>
      </c>
      <c r="E44" s="862">
        <f>'$REV-DB'!AC11</f>
        <v>0</v>
      </c>
      <c r="F44" s="229">
        <f t="shared" si="0"/>
        <v>0</v>
      </c>
      <c r="G44" s="162"/>
      <c r="H44" s="162"/>
      <c r="I44" s="162"/>
      <c r="J44" s="143"/>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c r="BS44" s="143"/>
      <c r="BT44" s="143"/>
      <c r="BU44" s="143"/>
      <c r="BV44" s="143"/>
      <c r="BW44" s="143"/>
      <c r="BX44" s="143"/>
    </row>
    <row r="45" spans="1:76" ht="16" customHeight="1" thickBot="1">
      <c r="A45" s="171"/>
      <c r="B45" s="157" t="str">
        <f>B38</f>
        <v>FA2</v>
      </c>
      <c r="C45" s="150" t="s">
        <v>1346</v>
      </c>
      <c r="D45" s="860">
        <f>'$REV-DSUM'!B366</f>
        <v>0</v>
      </c>
      <c r="E45" s="860">
        <f>'$REV-DB'!AD12</f>
        <v>0</v>
      </c>
      <c r="F45" s="227">
        <f>D45-E45</f>
        <v>0</v>
      </c>
      <c r="G45" s="162"/>
      <c r="H45" s="162"/>
      <c r="I45" s="162"/>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c r="AK45" s="143"/>
      <c r="AL45" s="143"/>
      <c r="AM45" s="143"/>
      <c r="AN45" s="143"/>
      <c r="AO45" s="143"/>
      <c r="AP45" s="143"/>
      <c r="AQ45" s="143"/>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43"/>
      <c r="BR45" s="143"/>
      <c r="BS45" s="143"/>
      <c r="BT45" s="143"/>
      <c r="BU45" s="143"/>
      <c r="BV45" s="143"/>
      <c r="BW45" s="143"/>
      <c r="BX45" s="143"/>
    </row>
    <row r="46" spans="1:76" ht="16" customHeight="1" thickTop="1">
      <c r="A46" s="171"/>
      <c r="B46" s="158" t="str">
        <f>B39</f>
        <v>FA2L1</v>
      </c>
      <c r="C46" s="151" t="s">
        <v>1345</v>
      </c>
      <c r="D46" s="861">
        <f>'$REV-DSUM'!B376</f>
        <v>0</v>
      </c>
      <c r="E46" s="861">
        <f>'$REV-DB'!X12</f>
        <v>0</v>
      </c>
      <c r="F46" s="228">
        <f t="shared" si="0"/>
        <v>0</v>
      </c>
      <c r="G46" s="162"/>
      <c r="H46" s="162"/>
      <c r="I46" s="162"/>
      <c r="J46" s="143"/>
      <c r="K46" s="143"/>
      <c r="L46" s="143"/>
      <c r="M46" s="143"/>
      <c r="N46" s="143"/>
      <c r="O46" s="143"/>
      <c r="P46" s="143"/>
      <c r="Q46" s="143"/>
      <c r="R46" s="143"/>
      <c r="S46" s="143"/>
      <c r="T46" s="143"/>
      <c r="U46" s="143"/>
      <c r="V46" s="143"/>
      <c r="W46" s="143"/>
      <c r="X46" s="143"/>
      <c r="Y46" s="143"/>
      <c r="Z46" s="143"/>
      <c r="AA46" s="143"/>
      <c r="AB46" s="143"/>
      <c r="AC46" s="143"/>
      <c r="AD46" s="143"/>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43"/>
      <c r="BD46" s="143"/>
      <c r="BE46" s="143"/>
      <c r="BF46" s="143"/>
      <c r="BG46" s="143"/>
      <c r="BH46" s="143"/>
      <c r="BI46" s="143"/>
      <c r="BJ46" s="143"/>
      <c r="BK46" s="143"/>
      <c r="BL46" s="143"/>
      <c r="BM46" s="143"/>
      <c r="BN46" s="143"/>
      <c r="BO46" s="143"/>
      <c r="BP46" s="143"/>
      <c r="BQ46" s="143"/>
      <c r="BR46" s="143"/>
      <c r="BS46" s="143"/>
      <c r="BT46" s="143"/>
      <c r="BU46" s="143"/>
      <c r="BV46" s="143"/>
      <c r="BW46" s="143"/>
      <c r="BX46" s="143"/>
    </row>
    <row r="47" spans="1:76" ht="16" customHeight="1">
      <c r="A47" s="171"/>
      <c r="B47" s="158" t="str">
        <f>B40</f>
        <v>FA2L2</v>
      </c>
      <c r="C47" s="151" t="s">
        <v>1344</v>
      </c>
      <c r="D47" s="861">
        <f>'$REV-DSUM'!B386</f>
        <v>0</v>
      </c>
      <c r="E47" s="861">
        <f>'$REV-DB'!Y12</f>
        <v>0</v>
      </c>
      <c r="F47" s="228">
        <f t="shared" si="0"/>
        <v>0</v>
      </c>
      <c r="G47" s="162"/>
      <c r="H47" s="162"/>
      <c r="I47" s="162"/>
      <c r="J47" s="143"/>
      <c r="K47" s="143"/>
      <c r="L47" s="143"/>
      <c r="M47" s="143"/>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43"/>
      <c r="BH47" s="143"/>
      <c r="BI47" s="143"/>
      <c r="BJ47" s="143"/>
      <c r="BK47" s="143"/>
      <c r="BL47" s="143"/>
      <c r="BM47" s="143"/>
      <c r="BN47" s="143"/>
      <c r="BO47" s="143"/>
      <c r="BP47" s="143"/>
      <c r="BQ47" s="143"/>
      <c r="BR47" s="143"/>
      <c r="BS47" s="143"/>
      <c r="BT47" s="143"/>
      <c r="BU47" s="143"/>
      <c r="BV47" s="143"/>
      <c r="BW47" s="143"/>
      <c r="BX47" s="143"/>
    </row>
    <row r="48" spans="1:76" ht="16" customHeight="1">
      <c r="A48" s="171"/>
      <c r="B48" s="158" t="s">
        <v>1375</v>
      </c>
      <c r="C48" s="151" t="s">
        <v>1343</v>
      </c>
      <c r="D48" s="861">
        <f>'$REV-DSUM'!B396</f>
        <v>0</v>
      </c>
      <c r="E48" s="861">
        <f>'$REV-DB'!Z12</f>
        <v>0</v>
      </c>
      <c r="F48" s="228">
        <f t="shared" si="0"/>
        <v>0</v>
      </c>
      <c r="G48" s="162"/>
      <c r="H48" s="162"/>
      <c r="I48" s="162"/>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row>
    <row r="49" spans="1:76" ht="16" customHeight="1">
      <c r="A49" s="171"/>
      <c r="B49" s="158"/>
      <c r="C49" s="151" t="s">
        <v>1349</v>
      </c>
      <c r="D49" s="861">
        <f>'$REV-DSUM'!B406</f>
        <v>0</v>
      </c>
      <c r="E49" s="861">
        <f>'$REV-DB'!AA12</f>
        <v>0</v>
      </c>
      <c r="F49" s="228">
        <f t="shared" si="0"/>
        <v>0</v>
      </c>
      <c r="G49" s="162"/>
      <c r="H49" s="162"/>
      <c r="I49" s="162"/>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row>
    <row r="50" spans="1:76" ht="16" customHeight="1">
      <c r="A50" s="171"/>
      <c r="B50" s="158"/>
      <c r="C50" s="146" t="s">
        <v>1177</v>
      </c>
      <c r="D50" s="861">
        <f>'$REV-DSUM'!B416</f>
        <v>0</v>
      </c>
      <c r="E50" s="861">
        <f>'$REV-DB'!AB12</f>
        <v>0</v>
      </c>
      <c r="F50" s="228">
        <f t="shared" si="0"/>
        <v>0</v>
      </c>
      <c r="G50" s="162"/>
      <c r="H50" s="162"/>
      <c r="I50" s="162"/>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row>
    <row r="51" spans="1:76" ht="16" customHeight="1">
      <c r="A51" s="171"/>
      <c r="B51" s="159"/>
      <c r="C51" s="152" t="s">
        <v>1350</v>
      </c>
      <c r="D51" s="862">
        <f>'$REV-DSUM'!B426</f>
        <v>0</v>
      </c>
      <c r="E51" s="862">
        <f>'$REV-DB'!AC12</f>
        <v>0</v>
      </c>
      <c r="F51" s="229">
        <f t="shared" si="0"/>
        <v>0</v>
      </c>
      <c r="G51" s="162"/>
      <c r="H51" s="162"/>
      <c r="I51" s="162"/>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row>
    <row r="52" spans="1:76" ht="16" customHeight="1" thickBot="1">
      <c r="A52" s="171"/>
      <c r="B52" s="157" t="str">
        <f>'FIG3'!V54</f>
        <v>FA3</v>
      </c>
      <c r="C52" s="150" t="s">
        <v>1346</v>
      </c>
      <c r="D52" s="860">
        <f>'$REV-DSUM'!B436</f>
        <v>0</v>
      </c>
      <c r="E52" s="860">
        <f>'$REV-DB'!AD13</f>
        <v>0</v>
      </c>
      <c r="F52" s="227">
        <f>D52-E52</f>
        <v>0</v>
      </c>
      <c r="G52" s="162"/>
      <c r="H52" s="162"/>
      <c r="I52" s="162"/>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43"/>
      <c r="BR52" s="143"/>
      <c r="BS52" s="143"/>
      <c r="BT52" s="143"/>
      <c r="BU52" s="143"/>
      <c r="BV52" s="143"/>
      <c r="BW52" s="143"/>
      <c r="BX52" s="143"/>
    </row>
    <row r="53" spans="1:76" ht="16" customHeight="1" thickTop="1">
      <c r="A53" s="171"/>
      <c r="B53" s="158" t="str">
        <f>'FIG3'!W54</f>
        <v>FA3L1</v>
      </c>
      <c r="C53" s="151" t="s">
        <v>1345</v>
      </c>
      <c r="D53" s="861">
        <f>'$REV-DSUM'!B446</f>
        <v>0</v>
      </c>
      <c r="E53" s="861">
        <f>'$REV-DB'!X13</f>
        <v>0</v>
      </c>
      <c r="F53" s="228">
        <f t="shared" si="0"/>
        <v>0</v>
      </c>
      <c r="G53" s="162"/>
      <c r="H53" s="162"/>
      <c r="I53" s="162"/>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c r="BT53" s="143"/>
      <c r="BU53" s="143"/>
      <c r="BV53" s="143"/>
      <c r="BW53" s="143"/>
      <c r="BX53" s="143"/>
    </row>
    <row r="54" spans="1:76" ht="16" customHeight="1">
      <c r="A54" s="171"/>
      <c r="B54" s="158" t="str">
        <f>'FIG3'!X54</f>
        <v>FA3L2</v>
      </c>
      <c r="C54" s="151" t="s">
        <v>1344</v>
      </c>
      <c r="D54" s="861">
        <f>'$REV-DSUM'!B456</f>
        <v>0</v>
      </c>
      <c r="E54" s="861">
        <f>'$REV-DB'!Y13</f>
        <v>0</v>
      </c>
      <c r="F54" s="228">
        <f t="shared" si="0"/>
        <v>0</v>
      </c>
      <c r="G54" s="162"/>
      <c r="H54" s="162"/>
      <c r="I54" s="162"/>
      <c r="J54" s="143"/>
      <c r="K54" s="143"/>
      <c r="L54" s="143"/>
      <c r="M54" s="143"/>
      <c r="N54" s="143"/>
      <c r="O54" s="143"/>
      <c r="P54" s="143"/>
      <c r="Q54" s="143"/>
      <c r="R54" s="143"/>
      <c r="S54" s="143"/>
      <c r="T54" s="143"/>
      <c r="U54" s="143"/>
      <c r="V54" s="143"/>
      <c r="W54" s="143"/>
      <c r="X54" s="143"/>
      <c r="Y54" s="143"/>
      <c r="Z54" s="143"/>
      <c r="AA54" s="143"/>
      <c r="AB54" s="143"/>
      <c r="AC54" s="143"/>
      <c r="AD54" s="143"/>
      <c r="AE54" s="143"/>
      <c r="AF54" s="143"/>
      <c r="AG54" s="143"/>
      <c r="AH54" s="143"/>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3"/>
      <c r="BR54" s="143"/>
      <c r="BS54" s="143"/>
      <c r="BT54" s="143"/>
      <c r="BU54" s="143"/>
      <c r="BV54" s="143"/>
      <c r="BW54" s="143"/>
      <c r="BX54" s="143"/>
    </row>
    <row r="55" spans="1:76" ht="16" customHeight="1">
      <c r="A55" s="171"/>
      <c r="B55" s="158" t="s">
        <v>1399</v>
      </c>
      <c r="C55" s="151" t="s">
        <v>1343</v>
      </c>
      <c r="D55" s="861">
        <f>'$REV-DSUM'!B466</f>
        <v>0</v>
      </c>
      <c r="E55" s="861">
        <f>'$REV-DB'!Z13</f>
        <v>0</v>
      </c>
      <c r="F55" s="228">
        <f t="shared" si="0"/>
        <v>0</v>
      </c>
      <c r="G55" s="162"/>
      <c r="H55" s="162"/>
      <c r="I55" s="162"/>
      <c r="J55" s="143"/>
      <c r="K55" s="143"/>
      <c r="L55" s="143"/>
      <c r="M55" s="143"/>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43"/>
      <c r="BR55" s="143"/>
      <c r="BS55" s="143"/>
      <c r="BT55" s="143"/>
      <c r="BU55" s="143"/>
      <c r="BV55" s="143"/>
      <c r="BW55" s="143"/>
      <c r="BX55" s="143"/>
    </row>
    <row r="56" spans="1:76" ht="16" customHeight="1">
      <c r="A56" s="171"/>
      <c r="B56" s="158"/>
      <c r="C56" s="151" t="s">
        <v>1349</v>
      </c>
      <c r="D56" s="861">
        <f>'$REV-DSUM'!B476</f>
        <v>0</v>
      </c>
      <c r="E56" s="861">
        <f>'$REV-DB'!AA13</f>
        <v>0</v>
      </c>
      <c r="F56" s="228">
        <f t="shared" si="0"/>
        <v>0</v>
      </c>
      <c r="G56" s="162"/>
      <c r="H56" s="162"/>
      <c r="I56" s="162"/>
      <c r="J56" s="143"/>
      <c r="K56" s="143"/>
      <c r="L56" s="143"/>
      <c r="M56" s="143"/>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c r="BT56" s="143"/>
      <c r="BU56" s="143"/>
      <c r="BV56" s="143"/>
      <c r="BW56" s="143"/>
      <c r="BX56" s="143"/>
    </row>
    <row r="57" spans="1:76" ht="16" customHeight="1">
      <c r="A57" s="171"/>
      <c r="B57" s="158"/>
      <c r="C57" s="146" t="s">
        <v>1177</v>
      </c>
      <c r="D57" s="861">
        <f>'$REV-DSUM'!B486</f>
        <v>0</v>
      </c>
      <c r="E57" s="861">
        <f>'$REV-DB'!AB13</f>
        <v>0</v>
      </c>
      <c r="F57" s="228">
        <f t="shared" si="0"/>
        <v>0</v>
      </c>
      <c r="G57" s="162"/>
      <c r="H57" s="162"/>
      <c r="I57" s="162"/>
      <c r="J57" s="143"/>
      <c r="K57" s="143"/>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43"/>
      <c r="BR57" s="143"/>
      <c r="BS57" s="143"/>
      <c r="BT57" s="143"/>
      <c r="BU57" s="143"/>
      <c r="BV57" s="143"/>
      <c r="BW57" s="143"/>
      <c r="BX57" s="143"/>
    </row>
    <row r="58" spans="1:76" ht="16" customHeight="1">
      <c r="A58" s="171"/>
      <c r="B58" s="159"/>
      <c r="C58" s="152" t="s">
        <v>1350</v>
      </c>
      <c r="D58" s="862">
        <f>'$REV-DSUM'!B496</f>
        <v>0</v>
      </c>
      <c r="E58" s="862">
        <f>'$REV-DB'!AC13</f>
        <v>0</v>
      </c>
      <c r="F58" s="229">
        <f t="shared" si="0"/>
        <v>0</v>
      </c>
      <c r="G58" s="162"/>
      <c r="H58" s="162"/>
      <c r="I58" s="162"/>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c r="BT58" s="143"/>
      <c r="BU58" s="143"/>
      <c r="BV58" s="143"/>
      <c r="BW58" s="143"/>
      <c r="BX58" s="143"/>
    </row>
    <row r="59" spans="1:76" ht="16" customHeight="1" thickBot="1">
      <c r="A59" s="171"/>
      <c r="B59" s="157" t="str">
        <f>B52</f>
        <v>FA3</v>
      </c>
      <c r="C59" s="150" t="s">
        <v>1346</v>
      </c>
      <c r="D59" s="860">
        <f>'$REV-DSUM'!B506</f>
        <v>0</v>
      </c>
      <c r="E59" s="860">
        <f>'$REV-DB'!AD14</f>
        <v>0</v>
      </c>
      <c r="F59" s="227">
        <f>D59-E59</f>
        <v>0</v>
      </c>
      <c r="G59" s="162"/>
      <c r="H59" s="162"/>
      <c r="I59" s="162"/>
      <c r="J59" s="143"/>
      <c r="K59" s="143"/>
      <c r="L59" s="143"/>
      <c r="M59" s="143"/>
      <c r="N59" s="143"/>
      <c r="O59" s="143"/>
      <c r="P59" s="143"/>
      <c r="Q59" s="143"/>
      <c r="R59" s="143"/>
      <c r="S59" s="143"/>
      <c r="T59" s="143"/>
      <c r="U59" s="143"/>
      <c r="V59" s="143"/>
      <c r="W59" s="143"/>
      <c r="X59" s="143"/>
      <c r="Y59" s="143"/>
      <c r="Z59" s="143"/>
      <c r="AA59" s="143"/>
      <c r="AB59" s="143"/>
      <c r="AC59" s="143"/>
      <c r="AD59" s="143"/>
      <c r="AE59" s="143"/>
      <c r="AF59" s="143"/>
      <c r="AG59" s="143"/>
      <c r="AH59" s="143"/>
      <c r="AI59" s="143"/>
      <c r="AJ59" s="143"/>
      <c r="AK59" s="143"/>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143"/>
      <c r="BI59" s="143"/>
      <c r="BJ59" s="143"/>
      <c r="BK59" s="143"/>
      <c r="BL59" s="143"/>
      <c r="BM59" s="143"/>
      <c r="BN59" s="143"/>
      <c r="BO59" s="143"/>
      <c r="BP59" s="143"/>
      <c r="BQ59" s="143"/>
      <c r="BR59" s="143"/>
      <c r="BS59" s="143"/>
      <c r="BT59" s="143"/>
      <c r="BU59" s="143"/>
      <c r="BV59" s="143"/>
      <c r="BW59" s="143"/>
      <c r="BX59" s="143"/>
    </row>
    <row r="60" spans="1:76" ht="16" customHeight="1" thickTop="1">
      <c r="A60" s="171"/>
      <c r="B60" s="158" t="str">
        <f>B53</f>
        <v>FA3L1</v>
      </c>
      <c r="C60" s="151" t="s">
        <v>1345</v>
      </c>
      <c r="D60" s="861">
        <f>'$REV-DSUM'!B516</f>
        <v>0</v>
      </c>
      <c r="E60" s="861">
        <f>'$REV-DB'!X14</f>
        <v>0</v>
      </c>
      <c r="F60" s="228">
        <f t="shared" si="0"/>
        <v>0</v>
      </c>
      <c r="G60" s="162"/>
      <c r="H60" s="162"/>
      <c r="I60" s="162"/>
      <c r="J60" s="143"/>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3"/>
      <c r="AI60" s="143"/>
      <c r="AJ60" s="143"/>
      <c r="AK60" s="143"/>
      <c r="AL60" s="143"/>
      <c r="AM60" s="143"/>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3"/>
      <c r="BR60" s="143"/>
      <c r="BS60" s="143"/>
      <c r="BT60" s="143"/>
      <c r="BU60" s="143"/>
      <c r="BV60" s="143"/>
      <c r="BW60" s="143"/>
      <c r="BX60" s="143"/>
    </row>
    <row r="61" spans="1:76" ht="16" customHeight="1">
      <c r="A61" s="171"/>
      <c r="B61" s="158" t="str">
        <f>B54</f>
        <v>FA3L2</v>
      </c>
      <c r="C61" s="151" t="s">
        <v>1344</v>
      </c>
      <c r="D61" s="861">
        <f>'$REV-DSUM'!B526</f>
        <v>0</v>
      </c>
      <c r="E61" s="861">
        <f>'$REV-DB'!Y14</f>
        <v>0</v>
      </c>
      <c r="F61" s="228">
        <f t="shared" si="0"/>
        <v>0</v>
      </c>
      <c r="G61" s="162"/>
      <c r="H61" s="162"/>
      <c r="I61" s="162"/>
      <c r="J61" s="143"/>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43"/>
      <c r="AH61" s="143"/>
      <c r="AI61" s="143"/>
      <c r="AJ61" s="143"/>
      <c r="AK61" s="143"/>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43"/>
      <c r="BR61" s="143"/>
      <c r="BS61" s="143"/>
      <c r="BT61" s="143"/>
      <c r="BU61" s="143"/>
      <c r="BV61" s="143"/>
      <c r="BW61" s="143"/>
      <c r="BX61" s="143"/>
    </row>
    <row r="62" spans="1:76" ht="16" customHeight="1">
      <c r="A62" s="171"/>
      <c r="B62" s="158" t="s">
        <v>1375</v>
      </c>
      <c r="C62" s="151" t="s">
        <v>1343</v>
      </c>
      <c r="D62" s="861">
        <f>'$REV-DSUM'!B536</f>
        <v>0</v>
      </c>
      <c r="E62" s="861">
        <f>'$REV-DB'!Z14</f>
        <v>0</v>
      </c>
      <c r="F62" s="228">
        <f t="shared" si="0"/>
        <v>0</v>
      </c>
      <c r="G62" s="162"/>
      <c r="H62" s="162"/>
      <c r="I62" s="162"/>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43"/>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row>
    <row r="63" spans="1:76" ht="16" customHeight="1">
      <c r="A63" s="171"/>
      <c r="B63" s="158"/>
      <c r="C63" s="151" t="s">
        <v>1349</v>
      </c>
      <c r="D63" s="861">
        <f>'$REV-DSUM'!B546</f>
        <v>0</v>
      </c>
      <c r="E63" s="861">
        <f>'$REV-DB'!AA14</f>
        <v>0</v>
      </c>
      <c r="F63" s="228">
        <f t="shared" si="0"/>
        <v>0</v>
      </c>
      <c r="G63" s="162"/>
      <c r="H63" s="162"/>
      <c r="I63" s="162"/>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row>
    <row r="64" spans="1:76" ht="16" customHeight="1">
      <c r="A64" s="171"/>
      <c r="B64" s="158"/>
      <c r="C64" s="146" t="s">
        <v>1177</v>
      </c>
      <c r="D64" s="861">
        <f>'$REV-DSUM'!B556</f>
        <v>0</v>
      </c>
      <c r="E64" s="861">
        <f>'$REV-DB'!AB14</f>
        <v>0</v>
      </c>
      <c r="F64" s="228">
        <f t="shared" si="0"/>
        <v>0</v>
      </c>
      <c r="G64" s="162"/>
      <c r="H64" s="162"/>
      <c r="I64" s="162"/>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3"/>
      <c r="BC64" s="143"/>
      <c r="BD64" s="143"/>
      <c r="BE64" s="143"/>
      <c r="BF64" s="143"/>
      <c r="BG64" s="143"/>
      <c r="BH64" s="143"/>
      <c r="BI64" s="143"/>
      <c r="BJ64" s="143"/>
      <c r="BK64" s="143"/>
      <c r="BL64" s="143"/>
      <c r="BM64" s="143"/>
      <c r="BN64" s="143"/>
      <c r="BO64" s="143"/>
      <c r="BP64" s="143"/>
      <c r="BQ64" s="143"/>
      <c r="BR64" s="143"/>
      <c r="BS64" s="143"/>
      <c r="BT64" s="143"/>
      <c r="BU64" s="143"/>
      <c r="BV64" s="143"/>
      <c r="BW64" s="143"/>
      <c r="BX64" s="143"/>
    </row>
    <row r="65" spans="1:76" ht="16" customHeight="1">
      <c r="A65" s="171"/>
      <c r="B65" s="159"/>
      <c r="C65" s="152" t="s">
        <v>1350</v>
      </c>
      <c r="D65" s="862">
        <f>'$REV-DSUM'!B566</f>
        <v>0</v>
      </c>
      <c r="E65" s="862">
        <f>'$REV-DB'!AC14</f>
        <v>0</v>
      </c>
      <c r="F65" s="229">
        <f t="shared" si="0"/>
        <v>0</v>
      </c>
      <c r="G65" s="162"/>
      <c r="H65" s="162"/>
      <c r="I65" s="162"/>
      <c r="J65" s="143"/>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3"/>
      <c r="AI65" s="143"/>
      <c r="AJ65" s="143"/>
      <c r="AK65" s="143"/>
      <c r="AL65" s="143"/>
      <c r="AM65" s="143"/>
      <c r="AN65" s="143"/>
      <c r="AO65" s="143"/>
      <c r="AP65" s="143"/>
      <c r="AQ65" s="143"/>
      <c r="AR65" s="143"/>
      <c r="AS65" s="143"/>
      <c r="AT65" s="143"/>
      <c r="AU65" s="143"/>
      <c r="AV65" s="143"/>
      <c r="AW65" s="143"/>
      <c r="AX65" s="143"/>
      <c r="AY65" s="143"/>
      <c r="AZ65" s="143"/>
      <c r="BA65" s="143"/>
      <c r="BB65" s="143"/>
      <c r="BC65" s="143"/>
      <c r="BD65" s="143"/>
      <c r="BE65" s="143"/>
      <c r="BF65" s="143"/>
      <c r="BG65" s="143"/>
      <c r="BH65" s="143"/>
      <c r="BI65" s="143"/>
      <c r="BJ65" s="143"/>
      <c r="BK65" s="143"/>
      <c r="BL65" s="143"/>
      <c r="BM65" s="143"/>
      <c r="BN65" s="143"/>
      <c r="BO65" s="143"/>
      <c r="BP65" s="143"/>
      <c r="BQ65" s="143"/>
      <c r="BR65" s="143"/>
      <c r="BS65" s="143"/>
      <c r="BT65" s="143"/>
      <c r="BU65" s="143"/>
      <c r="BV65" s="143"/>
      <c r="BW65" s="143"/>
      <c r="BX65" s="143"/>
    </row>
    <row r="66" spans="1:76" ht="16" customHeight="1" thickBot="1">
      <c r="A66" s="171"/>
      <c r="B66" s="157" t="str">
        <f>'FIG3'!V55</f>
        <v>FA4</v>
      </c>
      <c r="C66" s="150" t="s">
        <v>1346</v>
      </c>
      <c r="D66" s="860">
        <f>'$REV-DSUM'!B576</f>
        <v>0</v>
      </c>
      <c r="E66" s="860">
        <f>'$REV-DB'!AD15</f>
        <v>0</v>
      </c>
      <c r="F66" s="227">
        <f>D66-E66</f>
        <v>0</v>
      </c>
      <c r="G66" s="162"/>
      <c r="H66" s="162"/>
      <c r="I66" s="162"/>
      <c r="J66" s="143"/>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3"/>
      <c r="AI66" s="143"/>
      <c r="AJ66" s="143"/>
      <c r="AK66" s="143"/>
      <c r="AL66" s="143"/>
      <c r="AM66" s="143"/>
      <c r="AN66" s="143"/>
      <c r="AO66" s="143"/>
      <c r="AP66" s="143"/>
      <c r="AQ66" s="143"/>
      <c r="AR66" s="143"/>
      <c r="AS66" s="143"/>
      <c r="AT66" s="143"/>
      <c r="AU66" s="143"/>
      <c r="AV66" s="143"/>
      <c r="AW66" s="143"/>
      <c r="AX66" s="143"/>
      <c r="AY66" s="143"/>
      <c r="AZ66" s="143"/>
      <c r="BA66" s="143"/>
      <c r="BB66" s="143"/>
      <c r="BC66" s="143"/>
      <c r="BD66" s="143"/>
      <c r="BE66" s="143"/>
      <c r="BF66" s="143"/>
      <c r="BG66" s="143"/>
      <c r="BH66" s="143"/>
      <c r="BI66" s="143"/>
      <c r="BJ66" s="143"/>
      <c r="BK66" s="143"/>
      <c r="BL66" s="143"/>
      <c r="BM66" s="143"/>
      <c r="BN66" s="143"/>
      <c r="BO66" s="143"/>
      <c r="BP66" s="143"/>
      <c r="BQ66" s="143"/>
      <c r="BR66" s="143"/>
      <c r="BS66" s="143"/>
      <c r="BT66" s="143"/>
      <c r="BU66" s="143"/>
      <c r="BV66" s="143"/>
      <c r="BW66" s="143"/>
      <c r="BX66" s="143"/>
    </row>
    <row r="67" spans="1:76" ht="16" customHeight="1" thickTop="1">
      <c r="A67" s="171"/>
      <c r="B67" s="158" t="str">
        <f>'FIG3'!W55</f>
        <v>FA4L1</v>
      </c>
      <c r="C67" s="151" t="s">
        <v>1345</v>
      </c>
      <c r="D67" s="861">
        <f>'$REV-DSUM'!B586</f>
        <v>0</v>
      </c>
      <c r="E67" s="861">
        <f>'$REV-DB'!X15</f>
        <v>0</v>
      </c>
      <c r="F67" s="228">
        <f t="shared" si="0"/>
        <v>0</v>
      </c>
      <c r="G67" s="162"/>
      <c r="H67" s="162"/>
      <c r="I67" s="162"/>
      <c r="J67" s="143"/>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3"/>
      <c r="AI67" s="143"/>
      <c r="AJ67" s="143"/>
      <c r="AK67" s="143"/>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3"/>
      <c r="BH67" s="143"/>
      <c r="BI67" s="143"/>
      <c r="BJ67" s="143"/>
      <c r="BK67" s="143"/>
      <c r="BL67" s="143"/>
      <c r="BM67" s="143"/>
      <c r="BN67" s="143"/>
      <c r="BO67" s="143"/>
      <c r="BP67" s="143"/>
      <c r="BQ67" s="143"/>
      <c r="BR67" s="143"/>
      <c r="BS67" s="143"/>
      <c r="BT67" s="143"/>
      <c r="BU67" s="143"/>
      <c r="BV67" s="143"/>
      <c r="BW67" s="143"/>
      <c r="BX67" s="143"/>
    </row>
    <row r="68" spans="1:76" ht="16" customHeight="1">
      <c r="A68" s="171"/>
      <c r="B68" s="158" t="str">
        <f>'FIG3'!X55</f>
        <v>FA4L2</v>
      </c>
      <c r="C68" s="151" t="s">
        <v>1344</v>
      </c>
      <c r="D68" s="861">
        <f>'$REV-DSUM'!B596</f>
        <v>0</v>
      </c>
      <c r="E68" s="861">
        <f>'$REV-DB'!Y15</f>
        <v>0</v>
      </c>
      <c r="F68" s="228">
        <f t="shared" si="0"/>
        <v>0</v>
      </c>
      <c r="G68" s="162"/>
      <c r="H68" s="162"/>
      <c r="I68" s="162"/>
      <c r="J68" s="143"/>
      <c r="K68" s="143"/>
      <c r="L68" s="143"/>
      <c r="M68" s="143"/>
      <c r="N68" s="143"/>
      <c r="O68" s="143"/>
      <c r="P68" s="143"/>
      <c r="Q68" s="143"/>
      <c r="R68" s="143"/>
      <c r="S68" s="143"/>
      <c r="T68" s="143"/>
      <c r="U68" s="143"/>
      <c r="V68" s="143"/>
      <c r="W68" s="143"/>
      <c r="X68" s="143"/>
      <c r="Y68" s="143"/>
      <c r="Z68" s="143"/>
      <c r="AA68" s="143"/>
      <c r="AB68" s="143"/>
      <c r="AC68" s="143"/>
      <c r="AD68" s="143"/>
      <c r="AE68" s="143"/>
      <c r="AF68" s="143"/>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3"/>
      <c r="BH68" s="143"/>
      <c r="BI68" s="143"/>
      <c r="BJ68" s="143"/>
      <c r="BK68" s="143"/>
      <c r="BL68" s="143"/>
      <c r="BM68" s="143"/>
      <c r="BN68" s="143"/>
      <c r="BO68" s="143"/>
      <c r="BP68" s="143"/>
      <c r="BQ68" s="143"/>
      <c r="BR68" s="143"/>
      <c r="BS68" s="143"/>
      <c r="BT68" s="143"/>
      <c r="BU68" s="143"/>
      <c r="BV68" s="143"/>
      <c r="BW68" s="143"/>
      <c r="BX68" s="143"/>
    </row>
    <row r="69" spans="1:76" ht="16" customHeight="1">
      <c r="A69" s="171"/>
      <c r="B69" s="158" t="s">
        <v>1399</v>
      </c>
      <c r="C69" s="151" t="s">
        <v>1343</v>
      </c>
      <c r="D69" s="861">
        <f>'$REV-DSUM'!B606</f>
        <v>0</v>
      </c>
      <c r="E69" s="861">
        <f>'$REV-DB'!Z15</f>
        <v>0</v>
      </c>
      <c r="F69" s="228">
        <f t="shared" si="0"/>
        <v>0</v>
      </c>
      <c r="G69" s="162"/>
      <c r="H69" s="162"/>
      <c r="I69" s="162"/>
      <c r="J69" s="143"/>
      <c r="K69" s="143"/>
      <c r="L69" s="143"/>
      <c r="M69" s="143"/>
      <c r="N69" s="143"/>
      <c r="O69" s="143"/>
      <c r="P69" s="143"/>
      <c r="Q69" s="143"/>
      <c r="R69" s="143"/>
      <c r="S69" s="143"/>
      <c r="T69" s="143"/>
      <c r="U69" s="143"/>
      <c r="V69" s="143"/>
      <c r="W69" s="143"/>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143"/>
      <c r="BI69" s="143"/>
      <c r="BJ69" s="143"/>
      <c r="BK69" s="143"/>
      <c r="BL69" s="143"/>
      <c r="BM69" s="143"/>
      <c r="BN69" s="143"/>
      <c r="BO69" s="143"/>
      <c r="BP69" s="143"/>
      <c r="BQ69" s="143"/>
      <c r="BR69" s="143"/>
      <c r="BS69" s="143"/>
      <c r="BT69" s="143"/>
      <c r="BU69" s="143"/>
      <c r="BV69" s="143"/>
      <c r="BW69" s="143"/>
      <c r="BX69" s="143"/>
    </row>
    <row r="70" spans="1:76" ht="16" customHeight="1">
      <c r="A70" s="171"/>
      <c r="B70" s="158"/>
      <c r="C70" s="151" t="s">
        <v>1349</v>
      </c>
      <c r="D70" s="861">
        <f>'$REV-DSUM'!B616</f>
        <v>0</v>
      </c>
      <c r="E70" s="861">
        <f>'$REV-DB'!AA15</f>
        <v>0</v>
      </c>
      <c r="F70" s="228">
        <f t="shared" si="0"/>
        <v>0</v>
      </c>
      <c r="G70" s="162"/>
      <c r="H70" s="162"/>
      <c r="I70" s="162"/>
      <c r="J70" s="143"/>
      <c r="K70" s="143"/>
      <c r="L70" s="143"/>
      <c r="M70" s="143"/>
      <c r="N70" s="143"/>
      <c r="O70" s="143"/>
      <c r="P70" s="143"/>
      <c r="Q70" s="143"/>
      <c r="R70" s="143"/>
      <c r="S70" s="143"/>
      <c r="T70" s="143"/>
      <c r="U70" s="143"/>
      <c r="V70" s="143"/>
      <c r="W70" s="143"/>
      <c r="X70" s="143"/>
      <c r="Y70" s="143"/>
      <c r="Z70" s="143"/>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c r="BR70" s="143"/>
      <c r="BS70" s="143"/>
      <c r="BT70" s="143"/>
      <c r="BU70" s="143"/>
      <c r="BV70" s="143"/>
      <c r="BW70" s="143"/>
      <c r="BX70" s="143"/>
    </row>
    <row r="71" spans="1:76" ht="16" customHeight="1">
      <c r="A71" s="171"/>
      <c r="B71" s="158"/>
      <c r="C71" s="146" t="s">
        <v>1177</v>
      </c>
      <c r="D71" s="861">
        <f>'$REV-DSUM'!B626</f>
        <v>0</v>
      </c>
      <c r="E71" s="861">
        <f>'$REV-DB'!AB15</f>
        <v>0</v>
      </c>
      <c r="F71" s="228">
        <f t="shared" si="0"/>
        <v>0</v>
      </c>
      <c r="G71" s="162"/>
      <c r="H71" s="162"/>
      <c r="I71" s="162"/>
      <c r="J71" s="143"/>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143"/>
      <c r="BR71" s="143"/>
      <c r="BS71" s="143"/>
      <c r="BT71" s="143"/>
      <c r="BU71" s="143"/>
      <c r="BV71" s="143"/>
      <c r="BW71" s="143"/>
      <c r="BX71" s="143"/>
    </row>
    <row r="72" spans="1:76" ht="16" customHeight="1">
      <c r="A72" s="171"/>
      <c r="B72" s="159"/>
      <c r="C72" s="152" t="s">
        <v>1350</v>
      </c>
      <c r="D72" s="862">
        <f>'$REV-DSUM'!B636</f>
        <v>0</v>
      </c>
      <c r="E72" s="862">
        <f>'$REV-DB'!AC15</f>
        <v>0</v>
      </c>
      <c r="F72" s="229">
        <f t="shared" si="0"/>
        <v>0</v>
      </c>
      <c r="G72" s="162"/>
      <c r="H72" s="162"/>
      <c r="I72" s="162"/>
      <c r="J72" s="143"/>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3"/>
      <c r="AI72" s="143"/>
      <c r="AJ72" s="143"/>
      <c r="AK72" s="143"/>
      <c r="AL72" s="143"/>
      <c r="AM72" s="143"/>
      <c r="AN72" s="143"/>
      <c r="AO72" s="143"/>
      <c r="AP72" s="143"/>
      <c r="AQ72" s="143"/>
      <c r="AR72" s="143"/>
      <c r="AS72" s="143"/>
      <c r="AT72" s="143"/>
      <c r="AU72" s="143"/>
      <c r="AV72" s="143"/>
      <c r="AW72" s="143"/>
      <c r="AX72" s="143"/>
      <c r="AY72" s="143"/>
      <c r="AZ72" s="143"/>
      <c r="BA72" s="143"/>
      <c r="BB72" s="143"/>
      <c r="BC72" s="143"/>
      <c r="BD72" s="143"/>
      <c r="BE72" s="143"/>
      <c r="BF72" s="143"/>
      <c r="BG72" s="143"/>
      <c r="BH72" s="143"/>
      <c r="BI72" s="143"/>
      <c r="BJ72" s="143"/>
      <c r="BK72" s="143"/>
      <c r="BL72" s="143"/>
      <c r="BM72" s="143"/>
      <c r="BN72" s="143"/>
      <c r="BO72" s="143"/>
      <c r="BP72" s="143"/>
      <c r="BQ72" s="143"/>
      <c r="BR72" s="143"/>
      <c r="BS72" s="143"/>
      <c r="BT72" s="143"/>
      <c r="BU72" s="143"/>
      <c r="BV72" s="143"/>
      <c r="BW72" s="143"/>
      <c r="BX72" s="143"/>
    </row>
    <row r="73" spans="1:76" ht="16" customHeight="1" thickBot="1">
      <c r="A73" s="171"/>
      <c r="B73" s="157" t="str">
        <f>B66</f>
        <v>FA4</v>
      </c>
      <c r="C73" s="150" t="s">
        <v>1346</v>
      </c>
      <c r="D73" s="860">
        <f>'$REV-DSUM'!B646</f>
        <v>0</v>
      </c>
      <c r="E73" s="860">
        <f>'$REV-DB'!AD16</f>
        <v>0</v>
      </c>
      <c r="F73" s="227">
        <f>D73-E73</f>
        <v>0</v>
      </c>
      <c r="G73" s="162"/>
      <c r="H73" s="162"/>
      <c r="I73" s="162"/>
      <c r="J73" s="143"/>
      <c r="K73" s="143"/>
      <c r="L73" s="143"/>
      <c r="M73" s="143"/>
      <c r="N73" s="143"/>
      <c r="O73" s="143"/>
      <c r="P73" s="143"/>
      <c r="Q73" s="143"/>
      <c r="R73" s="143"/>
      <c r="S73" s="143"/>
      <c r="T73" s="143"/>
      <c r="U73" s="143"/>
      <c r="V73" s="143"/>
      <c r="W73" s="143"/>
      <c r="X73" s="143"/>
      <c r="Y73" s="143"/>
      <c r="Z73" s="143"/>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143"/>
      <c r="BS73" s="143"/>
      <c r="BT73" s="143"/>
      <c r="BU73" s="143"/>
      <c r="BV73" s="143"/>
      <c r="BW73" s="143"/>
      <c r="BX73" s="143"/>
    </row>
    <row r="74" spans="1:76" ht="16" customHeight="1" thickTop="1">
      <c r="A74" s="171"/>
      <c r="B74" s="158" t="str">
        <f>B67</f>
        <v>FA4L1</v>
      </c>
      <c r="C74" s="151" t="s">
        <v>1345</v>
      </c>
      <c r="D74" s="861">
        <f>'$REV-DSUM'!B656</f>
        <v>0</v>
      </c>
      <c r="E74" s="861">
        <f>'$REV-DB'!X16</f>
        <v>0</v>
      </c>
      <c r="F74" s="228">
        <f t="shared" si="0"/>
        <v>0</v>
      </c>
      <c r="G74" s="162"/>
      <c r="H74" s="162"/>
      <c r="I74" s="162"/>
      <c r="J74" s="143"/>
      <c r="K74" s="143"/>
      <c r="L74" s="143"/>
      <c r="M74" s="143"/>
      <c r="N74" s="143"/>
      <c r="O74" s="143"/>
      <c r="P74" s="143"/>
      <c r="Q74" s="143"/>
      <c r="R74" s="143"/>
      <c r="S74" s="143"/>
      <c r="T74" s="143"/>
      <c r="U74" s="143"/>
      <c r="V74" s="143"/>
      <c r="W74" s="143"/>
      <c r="X74" s="143"/>
      <c r="Y74" s="143"/>
      <c r="Z74" s="143"/>
      <c r="AA74" s="143"/>
      <c r="AB74" s="143"/>
      <c r="AC74" s="143"/>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143"/>
      <c r="BR74" s="143"/>
      <c r="BS74" s="143"/>
      <c r="BT74" s="143"/>
      <c r="BU74" s="143"/>
      <c r="BV74" s="143"/>
      <c r="BW74" s="143"/>
      <c r="BX74" s="143"/>
    </row>
    <row r="75" spans="1:76" ht="16" customHeight="1">
      <c r="A75" s="171"/>
      <c r="B75" s="158" t="str">
        <f>B68</f>
        <v>FA4L2</v>
      </c>
      <c r="C75" s="151" t="s">
        <v>1344</v>
      </c>
      <c r="D75" s="861">
        <f>'$REV-DSUM'!B666</f>
        <v>0</v>
      </c>
      <c r="E75" s="861">
        <f>'$REV-DB'!Y16</f>
        <v>0</v>
      </c>
      <c r="F75" s="228">
        <f t="shared" si="0"/>
        <v>0</v>
      </c>
      <c r="G75" s="162"/>
      <c r="H75" s="162"/>
      <c r="I75" s="162"/>
      <c r="J75" s="143"/>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3"/>
      <c r="AI75" s="143"/>
      <c r="AJ75" s="143"/>
      <c r="AK75" s="143"/>
      <c r="AL75" s="143"/>
      <c r="AM75" s="143"/>
      <c r="AN75" s="143"/>
      <c r="AO75" s="143"/>
      <c r="AP75" s="143"/>
      <c r="AQ75" s="143"/>
      <c r="AR75" s="143"/>
      <c r="AS75" s="143"/>
      <c r="AT75" s="143"/>
      <c r="AU75" s="143"/>
      <c r="AV75" s="143"/>
      <c r="AW75" s="143"/>
      <c r="AX75" s="143"/>
      <c r="AY75" s="143"/>
      <c r="AZ75" s="143"/>
      <c r="BA75" s="143"/>
      <c r="BB75" s="143"/>
      <c r="BC75" s="143"/>
      <c r="BD75" s="143"/>
      <c r="BE75" s="143"/>
      <c r="BF75" s="143"/>
      <c r="BG75" s="143"/>
      <c r="BH75" s="143"/>
      <c r="BI75" s="143"/>
      <c r="BJ75" s="143"/>
      <c r="BK75" s="143"/>
      <c r="BL75" s="143"/>
      <c r="BM75" s="143"/>
      <c r="BN75" s="143"/>
      <c r="BO75" s="143"/>
      <c r="BP75" s="143"/>
      <c r="BQ75" s="143"/>
      <c r="BR75" s="143"/>
      <c r="BS75" s="143"/>
      <c r="BT75" s="143"/>
      <c r="BU75" s="143"/>
      <c r="BV75" s="143"/>
      <c r="BW75" s="143"/>
      <c r="BX75" s="143"/>
    </row>
    <row r="76" spans="1:76" ht="16" customHeight="1">
      <c r="A76" s="171"/>
      <c r="B76" s="158" t="s">
        <v>1375</v>
      </c>
      <c r="C76" s="151" t="s">
        <v>1343</v>
      </c>
      <c r="D76" s="861">
        <f>'$REV-DSUM'!B676</f>
        <v>0</v>
      </c>
      <c r="E76" s="861">
        <f>'$REV-DB'!Z16</f>
        <v>0</v>
      </c>
      <c r="F76" s="228">
        <f t="shared" si="0"/>
        <v>0</v>
      </c>
      <c r="G76" s="162"/>
      <c r="H76" s="162"/>
      <c r="I76" s="162"/>
      <c r="J76" s="143"/>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43"/>
      <c r="AH76" s="143"/>
      <c r="AI76" s="143"/>
      <c r="AJ76" s="143"/>
      <c r="AK76" s="143"/>
      <c r="AL76" s="143"/>
      <c r="AM76" s="143"/>
      <c r="AN76" s="143"/>
      <c r="AO76" s="143"/>
      <c r="AP76" s="143"/>
      <c r="AQ76" s="143"/>
      <c r="AR76" s="143"/>
      <c r="AS76" s="143"/>
      <c r="AT76" s="143"/>
      <c r="AU76" s="143"/>
      <c r="AV76" s="143"/>
      <c r="AW76" s="143"/>
      <c r="AX76" s="143"/>
      <c r="AY76" s="143"/>
      <c r="AZ76" s="143"/>
      <c r="BA76" s="143"/>
      <c r="BB76" s="143"/>
      <c r="BC76" s="143"/>
      <c r="BD76" s="143"/>
      <c r="BE76" s="143"/>
      <c r="BF76" s="143"/>
      <c r="BG76" s="143"/>
      <c r="BH76" s="143"/>
      <c r="BI76" s="143"/>
      <c r="BJ76" s="143"/>
      <c r="BK76" s="143"/>
      <c r="BL76" s="143"/>
      <c r="BM76" s="143"/>
      <c r="BN76" s="143"/>
      <c r="BO76" s="143"/>
      <c r="BP76" s="143"/>
      <c r="BQ76" s="143"/>
      <c r="BR76" s="143"/>
      <c r="BS76" s="143"/>
      <c r="BT76" s="143"/>
      <c r="BU76" s="143"/>
      <c r="BV76" s="143"/>
      <c r="BW76" s="143"/>
      <c r="BX76" s="143"/>
    </row>
    <row r="77" spans="1:76" ht="16" customHeight="1">
      <c r="A77" s="171"/>
      <c r="B77" s="158"/>
      <c r="C77" s="151" t="s">
        <v>1349</v>
      </c>
      <c r="D77" s="861">
        <f>'$REV-DSUM'!B686</f>
        <v>0</v>
      </c>
      <c r="E77" s="861">
        <f>'$REV-DB'!AA16</f>
        <v>0</v>
      </c>
      <c r="F77" s="228">
        <f t="shared" si="0"/>
        <v>0</v>
      </c>
      <c r="G77" s="162"/>
      <c r="H77" s="162"/>
      <c r="I77" s="162"/>
      <c r="J77" s="143"/>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43"/>
      <c r="BH77" s="143"/>
      <c r="BI77" s="143"/>
      <c r="BJ77" s="143"/>
      <c r="BK77" s="143"/>
      <c r="BL77" s="143"/>
      <c r="BM77" s="143"/>
      <c r="BN77" s="143"/>
      <c r="BO77" s="143"/>
      <c r="BP77" s="143"/>
      <c r="BQ77" s="143"/>
      <c r="BR77" s="143"/>
      <c r="BS77" s="143"/>
      <c r="BT77" s="143"/>
      <c r="BU77" s="143"/>
      <c r="BV77" s="143"/>
      <c r="BW77" s="143"/>
      <c r="BX77" s="143"/>
    </row>
    <row r="78" spans="1:76" ht="16" customHeight="1">
      <c r="A78" s="171"/>
      <c r="B78" s="158"/>
      <c r="C78" s="146" t="s">
        <v>1177</v>
      </c>
      <c r="D78" s="861">
        <f>'$REV-DSUM'!B696</f>
        <v>0</v>
      </c>
      <c r="E78" s="861">
        <f>'$REV-DB'!AB16</f>
        <v>0</v>
      </c>
      <c r="F78" s="228">
        <f t="shared" si="0"/>
        <v>0</v>
      </c>
      <c r="G78" s="162"/>
      <c r="H78" s="162"/>
      <c r="I78" s="162"/>
      <c r="J78" s="143"/>
      <c r="K78" s="143"/>
      <c r="L78" s="143"/>
      <c r="M78" s="143"/>
      <c r="N78" s="143"/>
      <c r="O78" s="143"/>
      <c r="P78" s="143"/>
      <c r="Q78" s="143"/>
      <c r="R78" s="143"/>
      <c r="S78" s="143"/>
      <c r="T78" s="143"/>
      <c r="U78" s="143"/>
      <c r="V78" s="143"/>
      <c r="W78" s="143"/>
      <c r="X78" s="143"/>
      <c r="Y78" s="143"/>
      <c r="Z78" s="143"/>
      <c r="AA78" s="143"/>
      <c r="AB78" s="143"/>
      <c r="AC78" s="143"/>
      <c r="AD78" s="143"/>
      <c r="AE78" s="143"/>
      <c r="AF78" s="143"/>
      <c r="AG78" s="143"/>
      <c r="AH78" s="143"/>
      <c r="AI78" s="143"/>
      <c r="AJ78" s="143"/>
      <c r="AK78" s="143"/>
      <c r="AL78" s="143"/>
      <c r="AM78" s="143"/>
      <c r="AN78" s="143"/>
      <c r="AO78" s="143"/>
      <c r="AP78" s="143"/>
      <c r="AQ78" s="143"/>
      <c r="AR78" s="143"/>
      <c r="AS78" s="143"/>
      <c r="AT78" s="143"/>
      <c r="AU78" s="143"/>
      <c r="AV78" s="143"/>
      <c r="AW78" s="143"/>
      <c r="AX78" s="143"/>
      <c r="AY78" s="143"/>
      <c r="AZ78" s="143"/>
      <c r="BA78" s="143"/>
      <c r="BB78" s="143"/>
      <c r="BC78" s="143"/>
      <c r="BD78" s="143"/>
      <c r="BE78" s="143"/>
      <c r="BF78" s="143"/>
      <c r="BG78" s="143"/>
      <c r="BH78" s="143"/>
      <c r="BI78" s="143"/>
      <c r="BJ78" s="143"/>
      <c r="BK78" s="143"/>
      <c r="BL78" s="143"/>
      <c r="BM78" s="143"/>
      <c r="BN78" s="143"/>
      <c r="BO78" s="143"/>
      <c r="BP78" s="143"/>
      <c r="BQ78" s="143"/>
      <c r="BR78" s="143"/>
      <c r="BS78" s="143"/>
      <c r="BT78" s="143"/>
      <c r="BU78" s="143"/>
      <c r="BV78" s="143"/>
      <c r="BW78" s="143"/>
      <c r="BX78" s="143"/>
    </row>
    <row r="79" spans="1:76" ht="16" customHeight="1">
      <c r="A79" s="171"/>
      <c r="B79" s="159"/>
      <c r="C79" s="152" t="s">
        <v>1350</v>
      </c>
      <c r="D79" s="862">
        <f>'$REV-DSUM'!B706</f>
        <v>0</v>
      </c>
      <c r="E79" s="862">
        <f>'$REV-DB'!AC16</f>
        <v>0</v>
      </c>
      <c r="F79" s="229">
        <f t="shared" si="0"/>
        <v>0</v>
      </c>
      <c r="G79" s="162"/>
      <c r="H79" s="162"/>
      <c r="I79" s="162"/>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c r="AG79" s="143"/>
      <c r="AH79" s="143"/>
      <c r="AI79" s="143"/>
      <c r="AJ79" s="143"/>
      <c r="AK79" s="143"/>
      <c r="AL79" s="143"/>
      <c r="AM79" s="143"/>
      <c r="AN79" s="143"/>
      <c r="AO79" s="143"/>
      <c r="AP79" s="143"/>
      <c r="AQ79" s="143"/>
      <c r="AR79" s="143"/>
      <c r="AS79" s="143"/>
      <c r="AT79" s="143"/>
      <c r="AU79" s="143"/>
      <c r="AV79" s="143"/>
      <c r="AW79" s="143"/>
      <c r="AX79" s="143"/>
      <c r="AY79" s="143"/>
      <c r="AZ79" s="143"/>
      <c r="BA79" s="143"/>
      <c r="BB79" s="143"/>
      <c r="BC79" s="143"/>
      <c r="BD79" s="143"/>
      <c r="BE79" s="143"/>
      <c r="BF79" s="143"/>
      <c r="BG79" s="143"/>
      <c r="BH79" s="143"/>
      <c r="BI79" s="143"/>
      <c r="BJ79" s="143"/>
      <c r="BK79" s="143"/>
      <c r="BL79" s="143"/>
      <c r="BM79" s="143"/>
      <c r="BN79" s="143"/>
      <c r="BO79" s="143"/>
      <c r="BP79" s="143"/>
      <c r="BQ79" s="143"/>
      <c r="BR79" s="143"/>
      <c r="BS79" s="143"/>
      <c r="BT79" s="143"/>
      <c r="BU79" s="143"/>
      <c r="BV79" s="143"/>
      <c r="BW79" s="143"/>
      <c r="BX79" s="143"/>
    </row>
    <row r="80" spans="1:76" ht="16" customHeight="1" thickBot="1">
      <c r="A80" s="171"/>
      <c r="B80" s="157" t="str">
        <f>'FIG3'!V56</f>
        <v>FA5</v>
      </c>
      <c r="C80" s="150" t="s">
        <v>1346</v>
      </c>
      <c r="D80" s="860">
        <f>'$REV-DSUM'!B716</f>
        <v>0</v>
      </c>
      <c r="E80" s="860">
        <f>'$REV-DB'!AD17</f>
        <v>0</v>
      </c>
      <c r="F80" s="227">
        <f>D80-E80</f>
        <v>0</v>
      </c>
      <c r="G80" s="162"/>
      <c r="H80" s="162"/>
      <c r="I80" s="162"/>
      <c r="J80" s="143"/>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3"/>
      <c r="AI80" s="143"/>
      <c r="AJ80" s="143"/>
      <c r="AK80" s="143"/>
      <c r="AL80" s="143"/>
      <c r="AM80" s="143"/>
      <c r="AN80" s="143"/>
      <c r="AO80" s="143"/>
      <c r="AP80" s="143"/>
      <c r="AQ80" s="143"/>
      <c r="AR80" s="143"/>
      <c r="AS80" s="143"/>
      <c r="AT80" s="143"/>
      <c r="AU80" s="143"/>
      <c r="AV80" s="143"/>
      <c r="AW80" s="143"/>
      <c r="AX80" s="143"/>
      <c r="AY80" s="143"/>
      <c r="AZ80" s="143"/>
      <c r="BA80" s="143"/>
      <c r="BB80" s="143"/>
      <c r="BC80" s="143"/>
      <c r="BD80" s="143"/>
      <c r="BE80" s="143"/>
      <c r="BF80" s="143"/>
      <c r="BG80" s="143"/>
      <c r="BH80" s="143"/>
      <c r="BI80" s="143"/>
      <c r="BJ80" s="143"/>
      <c r="BK80" s="143"/>
      <c r="BL80" s="143"/>
      <c r="BM80" s="143"/>
      <c r="BN80" s="143"/>
      <c r="BO80" s="143"/>
      <c r="BP80" s="143"/>
      <c r="BQ80" s="143"/>
      <c r="BR80" s="143"/>
      <c r="BS80" s="143"/>
      <c r="BT80" s="143"/>
      <c r="BU80" s="143"/>
      <c r="BV80" s="143"/>
      <c r="BW80" s="143"/>
      <c r="BX80" s="143"/>
    </row>
    <row r="81" spans="1:76" ht="16" customHeight="1" thickTop="1">
      <c r="A81" s="171"/>
      <c r="B81" s="158" t="str">
        <f>'FIG3'!W56</f>
        <v>FA5L1</v>
      </c>
      <c r="C81" s="151" t="s">
        <v>1345</v>
      </c>
      <c r="D81" s="861">
        <f>'$REV-DSUM'!B726</f>
        <v>0</v>
      </c>
      <c r="E81" s="861">
        <f>'$REV-DB'!X17</f>
        <v>0</v>
      </c>
      <c r="F81" s="228">
        <f t="shared" si="0"/>
        <v>0</v>
      </c>
      <c r="G81" s="162"/>
      <c r="H81" s="162"/>
      <c r="I81" s="162"/>
      <c r="J81" s="143"/>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3"/>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143"/>
      <c r="BR81" s="143"/>
      <c r="BS81" s="143"/>
      <c r="BT81" s="143"/>
      <c r="BU81" s="143"/>
      <c r="BV81" s="143"/>
      <c r="BW81" s="143"/>
      <c r="BX81" s="143"/>
    </row>
    <row r="82" spans="1:76" ht="16" customHeight="1">
      <c r="A82" s="171"/>
      <c r="B82" s="158" t="str">
        <f>'FIG3'!X56</f>
        <v>FA5L2</v>
      </c>
      <c r="C82" s="151" t="s">
        <v>1344</v>
      </c>
      <c r="D82" s="861">
        <f>'$REV-DSUM'!B736</f>
        <v>0</v>
      </c>
      <c r="E82" s="861">
        <f>'$REV-DB'!Y17</f>
        <v>0</v>
      </c>
      <c r="F82" s="228">
        <f t="shared" si="0"/>
        <v>0</v>
      </c>
      <c r="G82" s="162"/>
      <c r="H82" s="162"/>
      <c r="I82" s="162"/>
      <c r="J82" s="143"/>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3"/>
      <c r="AI82" s="143"/>
      <c r="AJ82" s="143"/>
      <c r="AK82" s="143"/>
      <c r="AL82" s="143"/>
      <c r="AM82" s="143"/>
      <c r="AN82" s="143"/>
      <c r="AO82" s="143"/>
      <c r="AP82" s="143"/>
      <c r="AQ82" s="143"/>
      <c r="AR82" s="143"/>
      <c r="AS82" s="143"/>
      <c r="AT82" s="143"/>
      <c r="AU82" s="143"/>
      <c r="AV82" s="143"/>
      <c r="AW82" s="143"/>
      <c r="AX82" s="143"/>
      <c r="AY82" s="143"/>
      <c r="AZ82" s="143"/>
      <c r="BA82" s="143"/>
      <c r="BB82" s="143"/>
      <c r="BC82" s="143"/>
      <c r="BD82" s="143"/>
      <c r="BE82" s="143"/>
      <c r="BF82" s="143"/>
      <c r="BG82" s="143"/>
      <c r="BH82" s="143"/>
      <c r="BI82" s="143"/>
      <c r="BJ82" s="143"/>
      <c r="BK82" s="143"/>
      <c r="BL82" s="143"/>
      <c r="BM82" s="143"/>
      <c r="BN82" s="143"/>
      <c r="BO82" s="143"/>
      <c r="BP82" s="143"/>
      <c r="BQ82" s="143"/>
      <c r="BR82" s="143"/>
      <c r="BS82" s="143"/>
      <c r="BT82" s="143"/>
      <c r="BU82" s="143"/>
      <c r="BV82" s="143"/>
      <c r="BW82" s="143"/>
      <c r="BX82" s="143"/>
    </row>
    <row r="83" spans="1:76" ht="16" customHeight="1">
      <c r="A83" s="171"/>
      <c r="B83" s="158" t="s">
        <v>1399</v>
      </c>
      <c r="C83" s="151" t="s">
        <v>1343</v>
      </c>
      <c r="D83" s="861">
        <f>'$REV-DSUM'!B746</f>
        <v>0</v>
      </c>
      <c r="E83" s="861">
        <f>'$REV-DB'!Z17</f>
        <v>0</v>
      </c>
      <c r="F83" s="228">
        <f t="shared" si="0"/>
        <v>0</v>
      </c>
      <c r="G83" s="162"/>
      <c r="H83" s="162"/>
      <c r="I83" s="162"/>
      <c r="J83" s="143"/>
      <c r="K83" s="143"/>
      <c r="L83" s="143"/>
      <c r="M83" s="143"/>
      <c r="N83" s="143"/>
      <c r="O83" s="143"/>
      <c r="P83" s="143"/>
      <c r="Q83" s="143"/>
      <c r="R83" s="143"/>
      <c r="S83" s="143"/>
      <c r="T83" s="143"/>
      <c r="U83" s="143"/>
      <c r="V83" s="143"/>
      <c r="W83" s="143"/>
      <c r="X83" s="143"/>
      <c r="Y83" s="143"/>
      <c r="Z83" s="143"/>
      <c r="AA83" s="143"/>
      <c r="AB83" s="143"/>
      <c r="AC83" s="143"/>
      <c r="AD83" s="143"/>
      <c r="AE83" s="143"/>
      <c r="AF83" s="143"/>
      <c r="AG83" s="143"/>
      <c r="AH83" s="143"/>
      <c r="AI83" s="143"/>
      <c r="AJ83" s="143"/>
      <c r="AK83" s="143"/>
      <c r="AL83" s="143"/>
      <c r="AM83" s="143"/>
      <c r="AN83" s="143"/>
      <c r="AO83" s="143"/>
      <c r="AP83" s="143"/>
      <c r="AQ83" s="143"/>
      <c r="AR83" s="143"/>
      <c r="AS83" s="143"/>
      <c r="AT83" s="143"/>
      <c r="AU83" s="143"/>
      <c r="AV83" s="143"/>
      <c r="AW83" s="143"/>
      <c r="AX83" s="143"/>
      <c r="AY83" s="143"/>
      <c r="AZ83" s="143"/>
      <c r="BA83" s="143"/>
      <c r="BB83" s="143"/>
      <c r="BC83" s="143"/>
      <c r="BD83" s="143"/>
      <c r="BE83" s="143"/>
      <c r="BF83" s="143"/>
      <c r="BG83" s="143"/>
      <c r="BH83" s="143"/>
      <c r="BI83" s="143"/>
      <c r="BJ83" s="143"/>
      <c r="BK83" s="143"/>
      <c r="BL83" s="143"/>
      <c r="BM83" s="143"/>
      <c r="BN83" s="143"/>
      <c r="BO83" s="143"/>
      <c r="BP83" s="143"/>
      <c r="BQ83" s="143"/>
      <c r="BR83" s="143"/>
      <c r="BS83" s="143"/>
      <c r="BT83" s="143"/>
      <c r="BU83" s="143"/>
      <c r="BV83" s="143"/>
      <c r="BW83" s="143"/>
      <c r="BX83" s="143"/>
    </row>
    <row r="84" spans="1:76" ht="16" customHeight="1">
      <c r="A84" s="171"/>
      <c r="B84" s="158"/>
      <c r="C84" s="151" t="s">
        <v>1349</v>
      </c>
      <c r="D84" s="861">
        <f>'$REV-DSUM'!B756</f>
        <v>0</v>
      </c>
      <c r="E84" s="861">
        <f>'$REV-DB'!AA17</f>
        <v>0</v>
      </c>
      <c r="F84" s="228">
        <f t="shared" si="0"/>
        <v>0</v>
      </c>
      <c r="G84" s="162"/>
      <c r="H84" s="162"/>
      <c r="I84" s="162"/>
      <c r="J84" s="143"/>
      <c r="K84" s="143"/>
      <c r="L84" s="143"/>
      <c r="M84" s="143"/>
      <c r="N84" s="143"/>
      <c r="O84" s="143"/>
      <c r="P84" s="143"/>
      <c r="Q84" s="143"/>
      <c r="R84" s="143"/>
      <c r="S84" s="143"/>
      <c r="T84" s="143"/>
      <c r="U84" s="143"/>
      <c r="V84" s="143"/>
      <c r="W84" s="143"/>
      <c r="X84" s="143"/>
      <c r="Y84" s="143"/>
      <c r="Z84" s="143"/>
      <c r="AA84" s="143"/>
      <c r="AB84" s="143"/>
      <c r="AC84" s="143"/>
      <c r="AD84" s="143"/>
      <c r="AE84" s="143"/>
      <c r="AF84" s="143"/>
      <c r="AG84" s="143"/>
      <c r="AH84" s="143"/>
      <c r="AI84" s="143"/>
      <c r="AJ84" s="143"/>
      <c r="AK84" s="143"/>
      <c r="AL84" s="143"/>
      <c r="AM84" s="143"/>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3"/>
      <c r="BR84" s="143"/>
      <c r="BS84" s="143"/>
      <c r="BT84" s="143"/>
      <c r="BU84" s="143"/>
      <c r="BV84" s="143"/>
      <c r="BW84" s="143"/>
      <c r="BX84" s="143"/>
    </row>
    <row r="85" spans="1:76" ht="16" customHeight="1">
      <c r="A85" s="171"/>
      <c r="B85" s="158"/>
      <c r="C85" s="146" t="s">
        <v>1177</v>
      </c>
      <c r="D85" s="861">
        <f>'$REV-DSUM'!B766</f>
        <v>0</v>
      </c>
      <c r="E85" s="861">
        <f>'$REV-DB'!AB17</f>
        <v>0</v>
      </c>
      <c r="F85" s="228">
        <f t="shared" si="0"/>
        <v>0</v>
      </c>
      <c r="G85" s="162"/>
      <c r="H85" s="162"/>
      <c r="I85" s="162"/>
      <c r="J85" s="143"/>
      <c r="K85" s="143"/>
      <c r="L85" s="143"/>
      <c r="M85" s="143"/>
      <c r="N85" s="143"/>
      <c r="O85" s="143"/>
      <c r="P85" s="143"/>
      <c r="Q85" s="143"/>
      <c r="R85" s="143"/>
      <c r="S85" s="143"/>
      <c r="T85" s="143"/>
      <c r="U85" s="143"/>
      <c r="V85" s="143"/>
      <c r="W85" s="143"/>
      <c r="X85" s="143"/>
      <c r="Y85" s="143"/>
      <c r="Z85" s="143"/>
      <c r="AA85" s="143"/>
      <c r="AB85" s="143"/>
      <c r="AC85" s="143"/>
      <c r="AD85" s="143"/>
      <c r="AE85" s="143"/>
      <c r="AF85" s="143"/>
      <c r="AG85" s="143"/>
      <c r="AH85" s="143"/>
      <c r="AI85" s="143"/>
      <c r="AJ85" s="143"/>
      <c r="AK85" s="143"/>
      <c r="AL85" s="143"/>
      <c r="AM85" s="143"/>
      <c r="AN85" s="143"/>
      <c r="AO85" s="143"/>
      <c r="AP85" s="143"/>
      <c r="AQ85" s="143"/>
      <c r="AR85" s="143"/>
      <c r="AS85" s="143"/>
      <c r="AT85" s="143"/>
      <c r="AU85" s="143"/>
      <c r="AV85" s="143"/>
      <c r="AW85" s="143"/>
      <c r="AX85" s="143"/>
      <c r="AY85" s="143"/>
      <c r="AZ85" s="143"/>
      <c r="BA85" s="143"/>
      <c r="BB85" s="143"/>
      <c r="BC85" s="143"/>
      <c r="BD85" s="143"/>
      <c r="BE85" s="143"/>
      <c r="BF85" s="143"/>
      <c r="BG85" s="143"/>
      <c r="BH85" s="143"/>
      <c r="BI85" s="143"/>
      <c r="BJ85" s="143"/>
      <c r="BK85" s="143"/>
      <c r="BL85" s="143"/>
      <c r="BM85" s="143"/>
      <c r="BN85" s="143"/>
      <c r="BO85" s="143"/>
      <c r="BP85" s="143"/>
      <c r="BQ85" s="143"/>
      <c r="BR85" s="143"/>
      <c r="BS85" s="143"/>
      <c r="BT85" s="143"/>
      <c r="BU85" s="143"/>
      <c r="BV85" s="143"/>
      <c r="BW85" s="143"/>
      <c r="BX85" s="143"/>
    </row>
    <row r="86" spans="1:76" ht="16" customHeight="1">
      <c r="A86" s="171"/>
      <c r="B86" s="159"/>
      <c r="C86" s="152" t="s">
        <v>1350</v>
      </c>
      <c r="D86" s="862">
        <f>'$REV-DSUM'!B776</f>
        <v>0</v>
      </c>
      <c r="E86" s="862">
        <f>'$REV-DB'!AC17</f>
        <v>0</v>
      </c>
      <c r="F86" s="229">
        <f>D86-E86</f>
        <v>0</v>
      </c>
      <c r="G86" s="162"/>
      <c r="H86" s="162"/>
      <c r="I86" s="162"/>
      <c r="J86" s="143"/>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3"/>
      <c r="AI86" s="143"/>
      <c r="AJ86" s="143"/>
      <c r="AK86" s="143"/>
      <c r="AL86" s="143"/>
      <c r="AM86" s="143"/>
      <c r="AN86" s="143"/>
      <c r="AO86" s="143"/>
      <c r="AP86" s="143"/>
      <c r="AQ86" s="143"/>
      <c r="AR86" s="143"/>
      <c r="AS86" s="143"/>
      <c r="AT86" s="143"/>
      <c r="AU86" s="143"/>
      <c r="AV86" s="143"/>
      <c r="AW86" s="143"/>
      <c r="AX86" s="143"/>
      <c r="AY86" s="143"/>
      <c r="AZ86" s="143"/>
      <c r="BA86" s="143"/>
      <c r="BB86" s="143"/>
      <c r="BC86" s="143"/>
      <c r="BD86" s="143"/>
      <c r="BE86" s="143"/>
      <c r="BF86" s="143"/>
      <c r="BG86" s="143"/>
      <c r="BH86" s="143"/>
      <c r="BI86" s="143"/>
      <c r="BJ86" s="143"/>
      <c r="BK86" s="143"/>
      <c r="BL86" s="143"/>
      <c r="BM86" s="143"/>
      <c r="BN86" s="143"/>
      <c r="BO86" s="143"/>
      <c r="BP86" s="143"/>
      <c r="BQ86" s="143"/>
      <c r="BR86" s="143"/>
      <c r="BS86" s="143"/>
      <c r="BT86" s="143"/>
      <c r="BU86" s="143"/>
      <c r="BV86" s="143"/>
      <c r="BW86" s="143"/>
      <c r="BX86" s="143"/>
    </row>
    <row r="87" spans="1:76" ht="16" customHeight="1" thickBot="1">
      <c r="A87" s="171"/>
      <c r="B87" s="157" t="str">
        <f>B80</f>
        <v>FA5</v>
      </c>
      <c r="C87" s="150" t="s">
        <v>1346</v>
      </c>
      <c r="D87" s="860">
        <f>'$REV-DSUM'!B786</f>
        <v>0</v>
      </c>
      <c r="E87" s="860">
        <f>'$REV-DB'!AD18</f>
        <v>0</v>
      </c>
      <c r="F87" s="227">
        <f>D87-E87</f>
        <v>0</v>
      </c>
      <c r="G87" s="162"/>
      <c r="H87" s="162"/>
      <c r="I87" s="162"/>
      <c r="J87" s="143"/>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3"/>
      <c r="AI87" s="143"/>
      <c r="AJ87" s="143"/>
      <c r="AK87" s="143"/>
      <c r="AL87" s="143"/>
      <c r="AM87" s="143"/>
      <c r="AN87" s="143"/>
      <c r="AO87" s="143"/>
      <c r="AP87" s="143"/>
      <c r="AQ87" s="143"/>
      <c r="AR87" s="143"/>
      <c r="AS87" s="143"/>
      <c r="AT87" s="143"/>
      <c r="AU87" s="143"/>
      <c r="AV87" s="143"/>
      <c r="AW87" s="143"/>
      <c r="AX87" s="143"/>
      <c r="AY87" s="143"/>
      <c r="AZ87" s="143"/>
      <c r="BA87" s="143"/>
      <c r="BB87" s="143"/>
      <c r="BC87" s="143"/>
      <c r="BD87" s="143"/>
      <c r="BE87" s="143"/>
      <c r="BF87" s="143"/>
      <c r="BG87" s="143"/>
      <c r="BH87" s="143"/>
      <c r="BI87" s="143"/>
      <c r="BJ87" s="143"/>
      <c r="BK87" s="143"/>
      <c r="BL87" s="143"/>
      <c r="BM87" s="143"/>
      <c r="BN87" s="143"/>
      <c r="BO87" s="143"/>
      <c r="BP87" s="143"/>
      <c r="BQ87" s="143"/>
      <c r="BR87" s="143"/>
      <c r="BS87" s="143"/>
      <c r="BT87" s="143"/>
      <c r="BU87" s="143"/>
      <c r="BV87" s="143"/>
      <c r="BW87" s="143"/>
      <c r="BX87" s="143"/>
    </row>
    <row r="88" spans="1:76" ht="16" customHeight="1" thickTop="1">
      <c r="A88" s="171"/>
      <c r="B88" s="158" t="str">
        <f>B81</f>
        <v>FA5L1</v>
      </c>
      <c r="C88" s="151" t="s">
        <v>1345</v>
      </c>
      <c r="D88" s="861">
        <f>'$REV-DSUM'!B796</f>
        <v>0</v>
      </c>
      <c r="E88" s="861">
        <f>'$REV-DB'!X18</f>
        <v>0</v>
      </c>
      <c r="F88" s="228">
        <f t="shared" ref="F88:F93" si="1">D88-E88</f>
        <v>0</v>
      </c>
      <c r="G88" s="162"/>
      <c r="H88" s="162"/>
      <c r="I88" s="162"/>
      <c r="J88" s="143"/>
      <c r="K88" s="143"/>
      <c r="L88" s="143"/>
      <c r="M88" s="143"/>
      <c r="N88" s="143"/>
      <c r="O88" s="143"/>
      <c r="P88" s="143"/>
      <c r="Q88" s="143"/>
      <c r="R88" s="143"/>
      <c r="S88" s="143"/>
      <c r="T88" s="143"/>
      <c r="U88" s="143"/>
      <c r="V88" s="143"/>
      <c r="W88" s="143"/>
      <c r="X88" s="143"/>
      <c r="Y88" s="143"/>
      <c r="Z88" s="143"/>
      <c r="AA88" s="143"/>
      <c r="AB88" s="143"/>
      <c r="AC88" s="143"/>
      <c r="AD88" s="143"/>
      <c r="AE88" s="143"/>
      <c r="AF88" s="143"/>
      <c r="AG88" s="143"/>
      <c r="AH88" s="143"/>
      <c r="AI88" s="143"/>
      <c r="AJ88" s="143"/>
      <c r="AK88" s="143"/>
      <c r="AL88" s="143"/>
      <c r="AM88" s="143"/>
      <c r="AN88" s="143"/>
      <c r="AO88" s="143"/>
      <c r="AP88" s="143"/>
      <c r="AQ88" s="143"/>
      <c r="AR88" s="143"/>
      <c r="AS88" s="143"/>
      <c r="AT88" s="143"/>
      <c r="AU88" s="143"/>
      <c r="AV88" s="143"/>
      <c r="AW88" s="143"/>
      <c r="AX88" s="143"/>
      <c r="AY88" s="143"/>
      <c r="AZ88" s="143"/>
      <c r="BA88" s="143"/>
      <c r="BB88" s="143"/>
      <c r="BC88" s="143"/>
      <c r="BD88" s="143"/>
      <c r="BE88" s="143"/>
      <c r="BF88" s="143"/>
      <c r="BG88" s="143"/>
      <c r="BH88" s="143"/>
      <c r="BI88" s="143"/>
      <c r="BJ88" s="143"/>
      <c r="BK88" s="143"/>
      <c r="BL88" s="143"/>
      <c r="BM88" s="143"/>
      <c r="BN88" s="143"/>
      <c r="BO88" s="143"/>
      <c r="BP88" s="143"/>
      <c r="BQ88" s="143"/>
      <c r="BR88" s="143"/>
      <c r="BS88" s="143"/>
      <c r="BT88" s="143"/>
      <c r="BU88" s="143"/>
      <c r="BV88" s="143"/>
      <c r="BW88" s="143"/>
      <c r="BX88" s="143"/>
    </row>
    <row r="89" spans="1:76" ht="16" customHeight="1">
      <c r="A89" s="171"/>
      <c r="B89" s="158" t="str">
        <f>B82</f>
        <v>FA5L2</v>
      </c>
      <c r="C89" s="151" t="s">
        <v>1344</v>
      </c>
      <c r="D89" s="861">
        <f>'$REV-DSUM'!B806</f>
        <v>0</v>
      </c>
      <c r="E89" s="861">
        <f>'$REV-DB'!Y18</f>
        <v>0</v>
      </c>
      <c r="F89" s="228">
        <f t="shared" si="1"/>
        <v>0</v>
      </c>
      <c r="G89" s="162"/>
      <c r="H89" s="162"/>
      <c r="I89" s="162"/>
      <c r="J89" s="143"/>
      <c r="K89" s="143"/>
      <c r="L89" s="143"/>
      <c r="M89" s="143"/>
      <c r="N89" s="143"/>
      <c r="O89" s="143"/>
      <c r="P89" s="143"/>
      <c r="Q89" s="143"/>
      <c r="R89" s="143"/>
      <c r="S89" s="143"/>
      <c r="T89" s="143"/>
      <c r="U89" s="143"/>
      <c r="V89" s="143"/>
      <c r="W89" s="143"/>
      <c r="X89" s="143"/>
      <c r="Y89" s="143"/>
      <c r="Z89" s="143"/>
      <c r="AA89" s="143"/>
      <c r="AB89" s="143"/>
      <c r="AC89" s="143"/>
      <c r="AD89" s="143"/>
      <c r="AE89" s="143"/>
      <c r="AF89" s="143"/>
      <c r="AG89" s="143"/>
      <c r="AH89" s="143"/>
      <c r="AI89" s="143"/>
      <c r="AJ89" s="143"/>
      <c r="AK89" s="143"/>
      <c r="AL89" s="143"/>
      <c r="AM89" s="143"/>
      <c r="AN89" s="143"/>
      <c r="AO89" s="143"/>
      <c r="AP89" s="143"/>
      <c r="AQ89" s="143"/>
      <c r="AR89" s="143"/>
      <c r="AS89" s="143"/>
      <c r="AT89" s="143"/>
      <c r="AU89" s="143"/>
      <c r="AV89" s="143"/>
      <c r="AW89" s="143"/>
      <c r="AX89" s="143"/>
      <c r="AY89" s="143"/>
      <c r="AZ89" s="143"/>
      <c r="BA89" s="143"/>
      <c r="BB89" s="143"/>
      <c r="BC89" s="143"/>
      <c r="BD89" s="143"/>
      <c r="BE89" s="143"/>
      <c r="BF89" s="143"/>
      <c r="BG89" s="143"/>
      <c r="BH89" s="143"/>
      <c r="BI89" s="143"/>
      <c r="BJ89" s="143"/>
      <c r="BK89" s="143"/>
      <c r="BL89" s="143"/>
      <c r="BM89" s="143"/>
      <c r="BN89" s="143"/>
      <c r="BO89" s="143"/>
      <c r="BP89" s="143"/>
      <c r="BQ89" s="143"/>
      <c r="BR89" s="143"/>
      <c r="BS89" s="143"/>
      <c r="BT89" s="143"/>
      <c r="BU89" s="143"/>
      <c r="BV89" s="143"/>
      <c r="BW89" s="143"/>
      <c r="BX89" s="143"/>
    </row>
    <row r="90" spans="1:76" ht="16" customHeight="1">
      <c r="A90" s="171"/>
      <c r="B90" s="158" t="s">
        <v>1375</v>
      </c>
      <c r="C90" s="151" t="s">
        <v>1343</v>
      </c>
      <c r="D90" s="861">
        <f>'$REV-DSUM'!B816</f>
        <v>0</v>
      </c>
      <c r="E90" s="861">
        <f>'$REV-DB'!Z18</f>
        <v>0</v>
      </c>
      <c r="F90" s="228">
        <f t="shared" si="1"/>
        <v>0</v>
      </c>
      <c r="G90" s="162"/>
      <c r="H90" s="162"/>
      <c r="I90" s="162"/>
      <c r="J90" s="143"/>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3"/>
      <c r="AI90" s="143"/>
      <c r="AJ90" s="143"/>
      <c r="AK90" s="143"/>
      <c r="AL90" s="143"/>
      <c r="AM90" s="143"/>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3"/>
      <c r="BR90" s="143"/>
      <c r="BS90" s="143"/>
      <c r="BT90" s="143"/>
      <c r="BU90" s="143"/>
      <c r="BV90" s="143"/>
      <c r="BW90" s="143"/>
      <c r="BX90" s="143"/>
    </row>
    <row r="91" spans="1:76" ht="16" customHeight="1">
      <c r="A91" s="171"/>
      <c r="B91" s="158"/>
      <c r="C91" s="151" t="s">
        <v>1349</v>
      </c>
      <c r="D91" s="861">
        <f>'$REV-DSUM'!B826</f>
        <v>0</v>
      </c>
      <c r="E91" s="861">
        <f>'$REV-DB'!AA18</f>
        <v>0</v>
      </c>
      <c r="F91" s="228">
        <f t="shared" si="1"/>
        <v>0</v>
      </c>
      <c r="G91" s="162"/>
      <c r="H91" s="162"/>
      <c r="I91" s="162"/>
      <c r="J91" s="143"/>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43"/>
      <c r="AH91" s="143"/>
      <c r="AI91" s="143"/>
      <c r="AJ91" s="143"/>
      <c r="AK91" s="143"/>
      <c r="AL91" s="143"/>
      <c r="AM91" s="143"/>
      <c r="AN91" s="143"/>
      <c r="AO91" s="143"/>
      <c r="AP91" s="143"/>
      <c r="AQ91" s="143"/>
      <c r="AR91" s="143"/>
      <c r="AS91" s="143"/>
      <c r="AT91" s="143"/>
      <c r="AU91" s="143"/>
      <c r="AV91" s="143"/>
      <c r="AW91" s="143"/>
      <c r="AX91" s="143"/>
      <c r="AY91" s="143"/>
      <c r="AZ91" s="143"/>
      <c r="BA91" s="143"/>
      <c r="BB91" s="143"/>
      <c r="BC91" s="143"/>
      <c r="BD91" s="143"/>
      <c r="BE91" s="143"/>
      <c r="BF91" s="143"/>
      <c r="BG91" s="143"/>
      <c r="BH91" s="143"/>
      <c r="BI91" s="143"/>
      <c r="BJ91" s="143"/>
      <c r="BK91" s="143"/>
      <c r="BL91" s="143"/>
      <c r="BM91" s="143"/>
      <c r="BN91" s="143"/>
      <c r="BO91" s="143"/>
      <c r="BP91" s="143"/>
      <c r="BQ91" s="143"/>
      <c r="BR91" s="143"/>
      <c r="BS91" s="143"/>
      <c r="BT91" s="143"/>
      <c r="BU91" s="143"/>
      <c r="BV91" s="143"/>
      <c r="BW91" s="143"/>
      <c r="BX91" s="143"/>
    </row>
    <row r="92" spans="1:76" ht="16" customHeight="1">
      <c r="A92" s="171"/>
      <c r="B92" s="158"/>
      <c r="C92" s="146" t="s">
        <v>1177</v>
      </c>
      <c r="D92" s="861">
        <f>'$REV-DSUM'!B836</f>
        <v>0</v>
      </c>
      <c r="E92" s="861">
        <f>'$REV-DB'!AB18</f>
        <v>0</v>
      </c>
      <c r="F92" s="228">
        <f t="shared" si="1"/>
        <v>0</v>
      </c>
      <c r="G92" s="162"/>
      <c r="H92" s="162"/>
      <c r="I92" s="162"/>
      <c r="J92" s="143"/>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3"/>
      <c r="AI92" s="143"/>
      <c r="AJ92" s="143"/>
      <c r="AK92" s="143"/>
      <c r="AL92" s="143"/>
      <c r="AM92" s="143"/>
      <c r="AN92" s="143"/>
      <c r="AO92" s="143"/>
      <c r="AP92" s="143"/>
      <c r="AQ92" s="143"/>
      <c r="AR92" s="143"/>
      <c r="AS92" s="143"/>
      <c r="AT92" s="143"/>
      <c r="AU92" s="143"/>
      <c r="AV92" s="143"/>
      <c r="AW92" s="143"/>
      <c r="AX92" s="143"/>
      <c r="AY92" s="143"/>
      <c r="AZ92" s="143"/>
      <c r="BA92" s="143"/>
      <c r="BB92" s="143"/>
      <c r="BC92" s="143"/>
      <c r="BD92" s="143"/>
      <c r="BE92" s="143"/>
      <c r="BF92" s="143"/>
      <c r="BG92" s="143"/>
      <c r="BH92" s="143"/>
      <c r="BI92" s="143"/>
      <c r="BJ92" s="143"/>
      <c r="BK92" s="143"/>
      <c r="BL92" s="143"/>
      <c r="BM92" s="143"/>
      <c r="BN92" s="143"/>
      <c r="BO92" s="143"/>
      <c r="BP92" s="143"/>
      <c r="BQ92" s="143"/>
      <c r="BR92" s="143"/>
      <c r="BS92" s="143"/>
      <c r="BT92" s="143"/>
      <c r="BU92" s="143"/>
      <c r="BV92" s="143"/>
      <c r="BW92" s="143"/>
      <c r="BX92" s="143"/>
    </row>
    <row r="93" spans="1:76" ht="16" customHeight="1">
      <c r="A93" s="171"/>
      <c r="B93" s="159"/>
      <c r="C93" s="152" t="s">
        <v>1350</v>
      </c>
      <c r="D93" s="862">
        <f>'$REV-DSUM'!B846</f>
        <v>0</v>
      </c>
      <c r="E93" s="862">
        <f>'$REV-DB'!AC18</f>
        <v>0</v>
      </c>
      <c r="F93" s="229">
        <f t="shared" si="1"/>
        <v>0</v>
      </c>
      <c r="G93" s="162"/>
      <c r="H93" s="162"/>
      <c r="I93" s="162"/>
      <c r="J93" s="143"/>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3"/>
      <c r="AN93" s="143"/>
      <c r="AO93" s="143"/>
      <c r="AP93" s="143"/>
      <c r="AQ93" s="143"/>
      <c r="AR93" s="143"/>
      <c r="AS93" s="143"/>
      <c r="AT93" s="143"/>
      <c r="AU93" s="143"/>
      <c r="AV93" s="143"/>
      <c r="AW93" s="143"/>
      <c r="AX93" s="143"/>
      <c r="AY93" s="143"/>
      <c r="AZ93" s="143"/>
      <c r="BA93" s="143"/>
      <c r="BB93" s="143"/>
      <c r="BC93" s="143"/>
      <c r="BD93" s="143"/>
      <c r="BE93" s="143"/>
      <c r="BF93" s="143"/>
      <c r="BG93" s="143"/>
      <c r="BH93" s="143"/>
      <c r="BI93" s="143"/>
      <c r="BJ93" s="143"/>
      <c r="BK93" s="143"/>
      <c r="BL93" s="143"/>
      <c r="BM93" s="143"/>
      <c r="BN93" s="143"/>
      <c r="BO93" s="143"/>
      <c r="BP93" s="143"/>
      <c r="BQ93" s="143"/>
      <c r="BR93" s="143"/>
      <c r="BS93" s="143"/>
      <c r="BT93" s="143"/>
      <c r="BU93" s="143"/>
      <c r="BV93" s="143"/>
      <c r="BW93" s="143"/>
      <c r="BX93" s="143"/>
    </row>
    <row r="94" spans="1:76" ht="16" customHeight="1">
      <c r="A94" s="171"/>
      <c r="B94" s="171"/>
      <c r="C94" s="171"/>
      <c r="D94" s="171"/>
      <c r="E94" s="171"/>
      <c r="F94" s="171"/>
      <c r="G94" s="171"/>
      <c r="H94" s="171"/>
      <c r="I94" s="171"/>
    </row>
    <row r="95" spans="1:76" ht="16" customHeight="1">
      <c r="A95" s="171"/>
      <c r="B95" s="171"/>
      <c r="C95" s="171"/>
      <c r="D95" s="171"/>
      <c r="E95" s="171"/>
      <c r="F95" s="171"/>
      <c r="G95" s="171"/>
      <c r="H95" s="171"/>
      <c r="I95" s="171"/>
    </row>
    <row r="96" spans="1:76" ht="16" customHeight="1">
      <c r="A96" s="171"/>
      <c r="B96" s="171"/>
      <c r="C96" s="171"/>
      <c r="D96" s="171"/>
      <c r="E96" s="171"/>
      <c r="F96" s="171"/>
      <c r="G96" s="171"/>
      <c r="H96" s="171"/>
      <c r="I96" s="171"/>
    </row>
    <row r="98" spans="5:7" ht="16" customHeight="1">
      <c r="E98" s="160"/>
      <c r="F98" s="160"/>
      <c r="G98" s="160"/>
    </row>
    <row r="99" spans="5:7" ht="16" customHeight="1">
      <c r="E99" s="160"/>
      <c r="F99" s="161"/>
      <c r="G99" s="160"/>
    </row>
    <row r="100" spans="5:7" ht="16" customHeight="1">
      <c r="E100" s="160"/>
      <c r="F100" s="160"/>
      <c r="G100" s="160"/>
    </row>
    <row r="101" spans="5:7" ht="16" customHeight="1">
      <c r="E101" s="160"/>
      <c r="F101" s="160"/>
      <c r="G101" s="160"/>
    </row>
  </sheetData>
  <mergeCells count="7">
    <mergeCell ref="H6:H12"/>
    <mergeCell ref="B6:C6"/>
    <mergeCell ref="B7:C7"/>
    <mergeCell ref="B2:F2"/>
    <mergeCell ref="B3:F3"/>
    <mergeCell ref="B5:F5"/>
    <mergeCell ref="B4:F4"/>
  </mergeCells>
  <conditionalFormatting sqref="F10:F93">
    <cfRule type="cellIs" dxfId="15" priority="2" operator="between">
      <formula>-0.005</formula>
      <formula>0.005</formula>
    </cfRule>
  </conditionalFormatting>
  <conditionalFormatting sqref="F99">
    <cfRule type="cellIs" dxfId="14" priority="1" operator="notEqual">
      <formula>0</formula>
    </cfRule>
  </conditionalFormatting>
  <pageMargins left="0.7" right="0.7" top="1" bottom="0.5" header="0.3" footer="0.3"/>
  <rowBreaks count="1" manualBreakCount="1">
    <brk id="51" max="16383" man="1"/>
  </rowBreaks>
  <colBreaks count="1" manualBreakCount="1">
    <brk id="6" max="1048575" man="1"/>
  </colBreak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CI12"/>
  <sheetViews>
    <sheetView workbookViewId="0"/>
  </sheetViews>
  <sheetFormatPr baseColWidth="10" defaultColWidth="8.83203125" defaultRowHeight="11" x14ac:dyDescent="0"/>
  <cols>
    <col min="1" max="3" width="5.83203125" customWidth="1"/>
    <col min="5" max="5" width="15.1640625" customWidth="1"/>
    <col min="6" max="6" width="14.1640625" customWidth="1"/>
    <col min="7" max="7" width="20.83203125" customWidth="1"/>
    <col min="8" max="9" width="10.83203125" customWidth="1"/>
    <col min="10" max="10" width="15.5" customWidth="1"/>
    <col min="11" max="11" width="10.83203125" customWidth="1"/>
    <col min="12" max="12" width="14.83203125" customWidth="1"/>
    <col min="13" max="13" width="10.83203125" customWidth="1"/>
    <col min="14" max="14" width="14.5" customWidth="1"/>
    <col min="15" max="15" width="16.5" customWidth="1"/>
    <col min="16" max="18" width="10.83203125" customWidth="1"/>
    <col min="19" max="19" width="22.83203125" customWidth="1"/>
    <col min="20" max="22" width="10.83203125" customWidth="1"/>
    <col min="23" max="23" width="14.1640625" customWidth="1"/>
    <col min="24" max="24" width="15.1640625" customWidth="1"/>
    <col min="25" max="25" width="19.5" customWidth="1"/>
    <col min="26" max="26" width="15.1640625" customWidth="1"/>
    <col min="27" max="27" width="18.83203125" customWidth="1"/>
    <col min="28" max="28" width="11.83203125" customWidth="1"/>
    <col min="29" max="29" width="17.5" customWidth="1"/>
    <col min="30" max="30" width="10.83203125" customWidth="1"/>
    <col min="31" max="31" width="16.5" customWidth="1"/>
    <col min="32" max="32" width="10.83203125" customWidth="1"/>
    <col min="33" max="33" width="15.33203125" customWidth="1"/>
  </cols>
  <sheetData>
    <row r="1" spans="1:87" ht="20" customHeight="1" thickTop="1" thickBot="1">
      <c r="A1" s="296" t="s">
        <v>1191</v>
      </c>
      <c r="B1" s="185"/>
      <c r="C1" s="185"/>
      <c r="D1" s="185"/>
      <c r="E1" s="175" t="str">
        <f>'FIG3'!W50</f>
        <v>FY2010-11</v>
      </c>
      <c r="F1" s="138"/>
      <c r="G1" s="173" t="s">
        <v>1157</v>
      </c>
      <c r="H1" s="174" t="s">
        <v>1146</v>
      </c>
      <c r="I1" s="175" t="s">
        <v>1414</v>
      </c>
      <c r="J1" s="174" t="s">
        <v>1147</v>
      </c>
      <c r="K1" s="175" t="s">
        <v>1415</v>
      </c>
      <c r="L1" s="174" t="s">
        <v>1148</v>
      </c>
      <c r="M1" s="175" t="s">
        <v>1365</v>
      </c>
      <c r="N1" s="174" t="s">
        <v>1149</v>
      </c>
      <c r="O1" s="175" t="s">
        <v>1367</v>
      </c>
      <c r="P1" s="174" t="s">
        <v>1150</v>
      </c>
      <c r="Q1" s="178" t="s">
        <v>1151</v>
      </c>
      <c r="R1" s="175"/>
      <c r="S1" s="174" t="s">
        <v>1152</v>
      </c>
      <c r="T1" s="175" t="s">
        <v>1344</v>
      </c>
      <c r="U1" s="174" t="s">
        <v>1153</v>
      </c>
      <c r="V1" s="179" t="s">
        <v>1349</v>
      </c>
      <c r="W1" s="174" t="s">
        <v>1154</v>
      </c>
      <c r="X1" s="183" t="s">
        <v>1155</v>
      </c>
      <c r="Y1" s="184"/>
      <c r="Z1" s="176"/>
      <c r="AA1" s="177"/>
      <c r="AB1" s="177"/>
      <c r="AC1" s="177"/>
      <c r="AD1" s="177"/>
      <c r="AE1" s="177"/>
      <c r="AF1" s="172"/>
      <c r="AG1" s="172"/>
      <c r="AH1" s="136"/>
    </row>
    <row r="2" spans="1:87" ht="20" customHeight="1" thickTop="1" thickBot="1">
      <c r="A2" s="296" t="s">
        <v>1192</v>
      </c>
      <c r="B2" s="294"/>
      <c r="C2" s="294"/>
      <c r="D2" s="294"/>
      <c r="E2" s="295"/>
      <c r="F2" s="136"/>
      <c r="G2" s="173" t="s">
        <v>1328</v>
      </c>
      <c r="H2" s="180" t="s">
        <v>1156</v>
      </c>
      <c r="I2" s="178"/>
      <c r="J2" s="178"/>
      <c r="K2" s="178"/>
      <c r="L2" s="178"/>
      <c r="M2" s="175"/>
      <c r="N2" s="181" t="s">
        <v>1158</v>
      </c>
      <c r="O2" s="182"/>
      <c r="P2" s="174" t="s">
        <v>1160</v>
      </c>
      <c r="Q2" s="175" t="s">
        <v>1345</v>
      </c>
      <c r="R2" s="174" t="s">
        <v>1161</v>
      </c>
      <c r="S2" s="175" t="s">
        <v>1344</v>
      </c>
      <c r="T2" s="174" t="s">
        <v>1159</v>
      </c>
      <c r="U2" s="175" t="s">
        <v>1343</v>
      </c>
      <c r="V2" s="174" t="s">
        <v>1162</v>
      </c>
      <c r="W2" s="175" t="s">
        <v>1349</v>
      </c>
      <c r="X2" s="174"/>
      <c r="Y2" s="293" t="s">
        <v>1186</v>
      </c>
      <c r="Z2" s="175"/>
      <c r="AA2" s="180"/>
      <c r="AB2" s="293" t="s">
        <v>1421</v>
      </c>
      <c r="AC2" s="175"/>
      <c r="AD2" s="176"/>
      <c r="AE2" s="177"/>
      <c r="AF2" s="172"/>
      <c r="AG2" s="172"/>
      <c r="AH2" s="136"/>
    </row>
    <row r="3" spans="1:87" ht="14" thickTop="1" thickBot="1">
      <c r="A3" s="136"/>
      <c r="B3" s="136"/>
      <c r="C3" s="136"/>
      <c r="D3" s="136"/>
      <c r="E3" s="136"/>
      <c r="F3" s="136"/>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36"/>
    </row>
    <row r="4" spans="1:87" s="3" customFormat="1" ht="16" customHeight="1" thickTop="1" thickBot="1">
      <c r="A4" s="1248" t="s">
        <v>1337</v>
      </c>
      <c r="B4" s="1248" t="s">
        <v>1425</v>
      </c>
      <c r="C4" s="1248" t="s">
        <v>1347</v>
      </c>
      <c r="D4" s="1118" t="s">
        <v>1338</v>
      </c>
      <c r="E4" s="1118" t="s">
        <v>1426</v>
      </c>
      <c r="F4" s="1118" t="s">
        <v>1380</v>
      </c>
      <c r="G4" s="1118" t="s">
        <v>1427</v>
      </c>
      <c r="H4" s="1118" t="s">
        <v>1428</v>
      </c>
      <c r="I4" s="1118" t="s">
        <v>1429</v>
      </c>
      <c r="J4" s="1118" t="s">
        <v>1430</v>
      </c>
      <c r="K4" s="1119" t="s">
        <v>1431</v>
      </c>
      <c r="L4" s="1249" t="s">
        <v>1379</v>
      </c>
      <c r="M4" s="1249" t="s">
        <v>1432</v>
      </c>
      <c r="N4" s="1249" t="s">
        <v>1340</v>
      </c>
      <c r="O4" s="1249" t="s">
        <v>1397</v>
      </c>
      <c r="P4" s="1249" t="s">
        <v>1465</v>
      </c>
      <c r="Q4" s="1249" t="s">
        <v>1466</v>
      </c>
      <c r="R4" s="1249" t="s">
        <v>1297</v>
      </c>
      <c r="S4" s="1250" t="s">
        <v>1339</v>
      </c>
      <c r="T4" s="1064" t="s">
        <v>1298</v>
      </c>
      <c r="U4" s="1118" t="s">
        <v>1299</v>
      </c>
      <c r="V4" s="1118" t="s">
        <v>1300</v>
      </c>
      <c r="W4" s="1118" t="s">
        <v>1301</v>
      </c>
      <c r="X4" s="1118" t="s">
        <v>1302</v>
      </c>
      <c r="Y4" s="1118" t="s">
        <v>1303</v>
      </c>
      <c r="Z4" s="1118" t="s">
        <v>1304</v>
      </c>
      <c r="AA4" s="1118" t="s">
        <v>1305</v>
      </c>
      <c r="AB4" s="1118" t="s">
        <v>1306</v>
      </c>
      <c r="AC4" s="1118" t="s">
        <v>1307</v>
      </c>
      <c r="AD4" s="1118" t="s">
        <v>1308</v>
      </c>
      <c r="AE4" s="1118" t="s">
        <v>1309</v>
      </c>
      <c r="AF4" s="1118" t="s">
        <v>1310</v>
      </c>
      <c r="AG4" s="1118" t="s">
        <v>1190</v>
      </c>
      <c r="AH4" s="1054"/>
      <c r="AI4" s="1054"/>
      <c r="AJ4" s="1242"/>
      <c r="AK4" s="1242"/>
      <c r="AL4" s="1242"/>
      <c r="AM4" s="1242"/>
      <c r="AN4" s="1242"/>
      <c r="AO4" s="1242"/>
      <c r="AP4" s="1242"/>
      <c r="AQ4" s="1242"/>
      <c r="AR4" s="1242"/>
      <c r="AS4" s="1242"/>
      <c r="AT4" s="1242"/>
      <c r="AU4" s="1054"/>
      <c r="AV4" s="1054"/>
      <c r="AW4" s="1054"/>
      <c r="AX4" s="1054"/>
      <c r="AY4" s="1054"/>
      <c r="AZ4" s="1054"/>
      <c r="BA4" s="1054"/>
      <c r="BB4" s="1054"/>
      <c r="BC4" s="1054"/>
      <c r="BD4" s="1054"/>
      <c r="BE4" s="1054"/>
      <c r="BF4" s="1054"/>
      <c r="BG4" s="1054"/>
      <c r="BH4" s="1054"/>
      <c r="BI4" s="1054"/>
      <c r="BJ4" s="1054"/>
      <c r="BK4" s="1054"/>
      <c r="BL4" s="1054"/>
      <c r="BM4" s="1054"/>
      <c r="BN4" s="1054"/>
      <c r="BO4" s="1054"/>
      <c r="BP4" s="1054"/>
      <c r="BQ4" s="1054"/>
      <c r="BR4" s="1054"/>
      <c r="BS4" s="1054"/>
      <c r="BT4" s="1054"/>
      <c r="BU4" s="1054"/>
      <c r="BV4" s="1054"/>
      <c r="BW4" s="36"/>
      <c r="BX4" s="36"/>
      <c r="BY4" s="36"/>
      <c r="BZ4" s="36"/>
      <c r="CA4" s="36"/>
      <c r="CB4" s="36"/>
      <c r="CC4" s="36"/>
      <c r="CD4" s="36"/>
      <c r="CE4" s="36"/>
      <c r="CF4" s="36"/>
      <c r="CG4" s="36"/>
      <c r="CH4" s="36"/>
      <c r="CI4" s="36"/>
    </row>
    <row r="5" spans="1:87" s="3" customFormat="1" ht="16" customHeight="1" thickTop="1" thickBot="1">
      <c r="A5" s="1251" t="s">
        <v>1296</v>
      </c>
      <c r="B5" s="1252"/>
      <c r="C5" s="1253"/>
      <c r="D5" s="1254">
        <f t="shared" ref="D5:AG5" si="0">COUNTBLANK(D8:D9)-2</f>
        <v>0</v>
      </c>
      <c r="E5" s="1254">
        <f t="shared" si="0"/>
        <v>0</v>
      </c>
      <c r="F5" s="1254">
        <f t="shared" si="0"/>
        <v>0</v>
      </c>
      <c r="G5" s="1254">
        <f t="shared" si="0"/>
        <v>0</v>
      </c>
      <c r="H5" s="1254">
        <f t="shared" si="0"/>
        <v>0</v>
      </c>
      <c r="I5" s="1254">
        <f>COUNTBLANK(I8:I9)</f>
        <v>2</v>
      </c>
      <c r="J5" s="1254">
        <f>COUNTBLANK(J8:J9)</f>
        <v>2</v>
      </c>
      <c r="K5" s="1255">
        <f t="shared" si="0"/>
        <v>0</v>
      </c>
      <c r="L5" s="1256">
        <f t="shared" si="0"/>
        <v>0</v>
      </c>
      <c r="M5" s="1256">
        <f t="shared" si="0"/>
        <v>0</v>
      </c>
      <c r="N5" s="1256">
        <f t="shared" si="0"/>
        <v>0</v>
      </c>
      <c r="O5" s="1256">
        <f t="shared" si="0"/>
        <v>0</v>
      </c>
      <c r="P5" s="1256">
        <f t="shared" si="0"/>
        <v>0</v>
      </c>
      <c r="Q5" s="1256">
        <f t="shared" si="0"/>
        <v>0</v>
      </c>
      <c r="R5" s="1256">
        <f t="shared" si="0"/>
        <v>0</v>
      </c>
      <c r="S5" s="1257">
        <f t="shared" si="0"/>
        <v>0</v>
      </c>
      <c r="T5" s="1258">
        <f t="shared" si="0"/>
        <v>0</v>
      </c>
      <c r="U5" s="1254">
        <f t="shared" si="0"/>
        <v>0</v>
      </c>
      <c r="V5" s="1254">
        <f t="shared" si="0"/>
        <v>0</v>
      </c>
      <c r="W5" s="1254">
        <f t="shared" si="0"/>
        <v>0</v>
      </c>
      <c r="X5" s="1254">
        <f t="shared" si="0"/>
        <v>0</v>
      </c>
      <c r="Y5" s="1254">
        <f t="shared" si="0"/>
        <v>0</v>
      </c>
      <c r="Z5" s="1254">
        <f t="shared" si="0"/>
        <v>0</v>
      </c>
      <c r="AA5" s="1254">
        <f t="shared" si="0"/>
        <v>0</v>
      </c>
      <c r="AB5" s="1254">
        <f t="shared" si="0"/>
        <v>0</v>
      </c>
      <c r="AC5" s="1254">
        <f t="shared" si="0"/>
        <v>0</v>
      </c>
      <c r="AD5" s="1254">
        <f t="shared" si="0"/>
        <v>0</v>
      </c>
      <c r="AE5" s="1254">
        <f t="shared" si="0"/>
        <v>0</v>
      </c>
      <c r="AF5" s="1254">
        <f t="shared" si="0"/>
        <v>0</v>
      </c>
      <c r="AG5" s="1254">
        <f t="shared" si="0"/>
        <v>0</v>
      </c>
      <c r="AH5" s="1054"/>
      <c r="AI5" s="1054"/>
      <c r="AJ5" s="1242"/>
      <c r="AK5" s="1242"/>
      <c r="AL5" s="1242"/>
      <c r="AM5" s="1242"/>
      <c r="AN5" s="1242"/>
      <c r="AO5" s="1242"/>
      <c r="AP5" s="1242"/>
      <c r="AQ5" s="1242"/>
      <c r="AR5" s="1242"/>
      <c r="AS5" s="1242"/>
      <c r="AT5" s="1054"/>
      <c r="AU5" s="1054"/>
      <c r="AV5" s="1054"/>
      <c r="AW5" s="1054"/>
      <c r="AX5" s="1054"/>
      <c r="AY5" s="1054"/>
      <c r="AZ5" s="1054"/>
      <c r="BA5" s="1054"/>
      <c r="BB5" s="1054"/>
      <c r="BC5" s="1054"/>
      <c r="BD5" s="1054"/>
      <c r="BE5" s="1054"/>
      <c r="BF5" s="1054"/>
      <c r="BG5" s="1054"/>
      <c r="BH5" s="1054"/>
      <c r="BI5" s="1054"/>
      <c r="BJ5" s="1054"/>
      <c r="BK5" s="1054"/>
      <c r="BL5" s="1054"/>
      <c r="BM5" s="1054"/>
      <c r="BN5" s="1054"/>
      <c r="BO5" s="1054"/>
      <c r="BP5" s="1054"/>
      <c r="BQ5" s="1054"/>
      <c r="BR5" s="1054"/>
      <c r="BS5" s="1054"/>
      <c r="BT5" s="1054"/>
      <c r="BU5" s="1054"/>
      <c r="BV5" s="1054"/>
      <c r="BW5" s="36"/>
      <c r="BX5" s="36"/>
      <c r="BY5" s="36"/>
      <c r="BZ5" s="36"/>
      <c r="CA5" s="36"/>
      <c r="CB5" s="36"/>
      <c r="CC5" s="36"/>
      <c r="CD5" s="36"/>
      <c r="CE5" s="36"/>
      <c r="CF5" s="36"/>
      <c r="CG5" s="36"/>
      <c r="CH5" s="36"/>
      <c r="CI5" s="36"/>
    </row>
    <row r="6" spans="1:87" s="3" customFormat="1" ht="16" customHeight="1" thickTop="1" thickBot="1">
      <c r="A6" s="1221"/>
      <c r="B6" s="1076" t="s">
        <v>1189</v>
      </c>
      <c r="C6" s="1221"/>
      <c r="D6" s="1852" t="s">
        <v>1385</v>
      </c>
      <c r="E6" s="1852"/>
      <c r="F6" s="1852"/>
      <c r="G6" s="1852"/>
      <c r="H6" s="1852" t="s">
        <v>1381</v>
      </c>
      <c r="I6" s="1852"/>
      <c r="J6" s="1852"/>
      <c r="K6" s="1853"/>
      <c r="L6" s="1854" t="s">
        <v>1187</v>
      </c>
      <c r="M6" s="1855"/>
      <c r="N6" s="1855"/>
      <c r="O6" s="1855"/>
      <c r="P6" s="1855"/>
      <c r="Q6" s="1855"/>
      <c r="R6" s="1855"/>
      <c r="S6" s="1856"/>
      <c r="T6" s="1259" t="s">
        <v>935</v>
      </c>
      <c r="U6" s="1259" t="s">
        <v>936</v>
      </c>
      <c r="V6" s="1259" t="s">
        <v>937</v>
      </c>
      <c r="W6" s="1259" t="s">
        <v>938</v>
      </c>
      <c r="X6" s="1259" t="s">
        <v>939</v>
      </c>
      <c r="Y6" s="1259" t="s">
        <v>940</v>
      </c>
      <c r="Z6" s="1259" t="s">
        <v>941</v>
      </c>
      <c r="AA6" s="1259" t="s">
        <v>942</v>
      </c>
      <c r="AB6" s="1259" t="s">
        <v>943</v>
      </c>
      <c r="AC6" s="1259" t="s">
        <v>944</v>
      </c>
      <c r="AD6" s="1259" t="s">
        <v>945</v>
      </c>
      <c r="AE6" s="1259" t="s">
        <v>946</v>
      </c>
      <c r="AF6" s="1259" t="s">
        <v>947</v>
      </c>
      <c r="AG6" s="1259" t="s">
        <v>948</v>
      </c>
      <c r="AH6" s="1054"/>
      <c r="AI6" s="1054"/>
      <c r="AJ6" s="1242"/>
      <c r="AK6" s="1242"/>
      <c r="AL6" s="1242"/>
      <c r="AM6" s="1242"/>
      <c r="AN6" s="1242"/>
      <c r="AO6" s="1242"/>
      <c r="AP6" s="1242"/>
      <c r="AQ6" s="1242"/>
      <c r="AR6" s="1242"/>
      <c r="AS6" s="1242"/>
      <c r="AT6" s="1054"/>
      <c r="AU6" s="1054"/>
      <c r="AV6" s="1054"/>
      <c r="AW6" s="1054"/>
      <c r="AX6" s="1054"/>
      <c r="AY6" s="1054"/>
      <c r="AZ6" s="1054"/>
      <c r="BA6" s="1054"/>
      <c r="BB6" s="1054"/>
      <c r="BC6" s="1054"/>
      <c r="BD6" s="1054"/>
      <c r="BE6" s="1054"/>
      <c r="BF6" s="1054"/>
      <c r="BG6" s="1054"/>
      <c r="BH6" s="1054"/>
      <c r="BI6" s="1054"/>
      <c r="BJ6" s="1054"/>
      <c r="BK6" s="1054"/>
      <c r="BL6" s="1054"/>
      <c r="BM6" s="1054"/>
      <c r="BN6" s="1054"/>
      <c r="BO6" s="1054"/>
      <c r="BP6" s="1054"/>
      <c r="BQ6" s="1054"/>
      <c r="BR6" s="1054"/>
      <c r="BS6" s="1054"/>
      <c r="BT6" s="1054"/>
      <c r="BU6" s="1054"/>
      <c r="BV6" s="1054"/>
      <c r="BW6" s="36"/>
      <c r="BX6" s="36"/>
      <c r="BY6" s="36"/>
      <c r="BZ6" s="36"/>
      <c r="CA6" s="36"/>
      <c r="CB6" s="36"/>
      <c r="CC6" s="36"/>
      <c r="CD6" s="36"/>
      <c r="CE6" s="36"/>
      <c r="CF6" s="36"/>
      <c r="CG6" s="36"/>
      <c r="CH6" s="36"/>
      <c r="CI6" s="36"/>
    </row>
    <row r="7" spans="1:87" s="3" customFormat="1" ht="16" customHeight="1" thickTop="1" thickBot="1">
      <c r="A7" s="1260" t="s">
        <v>1337</v>
      </c>
      <c r="B7" s="1260" t="s">
        <v>1425</v>
      </c>
      <c r="C7" s="1260" t="s">
        <v>1347</v>
      </c>
      <c r="D7" s="1261" t="s">
        <v>1386</v>
      </c>
      <c r="E7" s="1261" t="s">
        <v>1387</v>
      </c>
      <c r="F7" s="1261" t="s">
        <v>1388</v>
      </c>
      <c r="G7" s="1261" t="s">
        <v>1389</v>
      </c>
      <c r="H7" s="1261" t="s">
        <v>1406</v>
      </c>
      <c r="I7" s="1261" t="s">
        <v>1390</v>
      </c>
      <c r="J7" s="1261" t="s">
        <v>1391</v>
      </c>
      <c r="K7" s="1262" t="s">
        <v>1392</v>
      </c>
      <c r="L7" s="1263" t="s">
        <v>1188</v>
      </c>
      <c r="M7" s="1263" t="s">
        <v>1437</v>
      </c>
      <c r="N7" s="1263" t="s">
        <v>1348</v>
      </c>
      <c r="O7" s="1263" t="s">
        <v>1393</v>
      </c>
      <c r="P7" s="1263" t="s">
        <v>1342</v>
      </c>
      <c r="Q7" s="1263" t="s">
        <v>1394</v>
      </c>
      <c r="R7" s="1264" t="s">
        <v>1341</v>
      </c>
      <c r="S7" s="1265" t="s">
        <v>846</v>
      </c>
      <c r="T7" s="1064" t="s">
        <v>935</v>
      </c>
      <c r="U7" s="1118" t="s">
        <v>936</v>
      </c>
      <c r="V7" s="1118" t="s">
        <v>937</v>
      </c>
      <c r="W7" s="1118" t="s">
        <v>938</v>
      </c>
      <c r="X7" s="1118" t="s">
        <v>939</v>
      </c>
      <c r="Y7" s="1118" t="s">
        <v>940</v>
      </c>
      <c r="Z7" s="1118" t="s">
        <v>941</v>
      </c>
      <c r="AA7" s="1118" t="s">
        <v>942</v>
      </c>
      <c r="AB7" s="1118" t="s">
        <v>943</v>
      </c>
      <c r="AC7" s="1118" t="s">
        <v>944</v>
      </c>
      <c r="AD7" s="1118" t="s">
        <v>945</v>
      </c>
      <c r="AE7" s="1118" t="s">
        <v>946</v>
      </c>
      <c r="AF7" s="1118" t="s">
        <v>947</v>
      </c>
      <c r="AG7" s="1118" t="s">
        <v>948</v>
      </c>
      <c r="AH7" s="1054"/>
      <c r="AI7" s="1054"/>
      <c r="AJ7" s="1242"/>
      <c r="AK7" s="1242"/>
      <c r="AL7" s="1242"/>
      <c r="AM7" s="1242"/>
      <c r="AN7" s="1242"/>
      <c r="AO7" s="1242"/>
      <c r="AP7" s="1242"/>
      <c r="AQ7" s="1242"/>
      <c r="AR7" s="1242"/>
      <c r="AS7" s="1242"/>
      <c r="AT7" s="1054"/>
      <c r="AU7" s="1054"/>
      <c r="AV7" s="1054"/>
      <c r="AW7" s="1054"/>
      <c r="AX7" s="1054"/>
      <c r="AY7" s="1054"/>
      <c r="AZ7" s="1054"/>
      <c r="BA7" s="1054"/>
      <c r="BB7" s="1054"/>
      <c r="BC7" s="1054"/>
      <c r="BD7" s="1054"/>
      <c r="BE7" s="1054"/>
      <c r="BF7" s="1054"/>
      <c r="BG7" s="1054"/>
      <c r="BH7" s="1054"/>
      <c r="BI7" s="1054"/>
      <c r="BJ7" s="1054"/>
      <c r="BK7" s="1054"/>
      <c r="BL7" s="1054"/>
      <c r="BM7" s="1054"/>
      <c r="BN7" s="1054"/>
      <c r="BO7" s="1054"/>
      <c r="BP7" s="1054"/>
      <c r="BQ7" s="1054"/>
      <c r="BR7" s="1054"/>
      <c r="BS7" s="1054"/>
      <c r="BT7" s="1054"/>
      <c r="BU7" s="1054"/>
      <c r="BV7" s="1054"/>
      <c r="BW7" s="36"/>
      <c r="BX7" s="36"/>
      <c r="BY7" s="36"/>
      <c r="BZ7" s="36"/>
      <c r="CA7" s="36"/>
      <c r="CB7" s="36"/>
      <c r="CC7" s="36"/>
      <c r="CD7" s="36"/>
      <c r="CE7" s="36"/>
      <c r="CF7" s="36"/>
      <c r="CG7" s="36"/>
      <c r="CH7" s="36"/>
      <c r="CI7" s="36"/>
    </row>
    <row r="8" spans="1:87" ht="12" thickTop="1">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row>
    <row r="9" spans="1:87" ht="23.25" customHeight="1">
      <c r="A9" s="136"/>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row>
    <row r="10" spans="1:87">
      <c r="A10" s="136"/>
      <c r="B10" s="136"/>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row>
    <row r="11" spans="1:87" ht="18">
      <c r="A11" s="136"/>
      <c r="B11" s="136"/>
      <c r="C11" s="136"/>
      <c r="D11" s="137" t="s">
        <v>1229</v>
      </c>
      <c r="E11" s="136"/>
      <c r="F11" s="136"/>
      <c r="G11" s="136"/>
      <c r="H11" s="136"/>
      <c r="I11" s="136"/>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row>
    <row r="12" spans="1:87">
      <c r="A12" s="136"/>
      <c r="B12" s="136"/>
      <c r="C12" s="136"/>
      <c r="D12" s="136"/>
      <c r="E12" s="136"/>
      <c r="F12" s="136"/>
      <c r="G12" s="136"/>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row>
  </sheetData>
  <mergeCells count="3">
    <mergeCell ref="D6:G6"/>
    <mergeCell ref="H6:K6"/>
    <mergeCell ref="L6:S6"/>
  </mergeCells>
  <conditionalFormatting sqref="D5:AG5">
    <cfRule type="cellIs" dxfId="13" priority="1" operator="notBetween">
      <formula>-0.01</formula>
      <formula>0.01</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I549"/>
  <sheetViews>
    <sheetView tabSelected="1" topLeftCell="A2" workbookViewId="0">
      <selection activeCell="M10" sqref="M10:V16"/>
    </sheetView>
  </sheetViews>
  <sheetFormatPr baseColWidth="10" defaultColWidth="8.83203125" defaultRowHeight="11" x14ac:dyDescent="0"/>
  <cols>
    <col min="1" max="1" width="4.83203125" style="277" customWidth="1"/>
    <col min="2" max="2" width="9.83203125" style="277" customWidth="1"/>
    <col min="3" max="11" width="9.83203125" customWidth="1"/>
    <col min="12" max="12" width="4.83203125" customWidth="1"/>
    <col min="13" max="13" width="6.83203125" customWidth="1"/>
    <col min="14" max="14" width="10.1640625" customWidth="1"/>
    <col min="15" max="15" width="14.83203125" customWidth="1"/>
    <col min="16" max="16" width="14.83203125" style="499" customWidth="1"/>
    <col min="17" max="17" width="15.83203125" customWidth="1"/>
    <col min="18" max="18" width="9.83203125" customWidth="1"/>
    <col min="19" max="19" width="4.83203125" customWidth="1"/>
    <col min="20" max="20" width="5.5" customWidth="1"/>
    <col min="21" max="21" width="7.1640625" customWidth="1"/>
    <col min="22" max="22" width="6.83203125" customWidth="1"/>
    <col min="23" max="33" width="9.83203125" customWidth="1"/>
    <col min="34" max="34" width="13.1640625" customWidth="1"/>
    <col min="35" max="35" width="9.83203125" style="499" customWidth="1"/>
    <col min="36" max="43" width="9.83203125" customWidth="1"/>
  </cols>
  <sheetData>
    <row r="1" spans="1:35" s="372" customFormat="1" ht="18" customHeight="1">
      <c r="A1" s="390"/>
      <c r="B1" s="1549" t="s">
        <v>1066</v>
      </c>
      <c r="C1" s="1549"/>
      <c r="D1" s="1549"/>
      <c r="E1" s="1549"/>
      <c r="F1" s="1549"/>
      <c r="G1" s="1549"/>
      <c r="H1" s="1549"/>
      <c r="I1" s="1549"/>
      <c r="J1" s="1549"/>
      <c r="K1" s="1549"/>
      <c r="L1" s="390"/>
      <c r="M1" s="1556"/>
      <c r="N1" s="1557"/>
      <c r="O1" s="1557"/>
      <c r="P1" s="1557"/>
      <c r="Q1" s="1557"/>
      <c r="R1" s="1557"/>
      <c r="S1" s="1557"/>
      <c r="T1" s="1557"/>
      <c r="U1" s="1557"/>
      <c r="V1" s="1558"/>
      <c r="AI1" s="499"/>
    </row>
    <row r="2" spans="1:35" ht="20" customHeight="1">
      <c r="A2" s="1563" t="s">
        <v>1066</v>
      </c>
      <c r="B2" s="1564" t="s">
        <v>1193</v>
      </c>
      <c r="C2" s="1564"/>
      <c r="D2" s="1564"/>
      <c r="E2" s="1564"/>
      <c r="F2" s="1564"/>
      <c r="G2" s="1564"/>
      <c r="H2" s="1564"/>
      <c r="I2" s="1564"/>
      <c r="J2" s="1564"/>
      <c r="K2" s="1564"/>
      <c r="L2" s="1563" t="s">
        <v>1066</v>
      </c>
      <c r="M2" s="397" t="str">
        <f>N40</f>
        <v>AR</v>
      </c>
      <c r="N2" s="1559" t="s">
        <v>1202</v>
      </c>
      <c r="O2" s="1559"/>
      <c r="P2" s="1559"/>
      <c r="Q2" s="1559"/>
      <c r="R2" s="1559"/>
      <c r="S2" s="1559"/>
      <c r="T2" s="1559"/>
      <c r="U2" s="1559"/>
      <c r="V2" s="398"/>
    </row>
    <row r="3" spans="1:35" ht="16" customHeight="1">
      <c r="A3" s="1563"/>
      <c r="B3" s="391"/>
      <c r="C3" s="391"/>
      <c r="D3" s="391"/>
      <c r="E3" s="391"/>
      <c r="F3" s="391"/>
      <c r="G3" s="391"/>
      <c r="H3" s="391"/>
      <c r="I3" s="391"/>
      <c r="J3" s="391"/>
      <c r="K3" s="391"/>
      <c r="L3" s="1563"/>
      <c r="M3" s="1533" t="s">
        <v>1070</v>
      </c>
      <c r="N3" s="1534"/>
      <c r="O3" s="1534"/>
      <c r="P3" s="1534"/>
      <c r="Q3" s="1534"/>
      <c r="R3" s="1534"/>
      <c r="S3" s="1534"/>
      <c r="T3" s="1534"/>
      <c r="U3" s="1534"/>
      <c r="V3" s="1535"/>
    </row>
    <row r="4" spans="1:35" s="372" customFormat="1" ht="16" customHeight="1">
      <c r="A4" s="1563"/>
      <c r="B4" s="391"/>
      <c r="C4" s="514" t="s">
        <v>996</v>
      </c>
      <c r="D4" s="391"/>
      <c r="E4" s="391"/>
      <c r="F4" s="391"/>
      <c r="G4" s="391"/>
      <c r="H4" s="391"/>
      <c r="I4" s="391"/>
      <c r="J4" s="391"/>
      <c r="K4" s="391"/>
      <c r="L4" s="1563"/>
      <c r="M4" s="1536"/>
      <c r="N4" s="1537"/>
      <c r="O4" s="1537"/>
      <c r="P4" s="1537"/>
      <c r="Q4" s="1537"/>
      <c r="R4" s="1537"/>
      <c r="S4" s="1537"/>
      <c r="T4" s="1537"/>
      <c r="U4" s="1537"/>
      <c r="V4" s="1538"/>
      <c r="AI4" s="499"/>
    </row>
    <row r="5" spans="1:35" s="372" customFormat="1" ht="16" customHeight="1">
      <c r="A5" s="1563"/>
      <c r="B5" s="391"/>
      <c r="C5" s="514" t="s">
        <v>997</v>
      </c>
      <c r="D5" s="391"/>
      <c r="E5" s="391"/>
      <c r="F5" s="391"/>
      <c r="G5" s="391"/>
      <c r="H5" s="391"/>
      <c r="I5" s="391"/>
      <c r="J5" s="391"/>
      <c r="K5" s="391"/>
      <c r="L5" s="1563"/>
      <c r="M5" s="1536"/>
      <c r="N5" s="1537"/>
      <c r="O5" s="1537"/>
      <c r="P5" s="1537"/>
      <c r="Q5" s="1537"/>
      <c r="R5" s="1537"/>
      <c r="S5" s="1537"/>
      <c r="T5" s="1537"/>
      <c r="U5" s="1537"/>
      <c r="V5" s="1538"/>
      <c r="AI5" s="499"/>
    </row>
    <row r="6" spans="1:35" s="372" customFormat="1" ht="16" customHeight="1">
      <c r="A6" s="1563"/>
      <c r="B6" s="391"/>
      <c r="C6" s="391"/>
      <c r="D6" s="391"/>
      <c r="E6" s="391"/>
      <c r="F6" s="391"/>
      <c r="G6" s="391"/>
      <c r="H6" s="391"/>
      <c r="I6" s="391"/>
      <c r="J6" s="391"/>
      <c r="K6" s="391"/>
      <c r="L6" s="1563"/>
      <c r="M6" s="1536"/>
      <c r="N6" s="1537"/>
      <c r="O6" s="1537"/>
      <c r="P6" s="1537"/>
      <c r="Q6" s="1537"/>
      <c r="R6" s="1537"/>
      <c r="S6" s="1537"/>
      <c r="T6" s="1537"/>
      <c r="U6" s="1537"/>
      <c r="V6" s="1538"/>
      <c r="AI6" s="499"/>
    </row>
    <row r="7" spans="1:35" ht="16" customHeight="1">
      <c r="A7" s="1563"/>
      <c r="B7" s="391"/>
      <c r="C7" s="391"/>
      <c r="D7" s="391"/>
      <c r="E7" s="391"/>
      <c r="F7" s="391"/>
      <c r="G7" s="391"/>
      <c r="H7" s="391"/>
      <c r="I7" s="391"/>
      <c r="J7" s="391"/>
      <c r="K7" s="391"/>
      <c r="L7" s="1563"/>
      <c r="M7" s="1536"/>
      <c r="N7" s="1537"/>
      <c r="O7" s="1537"/>
      <c r="P7" s="1537"/>
      <c r="Q7" s="1537"/>
      <c r="R7" s="1537"/>
      <c r="S7" s="1537"/>
      <c r="T7" s="1537"/>
      <c r="U7" s="1537"/>
      <c r="V7" s="1538"/>
    </row>
    <row r="8" spans="1:35" ht="16" customHeight="1">
      <c r="A8" s="1563"/>
      <c r="B8" s="391"/>
      <c r="C8" s="391"/>
      <c r="D8" s="391"/>
      <c r="E8" s="391"/>
      <c r="F8" s="391"/>
      <c r="G8" s="391"/>
      <c r="H8" s="391"/>
      <c r="I8" s="391"/>
      <c r="J8" s="391"/>
      <c r="K8" s="391"/>
      <c r="L8" s="1563"/>
      <c r="M8" s="1536"/>
      <c r="N8" s="1537"/>
      <c r="O8" s="1537"/>
      <c r="P8" s="1537"/>
      <c r="Q8" s="1537"/>
      <c r="R8" s="1537"/>
      <c r="S8" s="1537"/>
      <c r="T8" s="1537"/>
      <c r="U8" s="1537"/>
      <c r="V8" s="1538"/>
    </row>
    <row r="9" spans="1:35" ht="16" customHeight="1">
      <c r="A9" s="1563"/>
      <c r="B9" s="391"/>
      <c r="C9" s="391"/>
      <c r="D9" s="391"/>
      <c r="E9" s="391"/>
      <c r="F9" s="391"/>
      <c r="G9" s="391"/>
      <c r="H9" s="391"/>
      <c r="I9" s="391"/>
      <c r="J9" s="391"/>
      <c r="K9" s="391"/>
      <c r="L9" s="1563"/>
      <c r="M9" s="1539"/>
      <c r="N9" s="1540"/>
      <c r="O9" s="1540"/>
      <c r="P9" s="1540"/>
      <c r="Q9" s="1540"/>
      <c r="R9" s="1540"/>
      <c r="S9" s="1540"/>
      <c r="T9" s="1540"/>
      <c r="U9" s="1540"/>
      <c r="V9" s="1541"/>
    </row>
    <row r="10" spans="1:35" ht="16" customHeight="1">
      <c r="A10" s="1563"/>
      <c r="B10" s="391"/>
      <c r="C10" s="391"/>
      <c r="D10" s="391"/>
      <c r="E10" s="391"/>
      <c r="F10" s="391"/>
      <c r="G10" s="391"/>
      <c r="H10" s="391"/>
      <c r="I10" s="391"/>
      <c r="J10" s="391"/>
      <c r="K10" s="391"/>
      <c r="L10" s="1563"/>
      <c r="M10" s="1542"/>
      <c r="N10" s="1543"/>
      <c r="O10" s="1543"/>
      <c r="P10" s="1543"/>
      <c r="Q10" s="1543"/>
      <c r="R10" s="1543"/>
      <c r="S10" s="1543"/>
      <c r="T10" s="1543"/>
      <c r="U10" s="1543"/>
      <c r="V10" s="1544"/>
    </row>
    <row r="11" spans="1:35" ht="16" customHeight="1">
      <c r="A11" s="1563"/>
      <c r="B11" s="391"/>
      <c r="C11" s="391"/>
      <c r="D11" s="391"/>
      <c r="E11" s="391"/>
      <c r="F11" s="391"/>
      <c r="G11" s="391"/>
      <c r="H11" s="391"/>
      <c r="I11" s="391"/>
      <c r="J11" s="391"/>
      <c r="K11" s="391"/>
      <c r="L11" s="1563"/>
      <c r="M11" s="1536"/>
      <c r="N11" s="1537"/>
      <c r="O11" s="1537"/>
      <c r="P11" s="1537"/>
      <c r="Q11" s="1537"/>
      <c r="R11" s="1537"/>
      <c r="S11" s="1537"/>
      <c r="T11" s="1537"/>
      <c r="U11" s="1537"/>
      <c r="V11" s="1538"/>
    </row>
    <row r="12" spans="1:35" s="372" customFormat="1" ht="16" customHeight="1">
      <c r="A12" s="1563"/>
      <c r="B12" s="391"/>
      <c r="C12" s="391"/>
      <c r="D12" s="391"/>
      <c r="E12" s="391"/>
      <c r="F12" s="391"/>
      <c r="G12" s="391"/>
      <c r="H12" s="391"/>
      <c r="I12" s="391"/>
      <c r="J12" s="391"/>
      <c r="K12" s="391"/>
      <c r="L12" s="1563"/>
      <c r="M12" s="1536"/>
      <c r="N12" s="1537"/>
      <c r="O12" s="1537"/>
      <c r="P12" s="1537"/>
      <c r="Q12" s="1537"/>
      <c r="R12" s="1537"/>
      <c r="S12" s="1537"/>
      <c r="T12" s="1537"/>
      <c r="U12" s="1537"/>
      <c r="V12" s="1538"/>
      <c r="AI12" s="499"/>
    </row>
    <row r="13" spans="1:35" s="372" customFormat="1" ht="16" customHeight="1">
      <c r="A13" s="1563"/>
      <c r="B13" s="391"/>
      <c r="C13" s="391"/>
      <c r="D13" s="391"/>
      <c r="E13" s="391"/>
      <c r="F13" s="391"/>
      <c r="G13" s="391"/>
      <c r="H13" s="391"/>
      <c r="I13" s="391"/>
      <c r="J13" s="391"/>
      <c r="K13" s="391"/>
      <c r="L13" s="1563"/>
      <c r="M13" s="1536"/>
      <c r="N13" s="1537"/>
      <c r="O13" s="1537"/>
      <c r="P13" s="1537"/>
      <c r="Q13" s="1537"/>
      <c r="R13" s="1537"/>
      <c r="S13" s="1537"/>
      <c r="T13" s="1537"/>
      <c r="U13" s="1537"/>
      <c r="V13" s="1538"/>
      <c r="AI13" s="499"/>
    </row>
    <row r="14" spans="1:35" s="372" customFormat="1" ht="16" customHeight="1">
      <c r="A14" s="1563"/>
      <c r="B14" s="391"/>
      <c r="C14" s="391"/>
      <c r="D14" s="391"/>
      <c r="E14" s="391"/>
      <c r="F14" s="391"/>
      <c r="G14" s="391"/>
      <c r="H14" s="391"/>
      <c r="I14" s="391"/>
      <c r="J14" s="391"/>
      <c r="K14" s="391"/>
      <c r="L14" s="1563"/>
      <c r="M14" s="1536"/>
      <c r="N14" s="1537"/>
      <c r="O14" s="1537"/>
      <c r="P14" s="1537"/>
      <c r="Q14" s="1537"/>
      <c r="R14" s="1537"/>
      <c r="S14" s="1537"/>
      <c r="T14" s="1537"/>
      <c r="U14" s="1537"/>
      <c r="V14" s="1538"/>
      <c r="AI14" s="499"/>
    </row>
    <row r="15" spans="1:35" ht="16" customHeight="1">
      <c r="A15" s="1563"/>
      <c r="B15" s="391"/>
      <c r="C15" s="391"/>
      <c r="D15" s="391"/>
      <c r="E15" s="391"/>
      <c r="F15" s="391"/>
      <c r="G15" s="391"/>
      <c r="H15" s="391"/>
      <c r="I15" s="391"/>
      <c r="J15" s="391"/>
      <c r="K15" s="391"/>
      <c r="L15" s="1563"/>
      <c r="M15" s="1536"/>
      <c r="N15" s="1537"/>
      <c r="O15" s="1537"/>
      <c r="P15" s="1537"/>
      <c r="Q15" s="1537"/>
      <c r="R15" s="1537"/>
      <c r="S15" s="1537"/>
      <c r="T15" s="1537"/>
      <c r="U15" s="1537"/>
      <c r="V15" s="1538"/>
    </row>
    <row r="16" spans="1:35" ht="16" customHeight="1">
      <c r="A16" s="1563"/>
      <c r="B16" s="391"/>
      <c r="C16" s="391"/>
      <c r="D16" s="391"/>
      <c r="E16" s="391"/>
      <c r="F16" s="391"/>
      <c r="G16" s="391"/>
      <c r="H16" s="391"/>
      <c r="I16" s="391"/>
      <c r="J16" s="391"/>
      <c r="K16" s="391"/>
      <c r="L16" s="1563"/>
      <c r="M16" s="1545"/>
      <c r="N16" s="1546"/>
      <c r="O16" s="1546"/>
      <c r="P16" s="1546"/>
      <c r="Q16" s="1546"/>
      <c r="R16" s="1546"/>
      <c r="S16" s="1546"/>
      <c r="T16" s="1546"/>
      <c r="U16" s="1546"/>
      <c r="V16" s="1547"/>
    </row>
    <row r="17" spans="1:33" ht="16" customHeight="1">
      <c r="A17" s="1563"/>
      <c r="B17" s="391"/>
      <c r="C17" s="391"/>
      <c r="D17" s="391"/>
      <c r="E17" s="391"/>
      <c r="F17" s="391"/>
      <c r="G17" s="391"/>
      <c r="H17" s="391"/>
      <c r="I17" s="391"/>
      <c r="J17" s="391"/>
      <c r="K17" s="391"/>
      <c r="L17" s="1563"/>
      <c r="M17" s="1522"/>
      <c r="N17" s="1523"/>
      <c r="O17" s="1523"/>
      <c r="P17" s="1523"/>
      <c r="Q17" s="1523"/>
      <c r="R17" s="1523"/>
      <c r="S17" s="1523"/>
      <c r="T17" s="1523"/>
      <c r="U17" s="1523"/>
      <c r="V17" s="1524"/>
    </row>
    <row r="18" spans="1:33" ht="16" customHeight="1">
      <c r="A18" s="1563"/>
      <c r="B18" s="391"/>
      <c r="C18" s="391"/>
      <c r="D18" s="391"/>
      <c r="E18" s="391"/>
      <c r="F18" s="391"/>
      <c r="G18" s="391"/>
      <c r="H18" s="391"/>
      <c r="I18" s="391"/>
      <c r="J18" s="391"/>
      <c r="K18" s="391"/>
      <c r="L18" s="1563"/>
      <c r="M18" s="1525"/>
      <c r="N18" s="1526"/>
      <c r="O18" s="1526"/>
      <c r="P18" s="1526"/>
      <c r="Q18" s="1526"/>
      <c r="R18" s="1526"/>
      <c r="S18" s="1526"/>
      <c r="T18" s="1526"/>
      <c r="U18" s="1526"/>
      <c r="V18" s="1527"/>
    </row>
    <row r="19" spans="1:33" ht="16" customHeight="1">
      <c r="A19" s="1563"/>
      <c r="B19" s="391"/>
      <c r="C19" s="391"/>
      <c r="D19" s="391"/>
      <c r="E19" s="391"/>
      <c r="F19" s="391"/>
      <c r="G19" s="391"/>
      <c r="H19" s="391"/>
      <c r="I19" s="391"/>
      <c r="J19" s="391"/>
      <c r="K19" s="391"/>
      <c r="L19" s="1563"/>
      <c r="M19" s="1525"/>
      <c r="N19" s="1526"/>
      <c r="O19" s="1526"/>
      <c r="P19" s="1526"/>
      <c r="Q19" s="1526"/>
      <c r="R19" s="1526"/>
      <c r="S19" s="1526"/>
      <c r="T19" s="1526"/>
      <c r="U19" s="1526"/>
      <c r="V19" s="1527"/>
    </row>
    <row r="20" spans="1:33" ht="16" customHeight="1">
      <c r="A20" s="1563"/>
      <c r="B20" s="391"/>
      <c r="C20" s="514" t="s">
        <v>998</v>
      </c>
      <c r="D20" s="391"/>
      <c r="E20" s="391"/>
      <c r="F20" s="391"/>
      <c r="G20" s="391"/>
      <c r="H20" s="391"/>
      <c r="I20" s="391"/>
      <c r="J20" s="391"/>
      <c r="K20" s="391"/>
      <c r="L20" s="1563"/>
      <c r="M20" s="1525"/>
      <c r="N20" s="1526"/>
      <c r="O20" s="1526"/>
      <c r="P20" s="1526"/>
      <c r="Q20" s="1526"/>
      <c r="R20" s="1526"/>
      <c r="S20" s="1526"/>
      <c r="T20" s="1526"/>
      <c r="U20" s="1526"/>
      <c r="V20" s="1527"/>
    </row>
    <row r="21" spans="1:33" ht="16" customHeight="1">
      <c r="A21" s="1563"/>
      <c r="B21" s="391"/>
      <c r="C21" s="514" t="s">
        <v>999</v>
      </c>
      <c r="D21" s="391"/>
      <c r="E21" s="391"/>
      <c r="F21" s="391"/>
      <c r="G21" s="391"/>
      <c r="H21" s="391"/>
      <c r="I21" s="391"/>
      <c r="J21" s="391"/>
      <c r="K21" s="391"/>
      <c r="L21" s="1563"/>
      <c r="M21" s="1525"/>
      <c r="N21" s="1526"/>
      <c r="O21" s="1526"/>
      <c r="P21" s="1526"/>
      <c r="Q21" s="1526"/>
      <c r="R21" s="1526"/>
      <c r="S21" s="1526"/>
      <c r="T21" s="1526"/>
      <c r="U21" s="1526"/>
      <c r="V21" s="1527"/>
    </row>
    <row r="22" spans="1:33" ht="16" customHeight="1">
      <c r="A22" s="1563"/>
      <c r="B22" s="391"/>
      <c r="C22" s="514" t="s">
        <v>1000</v>
      </c>
      <c r="D22" s="391"/>
      <c r="E22" s="391"/>
      <c r="F22" s="391"/>
      <c r="G22" s="391"/>
      <c r="H22" s="391"/>
      <c r="I22" s="391"/>
      <c r="J22" s="391"/>
      <c r="K22" s="391"/>
      <c r="L22" s="1563"/>
      <c r="M22" s="1525"/>
      <c r="N22" s="1526"/>
      <c r="O22" s="1526"/>
      <c r="P22" s="1526"/>
      <c r="Q22" s="1526"/>
      <c r="R22" s="1526"/>
      <c r="S22" s="1526"/>
      <c r="T22" s="1526"/>
      <c r="U22" s="1526"/>
      <c r="V22" s="1527"/>
    </row>
    <row r="23" spans="1:33" ht="16" customHeight="1">
      <c r="A23" s="1563"/>
      <c r="B23" s="391"/>
      <c r="C23" s="391"/>
      <c r="D23" s="391"/>
      <c r="E23" s="391"/>
      <c r="F23" s="391"/>
      <c r="G23" s="391"/>
      <c r="H23" s="391"/>
      <c r="I23" s="391"/>
      <c r="J23" s="391"/>
      <c r="K23" s="391"/>
      <c r="L23" s="1563"/>
      <c r="M23" s="1525"/>
      <c r="N23" s="1526"/>
      <c r="O23" s="1526"/>
      <c r="P23" s="1526"/>
      <c r="Q23" s="1526"/>
      <c r="R23" s="1526"/>
      <c r="S23" s="1526"/>
      <c r="T23" s="1526"/>
      <c r="U23" s="1526"/>
      <c r="V23" s="1527"/>
    </row>
    <row r="24" spans="1:33" ht="16" customHeight="1">
      <c r="A24" s="1563"/>
      <c r="B24" s="391"/>
      <c r="C24" s="391"/>
      <c r="D24" s="391"/>
      <c r="E24" s="391"/>
      <c r="F24" s="391"/>
      <c r="G24" s="391"/>
      <c r="H24" s="391"/>
      <c r="I24" s="391"/>
      <c r="J24" s="391"/>
      <c r="K24" s="391"/>
      <c r="L24" s="1563"/>
      <c r="M24" s="1525"/>
      <c r="N24" s="1526"/>
      <c r="O24" s="1526"/>
      <c r="P24" s="1526"/>
      <c r="Q24" s="1526"/>
      <c r="R24" s="1526"/>
      <c r="S24" s="1526"/>
      <c r="T24" s="1526"/>
      <c r="U24" s="1526"/>
      <c r="V24" s="1527"/>
      <c r="X24" s="377"/>
      <c r="Y24" s="377"/>
      <c r="Z24" s="377"/>
      <c r="AA24" s="377"/>
      <c r="AB24" s="377"/>
      <c r="AC24" s="377"/>
      <c r="AD24" s="377"/>
      <c r="AE24" s="377"/>
      <c r="AF24" s="377"/>
      <c r="AG24" s="499"/>
    </row>
    <row r="25" spans="1:33" ht="16" customHeight="1">
      <c r="A25" s="1563"/>
      <c r="B25" s="391"/>
      <c r="C25" s="391"/>
      <c r="D25" s="391"/>
      <c r="E25" s="391"/>
      <c r="F25" s="391"/>
      <c r="G25" s="391"/>
      <c r="H25" s="391"/>
      <c r="I25" s="391"/>
      <c r="J25" s="391"/>
      <c r="K25" s="391"/>
      <c r="L25" s="1563"/>
      <c r="M25" s="1525"/>
      <c r="N25" s="1526"/>
      <c r="O25" s="1526"/>
      <c r="P25" s="1526"/>
      <c r="Q25" s="1526"/>
      <c r="R25" s="1526"/>
      <c r="S25" s="1526"/>
      <c r="T25" s="1526"/>
      <c r="U25" s="1526"/>
      <c r="V25" s="1527"/>
      <c r="X25" s="509"/>
      <c r="Y25" s="510"/>
      <c r="Z25" s="510"/>
      <c r="AA25" s="510"/>
      <c r="AB25" s="377"/>
      <c r="AC25" s="377"/>
      <c r="AD25" s="377"/>
      <c r="AE25" s="377"/>
      <c r="AF25" s="377"/>
      <c r="AG25" s="499"/>
    </row>
    <row r="26" spans="1:33" ht="16" customHeight="1">
      <c r="A26" s="1563"/>
      <c r="B26" s="391"/>
      <c r="C26" s="391"/>
      <c r="D26" s="391"/>
      <c r="E26" s="391"/>
      <c r="F26" s="391"/>
      <c r="G26" s="391"/>
      <c r="H26" s="391"/>
      <c r="I26" s="391"/>
      <c r="J26" s="391"/>
      <c r="K26" s="391"/>
      <c r="L26" s="1563"/>
      <c r="M26" s="1525"/>
      <c r="N26" s="1526"/>
      <c r="O26" s="1526"/>
      <c r="P26" s="1526"/>
      <c r="Q26" s="1526"/>
      <c r="R26" s="1526"/>
      <c r="S26" s="1526"/>
      <c r="T26" s="1526"/>
      <c r="U26" s="1526"/>
      <c r="V26" s="1527"/>
      <c r="X26" s="509"/>
      <c r="Y26" s="510"/>
      <c r="Z26" s="510"/>
      <c r="AA26" s="510"/>
      <c r="AB26" s="377"/>
      <c r="AC26" s="377"/>
      <c r="AD26" s="377"/>
      <c r="AE26" s="377"/>
      <c r="AF26" s="377"/>
      <c r="AG26" s="499"/>
    </row>
    <row r="27" spans="1:33" s="372" customFormat="1" ht="16" customHeight="1">
      <c r="A27" s="1563"/>
      <c r="B27" s="391"/>
      <c r="C27" s="508"/>
      <c r="D27" s="508"/>
      <c r="E27" s="508"/>
      <c r="F27" s="508"/>
      <c r="G27" s="508"/>
      <c r="H27" s="508"/>
      <c r="I27" s="508"/>
      <c r="J27" s="508"/>
      <c r="K27" s="391"/>
      <c r="L27" s="1563"/>
      <c r="M27" s="1525"/>
      <c r="N27" s="1526"/>
      <c r="O27" s="1526"/>
      <c r="P27" s="1526"/>
      <c r="Q27" s="1526"/>
      <c r="R27" s="1526"/>
      <c r="S27" s="1526"/>
      <c r="T27" s="1526"/>
      <c r="U27" s="1526"/>
      <c r="V27" s="1527"/>
      <c r="X27" s="511"/>
      <c r="Y27" s="512"/>
      <c r="Z27" s="512"/>
      <c r="AA27" s="513"/>
      <c r="AB27" s="377"/>
      <c r="AC27" s="377"/>
      <c r="AD27" s="377"/>
      <c r="AE27" s="377"/>
      <c r="AF27" s="377"/>
    </row>
    <row r="28" spans="1:33" s="372" customFormat="1" ht="16" customHeight="1">
      <c r="A28" s="1563"/>
      <c r="B28" s="391"/>
      <c r="C28" s="508"/>
      <c r="D28" s="508"/>
      <c r="E28" s="508"/>
      <c r="F28" s="508"/>
      <c r="G28" s="508"/>
      <c r="H28" s="508"/>
      <c r="I28" s="508"/>
      <c r="J28" s="508"/>
      <c r="K28" s="391"/>
      <c r="L28" s="1563"/>
      <c r="M28" s="1528"/>
      <c r="N28" s="1529"/>
      <c r="O28" s="1529"/>
      <c r="P28" s="1529"/>
      <c r="Q28" s="1529"/>
      <c r="R28" s="1529"/>
      <c r="S28" s="1529"/>
      <c r="T28" s="1529"/>
      <c r="U28" s="1529"/>
      <c r="V28" s="1530"/>
      <c r="X28" s="511"/>
      <c r="Y28" s="512"/>
      <c r="Z28" s="512"/>
      <c r="AA28" s="513"/>
      <c r="AB28" s="377"/>
      <c r="AC28" s="377"/>
      <c r="AD28" s="377"/>
      <c r="AE28" s="377"/>
      <c r="AF28" s="377"/>
    </row>
    <row r="29" spans="1:33" s="372" customFormat="1" ht="16" customHeight="1">
      <c r="A29" s="1563"/>
      <c r="B29" s="391"/>
      <c r="C29" s="508"/>
      <c r="D29" s="508"/>
      <c r="E29" s="508"/>
      <c r="F29" s="508"/>
      <c r="G29" s="508"/>
      <c r="H29" s="508"/>
      <c r="I29" s="508"/>
      <c r="J29" s="508"/>
      <c r="K29" s="391"/>
      <c r="L29" s="1563"/>
      <c r="M29" s="1560" t="s">
        <v>1042</v>
      </c>
      <c r="N29" s="1561"/>
      <c r="O29" s="1561"/>
      <c r="P29" s="1561"/>
      <c r="Q29" s="1561"/>
      <c r="R29" s="1561"/>
      <c r="S29" s="1561"/>
      <c r="T29" s="1561"/>
      <c r="U29" s="1561"/>
      <c r="V29" s="1562"/>
      <c r="X29" s="511"/>
      <c r="Y29" s="512"/>
      <c r="Z29" s="512"/>
      <c r="AA29" s="513"/>
      <c r="AB29" s="377"/>
      <c r="AC29" s="377"/>
      <c r="AD29" s="377"/>
      <c r="AE29" s="377"/>
      <c r="AF29" s="377"/>
    </row>
    <row r="30" spans="1:33" s="372" customFormat="1" ht="16" customHeight="1">
      <c r="A30" s="1563"/>
      <c r="B30" s="391"/>
      <c r="C30" s="508"/>
      <c r="D30" s="508"/>
      <c r="E30" s="508"/>
      <c r="F30" s="508"/>
      <c r="G30" s="508"/>
      <c r="H30" s="508"/>
      <c r="I30" s="508"/>
      <c r="J30" s="508"/>
      <c r="K30" s="391"/>
      <c r="L30" s="1563"/>
      <c r="M30" s="1550"/>
      <c r="N30" s="1551"/>
      <c r="O30" s="1551"/>
      <c r="P30" s="1551"/>
      <c r="Q30" s="1551"/>
      <c r="R30" s="1551"/>
      <c r="S30" s="1551"/>
      <c r="T30" s="1551"/>
      <c r="U30" s="1551"/>
      <c r="V30" s="1552"/>
      <c r="X30" s="377"/>
      <c r="Y30" s="377"/>
      <c r="Z30" s="377"/>
      <c r="AA30" s="377"/>
      <c r="AB30" s="377"/>
      <c r="AC30" s="377"/>
      <c r="AD30" s="377"/>
      <c r="AE30" s="377"/>
      <c r="AF30" s="377"/>
    </row>
    <row r="31" spans="1:33" ht="16" customHeight="1">
      <c r="A31" s="1563"/>
      <c r="B31" s="391"/>
      <c r="C31" s="508"/>
      <c r="D31" s="508"/>
      <c r="E31" s="508"/>
      <c r="F31" s="508"/>
      <c r="G31" s="508"/>
      <c r="H31" s="508"/>
      <c r="I31" s="508"/>
      <c r="J31" s="508"/>
      <c r="K31" s="391"/>
      <c r="L31" s="1563"/>
      <c r="M31" s="1550"/>
      <c r="N31" s="1551"/>
      <c r="O31" s="1551"/>
      <c r="P31" s="1551"/>
      <c r="Q31" s="1551"/>
      <c r="R31" s="1551"/>
      <c r="S31" s="1551"/>
      <c r="T31" s="1551"/>
      <c r="U31" s="1551"/>
      <c r="V31" s="1552"/>
      <c r="X31" s="377"/>
      <c r="Y31" s="377"/>
      <c r="Z31" s="377"/>
      <c r="AA31" s="377"/>
      <c r="AB31" s="377"/>
      <c r="AC31" s="377"/>
      <c r="AD31" s="377"/>
      <c r="AE31" s="377"/>
      <c r="AF31" s="377"/>
    </row>
    <row r="32" spans="1:33" ht="16" customHeight="1">
      <c r="A32" s="1563"/>
      <c r="B32" s="391"/>
      <c r="C32" s="508"/>
      <c r="D32" s="508"/>
      <c r="E32" s="508"/>
      <c r="F32" s="508"/>
      <c r="G32" s="508"/>
      <c r="H32" s="508"/>
      <c r="I32" s="508"/>
      <c r="J32" s="508"/>
      <c r="K32" s="391"/>
      <c r="L32" s="1563"/>
      <c r="M32" s="1550"/>
      <c r="N32" s="1551"/>
      <c r="O32" s="1551"/>
      <c r="P32" s="1551"/>
      <c r="Q32" s="1551"/>
      <c r="R32" s="1551"/>
      <c r="S32" s="1551"/>
      <c r="T32" s="1551"/>
      <c r="U32" s="1551"/>
      <c r="V32" s="1552"/>
      <c r="X32" s="377"/>
      <c r="Y32" s="377"/>
      <c r="Z32" s="377"/>
      <c r="AA32" s="377"/>
      <c r="AB32" s="377"/>
      <c r="AC32" s="377"/>
      <c r="AD32" s="377"/>
      <c r="AE32" s="377"/>
      <c r="AF32" s="377"/>
    </row>
    <row r="33" spans="1:32" ht="16" customHeight="1">
      <c r="A33" s="1563"/>
      <c r="B33" s="391"/>
      <c r="C33" s="508"/>
      <c r="D33" s="508"/>
      <c r="E33" s="508"/>
      <c r="F33" s="508"/>
      <c r="G33" s="508"/>
      <c r="H33" s="508"/>
      <c r="I33" s="508"/>
      <c r="J33" s="508"/>
      <c r="K33" s="391"/>
      <c r="L33" s="1563"/>
      <c r="M33" s="482"/>
      <c r="N33" s="483"/>
      <c r="O33" s="483"/>
      <c r="P33" s="483"/>
      <c r="Q33" s="483"/>
      <c r="R33" s="483"/>
      <c r="S33" s="483"/>
      <c r="T33" s="483"/>
      <c r="U33" s="483"/>
      <c r="V33" s="484"/>
      <c r="X33" s="377"/>
      <c r="Y33" s="377"/>
      <c r="Z33" s="377"/>
      <c r="AA33" s="377"/>
      <c r="AB33" s="377"/>
      <c r="AC33" s="377"/>
      <c r="AD33" s="377"/>
      <c r="AE33" s="377"/>
      <c r="AF33" s="377"/>
    </row>
    <row r="34" spans="1:32" ht="16" customHeight="1">
      <c r="A34" s="1563"/>
      <c r="B34" s="391"/>
      <c r="C34" s="508"/>
      <c r="D34" s="508"/>
      <c r="E34" s="508"/>
      <c r="F34" s="508"/>
      <c r="G34" s="508"/>
      <c r="H34" s="508"/>
      <c r="I34" s="508"/>
      <c r="J34" s="508"/>
      <c r="K34" s="391"/>
      <c r="L34" s="1563"/>
      <c r="M34" s="1553"/>
      <c r="N34" s="1554"/>
      <c r="O34" s="1554"/>
      <c r="P34" s="1554"/>
      <c r="Q34" s="1554"/>
      <c r="R34" s="1554"/>
      <c r="S34" s="1554"/>
      <c r="T34" s="1554"/>
      <c r="U34" s="1554"/>
      <c r="V34" s="1555"/>
      <c r="X34" s="377"/>
      <c r="Y34" s="377"/>
      <c r="Z34" s="377"/>
      <c r="AA34" s="377"/>
      <c r="AB34" s="377"/>
      <c r="AC34" s="377"/>
      <c r="AD34" s="377"/>
      <c r="AE34" s="377"/>
      <c r="AF34" s="377"/>
    </row>
    <row r="35" spans="1:32" ht="16" customHeight="1">
      <c r="A35" s="1563"/>
      <c r="B35" s="391"/>
      <c r="C35" s="391"/>
      <c r="D35" s="391"/>
      <c r="E35" s="391"/>
      <c r="F35" s="391"/>
      <c r="G35" s="391"/>
      <c r="H35" s="391"/>
      <c r="I35" s="391"/>
      <c r="J35" s="391"/>
      <c r="K35" s="391"/>
      <c r="L35" s="1563"/>
      <c r="M35" s="1553"/>
      <c r="N35" s="1554"/>
      <c r="O35" s="1554"/>
      <c r="P35" s="1554"/>
      <c r="Q35" s="1554"/>
      <c r="R35" s="1554"/>
      <c r="S35" s="1554"/>
      <c r="T35" s="1554"/>
      <c r="U35" s="1554"/>
      <c r="V35" s="1555"/>
      <c r="X35" s="377"/>
      <c r="Y35" s="377"/>
      <c r="Z35" s="377"/>
      <c r="AA35" s="377"/>
      <c r="AB35" s="377"/>
      <c r="AC35" s="377"/>
      <c r="AD35" s="377"/>
      <c r="AE35" s="377"/>
      <c r="AF35" s="377"/>
    </row>
    <row r="36" spans="1:32" ht="20" customHeight="1">
      <c r="A36" s="1563"/>
      <c r="B36" s="1564" t="s">
        <v>1193</v>
      </c>
      <c r="C36" s="1564"/>
      <c r="D36" s="1564"/>
      <c r="E36" s="1564"/>
      <c r="F36" s="1564"/>
      <c r="G36" s="1564"/>
      <c r="H36" s="1564"/>
      <c r="I36" s="1564"/>
      <c r="J36" s="1564"/>
      <c r="K36" s="1564"/>
      <c r="L36" s="1563"/>
      <c r="M36" s="395" t="str">
        <f>N40</f>
        <v>AR</v>
      </c>
      <c r="N36" s="1565" t="s">
        <v>1194</v>
      </c>
      <c r="O36" s="1565"/>
      <c r="P36" s="1565"/>
      <c r="Q36" s="1565"/>
      <c r="R36" s="1565"/>
      <c r="S36" s="1565"/>
      <c r="T36" s="1565"/>
      <c r="U36" s="1565"/>
      <c r="V36" s="395"/>
      <c r="X36" s="377"/>
      <c r="Y36" s="377"/>
      <c r="Z36" s="377"/>
      <c r="AA36" s="377"/>
      <c r="AB36" s="377"/>
      <c r="AC36" s="377"/>
      <c r="AD36" s="377"/>
      <c r="AE36" s="377"/>
      <c r="AF36" s="377"/>
    </row>
    <row r="37" spans="1:32" ht="18" customHeight="1">
      <c r="A37" s="390"/>
      <c r="B37" s="1549" t="s">
        <v>1066</v>
      </c>
      <c r="C37" s="1549"/>
      <c r="D37" s="1549"/>
      <c r="E37" s="1549"/>
      <c r="F37" s="1549"/>
      <c r="G37" s="1549"/>
      <c r="H37" s="1549"/>
      <c r="I37" s="1549"/>
      <c r="J37" s="1549"/>
      <c r="K37" s="1549"/>
      <c r="L37" s="390"/>
      <c r="M37" s="1521" t="s">
        <v>1001</v>
      </c>
      <c r="N37" s="1521"/>
      <c r="O37" s="1521"/>
      <c r="P37" s="1521"/>
      <c r="Q37" s="1521"/>
      <c r="R37" s="1521"/>
      <c r="S37" s="1521"/>
      <c r="T37" s="1521"/>
      <c r="U37" s="1521"/>
      <c r="V37" s="1521"/>
      <c r="X37" s="377"/>
      <c r="Y37" s="377"/>
      <c r="Z37" s="377"/>
      <c r="AA37" s="377"/>
      <c r="AB37" s="377"/>
      <c r="AC37" s="377"/>
      <c r="AD37" s="377"/>
      <c r="AE37" s="377"/>
      <c r="AF37" s="377"/>
    </row>
    <row r="38" spans="1:32" ht="16" customHeight="1">
      <c r="A38" s="446"/>
      <c r="B38" s="446"/>
      <c r="C38" s="446"/>
      <c r="D38" s="446"/>
      <c r="E38" s="446"/>
      <c r="F38" s="446"/>
      <c r="G38" s="446"/>
      <c r="H38" s="446"/>
      <c r="I38" s="446"/>
      <c r="J38" s="446"/>
      <c r="K38" s="446"/>
      <c r="L38" s="392"/>
      <c r="M38" s="393"/>
      <c r="N38" s="394"/>
      <c r="O38" s="394"/>
      <c r="P38" s="394"/>
      <c r="Q38" s="394"/>
      <c r="R38" s="393"/>
      <c r="S38" s="393"/>
      <c r="T38" s="393"/>
      <c r="U38" s="393"/>
      <c r="V38" s="393"/>
      <c r="X38" s="377"/>
      <c r="Y38" s="377"/>
      <c r="Z38" s="377"/>
      <c r="AA38" s="377"/>
      <c r="AB38" s="377"/>
      <c r="AC38" s="377"/>
      <c r="AD38" s="377"/>
      <c r="AE38" s="377"/>
      <c r="AF38" s="377"/>
    </row>
    <row r="39" spans="1:32" ht="16" customHeight="1">
      <c r="A39" s="446"/>
      <c r="B39" s="446"/>
      <c r="C39" s="446"/>
      <c r="D39" s="446"/>
      <c r="E39" s="446"/>
      <c r="F39" s="446"/>
      <c r="G39" s="446"/>
      <c r="H39" s="446"/>
      <c r="I39" s="446"/>
      <c r="J39" s="446"/>
      <c r="K39" s="446"/>
      <c r="L39" s="392"/>
      <c r="M39" s="393"/>
      <c r="N39" s="394"/>
      <c r="O39" s="394"/>
      <c r="P39" s="394"/>
      <c r="Q39" s="394"/>
      <c r="R39" s="393"/>
      <c r="S39" s="393"/>
      <c r="T39" s="393"/>
      <c r="U39" s="393"/>
      <c r="V39" s="393"/>
      <c r="X39" s="377"/>
      <c r="Y39" s="377"/>
      <c r="Z39" s="377"/>
      <c r="AA39" s="377"/>
      <c r="AB39" s="377"/>
      <c r="AC39" s="377"/>
      <c r="AD39" s="377"/>
      <c r="AE39" s="377"/>
      <c r="AF39" s="377"/>
    </row>
    <row r="40" spans="1:32" ht="16" customHeight="1">
      <c r="A40" s="446"/>
      <c r="B40" s="446"/>
      <c r="C40" s="1548" t="s">
        <v>1007</v>
      </c>
      <c r="D40" s="1548"/>
      <c r="E40" s="1548"/>
      <c r="F40" s="1548"/>
      <c r="G40" s="1548"/>
      <c r="H40" s="1548"/>
      <c r="I40" s="1548"/>
      <c r="J40" s="1548"/>
      <c r="K40" s="446"/>
      <c r="L40" s="392"/>
      <c r="M40" s="393"/>
      <c r="N40" s="593" t="str">
        <f>'FIG3'!W49</f>
        <v>AR</v>
      </c>
      <c r="O40" s="586" t="s">
        <v>1351</v>
      </c>
      <c r="P40" s="586"/>
      <c r="Q40" s="586" t="s">
        <v>1196</v>
      </c>
      <c r="R40" s="393"/>
      <c r="S40" s="393"/>
      <c r="T40" s="393"/>
      <c r="U40" s="393"/>
      <c r="V40" s="393"/>
      <c r="X40" s="377"/>
      <c r="Y40" s="377"/>
      <c r="Z40" s="377"/>
      <c r="AA40" s="377"/>
      <c r="AB40" s="377"/>
      <c r="AC40" s="377"/>
      <c r="AD40" s="377"/>
      <c r="AE40" s="377"/>
      <c r="AF40" s="377"/>
    </row>
    <row r="41" spans="1:32" ht="16" customHeight="1">
      <c r="A41" s="446"/>
      <c r="B41" s="446"/>
      <c r="C41" s="1548"/>
      <c r="D41" s="1548"/>
      <c r="E41" s="1548"/>
      <c r="F41" s="1548"/>
      <c r="G41" s="1548"/>
      <c r="H41" s="1548"/>
      <c r="I41" s="1548"/>
      <c r="J41" s="1548"/>
      <c r="K41" s="446"/>
      <c r="L41" s="392"/>
      <c r="M41" s="393"/>
      <c r="N41" s="585"/>
      <c r="O41" s="586" t="s">
        <v>1197</v>
      </c>
      <c r="P41" s="586" t="s">
        <v>1196</v>
      </c>
      <c r="Q41" s="586" t="s">
        <v>1372</v>
      </c>
      <c r="R41" s="393"/>
      <c r="S41" s="393"/>
      <c r="T41" s="393"/>
      <c r="U41" s="393"/>
      <c r="V41" s="393"/>
      <c r="X41" s="377"/>
      <c r="Y41" s="377"/>
      <c r="Z41" s="377"/>
      <c r="AA41" s="377"/>
      <c r="AB41" s="377"/>
      <c r="AC41" s="377"/>
      <c r="AD41" s="377"/>
      <c r="AE41" s="377"/>
      <c r="AF41" s="377"/>
    </row>
    <row r="42" spans="1:32" ht="16" customHeight="1">
      <c r="A42" s="446"/>
      <c r="B42" s="446"/>
      <c r="C42" s="1548"/>
      <c r="D42" s="1548"/>
      <c r="E42" s="1548"/>
      <c r="F42" s="1548"/>
      <c r="G42" s="1548"/>
      <c r="H42" s="1548"/>
      <c r="I42" s="1548"/>
      <c r="J42" s="1548"/>
      <c r="K42" s="446"/>
      <c r="L42" s="392"/>
      <c r="M42" s="393"/>
      <c r="N42" s="590" t="s">
        <v>1365</v>
      </c>
      <c r="O42" s="591">
        <f>'FIG3'!F8</f>
        <v>11373.740177609156</v>
      </c>
      <c r="P42" s="591"/>
      <c r="Q42" s="587"/>
      <c r="R42" s="393"/>
      <c r="S42" s="393"/>
      <c r="T42" s="393"/>
      <c r="U42" s="393"/>
      <c r="V42" s="393"/>
      <c r="X42" s="377"/>
      <c r="Y42" s="377"/>
      <c r="Z42" s="377"/>
      <c r="AA42" s="377"/>
      <c r="AB42" s="377"/>
      <c r="AC42" s="377"/>
      <c r="AD42" s="377"/>
      <c r="AE42" s="512"/>
      <c r="AF42" s="377"/>
    </row>
    <row r="43" spans="1:32" ht="16" customHeight="1">
      <c r="A43" s="446"/>
      <c r="B43" s="446"/>
      <c r="C43" s="1548"/>
      <c r="D43" s="1548"/>
      <c r="E43" s="1548"/>
      <c r="F43" s="1548"/>
      <c r="G43" s="1548"/>
      <c r="H43" s="1548"/>
      <c r="I43" s="1548"/>
      <c r="J43" s="1548"/>
      <c r="K43" s="446"/>
      <c r="L43" s="392"/>
      <c r="M43" s="393"/>
      <c r="N43" s="590" t="s">
        <v>1364</v>
      </c>
      <c r="O43" s="591">
        <f>'FIG3'!F9</f>
        <v>8391.5664842271308</v>
      </c>
      <c r="P43" s="591">
        <f>(O42-O43)</f>
        <v>2982.1736933820248</v>
      </c>
      <c r="Q43" s="587">
        <f>P43/O42*-1</f>
        <v>-0.26219815529572787</v>
      </c>
      <c r="R43" s="393"/>
      <c r="S43" s="393"/>
      <c r="T43" s="393"/>
      <c r="U43" s="393"/>
      <c r="V43" s="393"/>
      <c r="X43" s="377"/>
      <c r="Y43" s="377"/>
      <c r="Z43" s="377"/>
      <c r="AA43" s="377"/>
      <c r="AB43" s="377"/>
      <c r="AC43" s="377"/>
      <c r="AD43" s="377"/>
      <c r="AE43" s="512"/>
      <c r="AF43" s="377"/>
    </row>
    <row r="44" spans="1:32" ht="16" customHeight="1">
      <c r="A44" s="446"/>
      <c r="B44" s="446"/>
      <c r="C44" s="1548"/>
      <c r="D44" s="1548"/>
      <c r="E44" s="1548"/>
      <c r="F44" s="1548"/>
      <c r="G44" s="1548"/>
      <c r="H44" s="1548"/>
      <c r="I44" s="1548"/>
      <c r="J44" s="1548"/>
      <c r="K44" s="446"/>
      <c r="L44" s="392"/>
      <c r="M44" s="393"/>
      <c r="N44" s="585"/>
      <c r="O44" s="588"/>
      <c r="P44" s="588"/>
      <c r="Q44" s="587"/>
      <c r="R44" s="393"/>
      <c r="S44" s="393"/>
      <c r="T44" s="393"/>
      <c r="U44" s="393"/>
      <c r="V44" s="393"/>
      <c r="X44" s="377"/>
      <c r="Y44" s="377"/>
      <c r="Z44" s="377"/>
      <c r="AA44" s="377"/>
      <c r="AB44" s="377"/>
      <c r="AC44" s="377"/>
      <c r="AD44" s="377"/>
      <c r="AE44" s="377"/>
      <c r="AF44" s="377"/>
    </row>
    <row r="45" spans="1:32" ht="16" customHeight="1">
      <c r="A45" s="446"/>
      <c r="B45" s="446"/>
      <c r="C45" s="1548"/>
      <c r="D45" s="1548"/>
      <c r="E45" s="1548"/>
      <c r="F45" s="1548"/>
      <c r="G45" s="1548"/>
      <c r="H45" s="1548"/>
      <c r="I45" s="1548"/>
      <c r="J45" s="1548"/>
      <c r="K45" s="446"/>
      <c r="L45" s="392"/>
      <c r="M45" s="393"/>
      <c r="N45" s="589"/>
      <c r="O45" s="589"/>
      <c r="P45" s="589"/>
      <c r="Q45" s="589"/>
      <c r="R45" s="393"/>
      <c r="S45" s="393"/>
      <c r="T45" s="393"/>
      <c r="U45" s="393"/>
      <c r="V45" s="393"/>
      <c r="X45" s="377"/>
      <c r="Y45" s="377"/>
      <c r="Z45" s="377"/>
      <c r="AA45" s="377"/>
      <c r="AB45" s="377"/>
      <c r="AC45" s="377"/>
      <c r="AD45" s="377"/>
      <c r="AE45" s="377"/>
      <c r="AF45" s="377"/>
    </row>
    <row r="46" spans="1:32" ht="16" customHeight="1">
      <c r="A46" s="446"/>
      <c r="B46" s="446"/>
      <c r="C46" s="1548"/>
      <c r="D46" s="1548"/>
      <c r="E46" s="1548"/>
      <c r="F46" s="1548"/>
      <c r="G46" s="1548"/>
      <c r="H46" s="1548"/>
      <c r="I46" s="1548"/>
      <c r="J46" s="1548"/>
      <c r="K46" s="446"/>
      <c r="L46" s="392"/>
      <c r="M46" s="393"/>
      <c r="N46" s="1531" t="s">
        <v>1002</v>
      </c>
      <c r="O46" s="1531"/>
      <c r="P46" s="1531"/>
      <c r="Q46" s="1531"/>
      <c r="R46" s="1531"/>
      <c r="S46" s="1531"/>
      <c r="T46" s="1531"/>
      <c r="U46" s="1531"/>
      <c r="V46" s="393"/>
      <c r="X46" s="377"/>
      <c r="Y46" s="377"/>
      <c r="Z46" s="377"/>
      <c r="AA46" s="377"/>
      <c r="AB46" s="377"/>
      <c r="AC46" s="377"/>
      <c r="AD46" s="377"/>
      <c r="AE46" s="377"/>
      <c r="AF46" s="377"/>
    </row>
    <row r="47" spans="1:32" ht="16" customHeight="1">
      <c r="A47" s="446"/>
      <c r="B47" s="446"/>
      <c r="C47" s="446"/>
      <c r="D47" s="446"/>
      <c r="E47" s="446"/>
      <c r="F47" s="446"/>
      <c r="G47" s="446"/>
      <c r="H47" s="446"/>
      <c r="I47" s="446"/>
      <c r="J47" s="446"/>
      <c r="K47" s="446"/>
      <c r="L47" s="392"/>
      <c r="M47" s="393"/>
      <c r="N47" s="393"/>
      <c r="O47" s="393"/>
      <c r="P47" s="393"/>
      <c r="Q47" s="393"/>
      <c r="R47" s="393"/>
      <c r="S47" s="393"/>
      <c r="T47" s="393"/>
      <c r="U47" s="393"/>
      <c r="V47" s="393"/>
      <c r="X47" s="377"/>
      <c r="Y47" s="377"/>
      <c r="Z47" s="377"/>
      <c r="AA47" s="377"/>
      <c r="AB47" s="377"/>
      <c r="AC47" s="377"/>
      <c r="AD47" s="377"/>
      <c r="AE47" s="377"/>
      <c r="AF47" s="377"/>
    </row>
    <row r="48" spans="1:32" ht="16" customHeight="1">
      <c r="A48" s="446"/>
      <c r="B48" s="446"/>
      <c r="C48" s="446"/>
      <c r="D48" s="446"/>
      <c r="E48" s="446"/>
      <c r="F48" s="446"/>
      <c r="G48" s="446"/>
      <c r="H48" s="446"/>
      <c r="I48" s="446"/>
      <c r="J48" s="446"/>
      <c r="K48" s="446"/>
      <c r="L48" s="392"/>
      <c r="M48" s="393"/>
      <c r="N48" s="393"/>
      <c r="O48" s="393"/>
      <c r="P48" s="393"/>
      <c r="Q48" s="393"/>
      <c r="R48" s="393"/>
      <c r="S48" s="393"/>
      <c r="T48" s="393"/>
      <c r="U48" s="393"/>
      <c r="V48" s="393"/>
      <c r="X48" s="377"/>
      <c r="Y48" s="377"/>
      <c r="Z48" s="377"/>
      <c r="AA48" s="377"/>
      <c r="AB48" s="377"/>
      <c r="AC48" s="377"/>
      <c r="AD48" s="377"/>
      <c r="AE48" s="377"/>
      <c r="AF48" s="377"/>
    </row>
    <row r="49" spans="1:32" ht="16" customHeight="1">
      <c r="A49" s="446"/>
      <c r="B49" s="446"/>
      <c r="C49" s="1532" t="s">
        <v>1071</v>
      </c>
      <c r="D49" s="1532"/>
      <c r="E49" s="1532"/>
      <c r="F49" s="1532"/>
      <c r="G49" s="1532"/>
      <c r="H49" s="1532"/>
      <c r="I49" s="1532"/>
      <c r="J49" s="1532"/>
      <c r="K49" s="446"/>
      <c r="L49" s="392"/>
      <c r="M49" s="393"/>
      <c r="N49" s="593" t="s">
        <v>995</v>
      </c>
      <c r="O49" s="586" t="s">
        <v>1351</v>
      </c>
      <c r="P49" s="586"/>
      <c r="Q49" s="586" t="s">
        <v>1196</v>
      </c>
      <c r="R49" s="393"/>
      <c r="S49" s="393"/>
      <c r="T49" s="393"/>
      <c r="U49" s="393"/>
      <c r="V49" s="393"/>
      <c r="X49" s="377"/>
      <c r="Y49" s="377"/>
      <c r="Z49" s="377"/>
      <c r="AA49" s="377"/>
      <c r="AB49" s="377"/>
      <c r="AC49" s="377"/>
      <c r="AD49" s="377"/>
      <c r="AE49" s="377"/>
      <c r="AF49" s="377"/>
    </row>
    <row r="50" spans="1:32" ht="16" customHeight="1">
      <c r="A50" s="446"/>
      <c r="B50" s="446"/>
      <c r="C50" s="1532"/>
      <c r="D50" s="1532"/>
      <c r="E50" s="1532"/>
      <c r="F50" s="1532"/>
      <c r="G50" s="1532"/>
      <c r="H50" s="1532"/>
      <c r="I50" s="1532"/>
      <c r="J50" s="1532"/>
      <c r="K50" s="446"/>
      <c r="L50" s="392"/>
      <c r="M50" s="393"/>
      <c r="N50" s="585"/>
      <c r="O50" s="586" t="s">
        <v>1197</v>
      </c>
      <c r="P50" s="586" t="s">
        <v>1196</v>
      </c>
      <c r="Q50" s="586" t="s">
        <v>1372</v>
      </c>
      <c r="R50" s="393"/>
      <c r="S50" s="393"/>
      <c r="T50" s="393"/>
      <c r="U50" s="393"/>
      <c r="V50" s="393"/>
      <c r="X50" s="377"/>
      <c r="Y50" s="377"/>
      <c r="Z50" s="377"/>
      <c r="AA50" s="377"/>
      <c r="AB50" s="377"/>
      <c r="AC50" s="377"/>
      <c r="AD50" s="377"/>
      <c r="AE50" s="377"/>
      <c r="AF50" s="377"/>
    </row>
    <row r="51" spans="1:32" ht="16" customHeight="1">
      <c r="A51" s="446"/>
      <c r="B51" s="446"/>
      <c r="C51" s="1532"/>
      <c r="D51" s="1532"/>
      <c r="E51" s="1532"/>
      <c r="F51" s="1532"/>
      <c r="G51" s="1532"/>
      <c r="H51" s="1532"/>
      <c r="I51" s="1532"/>
      <c r="J51" s="1532"/>
      <c r="K51" s="446"/>
      <c r="L51" s="392"/>
      <c r="M51" s="393"/>
      <c r="N51" s="590" t="s">
        <v>1365</v>
      </c>
      <c r="O51" s="591">
        <f>'FIG3'!F8</f>
        <v>11373.740177609156</v>
      </c>
      <c r="P51" s="591">
        <f>(O52-O51)</f>
        <v>-2982.1736933820248</v>
      </c>
      <c r="Q51" s="587">
        <v>-0.1</v>
      </c>
      <c r="R51" s="393"/>
      <c r="S51" s="393"/>
      <c r="T51" s="393"/>
      <c r="U51" s="393"/>
      <c r="V51" s="393"/>
      <c r="X51" s="506"/>
      <c r="Y51" s="377"/>
      <c r="Z51" s="377"/>
      <c r="AA51" s="377"/>
      <c r="AB51" s="377"/>
      <c r="AC51" s="377"/>
      <c r="AD51" s="377"/>
      <c r="AE51" s="377"/>
      <c r="AF51" s="377"/>
    </row>
    <row r="52" spans="1:32" ht="16" customHeight="1">
      <c r="A52" s="446"/>
      <c r="B52" s="446"/>
      <c r="C52" s="1532"/>
      <c r="D52" s="1532"/>
      <c r="E52" s="1532"/>
      <c r="F52" s="1532"/>
      <c r="G52" s="1532"/>
      <c r="H52" s="1532"/>
      <c r="I52" s="1532"/>
      <c r="J52" s="1532"/>
      <c r="K52" s="446"/>
      <c r="L52" s="392"/>
      <c r="M52" s="393"/>
      <c r="N52" s="590" t="s">
        <v>1364</v>
      </c>
      <c r="O52" s="591">
        <f>'FIG3'!F9</f>
        <v>8391.5664842271308</v>
      </c>
      <c r="P52" s="591"/>
      <c r="Q52" s="725"/>
      <c r="R52" s="393"/>
      <c r="S52" s="393"/>
      <c r="T52" s="393"/>
      <c r="U52" s="393"/>
      <c r="V52" s="393"/>
      <c r="X52" s="506"/>
      <c r="Y52" s="377"/>
      <c r="Z52" s="377"/>
      <c r="AA52" s="377"/>
      <c r="AB52" s="377"/>
      <c r="AC52" s="377"/>
      <c r="AD52" s="377"/>
      <c r="AE52" s="377"/>
      <c r="AF52" s="377"/>
    </row>
    <row r="53" spans="1:32" ht="16" customHeight="1">
      <c r="A53" s="446"/>
      <c r="B53" s="446"/>
      <c r="C53" s="1532"/>
      <c r="D53" s="1532"/>
      <c r="E53" s="1532"/>
      <c r="F53" s="1532"/>
      <c r="G53" s="1532"/>
      <c r="H53" s="1532"/>
      <c r="I53" s="1532"/>
      <c r="J53" s="1532"/>
      <c r="K53" s="446"/>
      <c r="L53" s="392"/>
      <c r="M53" s="393"/>
      <c r="N53" s="585"/>
      <c r="O53" s="588"/>
      <c r="P53" s="588"/>
      <c r="Q53" s="587"/>
      <c r="R53" s="393"/>
      <c r="S53" s="393"/>
      <c r="T53" s="393"/>
      <c r="U53" s="393"/>
      <c r="V53" s="393"/>
      <c r="X53" s="512"/>
      <c r="Y53" s="377"/>
      <c r="Z53" s="377"/>
      <c r="AA53" s="377"/>
      <c r="AB53" s="377"/>
      <c r="AC53" s="377"/>
      <c r="AD53" s="377"/>
      <c r="AE53" s="377"/>
      <c r="AF53" s="377"/>
    </row>
    <row r="54" spans="1:32" ht="16" customHeight="1">
      <c r="A54" s="446"/>
      <c r="B54" s="446"/>
      <c r="C54" s="1532"/>
      <c r="D54" s="1532"/>
      <c r="E54" s="1532"/>
      <c r="F54" s="1532"/>
      <c r="G54" s="1532"/>
      <c r="H54" s="1532"/>
      <c r="I54" s="1532"/>
      <c r="J54" s="1532"/>
      <c r="K54" s="446"/>
      <c r="L54" s="392"/>
      <c r="M54" s="393"/>
      <c r="N54" s="589"/>
      <c r="O54" s="589"/>
      <c r="P54" s="589"/>
      <c r="Q54" s="589"/>
      <c r="R54" s="393"/>
      <c r="S54" s="393"/>
      <c r="T54" s="393"/>
      <c r="U54" s="393"/>
      <c r="V54" s="393"/>
      <c r="X54" s="512"/>
      <c r="Y54" s="377"/>
      <c r="Z54" s="377"/>
      <c r="AA54" s="377"/>
      <c r="AB54" s="377"/>
      <c r="AC54" s="377"/>
      <c r="AD54" s="377"/>
      <c r="AE54" s="377"/>
      <c r="AF54" s="377"/>
    </row>
    <row r="55" spans="1:32" ht="16" customHeight="1">
      <c r="A55" s="446"/>
      <c r="B55" s="446"/>
      <c r="C55" s="1532"/>
      <c r="D55" s="1532"/>
      <c r="E55" s="1532"/>
      <c r="F55" s="1532"/>
      <c r="G55" s="1532"/>
      <c r="H55" s="1532"/>
      <c r="I55" s="1532"/>
      <c r="J55" s="1532"/>
      <c r="K55" s="446"/>
      <c r="L55" s="392"/>
      <c r="M55" s="393"/>
      <c r="N55" s="1531" t="s">
        <v>1002</v>
      </c>
      <c r="O55" s="1531"/>
      <c r="P55" s="1531"/>
      <c r="Q55" s="1531"/>
      <c r="R55" s="1531"/>
      <c r="S55" s="1531"/>
      <c r="T55" s="1531"/>
      <c r="U55" s="1531"/>
      <c r="V55" s="393"/>
      <c r="X55" s="377"/>
      <c r="Y55" s="377"/>
      <c r="Z55" s="377"/>
      <c r="AA55" s="377"/>
      <c r="AB55" s="377"/>
      <c r="AC55" s="377"/>
      <c r="AD55" s="377"/>
      <c r="AE55" s="377"/>
      <c r="AF55" s="377"/>
    </row>
    <row r="56" spans="1:32" ht="16" customHeight="1">
      <c r="A56" s="446"/>
      <c r="B56" s="446"/>
      <c r="C56" s="418"/>
      <c r="D56" s="418"/>
      <c r="E56" s="418"/>
      <c r="F56" s="418"/>
      <c r="G56" s="418"/>
      <c r="H56" s="418"/>
      <c r="I56" s="418"/>
      <c r="J56" s="418"/>
      <c r="K56" s="446"/>
      <c r="L56" s="392"/>
      <c r="M56" s="393"/>
      <c r="N56" s="393"/>
      <c r="O56" s="393"/>
      <c r="P56" s="393"/>
      <c r="Q56" s="393"/>
      <c r="R56" s="393"/>
      <c r="S56" s="393"/>
      <c r="T56" s="393"/>
      <c r="U56" s="393"/>
      <c r="V56" s="393"/>
      <c r="X56" s="377"/>
      <c r="Y56" s="377"/>
      <c r="Z56" s="377"/>
      <c r="AA56" s="377"/>
      <c r="AB56" s="377"/>
      <c r="AC56" s="377"/>
      <c r="AD56" s="377"/>
      <c r="AE56" s="377"/>
      <c r="AF56" s="377"/>
    </row>
    <row r="57" spans="1:32" ht="16" customHeight="1">
      <c r="A57" s="446"/>
      <c r="B57" s="446"/>
      <c r="C57" s="446"/>
      <c r="D57" s="446"/>
      <c r="E57" s="446"/>
      <c r="F57" s="446"/>
      <c r="G57" s="446"/>
      <c r="H57" s="446"/>
      <c r="I57" s="446"/>
      <c r="J57" s="446"/>
      <c r="K57" s="446"/>
      <c r="L57" s="392"/>
      <c r="M57" s="394"/>
      <c r="N57" s="394"/>
      <c r="O57" s="394"/>
      <c r="P57" s="394"/>
      <c r="Q57" s="394"/>
      <c r="R57" s="394"/>
      <c r="S57" s="394"/>
      <c r="T57" s="394"/>
      <c r="U57" s="394"/>
      <c r="V57" s="394"/>
      <c r="X57" s="377"/>
      <c r="Y57" s="377"/>
      <c r="Z57" s="377"/>
      <c r="AA57" s="377"/>
      <c r="AB57" s="377"/>
      <c r="AC57" s="377"/>
      <c r="AD57" s="377"/>
      <c r="AE57" s="377"/>
      <c r="AF57" s="377"/>
    </row>
    <row r="58" spans="1:32" ht="13" customHeight="1">
      <c r="X58" s="377"/>
      <c r="Y58" s="377"/>
      <c r="Z58" s="377"/>
      <c r="AA58" s="377"/>
      <c r="AB58" s="377"/>
      <c r="AC58" s="377"/>
      <c r="AD58" s="377"/>
      <c r="AE58" s="377"/>
      <c r="AF58" s="377"/>
    </row>
    <row r="59" spans="1:32" ht="13" customHeight="1">
      <c r="X59" s="377"/>
      <c r="Y59" s="377"/>
      <c r="Z59" s="377"/>
      <c r="AA59" s="377"/>
      <c r="AB59" s="377"/>
      <c r="AC59" s="377"/>
      <c r="AD59" s="377"/>
      <c r="AE59" s="377"/>
      <c r="AF59" s="377"/>
    </row>
    <row r="60" spans="1:32" ht="13" customHeight="1">
      <c r="X60" s="377"/>
      <c r="Y60" s="377"/>
      <c r="Z60" s="377"/>
      <c r="AA60" s="377"/>
      <c r="AB60" s="377"/>
      <c r="AC60" s="377"/>
      <c r="AD60" s="377"/>
      <c r="AE60" s="377"/>
      <c r="AF60" s="377"/>
    </row>
    <row r="61" spans="1:32" ht="13" customHeight="1">
      <c r="X61" s="377"/>
      <c r="Y61" s="377"/>
      <c r="Z61" s="377"/>
      <c r="AA61" s="377"/>
      <c r="AB61" s="377"/>
      <c r="AC61" s="377"/>
      <c r="AD61" s="377"/>
      <c r="AE61" s="377"/>
      <c r="AF61" s="377"/>
    </row>
    <row r="62" spans="1:32" ht="13" customHeight="1"/>
    <row r="63" spans="1:32" ht="13" customHeight="1"/>
    <row r="64" spans="1:32" ht="13" customHeight="1"/>
    <row r="65" ht="13" customHeight="1"/>
    <row r="66" ht="13" customHeight="1"/>
    <row r="67" ht="13" customHeight="1"/>
    <row r="68" ht="13" customHeight="1"/>
    <row r="69" ht="13" customHeight="1"/>
    <row r="70" ht="13" customHeight="1"/>
    <row r="71" ht="13" customHeight="1"/>
    <row r="72" ht="13" customHeight="1"/>
    <row r="73" ht="13" customHeight="1"/>
    <row r="74" ht="13" customHeight="1"/>
    <row r="75" ht="13" customHeight="1"/>
    <row r="76" ht="13" customHeight="1"/>
    <row r="77" ht="13" customHeight="1"/>
    <row r="78" ht="13" customHeight="1"/>
    <row r="79" ht="13" customHeight="1"/>
    <row r="80" ht="13" customHeight="1"/>
    <row r="81" ht="13" customHeight="1"/>
    <row r="82" ht="13" customHeight="1"/>
    <row r="83" ht="13" customHeight="1"/>
    <row r="84" ht="13" customHeight="1"/>
    <row r="85" ht="13" customHeight="1"/>
    <row r="86" ht="13" customHeight="1"/>
    <row r="87" ht="13" customHeight="1"/>
    <row r="88" ht="13" customHeight="1"/>
    <row r="89" ht="13" customHeight="1"/>
    <row r="90" ht="13" customHeight="1"/>
    <row r="91" ht="13" customHeight="1"/>
    <row r="92" ht="13" customHeight="1"/>
    <row r="93" ht="13" customHeight="1"/>
    <row r="94" ht="13" customHeight="1"/>
    <row r="95" ht="13" customHeight="1"/>
    <row r="96" ht="13" customHeight="1"/>
    <row r="97" ht="13" customHeight="1"/>
    <row r="98" ht="13" customHeight="1"/>
    <row r="99" ht="13" customHeight="1"/>
    <row r="100" ht="13" customHeight="1"/>
    <row r="101" ht="13" customHeight="1"/>
    <row r="102" ht="13" customHeight="1"/>
    <row r="103" ht="13" customHeight="1"/>
    <row r="104" ht="13" customHeight="1"/>
    <row r="105" ht="13" customHeight="1"/>
    <row r="106" ht="13" customHeight="1"/>
    <row r="107" ht="13" customHeight="1"/>
    <row r="108" ht="13" customHeight="1"/>
    <row r="109" ht="13" customHeight="1"/>
    <row r="110" ht="13" customHeight="1"/>
    <row r="111" ht="13" customHeight="1"/>
    <row r="112" ht="13" customHeight="1"/>
    <row r="113" ht="13" customHeight="1"/>
    <row r="114" ht="13" customHeight="1"/>
    <row r="115" ht="13" customHeight="1"/>
    <row r="116" ht="13" customHeight="1"/>
    <row r="117" ht="13" customHeight="1"/>
    <row r="118" ht="13" customHeight="1"/>
    <row r="119" ht="13" customHeight="1"/>
    <row r="120" ht="13" customHeight="1"/>
    <row r="121" ht="13" customHeight="1"/>
    <row r="122" ht="13" customHeight="1"/>
    <row r="123" ht="13" customHeight="1"/>
    <row r="124" ht="13" customHeight="1"/>
    <row r="125" ht="13" customHeight="1"/>
    <row r="126" ht="13" customHeight="1"/>
    <row r="127" ht="13" customHeight="1"/>
    <row r="128" ht="13" customHeight="1"/>
    <row r="129" ht="13" customHeight="1"/>
    <row r="130" ht="13" customHeight="1"/>
    <row r="131" ht="13" customHeight="1"/>
    <row r="132" ht="13" customHeight="1"/>
    <row r="133" ht="13" customHeight="1"/>
    <row r="134" ht="13" customHeight="1"/>
    <row r="135" ht="13" customHeight="1"/>
    <row r="136" ht="13" customHeight="1"/>
    <row r="137" ht="13" customHeight="1"/>
    <row r="138" ht="13" customHeight="1"/>
    <row r="139" ht="13" customHeight="1"/>
    <row r="140" ht="13" customHeight="1"/>
    <row r="141" ht="13" customHeight="1"/>
    <row r="142" ht="13" customHeight="1"/>
    <row r="143" ht="13" customHeight="1"/>
    <row r="144" ht="13" customHeight="1"/>
    <row r="145" ht="13" customHeight="1"/>
    <row r="146" ht="13" customHeight="1"/>
    <row r="147" ht="13" customHeight="1"/>
    <row r="148" ht="13" customHeight="1"/>
    <row r="149" ht="13" customHeight="1"/>
    <row r="150" ht="13" customHeight="1"/>
    <row r="151" ht="13" customHeight="1"/>
    <row r="152" ht="13" customHeight="1"/>
    <row r="153" ht="13" customHeight="1"/>
    <row r="154" ht="13" customHeight="1"/>
    <row r="155" ht="13" customHeight="1"/>
    <row r="156" ht="13" customHeight="1"/>
    <row r="157" ht="13" customHeight="1"/>
    <row r="158" ht="13" customHeight="1"/>
    <row r="159" ht="13" customHeight="1"/>
    <row r="160" ht="13" customHeight="1"/>
    <row r="161" ht="13" customHeight="1"/>
    <row r="162" ht="13" customHeight="1"/>
    <row r="163" ht="13" customHeight="1"/>
    <row r="164" ht="13" customHeight="1"/>
    <row r="165" ht="13" customHeight="1"/>
    <row r="166" ht="13" customHeight="1"/>
    <row r="167" ht="13" customHeight="1"/>
    <row r="168" ht="13" customHeight="1"/>
    <row r="169" ht="13" customHeight="1"/>
    <row r="170" ht="13" customHeight="1"/>
    <row r="171" ht="13" customHeight="1"/>
    <row r="172" ht="13" customHeight="1"/>
    <row r="173" ht="13" customHeight="1"/>
    <row r="174" ht="13" customHeight="1"/>
    <row r="175" ht="13" customHeight="1"/>
    <row r="176" ht="13" customHeight="1"/>
    <row r="177" ht="13" customHeight="1"/>
    <row r="178" ht="13" customHeight="1"/>
    <row r="179" ht="13" customHeight="1"/>
    <row r="180" ht="13" customHeight="1"/>
    <row r="181" ht="13" customHeight="1"/>
    <row r="182" ht="13" customHeight="1"/>
    <row r="183" ht="13" customHeight="1"/>
    <row r="184" ht="13" customHeight="1"/>
    <row r="185" ht="13" customHeight="1"/>
    <row r="186" ht="13" customHeight="1"/>
    <row r="187" ht="13" customHeight="1"/>
    <row r="188" ht="13" customHeight="1"/>
    <row r="189" ht="13" customHeight="1"/>
    <row r="190" ht="13" customHeight="1"/>
    <row r="191" ht="13" customHeight="1"/>
    <row r="192" ht="13" customHeight="1"/>
    <row r="193" ht="13" customHeight="1"/>
    <row r="194" ht="13" customHeight="1"/>
    <row r="195" ht="13" customHeight="1"/>
    <row r="196" ht="13" customHeight="1"/>
    <row r="197" ht="13" customHeight="1"/>
    <row r="198" ht="13" customHeight="1"/>
    <row r="199" ht="13" customHeight="1"/>
    <row r="200" ht="13" customHeight="1"/>
    <row r="201" ht="13" customHeight="1"/>
    <row r="202" ht="13" customHeight="1"/>
    <row r="203" ht="13" customHeight="1"/>
    <row r="204" ht="13" customHeight="1"/>
    <row r="205" ht="13" customHeight="1"/>
    <row r="206" ht="13" customHeight="1"/>
    <row r="207" ht="13" customHeight="1"/>
    <row r="208" ht="13" customHeight="1"/>
    <row r="209" ht="13" customHeight="1"/>
    <row r="210" ht="13" customHeight="1"/>
    <row r="211" ht="13" customHeight="1"/>
    <row r="212" ht="13" customHeight="1"/>
    <row r="213" ht="13" customHeight="1"/>
    <row r="214" ht="13" customHeight="1"/>
    <row r="215" ht="13" customHeight="1"/>
    <row r="216" ht="13" customHeight="1"/>
    <row r="217" ht="13" customHeight="1"/>
    <row r="218" ht="13" customHeight="1"/>
    <row r="219" ht="13" customHeight="1"/>
    <row r="220" ht="13" customHeight="1"/>
    <row r="221" ht="13" customHeight="1"/>
    <row r="222" ht="13" customHeight="1"/>
    <row r="223" ht="13" customHeight="1"/>
    <row r="224" ht="13" customHeight="1"/>
    <row r="225" ht="13" customHeight="1"/>
    <row r="226" ht="13" customHeight="1"/>
    <row r="227" ht="13" customHeight="1"/>
    <row r="228" ht="13" customHeight="1"/>
    <row r="229" ht="13" customHeight="1"/>
    <row r="230" ht="13" customHeight="1"/>
    <row r="231" ht="13" customHeight="1"/>
    <row r="232" ht="13" customHeight="1"/>
    <row r="233" ht="13" customHeight="1"/>
    <row r="234" ht="13" customHeight="1"/>
    <row r="235" ht="13" customHeight="1"/>
    <row r="236" ht="13" customHeight="1"/>
    <row r="237" ht="13" customHeight="1"/>
    <row r="238" ht="13" customHeight="1"/>
    <row r="239" ht="13" customHeight="1"/>
    <row r="240" ht="13" customHeight="1"/>
    <row r="241" ht="13" customHeight="1"/>
    <row r="242" ht="13" customHeight="1"/>
    <row r="243" ht="13" customHeight="1"/>
    <row r="244" ht="13" customHeight="1"/>
    <row r="245" ht="13" customHeight="1"/>
    <row r="246" ht="13" customHeight="1"/>
    <row r="247" ht="13" customHeight="1"/>
    <row r="248" ht="13" customHeight="1"/>
    <row r="249" ht="13" customHeight="1"/>
    <row r="250" ht="13" customHeight="1"/>
    <row r="251" ht="13" customHeight="1"/>
    <row r="252" ht="13" customHeight="1"/>
    <row r="253" ht="13" customHeight="1"/>
    <row r="254" ht="13" customHeight="1"/>
    <row r="255" ht="13" customHeight="1"/>
    <row r="256" ht="13" customHeight="1"/>
    <row r="257" ht="13" customHeight="1"/>
    <row r="258" ht="13" customHeight="1"/>
    <row r="259" ht="13" customHeight="1"/>
    <row r="260" ht="13" customHeight="1"/>
    <row r="261" ht="13" customHeight="1"/>
    <row r="262" ht="13" customHeight="1"/>
    <row r="263" ht="13" customHeight="1"/>
    <row r="264" ht="13" customHeight="1"/>
    <row r="265" ht="13" customHeight="1"/>
    <row r="266" ht="13" customHeight="1"/>
    <row r="267" ht="13" customHeight="1"/>
    <row r="268" ht="13" customHeight="1"/>
    <row r="269" ht="13" customHeight="1"/>
    <row r="270" ht="13" customHeight="1"/>
    <row r="271" ht="13" customHeight="1"/>
    <row r="272" ht="13" customHeight="1"/>
    <row r="273" ht="13" customHeight="1"/>
    <row r="274" ht="13" customHeight="1"/>
    <row r="275" ht="13" customHeight="1"/>
    <row r="276" ht="13" customHeight="1"/>
    <row r="277" ht="13" customHeight="1"/>
    <row r="278" ht="13" customHeight="1"/>
    <row r="279" ht="13" customHeight="1"/>
    <row r="280" ht="13" customHeight="1"/>
    <row r="281" ht="13" customHeight="1"/>
    <row r="282" ht="13" customHeight="1"/>
    <row r="283" ht="13" customHeight="1"/>
    <row r="284" ht="13" customHeight="1"/>
    <row r="285" ht="13" customHeight="1"/>
    <row r="286" ht="13" customHeight="1"/>
    <row r="287" ht="13" customHeight="1"/>
    <row r="288" ht="13" customHeight="1"/>
    <row r="289" ht="13" customHeight="1"/>
    <row r="290" ht="13" customHeight="1"/>
    <row r="291" ht="13" customHeight="1"/>
    <row r="292" ht="13" customHeight="1"/>
    <row r="293" ht="13" customHeight="1"/>
    <row r="294" ht="13" customHeight="1"/>
    <row r="295" ht="13" customHeight="1"/>
    <row r="296" ht="13" customHeight="1"/>
    <row r="297" ht="13" customHeight="1"/>
    <row r="298" ht="13" customHeight="1"/>
    <row r="299" ht="13" customHeight="1"/>
    <row r="300" ht="13" customHeight="1"/>
    <row r="301" ht="13" customHeight="1"/>
    <row r="302" ht="13" customHeight="1"/>
    <row r="303" ht="13" customHeight="1"/>
    <row r="304" ht="13" customHeight="1"/>
    <row r="305" ht="13" customHeight="1"/>
    <row r="306" ht="13" customHeight="1"/>
    <row r="307" ht="13" customHeight="1"/>
    <row r="308" ht="13" customHeight="1"/>
    <row r="309" ht="13" customHeight="1"/>
    <row r="310" ht="13" customHeight="1"/>
    <row r="311" ht="13" customHeight="1"/>
    <row r="312" ht="13" customHeight="1"/>
    <row r="313" ht="13" customHeight="1"/>
    <row r="314" ht="13" customHeight="1"/>
    <row r="315" ht="13" customHeight="1"/>
    <row r="316" ht="13" customHeight="1"/>
    <row r="317" ht="13" customHeight="1"/>
    <row r="318" ht="13" customHeight="1"/>
    <row r="319" ht="13" customHeight="1"/>
    <row r="320" ht="13" customHeight="1"/>
    <row r="321" ht="13" customHeight="1"/>
    <row r="322" ht="13" customHeight="1"/>
    <row r="323" ht="13" customHeight="1"/>
    <row r="324" ht="13" customHeight="1"/>
    <row r="325" ht="13" customHeight="1"/>
    <row r="326" ht="13" customHeight="1"/>
    <row r="327" ht="13" customHeight="1"/>
    <row r="328" ht="13" customHeight="1"/>
    <row r="329" ht="13" customHeight="1"/>
    <row r="330" ht="13" customHeight="1"/>
    <row r="331" ht="13" customHeight="1"/>
    <row r="332" ht="13" customHeight="1"/>
    <row r="333" ht="13" customHeight="1"/>
    <row r="334" ht="13" customHeight="1"/>
    <row r="335" ht="13" customHeight="1"/>
    <row r="336" ht="13" customHeight="1"/>
    <row r="337" ht="13" customHeight="1"/>
    <row r="338" ht="13" customHeight="1"/>
    <row r="339" ht="13" customHeight="1"/>
    <row r="340" ht="13" customHeight="1"/>
    <row r="341" ht="13" customHeight="1"/>
    <row r="342" ht="13" customHeight="1"/>
    <row r="343" ht="13" customHeight="1"/>
    <row r="344" ht="13" customHeight="1"/>
    <row r="345" ht="13" customHeight="1"/>
    <row r="346" ht="13" customHeight="1"/>
    <row r="347" ht="13" customHeight="1"/>
    <row r="348" ht="13" customHeight="1"/>
    <row r="349" ht="13" customHeight="1"/>
    <row r="350" ht="13" customHeight="1"/>
    <row r="351" ht="13" customHeight="1"/>
    <row r="352" ht="13" customHeight="1"/>
    <row r="353" ht="13" customHeight="1"/>
    <row r="354" ht="13" customHeight="1"/>
    <row r="355" ht="13" customHeight="1"/>
    <row r="356" ht="13" customHeight="1"/>
    <row r="357" ht="13" customHeight="1"/>
    <row r="358" ht="13" customHeight="1"/>
    <row r="359" ht="13" customHeight="1"/>
    <row r="360" ht="13" customHeight="1"/>
    <row r="361" ht="13" customHeight="1"/>
    <row r="362" ht="13" customHeight="1"/>
    <row r="363" ht="13" customHeight="1"/>
    <row r="364" ht="13" customHeight="1"/>
    <row r="365" ht="13" customHeight="1"/>
    <row r="366" ht="13" customHeight="1"/>
    <row r="367" ht="13" customHeight="1"/>
    <row r="368" ht="13" customHeight="1"/>
    <row r="369" ht="13" customHeight="1"/>
    <row r="370" ht="13" customHeight="1"/>
    <row r="371" ht="13" customHeight="1"/>
    <row r="372" ht="13" customHeight="1"/>
    <row r="373" ht="13" customHeight="1"/>
    <row r="374" ht="13" customHeight="1"/>
    <row r="375" ht="13" customHeight="1"/>
    <row r="376" ht="13" customHeight="1"/>
    <row r="377" ht="13" customHeight="1"/>
    <row r="378" ht="13" customHeight="1"/>
    <row r="379" ht="13" customHeight="1"/>
    <row r="380" ht="13" customHeight="1"/>
    <row r="381" ht="13" customHeight="1"/>
    <row r="382" ht="13" customHeight="1"/>
    <row r="383" ht="13" customHeight="1"/>
    <row r="384" ht="13" customHeight="1"/>
    <row r="385" ht="13" customHeight="1"/>
    <row r="386" ht="13" customHeight="1"/>
    <row r="387" ht="13" customHeight="1"/>
    <row r="388" ht="13" customHeight="1"/>
    <row r="389" ht="13" customHeight="1"/>
    <row r="390" ht="13" customHeight="1"/>
    <row r="391" ht="13" customHeight="1"/>
    <row r="392" ht="13" customHeight="1"/>
    <row r="393" ht="13" customHeight="1"/>
    <row r="394" ht="13" customHeight="1"/>
    <row r="395" ht="13" customHeight="1"/>
    <row r="396" ht="13" customHeight="1"/>
    <row r="397" ht="13" customHeight="1"/>
    <row r="398" ht="13" customHeight="1"/>
    <row r="399" ht="13" customHeight="1"/>
    <row r="400" ht="13" customHeight="1"/>
    <row r="401" ht="13" customHeight="1"/>
    <row r="402" ht="13" customHeight="1"/>
    <row r="403" ht="13" customHeight="1"/>
    <row r="404" ht="13" customHeight="1"/>
    <row r="405" ht="13" customHeight="1"/>
    <row r="406" ht="13" customHeight="1"/>
    <row r="407" ht="13" customHeight="1"/>
    <row r="408" ht="13" customHeight="1"/>
    <row r="409" ht="13" customHeight="1"/>
    <row r="410" ht="13" customHeight="1"/>
    <row r="411" ht="13" customHeight="1"/>
    <row r="412" ht="13" customHeight="1"/>
    <row r="413" ht="13" customHeight="1"/>
    <row r="414" ht="13" customHeight="1"/>
    <row r="415" ht="13" customHeight="1"/>
    <row r="416" ht="13" customHeight="1"/>
    <row r="417" ht="13" customHeight="1"/>
    <row r="418" ht="13" customHeight="1"/>
    <row r="419" ht="13" customHeight="1"/>
    <row r="420" ht="13" customHeight="1"/>
    <row r="421" ht="13" customHeight="1"/>
    <row r="422" ht="13" customHeight="1"/>
    <row r="423" ht="13" customHeight="1"/>
    <row r="424" ht="13" customHeight="1"/>
    <row r="425" ht="13" customHeight="1"/>
    <row r="426" ht="13" customHeight="1"/>
    <row r="427" ht="13" customHeight="1"/>
    <row r="428" ht="13" customHeight="1"/>
    <row r="429" ht="13" customHeight="1"/>
    <row r="430" ht="13" customHeight="1"/>
    <row r="431" ht="13" customHeight="1"/>
    <row r="432" ht="13" customHeight="1"/>
    <row r="433" ht="13" customHeight="1"/>
    <row r="434" ht="13" customHeight="1"/>
    <row r="435" ht="13" customHeight="1"/>
    <row r="436" ht="13" customHeight="1"/>
    <row r="437" ht="13" customHeight="1"/>
    <row r="438" ht="13" customHeight="1"/>
    <row r="439" ht="13" customHeight="1"/>
    <row r="440" ht="13" customHeight="1"/>
    <row r="441" ht="13" customHeight="1"/>
    <row r="442" ht="13" customHeight="1"/>
    <row r="443" ht="13" customHeight="1"/>
    <row r="444" ht="13" customHeight="1"/>
    <row r="445" ht="13" customHeight="1"/>
    <row r="446" ht="13" customHeight="1"/>
    <row r="447" ht="13" customHeight="1"/>
    <row r="448" ht="13" customHeight="1"/>
    <row r="449" ht="13" customHeight="1"/>
    <row r="450" ht="13" customHeight="1"/>
    <row r="451" ht="13" customHeight="1"/>
    <row r="452" ht="13" customHeight="1"/>
    <row r="453" ht="13" customHeight="1"/>
    <row r="454" ht="13" customHeight="1"/>
    <row r="455" ht="13" customHeight="1"/>
    <row r="456" ht="13" customHeight="1"/>
    <row r="457" ht="13" customHeight="1"/>
    <row r="458" ht="13" customHeight="1"/>
    <row r="459" ht="13" customHeight="1"/>
    <row r="460" ht="13" customHeight="1"/>
    <row r="461" ht="13" customHeight="1"/>
    <row r="462" ht="13" customHeight="1"/>
    <row r="463" ht="13" customHeight="1"/>
    <row r="464" ht="13" customHeight="1"/>
    <row r="465" ht="13" customHeight="1"/>
    <row r="466" ht="13" customHeight="1"/>
    <row r="467" ht="13" customHeight="1"/>
    <row r="468" ht="13" customHeight="1"/>
    <row r="469" ht="13" customHeight="1"/>
    <row r="470" ht="13" customHeight="1"/>
    <row r="471" ht="13" customHeight="1"/>
    <row r="472" ht="13" customHeight="1"/>
    <row r="473" ht="13" customHeight="1"/>
    <row r="474" ht="13" customHeight="1"/>
    <row r="475" ht="13" customHeight="1"/>
    <row r="476" ht="13" customHeight="1"/>
    <row r="477" ht="13" customHeight="1"/>
    <row r="478" ht="13" customHeight="1"/>
    <row r="479" ht="13" customHeight="1"/>
    <row r="480" ht="13" customHeight="1"/>
    <row r="481" ht="13" customHeight="1"/>
    <row r="482" ht="13" customHeight="1"/>
    <row r="483" ht="13" customHeight="1"/>
    <row r="484" ht="13" customHeight="1"/>
    <row r="485" ht="13" customHeight="1"/>
    <row r="486" ht="13" customHeight="1"/>
    <row r="487" ht="13" customHeight="1"/>
    <row r="488" ht="13" customHeight="1"/>
    <row r="489" ht="13" customHeight="1"/>
    <row r="490" ht="13" customHeight="1"/>
    <row r="491" ht="13" customHeight="1"/>
    <row r="492" ht="13" customHeight="1"/>
    <row r="493" ht="13" customHeight="1"/>
    <row r="494" ht="13" customHeight="1"/>
    <row r="495" ht="13" customHeight="1"/>
    <row r="496" ht="13" customHeight="1"/>
    <row r="497" ht="13" customHeight="1"/>
    <row r="498" ht="13" customHeight="1"/>
    <row r="499" ht="13" customHeight="1"/>
    <row r="500" ht="13" customHeight="1"/>
    <row r="501" ht="13" customHeight="1"/>
    <row r="502" ht="13" customHeight="1"/>
    <row r="503" ht="13" customHeight="1"/>
    <row r="504" ht="13" customHeight="1"/>
    <row r="505" ht="13" customHeight="1"/>
    <row r="506" ht="13" customHeight="1"/>
    <row r="507" ht="13" customHeight="1"/>
    <row r="508" ht="13" customHeight="1"/>
    <row r="509" ht="13" customHeight="1"/>
    <row r="510" ht="13" customHeight="1"/>
    <row r="511" ht="13" customHeight="1"/>
    <row r="512" ht="13" customHeight="1"/>
    <row r="513" ht="13" customHeight="1"/>
    <row r="514" ht="13" customHeight="1"/>
    <row r="515" ht="13" customHeight="1"/>
    <row r="516" ht="13" customHeight="1"/>
    <row r="517" ht="13" customHeight="1"/>
    <row r="518" ht="13" customHeight="1"/>
    <row r="519" ht="13" customHeight="1"/>
    <row r="520" ht="13" customHeight="1"/>
    <row r="521" ht="13" customHeight="1"/>
    <row r="522" ht="13" customHeight="1"/>
    <row r="523" ht="13" customHeight="1"/>
    <row r="524" ht="13" customHeight="1"/>
    <row r="525" ht="13" customHeight="1"/>
    <row r="526" ht="13" customHeight="1"/>
    <row r="527" ht="13" customHeight="1"/>
    <row r="528" ht="13" customHeight="1"/>
    <row r="529" ht="13" customHeight="1"/>
    <row r="530" ht="13" customHeight="1"/>
    <row r="531" ht="13" customHeight="1"/>
    <row r="532" ht="13" customHeight="1"/>
    <row r="533" ht="13" customHeight="1"/>
    <row r="534" ht="13" customHeight="1"/>
    <row r="535" ht="13" customHeight="1"/>
    <row r="536" ht="13" customHeight="1"/>
    <row r="537" ht="13" customHeight="1"/>
    <row r="538" ht="13" customHeight="1"/>
    <row r="539" ht="13" customHeight="1"/>
    <row r="540" ht="13" customHeight="1"/>
    <row r="541" ht="13" customHeight="1"/>
    <row r="542" ht="13" customHeight="1"/>
    <row r="543" ht="13" customHeight="1"/>
    <row r="544" ht="13" customHeight="1"/>
    <row r="545" ht="13" customHeight="1"/>
    <row r="546" ht="13" customHeight="1"/>
    <row r="547" ht="13" customHeight="1"/>
    <row r="548" ht="13" customHeight="1"/>
    <row r="549" ht="13" customHeight="1"/>
  </sheetData>
  <mergeCells count="23">
    <mergeCell ref="A2:A36"/>
    <mergeCell ref="L2:L36"/>
    <mergeCell ref="B36:K36"/>
    <mergeCell ref="B2:K2"/>
    <mergeCell ref="M35:V35"/>
    <mergeCell ref="N36:U36"/>
    <mergeCell ref="B1:K1"/>
    <mergeCell ref="M30:V30"/>
    <mergeCell ref="M31:V31"/>
    <mergeCell ref="M32:V32"/>
    <mergeCell ref="M34:V34"/>
    <mergeCell ref="M1:V1"/>
    <mergeCell ref="N2:U2"/>
    <mergeCell ref="M29:V29"/>
    <mergeCell ref="M37:V37"/>
    <mergeCell ref="M17:V28"/>
    <mergeCell ref="N55:U55"/>
    <mergeCell ref="C49:J55"/>
    <mergeCell ref="M3:V9"/>
    <mergeCell ref="M10:V16"/>
    <mergeCell ref="C40:J46"/>
    <mergeCell ref="N46:U46"/>
    <mergeCell ref="B37:K37"/>
  </mergeCells>
  <phoneticPr fontId="153" type="noConversion"/>
  <pageMargins left="1.25" right="1.25" top="1.25" bottom="1.25" header="0.3" footer="0.3"/>
  <rowBreaks count="1" manualBreakCount="1">
    <brk id="35" max="16383" man="1"/>
  </rowBreaks>
  <colBreaks count="1" manualBreakCount="1">
    <brk id="22" max="1048575" man="1"/>
  </colBreaks>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FF00"/>
  </sheetPr>
  <dimension ref="A1:DY313"/>
  <sheetViews>
    <sheetView workbookViewId="0">
      <pane xSplit="5" ySplit="4" topLeftCell="AI5" activePane="bottomRight" state="frozen"/>
      <selection pane="topRight" activeCell="F1" sqref="F1"/>
      <selection pane="bottomLeft" activeCell="A5" sqref="A5"/>
      <selection pane="bottomRight" activeCell="Y33" sqref="Y33"/>
    </sheetView>
  </sheetViews>
  <sheetFormatPr baseColWidth="10" defaultColWidth="8.83203125" defaultRowHeight="11" x14ac:dyDescent="0"/>
  <cols>
    <col min="1" max="1" width="8.83203125" style="1313"/>
    <col min="2" max="4" width="12" style="422" customWidth="1"/>
    <col min="5" max="8" width="8.83203125" style="1313"/>
    <col min="9" max="9" width="12" style="1375" customWidth="1"/>
    <col min="10" max="10" width="12" style="1376" customWidth="1"/>
    <col min="11" max="11" width="12" style="1375" customWidth="1"/>
    <col min="12" max="12" width="12" style="1376" customWidth="1"/>
    <col min="13" max="20" width="14.33203125" style="1313" customWidth="1"/>
    <col min="21" max="21" width="14.33203125" style="1377" customWidth="1"/>
    <col min="22" max="31" width="14.33203125" style="1313" customWidth="1"/>
    <col min="32" max="32" width="14.33203125" style="1377" customWidth="1"/>
    <col min="33" max="35" width="14.33203125" style="1313" customWidth="1"/>
    <col min="36" max="36" width="15" style="1378" customWidth="1"/>
    <col min="37" max="37" width="11.33203125" style="1313" bestFit="1" customWidth="1"/>
    <col min="38" max="38" width="9.1640625" style="1313" bestFit="1" customWidth="1"/>
    <col min="39" max="39" width="10.5" style="1313" bestFit="1" customWidth="1"/>
    <col min="40" max="42" width="9.1640625" style="1313" bestFit="1" customWidth="1"/>
    <col min="43" max="43" width="12.5" style="1313" bestFit="1" customWidth="1"/>
    <col min="44" max="44" width="15" style="1313" customWidth="1"/>
    <col min="45" max="45" width="12.6640625" style="1313" bestFit="1" customWidth="1"/>
    <col min="46" max="46" width="13.33203125" style="1379" bestFit="1" customWidth="1"/>
    <col min="47" max="52" width="12" style="1313" customWidth="1"/>
    <col min="53" max="53" width="12.5" style="1313" bestFit="1" customWidth="1"/>
    <col min="54" max="56" width="11.1640625" style="1313" bestFit="1" customWidth="1"/>
    <col min="57" max="58" width="12.5" style="1313" bestFit="1" customWidth="1"/>
    <col min="59" max="63" width="11.1640625" style="1313" bestFit="1" customWidth="1"/>
    <col min="64" max="64" width="12.5" style="1313" bestFit="1" customWidth="1"/>
    <col min="65" max="68" width="11.1640625" style="1313" bestFit="1" customWidth="1"/>
    <col min="69" max="70" width="12.5" style="1313" bestFit="1" customWidth="1"/>
    <col min="71" max="74" width="11.1640625" style="1313" bestFit="1" customWidth="1"/>
    <col min="75" max="78" width="12.5" style="1313" bestFit="1" customWidth="1"/>
    <col min="79" max="80" width="11.1640625" style="1313" bestFit="1" customWidth="1"/>
    <col min="81" max="81" width="10.33203125" style="1313" bestFit="1" customWidth="1"/>
    <col min="82" max="82" width="9" style="1313" bestFit="1" customWidth="1"/>
    <col min="83" max="84" width="9.33203125" style="1313" bestFit="1" customWidth="1"/>
    <col min="85" max="86" width="9" style="1313" bestFit="1" customWidth="1"/>
    <col min="87" max="90" width="11.1640625" style="1313" bestFit="1" customWidth="1"/>
    <col min="91" max="91" width="12.5" style="1313" bestFit="1" customWidth="1"/>
    <col min="92" max="93" width="11.1640625" style="1313" bestFit="1" customWidth="1"/>
    <col min="94" max="94" width="9" style="1313" bestFit="1" customWidth="1"/>
    <col min="95" max="96" width="12.5" style="1313" bestFit="1" customWidth="1"/>
    <col min="97" max="97" width="11.1640625" style="1313" bestFit="1" customWidth="1"/>
    <col min="98" max="99" width="12.5" style="1313" bestFit="1" customWidth="1"/>
    <col min="100" max="100" width="11.1640625" style="1313" bestFit="1" customWidth="1"/>
    <col min="101" max="102" width="12.5" style="1313" bestFit="1" customWidth="1"/>
    <col min="103" max="103" width="11.1640625" style="1313" bestFit="1" customWidth="1"/>
    <col min="104" max="104" width="8.83203125" style="1313"/>
    <col min="105" max="105" width="12.5" style="1313" bestFit="1" customWidth="1"/>
    <col min="106" max="106" width="8.83203125" style="1313"/>
    <col min="107" max="107" width="10.33203125" style="1313" bestFit="1" customWidth="1"/>
    <col min="108" max="108" width="8.83203125" style="1313"/>
    <col min="109" max="109" width="9" style="1313" bestFit="1" customWidth="1"/>
    <col min="110" max="110" width="8.83203125" style="1313"/>
    <col min="111" max="111" width="10.33203125" style="1313" bestFit="1" customWidth="1"/>
    <col min="112" max="112" width="8.83203125" style="1313"/>
    <col min="113" max="113" width="9" style="1313" bestFit="1" customWidth="1"/>
    <col min="114" max="114" width="8.83203125" style="1313"/>
    <col min="115" max="115" width="10.33203125" style="1313" bestFit="1" customWidth="1"/>
    <col min="116" max="116" width="8.83203125" style="1313"/>
    <col min="117" max="117" width="12.5" style="1313" bestFit="1" customWidth="1"/>
    <col min="118" max="118" width="8.83203125" style="1313"/>
    <col min="119" max="119" width="11.1640625" style="1313" bestFit="1" customWidth="1"/>
    <col min="120" max="120" width="8.83203125" style="1313"/>
    <col min="121" max="121" width="9" style="1313" bestFit="1" customWidth="1"/>
    <col min="122" max="122" width="8.83203125" style="1313"/>
    <col min="123" max="123" width="12.5" style="1313" bestFit="1" customWidth="1"/>
    <col min="124" max="124" width="8.83203125" style="1313"/>
    <col min="125" max="125" width="11.1640625" style="1313" bestFit="1" customWidth="1"/>
    <col min="126" max="126" width="8.83203125" style="1313"/>
    <col min="127" max="127" width="9" style="1313" bestFit="1" customWidth="1"/>
    <col min="128" max="16384" width="8.83203125" style="1313"/>
  </cols>
  <sheetData>
    <row r="1" spans="1:129" ht="34">
      <c r="I1" s="1337" t="s">
        <v>797</v>
      </c>
      <c r="J1" s="1338" t="s">
        <v>798</v>
      </c>
      <c r="K1" s="1339" t="s">
        <v>799</v>
      </c>
      <c r="L1" s="1340" t="s">
        <v>800</v>
      </c>
      <c r="M1" s="1948" t="s">
        <v>801</v>
      </c>
      <c r="N1" s="1948"/>
      <c r="O1" s="1948"/>
      <c r="P1" s="1948"/>
      <c r="Q1" s="1948"/>
      <c r="R1" s="1948"/>
      <c r="S1" s="1948"/>
      <c r="T1" s="1948"/>
      <c r="U1" s="1948"/>
      <c r="V1" s="1948"/>
      <c r="W1" s="1948"/>
      <c r="X1" s="1948"/>
      <c r="Y1" s="1948"/>
      <c r="Z1" s="1948"/>
      <c r="AA1" s="1948"/>
      <c r="AB1" s="1948"/>
      <c r="AC1" s="1948"/>
      <c r="AD1" s="1948"/>
      <c r="AE1" s="1948"/>
      <c r="AF1" s="1948"/>
      <c r="AG1" s="1948"/>
      <c r="AH1" s="1948"/>
      <c r="AI1" s="1341"/>
      <c r="AJ1" s="1342" t="s">
        <v>793</v>
      </c>
      <c r="AK1" s="1949" t="s">
        <v>795</v>
      </c>
      <c r="AL1" s="1950"/>
      <c r="AM1" s="1950"/>
      <c r="AN1" s="1950"/>
      <c r="AO1" s="1950"/>
      <c r="AP1" s="1950"/>
      <c r="AQ1" s="1950"/>
      <c r="AR1" s="1333"/>
      <c r="AS1" s="1333"/>
      <c r="AT1" s="1951" t="s">
        <v>802</v>
      </c>
      <c r="AU1" s="1953" t="s">
        <v>803</v>
      </c>
      <c r="AV1" s="1954"/>
      <c r="AW1" s="1954"/>
      <c r="AX1" s="1954"/>
      <c r="AY1" s="1954"/>
      <c r="AZ1" s="1954"/>
    </row>
    <row r="2" spans="1:129" s="1343" customFormat="1">
      <c r="B2" s="1344"/>
      <c r="C2" s="1344"/>
      <c r="D2" s="1344"/>
      <c r="F2" s="1345" t="s">
        <v>804</v>
      </c>
      <c r="G2" s="1345" t="s">
        <v>805</v>
      </c>
      <c r="H2" s="1346" t="s">
        <v>806</v>
      </c>
      <c r="I2" s="1347" t="s">
        <v>807</v>
      </c>
      <c r="J2" s="1347"/>
      <c r="K2" s="1348" t="s">
        <v>808</v>
      </c>
      <c r="L2" s="1348"/>
      <c r="M2" s="1349" t="s">
        <v>809</v>
      </c>
      <c r="N2" s="1350" t="s">
        <v>810</v>
      </c>
      <c r="O2" s="1350" t="s">
        <v>811</v>
      </c>
      <c r="P2" s="1350" t="s">
        <v>812</v>
      </c>
      <c r="Q2" s="1350" t="s">
        <v>813</v>
      </c>
      <c r="R2" s="1350" t="s">
        <v>814</v>
      </c>
      <c r="S2" s="1350" t="s">
        <v>815</v>
      </c>
      <c r="T2" s="1350" t="s">
        <v>816</v>
      </c>
      <c r="U2" s="1351" t="s">
        <v>817</v>
      </c>
      <c r="V2" s="1350" t="s">
        <v>818</v>
      </c>
      <c r="W2" s="1350" t="s">
        <v>819</v>
      </c>
      <c r="X2" s="1350" t="s">
        <v>820</v>
      </c>
      <c r="Y2" s="1350" t="s">
        <v>821</v>
      </c>
      <c r="Z2" s="1350" t="s">
        <v>822</v>
      </c>
      <c r="AA2" s="1350" t="s">
        <v>823</v>
      </c>
      <c r="AB2" s="1350" t="s">
        <v>824</v>
      </c>
      <c r="AC2" s="1350" t="s">
        <v>825</v>
      </c>
      <c r="AD2" s="1350" t="s">
        <v>826</v>
      </c>
      <c r="AE2" s="1350" t="s">
        <v>827</v>
      </c>
      <c r="AF2" s="1351" t="s">
        <v>828</v>
      </c>
      <c r="AG2" s="1350" t="s">
        <v>829</v>
      </c>
      <c r="AH2" s="1350" t="s">
        <v>830</v>
      </c>
      <c r="AI2" s="1955" t="s">
        <v>831</v>
      </c>
      <c r="AJ2" s="1352" t="s">
        <v>832</v>
      </c>
      <c r="AK2" s="1353" t="s">
        <v>833</v>
      </c>
      <c r="AL2" s="1354" t="s">
        <v>834</v>
      </c>
      <c r="AM2" s="1354" t="s">
        <v>835</v>
      </c>
      <c r="AN2" s="1354" t="s">
        <v>836</v>
      </c>
      <c r="AO2" s="1354" t="s">
        <v>837</v>
      </c>
      <c r="AP2" s="1354" t="s">
        <v>838</v>
      </c>
      <c r="AQ2" s="1354" t="s">
        <v>839</v>
      </c>
      <c r="AR2" s="1355" t="s">
        <v>840</v>
      </c>
      <c r="AS2" s="1958" t="s">
        <v>659</v>
      </c>
      <c r="AT2" s="1951"/>
      <c r="AU2" s="1356"/>
      <c r="AV2" s="1345"/>
      <c r="AW2" s="1345"/>
      <c r="AX2" s="1345"/>
      <c r="AY2" s="1345"/>
      <c r="AZ2" s="1345"/>
    </row>
    <row r="3" spans="1:129" s="1343" customFormat="1" ht="33">
      <c r="B3" s="1344"/>
      <c r="C3" s="1344" t="s">
        <v>660</v>
      </c>
      <c r="D3" s="1344" t="s">
        <v>661</v>
      </c>
      <c r="E3" s="1343" t="s">
        <v>662</v>
      </c>
      <c r="F3" s="1345" t="s">
        <v>663</v>
      </c>
      <c r="G3" s="1345" t="s">
        <v>664</v>
      </c>
      <c r="H3" s="1346" t="s">
        <v>665</v>
      </c>
      <c r="I3" s="1347" t="s">
        <v>666</v>
      </c>
      <c r="J3" s="1347"/>
      <c r="K3" s="1348" t="s">
        <v>667</v>
      </c>
      <c r="L3" s="1946"/>
      <c r="M3" s="1349" t="s">
        <v>668</v>
      </c>
      <c r="N3" s="1350" t="s">
        <v>669</v>
      </c>
      <c r="O3" s="1350" t="s">
        <v>670</v>
      </c>
      <c r="P3" s="1350" t="s">
        <v>671</v>
      </c>
      <c r="Q3" s="1350" t="s">
        <v>672</v>
      </c>
      <c r="R3" s="1350" t="s">
        <v>673</v>
      </c>
      <c r="S3" s="1350" t="s">
        <v>674</v>
      </c>
      <c r="T3" s="1350" t="s">
        <v>675</v>
      </c>
      <c r="U3" s="1351" t="s">
        <v>676</v>
      </c>
      <c r="V3" s="1350" t="s">
        <v>677</v>
      </c>
      <c r="W3" s="1350" t="s">
        <v>678</v>
      </c>
      <c r="X3" s="1350" t="s">
        <v>679</v>
      </c>
      <c r="Y3" s="1350" t="s">
        <v>680</v>
      </c>
      <c r="Z3" s="1350" t="s">
        <v>681</v>
      </c>
      <c r="AA3" s="1350" t="s">
        <v>682</v>
      </c>
      <c r="AB3" s="1350" t="s">
        <v>683</v>
      </c>
      <c r="AC3" s="1350" t="s">
        <v>684</v>
      </c>
      <c r="AD3" s="1350" t="s">
        <v>685</v>
      </c>
      <c r="AE3" s="1350" t="s">
        <v>686</v>
      </c>
      <c r="AF3" s="1351" t="s">
        <v>687</v>
      </c>
      <c r="AG3" s="1350" t="s">
        <v>688</v>
      </c>
      <c r="AH3" s="1350" t="s">
        <v>689</v>
      </c>
      <c r="AI3" s="1956"/>
      <c r="AJ3" s="1352" t="s">
        <v>690</v>
      </c>
      <c r="AK3" s="1353" t="s">
        <v>691</v>
      </c>
      <c r="AL3" s="1354" t="s">
        <v>692</v>
      </c>
      <c r="AM3" s="1354" t="s">
        <v>693</v>
      </c>
      <c r="AN3" s="1354" t="s">
        <v>694</v>
      </c>
      <c r="AO3" s="1354" t="s">
        <v>695</v>
      </c>
      <c r="AP3" s="1354" t="s">
        <v>1349</v>
      </c>
      <c r="AQ3" s="1354" t="s">
        <v>696</v>
      </c>
      <c r="AR3" s="1355" t="s">
        <v>697</v>
      </c>
      <c r="AS3" s="1959"/>
      <c r="AT3" s="1951"/>
      <c r="AU3" s="1357" t="s">
        <v>698</v>
      </c>
      <c r="AV3" s="1357" t="s">
        <v>699</v>
      </c>
      <c r="AW3" s="1357" t="s">
        <v>700</v>
      </c>
      <c r="AX3" s="1357" t="s">
        <v>701</v>
      </c>
      <c r="AY3" s="1357" t="s">
        <v>702</v>
      </c>
      <c r="AZ3" s="1357" t="s">
        <v>703</v>
      </c>
      <c r="BA3" s="1344"/>
      <c r="BB3" s="1344"/>
    </row>
    <row r="4" spans="1:129" s="1343" customFormat="1">
      <c r="B4" s="1344"/>
      <c r="C4" s="1344"/>
      <c r="D4" s="1344"/>
      <c r="E4" s="1343" t="s">
        <v>1374</v>
      </c>
      <c r="F4" s="1345" t="s">
        <v>704</v>
      </c>
      <c r="G4" s="1345" t="s">
        <v>704</v>
      </c>
      <c r="H4" s="1346" t="s">
        <v>704</v>
      </c>
      <c r="I4" s="1347" t="s">
        <v>704</v>
      </c>
      <c r="J4" s="1347"/>
      <c r="K4" s="1358" t="s">
        <v>704</v>
      </c>
      <c r="L4" s="1947"/>
      <c r="M4" s="1349" t="s">
        <v>704</v>
      </c>
      <c r="N4" s="1350" t="s">
        <v>704</v>
      </c>
      <c r="O4" s="1350" t="s">
        <v>704</v>
      </c>
      <c r="P4" s="1350" t="s">
        <v>704</v>
      </c>
      <c r="Q4" s="1350" t="s">
        <v>704</v>
      </c>
      <c r="R4" s="1350" t="s">
        <v>704</v>
      </c>
      <c r="S4" s="1350" t="s">
        <v>704</v>
      </c>
      <c r="T4" s="1350" t="s">
        <v>704</v>
      </c>
      <c r="U4" s="1351" t="s">
        <v>704</v>
      </c>
      <c r="V4" s="1350" t="s">
        <v>704</v>
      </c>
      <c r="W4" s="1350" t="s">
        <v>704</v>
      </c>
      <c r="X4" s="1350" t="s">
        <v>704</v>
      </c>
      <c r="Y4" s="1350" t="s">
        <v>704</v>
      </c>
      <c r="Z4" s="1350" t="s">
        <v>704</v>
      </c>
      <c r="AA4" s="1350" t="s">
        <v>704</v>
      </c>
      <c r="AB4" s="1350" t="s">
        <v>704</v>
      </c>
      <c r="AC4" s="1350" t="s">
        <v>704</v>
      </c>
      <c r="AD4" s="1350" t="s">
        <v>704</v>
      </c>
      <c r="AE4" s="1350" t="s">
        <v>704</v>
      </c>
      <c r="AF4" s="1351" t="s">
        <v>704</v>
      </c>
      <c r="AG4" s="1350" t="s">
        <v>704</v>
      </c>
      <c r="AH4" s="1350" t="s">
        <v>704</v>
      </c>
      <c r="AI4" s="1957"/>
      <c r="AJ4" s="1352" t="s">
        <v>704</v>
      </c>
      <c r="AK4" s="1353" t="s">
        <v>704</v>
      </c>
      <c r="AL4" s="1354" t="s">
        <v>704</v>
      </c>
      <c r="AM4" s="1354" t="s">
        <v>704</v>
      </c>
      <c r="AN4" s="1354" t="s">
        <v>704</v>
      </c>
      <c r="AO4" s="1354" t="s">
        <v>704</v>
      </c>
      <c r="AP4" s="1354" t="s">
        <v>704</v>
      </c>
      <c r="AQ4" s="1354" t="s">
        <v>704</v>
      </c>
      <c r="AR4" s="1355" t="s">
        <v>704</v>
      </c>
      <c r="AS4" s="1960"/>
      <c r="AT4" s="1952"/>
      <c r="AU4" s="1356"/>
      <c r="AV4" s="1345"/>
      <c r="AW4" s="1345"/>
      <c r="AX4" s="1345"/>
      <c r="AY4" s="1345"/>
      <c r="AZ4" s="1345"/>
    </row>
    <row r="5" spans="1:129" s="1319" customFormat="1" ht="44">
      <c r="A5" s="1315" t="s">
        <v>749</v>
      </c>
      <c r="B5" s="1317" t="s">
        <v>766</v>
      </c>
      <c r="C5" s="1317" t="s">
        <v>705</v>
      </c>
      <c r="D5" s="1317" t="s">
        <v>706</v>
      </c>
      <c r="E5" s="1319">
        <v>728</v>
      </c>
      <c r="F5" s="1319">
        <v>687.66</v>
      </c>
      <c r="G5" s="1319">
        <v>0.82</v>
      </c>
      <c r="H5" s="1319">
        <v>723.23</v>
      </c>
      <c r="I5" s="1359">
        <v>0</v>
      </c>
      <c r="J5" s="1323">
        <f>I5</f>
        <v>0</v>
      </c>
      <c r="K5" s="1359">
        <v>0</v>
      </c>
      <c r="L5" s="1323">
        <f>K5</f>
        <v>0</v>
      </c>
      <c r="M5" s="1327">
        <v>0</v>
      </c>
      <c r="N5" s="1327">
        <v>0</v>
      </c>
      <c r="O5" s="1327">
        <v>153556</v>
      </c>
      <c r="P5" s="1327">
        <v>0</v>
      </c>
      <c r="Q5" s="1327">
        <v>0</v>
      </c>
      <c r="R5" s="1327">
        <v>0</v>
      </c>
      <c r="S5" s="1327">
        <v>0</v>
      </c>
      <c r="T5" s="1327">
        <v>4203691</v>
      </c>
      <c r="U5" s="1360">
        <v>0</v>
      </c>
      <c r="V5" s="1327">
        <v>28866</v>
      </c>
      <c r="W5" s="1327">
        <v>15000</v>
      </c>
      <c r="X5" s="1327">
        <v>850</v>
      </c>
      <c r="Y5" s="1327">
        <v>0</v>
      </c>
      <c r="Z5" s="1327">
        <v>6739</v>
      </c>
      <c r="AA5" s="1327">
        <v>92831</v>
      </c>
      <c r="AB5" s="1327">
        <v>2859.15</v>
      </c>
      <c r="AC5" s="1327">
        <v>0</v>
      </c>
      <c r="AD5" s="1327">
        <v>608.01</v>
      </c>
      <c r="AE5" s="1327">
        <v>0</v>
      </c>
      <c r="AF5" s="1360">
        <v>0</v>
      </c>
      <c r="AG5" s="1327">
        <v>0</v>
      </c>
      <c r="AH5" s="1327">
        <v>0</v>
      </c>
      <c r="AI5" s="1327">
        <f>SUM(M5:AH5)-(AF5+U5)</f>
        <v>4505000.16</v>
      </c>
      <c r="AJ5" s="1321">
        <v>451882.82</v>
      </c>
      <c r="AK5" s="1360">
        <v>0</v>
      </c>
      <c r="AL5" s="1327">
        <v>0</v>
      </c>
      <c r="AM5" s="1327">
        <v>0</v>
      </c>
      <c r="AN5" s="1327">
        <v>0</v>
      </c>
      <c r="AO5" s="1327">
        <v>0</v>
      </c>
      <c r="AP5" s="1327">
        <v>0</v>
      </c>
      <c r="AQ5" s="1327">
        <v>0</v>
      </c>
      <c r="AR5" s="1327">
        <v>199501.36</v>
      </c>
      <c r="AS5" s="1327">
        <f>SUM(AL5:AR5)</f>
        <v>199501.36</v>
      </c>
      <c r="AT5" s="1361">
        <f>SUM(AS5,AJ5,AI5,L5,J5)</f>
        <v>5156384.34</v>
      </c>
      <c r="AU5" s="1327">
        <f>AT5/E5</f>
        <v>7082.945521978022</v>
      </c>
      <c r="AV5" s="1327">
        <f>J5/E5</f>
        <v>0</v>
      </c>
      <c r="AW5" s="1327">
        <f>L5/E5</f>
        <v>0</v>
      </c>
      <c r="AX5" s="1327">
        <f>AI5/E5</f>
        <v>6188.1870329670328</v>
      </c>
      <c r="AY5" s="1327">
        <f>AJ5/E5</f>
        <v>620.71815934065933</v>
      </c>
      <c r="AZ5" s="1327">
        <f>AS5/E5</f>
        <v>274.04032967032964</v>
      </c>
      <c r="BA5" s="1327"/>
      <c r="BB5" s="1327"/>
      <c r="BC5" s="1327"/>
      <c r="BD5" s="1327"/>
      <c r="BE5" s="1327"/>
      <c r="BF5" s="1327"/>
      <c r="BG5" s="1327"/>
      <c r="BH5" s="1327"/>
      <c r="BI5" s="1327"/>
      <c r="BJ5" s="1327"/>
      <c r="BK5" s="1327"/>
      <c r="BL5" s="1327"/>
      <c r="BM5" s="1327"/>
      <c r="BN5" s="1327"/>
      <c r="BO5" s="1327"/>
      <c r="BP5" s="1327"/>
      <c r="BQ5" s="1327"/>
      <c r="BR5" s="1327"/>
      <c r="BS5" s="1327"/>
      <c r="BT5" s="1327"/>
      <c r="BU5" s="1327"/>
      <c r="BV5" s="1327"/>
      <c r="BW5" s="1327"/>
      <c r="BX5" s="1327"/>
      <c r="BY5" s="1327"/>
      <c r="BZ5" s="1327"/>
      <c r="CA5" s="1327"/>
      <c r="CB5" s="1327"/>
      <c r="CC5" s="1327"/>
      <c r="CD5" s="1327"/>
      <c r="CE5" s="1327"/>
      <c r="CF5" s="1327"/>
      <c r="CG5" s="1327"/>
      <c r="CH5" s="1327"/>
      <c r="CI5" s="1327"/>
      <c r="CJ5" s="1327"/>
      <c r="CK5" s="1327"/>
      <c r="CL5" s="1327"/>
      <c r="CM5" s="1327"/>
      <c r="CN5" s="1327"/>
      <c r="CO5" s="1327"/>
      <c r="CP5" s="1327"/>
      <c r="CQ5" s="1327"/>
      <c r="CR5" s="1327"/>
      <c r="CS5" s="1327"/>
      <c r="CT5" s="1327"/>
      <c r="CU5" s="1327"/>
      <c r="CV5" s="1327"/>
      <c r="CW5" s="1327"/>
      <c r="CX5" s="1327"/>
      <c r="CY5" s="1327"/>
      <c r="CZ5" s="1327"/>
      <c r="DA5" s="1327"/>
      <c r="DB5" s="1327"/>
      <c r="DC5" s="1327"/>
      <c r="DD5" s="1327"/>
      <c r="DE5" s="1327"/>
      <c r="DF5" s="1327"/>
      <c r="DG5" s="1327"/>
      <c r="DH5" s="1327"/>
      <c r="DI5" s="1327"/>
      <c r="DJ5" s="1327"/>
      <c r="DK5" s="1327"/>
      <c r="DL5" s="1327"/>
      <c r="DM5" s="1327"/>
      <c r="DN5" s="1327"/>
      <c r="DO5" s="1327"/>
      <c r="DP5" s="1327"/>
      <c r="DQ5" s="1327"/>
      <c r="DR5" s="1327"/>
      <c r="DS5" s="1327"/>
      <c r="DT5" s="1327"/>
      <c r="DU5" s="1327"/>
      <c r="DV5" s="1327"/>
      <c r="DW5" s="1327"/>
      <c r="DX5" s="1327"/>
      <c r="DY5" s="1327"/>
    </row>
    <row r="6" spans="1:129" s="1319" customFormat="1" ht="33">
      <c r="A6" s="1315" t="s">
        <v>750</v>
      </c>
      <c r="B6" s="1317" t="s">
        <v>767</v>
      </c>
      <c r="C6" s="1317" t="s">
        <v>707</v>
      </c>
      <c r="D6" s="1317" t="s">
        <v>708</v>
      </c>
      <c r="E6" s="1319">
        <v>67</v>
      </c>
      <c r="F6" s="1319">
        <v>59.75</v>
      </c>
      <c r="G6" s="1319">
        <v>0.34</v>
      </c>
      <c r="H6" s="1319">
        <v>64.37</v>
      </c>
      <c r="I6" s="1359">
        <v>0</v>
      </c>
      <c r="J6" s="1324">
        <f t="shared" ref="J6:J21" si="0">I6</f>
        <v>0</v>
      </c>
      <c r="K6" s="1359">
        <v>0</v>
      </c>
      <c r="L6" s="1324">
        <f t="shared" ref="L6:L21" si="1">K6</f>
        <v>0</v>
      </c>
      <c r="M6" s="1327">
        <v>0</v>
      </c>
      <c r="N6" s="1327">
        <v>0</v>
      </c>
      <c r="O6" s="1327">
        <v>1039</v>
      </c>
      <c r="P6" s="1327">
        <v>0</v>
      </c>
      <c r="Q6" s="1327">
        <v>0</v>
      </c>
      <c r="R6" s="1327">
        <v>0</v>
      </c>
      <c r="S6" s="1327">
        <v>0</v>
      </c>
      <c r="T6" s="1327">
        <v>402818</v>
      </c>
      <c r="U6" s="1360">
        <v>0</v>
      </c>
      <c r="V6" s="1327">
        <v>2766</v>
      </c>
      <c r="W6" s="1327">
        <v>180.06</v>
      </c>
      <c r="X6" s="1327">
        <v>0</v>
      </c>
      <c r="Y6" s="1327">
        <v>0</v>
      </c>
      <c r="Z6" s="1327">
        <v>0</v>
      </c>
      <c r="AA6" s="1327">
        <v>51584</v>
      </c>
      <c r="AB6" s="1327">
        <v>0</v>
      </c>
      <c r="AC6" s="1327">
        <v>0</v>
      </c>
      <c r="AD6" s="1327">
        <v>192.98</v>
      </c>
      <c r="AE6" s="1327">
        <v>0</v>
      </c>
      <c r="AF6" s="1360">
        <v>0</v>
      </c>
      <c r="AG6" s="1327">
        <v>0</v>
      </c>
      <c r="AH6" s="1327">
        <v>0</v>
      </c>
      <c r="AI6" s="1327">
        <f t="shared" ref="AI6:AI21" si="2">SUM(M6:AH6)-(AF6+U6)</f>
        <v>458580.04</v>
      </c>
      <c r="AJ6" s="1321">
        <v>99356.07</v>
      </c>
      <c r="AK6" s="1360">
        <v>0</v>
      </c>
      <c r="AL6" s="1327">
        <v>0</v>
      </c>
      <c r="AM6" s="1327">
        <v>0</v>
      </c>
      <c r="AN6" s="1327">
        <v>0</v>
      </c>
      <c r="AO6" s="1327">
        <v>0</v>
      </c>
      <c r="AP6" s="1327">
        <v>0</v>
      </c>
      <c r="AQ6" s="1327">
        <v>0</v>
      </c>
      <c r="AR6" s="1327">
        <v>1816.07</v>
      </c>
      <c r="AS6" s="1327">
        <f t="shared" ref="AS6:AS21" si="3">SUM(AL6:AR6)</f>
        <v>1816.07</v>
      </c>
      <c r="AT6" s="1361">
        <f t="shared" ref="AT6:AT21" si="4">SUM(AS6,AJ6,AI6,L6,J6)</f>
        <v>559752.17999999993</v>
      </c>
      <c r="AU6" s="1327">
        <f t="shared" ref="AU6:AU23" si="5">AT6/E6</f>
        <v>8354.5101492537306</v>
      </c>
      <c r="AV6" s="1327">
        <f t="shared" ref="AV6:AV20" si="6">J6/E6</f>
        <v>0</v>
      </c>
      <c r="AW6" s="1327">
        <f t="shared" ref="AW6:AW21" si="7">L6/E6</f>
        <v>0</v>
      </c>
      <c r="AX6" s="1327">
        <f t="shared" ref="AX6:AX21" si="8">AI6/E6</f>
        <v>6844.4782089552236</v>
      </c>
      <c r="AY6" s="1327">
        <f t="shared" ref="AY6:AY21" si="9">AJ6/E6</f>
        <v>1482.9264179104478</v>
      </c>
      <c r="AZ6" s="1327">
        <f t="shared" ref="AZ6:AZ21" si="10">AS6/E6</f>
        <v>27.1055223880597</v>
      </c>
      <c r="BA6" s="1327"/>
      <c r="BB6" s="1327"/>
      <c r="BC6" s="1327"/>
      <c r="BD6" s="1327"/>
      <c r="BE6" s="1327"/>
      <c r="BF6" s="1327"/>
      <c r="BG6" s="1327"/>
      <c r="BH6" s="1327"/>
      <c r="BI6" s="1327"/>
      <c r="BJ6" s="1327"/>
      <c r="BK6" s="1327"/>
      <c r="BL6" s="1327"/>
      <c r="BM6" s="1327"/>
      <c r="BN6" s="1327"/>
      <c r="BO6" s="1327"/>
      <c r="BP6" s="1327"/>
      <c r="BQ6" s="1327"/>
      <c r="BR6" s="1327"/>
      <c r="BS6" s="1327"/>
      <c r="BT6" s="1327"/>
      <c r="BU6" s="1327"/>
      <c r="BV6" s="1327"/>
      <c r="BW6" s="1327"/>
      <c r="BX6" s="1327"/>
      <c r="BY6" s="1327"/>
      <c r="BZ6" s="1327"/>
      <c r="CA6" s="1327"/>
      <c r="CB6" s="1327"/>
      <c r="CC6" s="1327"/>
      <c r="CD6" s="1327"/>
      <c r="CE6" s="1327"/>
      <c r="CF6" s="1327"/>
      <c r="CG6" s="1327"/>
      <c r="CH6" s="1327"/>
      <c r="CI6" s="1327"/>
      <c r="CJ6" s="1327"/>
      <c r="CK6" s="1327"/>
      <c r="CL6" s="1327"/>
      <c r="CM6" s="1327"/>
      <c r="CN6" s="1327"/>
      <c r="CO6" s="1327"/>
      <c r="CP6" s="1327"/>
      <c r="CQ6" s="1327"/>
      <c r="CR6" s="1327"/>
      <c r="CS6" s="1327"/>
      <c r="CT6" s="1327"/>
      <c r="CU6" s="1327"/>
      <c r="CV6" s="1327"/>
      <c r="CW6" s="1327"/>
      <c r="CX6" s="1327"/>
      <c r="CY6" s="1327"/>
      <c r="CZ6" s="1327"/>
      <c r="DA6" s="1327"/>
      <c r="DB6" s="1327"/>
      <c r="DC6" s="1327"/>
      <c r="DD6" s="1327"/>
      <c r="DE6" s="1327"/>
      <c r="DF6" s="1327"/>
      <c r="DG6" s="1327"/>
      <c r="DH6" s="1327"/>
      <c r="DI6" s="1327"/>
      <c r="DJ6" s="1327"/>
      <c r="DK6" s="1327"/>
      <c r="DL6" s="1327"/>
      <c r="DM6" s="1327"/>
      <c r="DN6" s="1327"/>
      <c r="DO6" s="1327"/>
      <c r="DP6" s="1327"/>
      <c r="DQ6" s="1327"/>
      <c r="DR6" s="1327"/>
      <c r="DS6" s="1327"/>
      <c r="DT6" s="1327"/>
      <c r="DU6" s="1327"/>
      <c r="DV6" s="1327"/>
      <c r="DW6" s="1327"/>
      <c r="DX6" s="1327"/>
      <c r="DY6" s="1327"/>
    </row>
    <row r="7" spans="1:129" s="1319" customFormat="1" ht="33">
      <c r="A7" s="1315" t="s">
        <v>751</v>
      </c>
      <c r="B7" s="1317" t="s">
        <v>768</v>
      </c>
      <c r="C7" s="1317" t="s">
        <v>709</v>
      </c>
      <c r="D7" s="1317" t="s">
        <v>710</v>
      </c>
      <c r="E7" s="1319">
        <v>98</v>
      </c>
      <c r="F7" s="1319">
        <v>73.86</v>
      </c>
      <c r="G7" s="1319">
        <v>0</v>
      </c>
      <c r="H7" s="1319">
        <v>81.55</v>
      </c>
      <c r="I7" s="1359">
        <v>0</v>
      </c>
      <c r="J7" s="1324">
        <f t="shared" si="0"/>
        <v>0</v>
      </c>
      <c r="K7" s="1359">
        <v>0</v>
      </c>
      <c r="L7" s="1324">
        <f t="shared" si="1"/>
        <v>0</v>
      </c>
      <c r="M7" s="1327">
        <v>0</v>
      </c>
      <c r="N7" s="1327">
        <v>0</v>
      </c>
      <c r="O7" s="1327">
        <v>0</v>
      </c>
      <c r="P7" s="1327">
        <v>0</v>
      </c>
      <c r="Q7" s="1327">
        <v>0</v>
      </c>
      <c r="R7" s="1327">
        <v>0</v>
      </c>
      <c r="S7" s="1327">
        <v>0</v>
      </c>
      <c r="T7" s="1327">
        <v>593406</v>
      </c>
      <c r="U7" s="1360">
        <v>0</v>
      </c>
      <c r="V7" s="1327">
        <v>4076</v>
      </c>
      <c r="W7" s="1327">
        <v>0</v>
      </c>
      <c r="X7" s="1327">
        <v>0</v>
      </c>
      <c r="Y7" s="1327">
        <v>0</v>
      </c>
      <c r="Z7" s="1327">
        <v>0</v>
      </c>
      <c r="AA7" s="1327">
        <v>0</v>
      </c>
      <c r="AB7" s="1327">
        <v>440.31</v>
      </c>
      <c r="AC7" s="1327">
        <v>22208.880000000001</v>
      </c>
      <c r="AD7" s="1327">
        <v>0</v>
      </c>
      <c r="AE7" s="1327">
        <v>0</v>
      </c>
      <c r="AF7" s="1360">
        <v>0</v>
      </c>
      <c r="AG7" s="1327">
        <v>0</v>
      </c>
      <c r="AH7" s="1327">
        <v>0</v>
      </c>
      <c r="AI7" s="1327">
        <f t="shared" si="2"/>
        <v>620131.19000000006</v>
      </c>
      <c r="AJ7" s="1321">
        <v>57148.82</v>
      </c>
      <c r="AK7" s="1360">
        <v>0</v>
      </c>
      <c r="AL7" s="1327">
        <v>0</v>
      </c>
      <c r="AM7" s="1327">
        <v>0</v>
      </c>
      <c r="AN7" s="1327">
        <v>0</v>
      </c>
      <c r="AO7" s="1327">
        <v>0</v>
      </c>
      <c r="AP7" s="1327">
        <v>0</v>
      </c>
      <c r="AQ7" s="1327">
        <v>0</v>
      </c>
      <c r="AR7" s="1327">
        <v>63334.64</v>
      </c>
      <c r="AS7" s="1327">
        <f t="shared" si="3"/>
        <v>63334.64</v>
      </c>
      <c r="AT7" s="1361">
        <f t="shared" si="4"/>
        <v>740614.65</v>
      </c>
      <c r="AU7" s="1327">
        <f t="shared" si="5"/>
        <v>7557.2923469387761</v>
      </c>
      <c r="AV7" s="1327">
        <f t="shared" si="6"/>
        <v>0</v>
      </c>
      <c r="AW7" s="1327">
        <f t="shared" si="7"/>
        <v>0</v>
      </c>
      <c r="AX7" s="1327">
        <f t="shared" si="8"/>
        <v>6327.869285714286</v>
      </c>
      <c r="AY7" s="1327">
        <f t="shared" si="9"/>
        <v>583.15122448979594</v>
      </c>
      <c r="AZ7" s="1327">
        <f t="shared" si="10"/>
        <v>646.27183673469392</v>
      </c>
      <c r="BA7" s="1327"/>
      <c r="BB7" s="1327"/>
      <c r="BC7" s="1327"/>
      <c r="BD7" s="1327"/>
      <c r="BE7" s="1327"/>
      <c r="BF7" s="1327"/>
      <c r="BG7" s="1327"/>
      <c r="BH7" s="1327"/>
      <c r="BI7" s="1327"/>
      <c r="BJ7" s="1327"/>
      <c r="BK7" s="1327"/>
      <c r="BL7" s="1327"/>
      <c r="BM7" s="1327"/>
      <c r="BN7" s="1327"/>
      <c r="BO7" s="1327"/>
      <c r="BP7" s="1327"/>
      <c r="BQ7" s="1327"/>
      <c r="BR7" s="1327"/>
      <c r="BS7" s="1327"/>
      <c r="BT7" s="1327"/>
      <c r="BU7" s="1327"/>
      <c r="BV7" s="1327"/>
      <c r="BW7" s="1327"/>
      <c r="BX7" s="1327"/>
      <c r="BY7" s="1327"/>
      <c r="BZ7" s="1327"/>
      <c r="CA7" s="1327"/>
      <c r="CB7" s="1327"/>
      <c r="CC7" s="1327"/>
      <c r="CD7" s="1327"/>
      <c r="CE7" s="1327"/>
      <c r="CF7" s="1327"/>
      <c r="CG7" s="1327"/>
      <c r="CH7" s="1327"/>
      <c r="CI7" s="1327"/>
      <c r="CJ7" s="1327"/>
      <c r="CK7" s="1327"/>
      <c r="CL7" s="1327"/>
      <c r="CM7" s="1327"/>
      <c r="CN7" s="1327"/>
      <c r="CO7" s="1327"/>
      <c r="CP7" s="1327"/>
      <c r="CQ7" s="1327"/>
      <c r="CR7" s="1327"/>
      <c r="CS7" s="1327"/>
      <c r="CT7" s="1327"/>
      <c r="CU7" s="1327"/>
      <c r="CV7" s="1327"/>
      <c r="CW7" s="1327"/>
      <c r="CX7" s="1327"/>
      <c r="CY7" s="1327"/>
      <c r="CZ7" s="1327"/>
      <c r="DA7" s="1327"/>
      <c r="DB7" s="1327"/>
      <c r="DC7" s="1327"/>
      <c r="DD7" s="1327"/>
      <c r="DE7" s="1327"/>
      <c r="DF7" s="1327"/>
      <c r="DG7" s="1327"/>
      <c r="DH7" s="1327"/>
      <c r="DI7" s="1327"/>
      <c r="DJ7" s="1327"/>
      <c r="DK7" s="1327"/>
      <c r="DL7" s="1327"/>
      <c r="DM7" s="1327"/>
      <c r="DN7" s="1327"/>
      <c r="DO7" s="1327"/>
      <c r="DP7" s="1327"/>
      <c r="DQ7" s="1327"/>
      <c r="DR7" s="1327"/>
      <c r="DS7" s="1327"/>
      <c r="DT7" s="1327"/>
      <c r="DU7" s="1327"/>
      <c r="DV7" s="1327"/>
      <c r="DW7" s="1327"/>
      <c r="DX7" s="1327"/>
      <c r="DY7" s="1327"/>
    </row>
    <row r="8" spans="1:129" s="1319" customFormat="1" ht="33">
      <c r="A8" s="1315" t="s">
        <v>752</v>
      </c>
      <c r="B8" s="1317" t="s">
        <v>769</v>
      </c>
      <c r="C8" s="1317" t="s">
        <v>711</v>
      </c>
      <c r="D8" s="1362" t="s">
        <v>712</v>
      </c>
      <c r="E8" s="1319">
        <v>640</v>
      </c>
      <c r="F8" s="1319">
        <v>607.76</v>
      </c>
      <c r="G8" s="1319">
        <v>0</v>
      </c>
      <c r="H8" s="1319">
        <v>633.09</v>
      </c>
      <c r="I8" s="1359">
        <v>0</v>
      </c>
      <c r="J8" s="1324">
        <f t="shared" si="0"/>
        <v>0</v>
      </c>
      <c r="K8" s="1359">
        <v>0</v>
      </c>
      <c r="L8" s="1324">
        <f t="shared" si="1"/>
        <v>0</v>
      </c>
      <c r="M8" s="1327">
        <v>0</v>
      </c>
      <c r="N8" s="1327">
        <v>0</v>
      </c>
      <c r="O8" s="1327">
        <v>0</v>
      </c>
      <c r="P8" s="1327">
        <v>0</v>
      </c>
      <c r="Q8" s="1327">
        <v>0</v>
      </c>
      <c r="R8" s="1327">
        <v>0</v>
      </c>
      <c r="S8" s="1327">
        <v>0</v>
      </c>
      <c r="T8" s="1327">
        <v>3829845</v>
      </c>
      <c r="U8" s="1360">
        <v>0</v>
      </c>
      <c r="V8" s="1327">
        <v>21557</v>
      </c>
      <c r="W8" s="1327">
        <v>17376.72</v>
      </c>
      <c r="X8" s="1327">
        <v>350</v>
      </c>
      <c r="Y8" s="1327">
        <v>0</v>
      </c>
      <c r="Z8" s="1327">
        <v>0</v>
      </c>
      <c r="AA8" s="1327">
        <v>522883</v>
      </c>
      <c r="AB8" s="1327">
        <v>2618.66</v>
      </c>
      <c r="AC8" s="1327">
        <v>15166.42</v>
      </c>
      <c r="AD8" s="1327">
        <v>2283.83</v>
      </c>
      <c r="AE8" s="1327">
        <v>0</v>
      </c>
      <c r="AF8" s="1360">
        <v>0</v>
      </c>
      <c r="AG8" s="1327">
        <v>0</v>
      </c>
      <c r="AH8" s="1327">
        <v>0</v>
      </c>
      <c r="AI8" s="1327">
        <f t="shared" si="2"/>
        <v>4412080.6300000008</v>
      </c>
      <c r="AJ8" s="1321">
        <v>2053022.97</v>
      </c>
      <c r="AK8" s="1360">
        <v>676184</v>
      </c>
      <c r="AL8" s="1327">
        <v>0</v>
      </c>
      <c r="AM8" s="1327">
        <v>23894.25</v>
      </c>
      <c r="AN8" s="1327">
        <v>0</v>
      </c>
      <c r="AO8" s="1327">
        <v>0</v>
      </c>
      <c r="AP8" s="1327">
        <v>0</v>
      </c>
      <c r="AQ8" s="1327">
        <v>700078.25</v>
      </c>
      <c r="AR8" s="1327">
        <v>1403483.8</v>
      </c>
      <c r="AS8" s="1327">
        <f t="shared" si="3"/>
        <v>2127456.2999999998</v>
      </c>
      <c r="AT8" s="1361">
        <f t="shared" si="4"/>
        <v>8592559.9000000004</v>
      </c>
      <c r="AU8" s="1327">
        <f t="shared" si="5"/>
        <v>13425.87484375</v>
      </c>
      <c r="AV8" s="1327">
        <f t="shared" si="6"/>
        <v>0</v>
      </c>
      <c r="AW8" s="1327">
        <f t="shared" si="7"/>
        <v>0</v>
      </c>
      <c r="AX8" s="1327">
        <f t="shared" si="8"/>
        <v>6893.8759843750013</v>
      </c>
      <c r="AY8" s="1327">
        <f t="shared" si="9"/>
        <v>3207.8483906249999</v>
      </c>
      <c r="AZ8" s="1327">
        <f t="shared" si="10"/>
        <v>3324.1504687499996</v>
      </c>
      <c r="BA8" s="1327"/>
      <c r="BB8" s="1327"/>
      <c r="BC8" s="1327"/>
      <c r="BD8" s="1327"/>
      <c r="BE8" s="1327"/>
      <c r="BF8" s="1327"/>
      <c r="BG8" s="1327"/>
      <c r="BH8" s="1327"/>
      <c r="BI8" s="1327"/>
      <c r="BJ8" s="1327"/>
      <c r="BK8" s="1327"/>
      <c r="BL8" s="1327"/>
      <c r="BM8" s="1327"/>
      <c r="BN8" s="1327"/>
      <c r="BO8" s="1327"/>
      <c r="BP8" s="1327"/>
      <c r="BQ8" s="1327"/>
      <c r="BR8" s="1327"/>
      <c r="BS8" s="1327"/>
      <c r="BT8" s="1327"/>
      <c r="BU8" s="1327"/>
      <c r="BV8" s="1327"/>
      <c r="BW8" s="1327"/>
      <c r="BX8" s="1327"/>
      <c r="BY8" s="1327"/>
      <c r="BZ8" s="1327"/>
      <c r="CA8" s="1327"/>
      <c r="CB8" s="1327"/>
      <c r="CC8" s="1327"/>
      <c r="CD8" s="1327"/>
      <c r="CE8" s="1327"/>
      <c r="CF8" s="1327"/>
      <c r="CG8" s="1327"/>
      <c r="CH8" s="1327"/>
      <c r="CI8" s="1327"/>
      <c r="CJ8" s="1327"/>
      <c r="CK8" s="1327"/>
      <c r="CL8" s="1327"/>
      <c r="CM8" s="1327"/>
      <c r="CN8" s="1327"/>
      <c r="CO8" s="1327"/>
      <c r="CP8" s="1327"/>
      <c r="CQ8" s="1327"/>
      <c r="CR8" s="1327"/>
      <c r="CS8" s="1327"/>
      <c r="CT8" s="1327"/>
      <c r="CU8" s="1327"/>
      <c r="CV8" s="1327"/>
      <c r="CW8" s="1327"/>
      <c r="CX8" s="1327"/>
      <c r="CY8" s="1327"/>
      <c r="CZ8" s="1327"/>
      <c r="DA8" s="1327"/>
      <c r="DB8" s="1327"/>
      <c r="DC8" s="1327"/>
      <c r="DD8" s="1327"/>
      <c r="DE8" s="1327"/>
      <c r="DF8" s="1327"/>
      <c r="DG8" s="1327"/>
      <c r="DH8" s="1327"/>
      <c r="DI8" s="1327"/>
      <c r="DJ8" s="1327"/>
      <c r="DK8" s="1327"/>
      <c r="DL8" s="1327"/>
      <c r="DM8" s="1327"/>
      <c r="DN8" s="1327"/>
      <c r="DO8" s="1327"/>
      <c r="DP8" s="1327"/>
      <c r="DQ8" s="1327"/>
      <c r="DR8" s="1327"/>
      <c r="DS8" s="1327"/>
      <c r="DT8" s="1327"/>
      <c r="DU8" s="1327"/>
      <c r="DV8" s="1327"/>
      <c r="DW8" s="1327"/>
      <c r="DX8" s="1327"/>
      <c r="DY8" s="1327"/>
    </row>
    <row r="9" spans="1:129" s="1319" customFormat="1" ht="33">
      <c r="A9" s="1315" t="s">
        <v>753</v>
      </c>
      <c r="B9" s="1317" t="s">
        <v>770</v>
      </c>
      <c r="C9" s="1317" t="s">
        <v>713</v>
      </c>
      <c r="D9" s="1317" t="s">
        <v>706</v>
      </c>
      <c r="E9" s="1319">
        <v>603</v>
      </c>
      <c r="F9" s="1319">
        <v>581.69000000000005</v>
      </c>
      <c r="G9" s="1319">
        <v>0.45</v>
      </c>
      <c r="H9" s="1319">
        <v>16618.990000000002</v>
      </c>
      <c r="I9" s="1359">
        <v>0</v>
      </c>
      <c r="J9" s="1324">
        <f t="shared" si="0"/>
        <v>0</v>
      </c>
      <c r="K9" s="1359">
        <v>0</v>
      </c>
      <c r="L9" s="1324">
        <f t="shared" si="1"/>
        <v>0</v>
      </c>
      <c r="M9" s="1327">
        <v>0</v>
      </c>
      <c r="N9" s="1327">
        <v>0</v>
      </c>
      <c r="O9" s="1327">
        <v>481704</v>
      </c>
      <c r="P9" s="1327">
        <v>0</v>
      </c>
      <c r="Q9" s="1327">
        <v>0</v>
      </c>
      <c r="R9" s="1327">
        <v>0</v>
      </c>
      <c r="S9" s="1327">
        <v>0</v>
      </c>
      <c r="T9" s="1327">
        <v>3192190</v>
      </c>
      <c r="U9" s="1360">
        <v>0</v>
      </c>
      <c r="V9" s="1327">
        <v>21921</v>
      </c>
      <c r="W9" s="1327">
        <v>16400</v>
      </c>
      <c r="X9" s="1327">
        <v>0</v>
      </c>
      <c r="Y9" s="1327">
        <v>0</v>
      </c>
      <c r="Z9" s="1327">
        <v>0</v>
      </c>
      <c r="AA9" s="1327">
        <v>72099</v>
      </c>
      <c r="AB9" s="1327">
        <v>2171.2199999999998</v>
      </c>
      <c r="AC9" s="1327">
        <v>0</v>
      </c>
      <c r="AD9" s="1327">
        <v>886.36</v>
      </c>
      <c r="AE9" s="1327">
        <v>0</v>
      </c>
      <c r="AF9" s="1360">
        <v>0</v>
      </c>
      <c r="AG9" s="1327">
        <v>0</v>
      </c>
      <c r="AH9" s="1327">
        <v>0</v>
      </c>
      <c r="AI9" s="1327">
        <f t="shared" si="2"/>
        <v>3787371.58</v>
      </c>
      <c r="AJ9" s="1321">
        <v>428911.75</v>
      </c>
      <c r="AK9" s="1360">
        <v>26544.47</v>
      </c>
      <c r="AL9" s="1327">
        <v>0</v>
      </c>
      <c r="AM9" s="1327">
        <v>0</v>
      </c>
      <c r="AN9" s="1327">
        <v>0</v>
      </c>
      <c r="AO9" s="1327">
        <v>0</v>
      </c>
      <c r="AP9" s="1327">
        <v>0</v>
      </c>
      <c r="AQ9" s="1327">
        <v>26544.47</v>
      </c>
      <c r="AR9" s="1327">
        <v>183881.79</v>
      </c>
      <c r="AS9" s="1327">
        <f t="shared" si="3"/>
        <v>210426.26</v>
      </c>
      <c r="AT9" s="1361">
        <f t="shared" si="4"/>
        <v>4426709.59</v>
      </c>
      <c r="AU9" s="1327">
        <f t="shared" si="5"/>
        <v>7341.1435986732995</v>
      </c>
      <c r="AV9" s="1327">
        <f t="shared" si="6"/>
        <v>0</v>
      </c>
      <c r="AW9" s="1327">
        <f t="shared" si="7"/>
        <v>0</v>
      </c>
      <c r="AX9" s="1327">
        <f t="shared" si="8"/>
        <v>6280.8815588723055</v>
      </c>
      <c r="AY9" s="1327">
        <f t="shared" si="9"/>
        <v>711.29643449419564</v>
      </c>
      <c r="AZ9" s="1327">
        <f t="shared" si="10"/>
        <v>348.96560530679938</v>
      </c>
      <c r="BA9" s="1327"/>
      <c r="BB9" s="1327"/>
      <c r="BC9" s="1327"/>
      <c r="BD9" s="1327"/>
      <c r="BE9" s="1327"/>
      <c r="BF9" s="1327"/>
      <c r="BG9" s="1327"/>
      <c r="BH9" s="1327"/>
      <c r="BI9" s="1327"/>
      <c r="BJ9" s="1327"/>
      <c r="BK9" s="1327"/>
      <c r="BL9" s="1327"/>
      <c r="BM9" s="1327"/>
      <c r="BN9" s="1327"/>
      <c r="BO9" s="1327"/>
      <c r="BP9" s="1327"/>
      <c r="BQ9" s="1327"/>
      <c r="BR9" s="1327"/>
      <c r="BS9" s="1327"/>
      <c r="BT9" s="1327"/>
      <c r="BU9" s="1327"/>
      <c r="BV9" s="1327"/>
      <c r="BW9" s="1327"/>
      <c r="BX9" s="1327"/>
      <c r="BY9" s="1327"/>
      <c r="BZ9" s="1327"/>
      <c r="CA9" s="1327"/>
      <c r="CB9" s="1327"/>
      <c r="CC9" s="1327"/>
      <c r="CD9" s="1327"/>
      <c r="CE9" s="1327"/>
      <c r="CF9" s="1327"/>
      <c r="CG9" s="1327"/>
      <c r="CH9" s="1327"/>
      <c r="CI9" s="1327"/>
      <c r="CJ9" s="1327"/>
      <c r="CK9" s="1327"/>
      <c r="CL9" s="1327"/>
      <c r="CM9" s="1327"/>
      <c r="CN9" s="1327"/>
      <c r="CO9" s="1327"/>
      <c r="CP9" s="1327"/>
      <c r="CQ9" s="1327"/>
      <c r="CR9" s="1327"/>
      <c r="CS9" s="1327"/>
      <c r="CT9" s="1327"/>
      <c r="CU9" s="1327"/>
      <c r="CV9" s="1327"/>
      <c r="CW9" s="1327"/>
      <c r="CX9" s="1327"/>
      <c r="CY9" s="1327"/>
      <c r="CZ9" s="1327"/>
      <c r="DA9" s="1327"/>
      <c r="DB9" s="1327"/>
      <c r="DC9" s="1327"/>
      <c r="DD9" s="1327"/>
      <c r="DE9" s="1327"/>
      <c r="DF9" s="1327"/>
      <c r="DG9" s="1327"/>
      <c r="DH9" s="1327"/>
      <c r="DI9" s="1327"/>
      <c r="DJ9" s="1327"/>
      <c r="DK9" s="1327"/>
      <c r="DL9" s="1327"/>
      <c r="DM9" s="1327"/>
      <c r="DN9" s="1327"/>
      <c r="DO9" s="1327"/>
      <c r="DP9" s="1327"/>
      <c r="DQ9" s="1327"/>
      <c r="DR9" s="1327"/>
      <c r="DS9" s="1327"/>
      <c r="DT9" s="1327"/>
      <c r="DU9" s="1327"/>
      <c r="DV9" s="1327"/>
      <c r="DW9" s="1327"/>
      <c r="DX9" s="1327"/>
      <c r="DY9" s="1327"/>
    </row>
    <row r="10" spans="1:129" s="1319" customFormat="1">
      <c r="A10" s="1315" t="s">
        <v>754</v>
      </c>
      <c r="B10" s="1317" t="s">
        <v>771</v>
      </c>
      <c r="C10" s="1317" t="s">
        <v>714</v>
      </c>
      <c r="D10" s="1317" t="s">
        <v>715</v>
      </c>
      <c r="E10" s="1319">
        <v>476</v>
      </c>
      <c r="F10" s="1319">
        <v>457.28</v>
      </c>
      <c r="G10" s="1319">
        <v>1.61</v>
      </c>
      <c r="H10" s="1319">
        <v>476.55</v>
      </c>
      <c r="I10" s="1359">
        <v>0</v>
      </c>
      <c r="J10" s="1324">
        <f t="shared" si="0"/>
        <v>0</v>
      </c>
      <c r="K10" s="1359">
        <v>0</v>
      </c>
      <c r="L10" s="1324">
        <f t="shared" si="1"/>
        <v>0</v>
      </c>
      <c r="M10" s="1327">
        <v>0</v>
      </c>
      <c r="N10" s="1327">
        <v>0</v>
      </c>
      <c r="O10" s="1327">
        <v>110070</v>
      </c>
      <c r="P10" s="1327">
        <v>0</v>
      </c>
      <c r="Q10" s="1327">
        <v>0</v>
      </c>
      <c r="R10" s="1327">
        <v>0</v>
      </c>
      <c r="S10" s="1327">
        <v>0</v>
      </c>
      <c r="T10" s="1327">
        <v>2759869.89</v>
      </c>
      <c r="U10" s="1360">
        <v>0</v>
      </c>
      <c r="V10" s="1327">
        <v>18952</v>
      </c>
      <c r="W10" s="1327">
        <v>1437.46</v>
      </c>
      <c r="X10" s="1327">
        <v>2100</v>
      </c>
      <c r="Y10" s="1327">
        <v>0</v>
      </c>
      <c r="Z10" s="1327">
        <v>0</v>
      </c>
      <c r="AA10" s="1327">
        <v>60254</v>
      </c>
      <c r="AB10" s="1327">
        <v>0</v>
      </c>
      <c r="AC10" s="1327">
        <v>0</v>
      </c>
      <c r="AD10" s="1327">
        <v>1270.33</v>
      </c>
      <c r="AE10" s="1327">
        <v>0</v>
      </c>
      <c r="AF10" s="1360">
        <v>0</v>
      </c>
      <c r="AG10" s="1327">
        <v>0</v>
      </c>
      <c r="AH10" s="1327">
        <v>1406.5</v>
      </c>
      <c r="AI10" s="1327">
        <f t="shared" si="2"/>
        <v>2955360.18</v>
      </c>
      <c r="AJ10" s="1321">
        <v>422058.07</v>
      </c>
      <c r="AK10" s="1360">
        <v>-19089</v>
      </c>
      <c r="AL10" s="1327">
        <v>0</v>
      </c>
      <c r="AM10" s="1327">
        <v>0</v>
      </c>
      <c r="AN10" s="1327">
        <v>0</v>
      </c>
      <c r="AO10" s="1327">
        <v>0</v>
      </c>
      <c r="AP10" s="1327">
        <v>0</v>
      </c>
      <c r="AQ10" s="1327">
        <v>-19089</v>
      </c>
      <c r="AR10" s="1327">
        <v>212702.61</v>
      </c>
      <c r="AS10" s="1327">
        <f t="shared" si="3"/>
        <v>193613.61</v>
      </c>
      <c r="AT10" s="1361">
        <f t="shared" si="4"/>
        <v>3571031.8600000003</v>
      </c>
      <c r="AU10" s="1327">
        <f t="shared" si="5"/>
        <v>7502.1677731092441</v>
      </c>
      <c r="AV10" s="1327">
        <f t="shared" si="6"/>
        <v>0</v>
      </c>
      <c r="AW10" s="1327">
        <f t="shared" si="7"/>
        <v>0</v>
      </c>
      <c r="AX10" s="1327">
        <f t="shared" si="8"/>
        <v>6208.7398739495802</v>
      </c>
      <c r="AY10" s="1327">
        <f t="shared" si="9"/>
        <v>886.67661764705883</v>
      </c>
      <c r="AZ10" s="1327">
        <f t="shared" si="10"/>
        <v>406.75128151260503</v>
      </c>
      <c r="BA10" s="1327"/>
      <c r="BB10" s="1327"/>
      <c r="BC10" s="1327"/>
      <c r="BD10" s="1327"/>
      <c r="BE10" s="1327"/>
      <c r="BF10" s="1327"/>
      <c r="BG10" s="1327"/>
      <c r="BH10" s="1327"/>
      <c r="BI10" s="1327"/>
      <c r="BJ10" s="1327"/>
      <c r="BK10" s="1327"/>
      <c r="BL10" s="1327"/>
      <c r="BM10" s="1327"/>
      <c r="BN10" s="1327"/>
      <c r="BO10" s="1327"/>
      <c r="BP10" s="1327"/>
      <c r="BQ10" s="1327"/>
      <c r="BR10" s="1327"/>
      <c r="BS10" s="1327"/>
      <c r="BT10" s="1327"/>
      <c r="BU10" s="1327"/>
      <c r="BV10" s="1327"/>
      <c r="BW10" s="1327"/>
      <c r="BX10" s="1327"/>
      <c r="BY10" s="1327"/>
      <c r="BZ10" s="1327"/>
      <c r="CA10" s="1327"/>
      <c r="CB10" s="1327"/>
      <c r="CC10" s="1327"/>
      <c r="CD10" s="1327"/>
      <c r="CE10" s="1327"/>
      <c r="CF10" s="1327"/>
      <c r="CG10" s="1327"/>
      <c r="CH10" s="1327"/>
      <c r="CI10" s="1327"/>
      <c r="CJ10" s="1327"/>
      <c r="CK10" s="1327"/>
      <c r="CL10" s="1327"/>
      <c r="CM10" s="1327"/>
      <c r="CN10" s="1327"/>
      <c r="CO10" s="1327"/>
      <c r="CP10" s="1327"/>
      <c r="CQ10" s="1327"/>
      <c r="CR10" s="1327"/>
      <c r="CS10" s="1327"/>
      <c r="CT10" s="1327"/>
      <c r="CU10" s="1327"/>
      <c r="CV10" s="1327"/>
      <c r="CW10" s="1327"/>
      <c r="CX10" s="1327"/>
      <c r="CY10" s="1327"/>
      <c r="CZ10" s="1327"/>
      <c r="DA10" s="1327"/>
      <c r="DB10" s="1327"/>
      <c r="DC10" s="1327"/>
      <c r="DD10" s="1327"/>
      <c r="DE10" s="1327"/>
      <c r="DF10" s="1327"/>
      <c r="DG10" s="1327"/>
      <c r="DH10" s="1327"/>
      <c r="DI10" s="1327"/>
      <c r="DJ10" s="1327"/>
      <c r="DK10" s="1327"/>
      <c r="DL10" s="1327"/>
      <c r="DM10" s="1327"/>
      <c r="DN10" s="1327"/>
      <c r="DO10" s="1327"/>
      <c r="DP10" s="1327"/>
      <c r="DQ10" s="1327"/>
      <c r="DR10" s="1327"/>
      <c r="DS10" s="1327"/>
      <c r="DT10" s="1327"/>
      <c r="DU10" s="1327"/>
      <c r="DV10" s="1327"/>
      <c r="DW10" s="1327"/>
      <c r="DX10" s="1327"/>
      <c r="DY10" s="1327"/>
    </row>
    <row r="11" spans="1:129" s="1319" customFormat="1" ht="22">
      <c r="A11" s="1315" t="s">
        <v>755</v>
      </c>
      <c r="B11" s="1317" t="s">
        <v>772</v>
      </c>
      <c r="C11" s="1317" t="s">
        <v>714</v>
      </c>
      <c r="D11" s="1317"/>
      <c r="E11" s="1319">
        <v>264</v>
      </c>
      <c r="F11" s="1319">
        <v>256.88</v>
      </c>
      <c r="G11" s="1319">
        <v>0</v>
      </c>
      <c r="H11" s="1319">
        <v>264.76</v>
      </c>
      <c r="I11" s="1359">
        <v>0</v>
      </c>
      <c r="J11" s="1324">
        <f t="shared" si="0"/>
        <v>0</v>
      </c>
      <c r="K11" s="1359">
        <v>0</v>
      </c>
      <c r="L11" s="1324">
        <f t="shared" si="1"/>
        <v>0</v>
      </c>
      <c r="M11" s="1327">
        <v>0</v>
      </c>
      <c r="N11" s="1327">
        <v>0</v>
      </c>
      <c r="O11" s="1327">
        <v>0</v>
      </c>
      <c r="P11" s="1327">
        <v>88689</v>
      </c>
      <c r="Q11" s="1327">
        <v>0</v>
      </c>
      <c r="R11" s="1327">
        <v>0</v>
      </c>
      <c r="S11" s="1327">
        <v>0</v>
      </c>
      <c r="T11" s="1327">
        <v>1629523</v>
      </c>
      <c r="U11" s="1360">
        <v>0</v>
      </c>
      <c r="V11" s="1327">
        <v>11190</v>
      </c>
      <c r="W11" s="1327">
        <v>3942.51</v>
      </c>
      <c r="X11" s="1327">
        <v>0</v>
      </c>
      <c r="Y11" s="1327">
        <v>0</v>
      </c>
      <c r="Z11" s="1327">
        <v>0</v>
      </c>
      <c r="AA11" s="1327">
        <v>326697</v>
      </c>
      <c r="AB11" s="1327">
        <v>1108.33</v>
      </c>
      <c r="AC11" s="1327">
        <v>0</v>
      </c>
      <c r="AD11" s="1327">
        <v>1210.46</v>
      </c>
      <c r="AE11" s="1327">
        <v>0</v>
      </c>
      <c r="AF11" s="1360">
        <v>0</v>
      </c>
      <c r="AG11" s="1327">
        <v>0</v>
      </c>
      <c r="AH11" s="1327">
        <v>0</v>
      </c>
      <c r="AI11" s="1327">
        <f t="shared" si="2"/>
        <v>2062360.3</v>
      </c>
      <c r="AJ11" s="1321">
        <v>804657.28</v>
      </c>
      <c r="AK11" s="1360">
        <v>0</v>
      </c>
      <c r="AL11" s="1327">
        <v>0</v>
      </c>
      <c r="AM11" s="1327">
        <v>0</v>
      </c>
      <c r="AN11" s="1327">
        <v>0</v>
      </c>
      <c r="AO11" s="1327">
        <v>0</v>
      </c>
      <c r="AP11" s="1327">
        <v>0</v>
      </c>
      <c r="AQ11" s="1327">
        <v>0</v>
      </c>
      <c r="AR11" s="1327">
        <v>12740.91</v>
      </c>
      <c r="AS11" s="1327">
        <f t="shared" si="3"/>
        <v>12740.91</v>
      </c>
      <c r="AT11" s="1361">
        <f t="shared" si="4"/>
        <v>2879758.49</v>
      </c>
      <c r="AU11" s="1327">
        <f t="shared" si="5"/>
        <v>10908.17609848485</v>
      </c>
      <c r="AV11" s="1327">
        <f t="shared" si="6"/>
        <v>0</v>
      </c>
      <c r="AW11" s="1327">
        <f t="shared" si="7"/>
        <v>0</v>
      </c>
      <c r="AX11" s="1327">
        <f t="shared" si="8"/>
        <v>7811.9708333333338</v>
      </c>
      <c r="AY11" s="1327">
        <f t="shared" si="9"/>
        <v>3047.9442424242425</v>
      </c>
      <c r="AZ11" s="1327">
        <f t="shared" si="10"/>
        <v>48.261022727272724</v>
      </c>
      <c r="BA11" s="1327"/>
      <c r="BB11" s="1327"/>
      <c r="BC11" s="1327"/>
      <c r="BD11" s="1327"/>
      <c r="BE11" s="1327"/>
      <c r="BF11" s="1327"/>
      <c r="BG11" s="1327"/>
      <c r="BH11" s="1327"/>
      <c r="BI11" s="1327"/>
      <c r="BJ11" s="1327"/>
      <c r="BK11" s="1327"/>
      <c r="BL11" s="1327"/>
      <c r="BM11" s="1327"/>
      <c r="BN11" s="1327"/>
      <c r="BO11" s="1327"/>
      <c r="BP11" s="1327"/>
      <c r="BQ11" s="1327"/>
      <c r="BR11" s="1327"/>
      <c r="BS11" s="1327"/>
      <c r="BT11" s="1327"/>
      <c r="BU11" s="1327"/>
      <c r="BV11" s="1327"/>
      <c r="BW11" s="1327"/>
      <c r="BX11" s="1327"/>
      <c r="BY11" s="1327"/>
      <c r="BZ11" s="1327"/>
      <c r="CA11" s="1327"/>
      <c r="CB11" s="1327"/>
      <c r="CC11" s="1327"/>
      <c r="CD11" s="1327"/>
      <c r="CE11" s="1327"/>
      <c r="CF11" s="1327"/>
      <c r="CG11" s="1327"/>
      <c r="CH11" s="1327"/>
      <c r="CI11" s="1327"/>
      <c r="CJ11" s="1327"/>
      <c r="CK11" s="1327"/>
      <c r="CL11" s="1327"/>
      <c r="CM11" s="1327"/>
      <c r="CN11" s="1327"/>
      <c r="CO11" s="1327"/>
      <c r="CP11" s="1327"/>
      <c r="CQ11" s="1327"/>
      <c r="CR11" s="1327"/>
      <c r="CS11" s="1327"/>
      <c r="CT11" s="1327"/>
      <c r="CU11" s="1327"/>
      <c r="CV11" s="1327"/>
      <c r="CW11" s="1327"/>
      <c r="CX11" s="1327"/>
      <c r="CY11" s="1327"/>
      <c r="CZ11" s="1327"/>
      <c r="DA11" s="1327"/>
      <c r="DB11" s="1327"/>
      <c r="DC11" s="1327"/>
      <c r="DD11" s="1327"/>
      <c r="DE11" s="1327"/>
      <c r="DF11" s="1327"/>
      <c r="DG11" s="1327"/>
      <c r="DH11" s="1327"/>
      <c r="DI11" s="1327"/>
      <c r="DJ11" s="1327"/>
      <c r="DK11" s="1327"/>
      <c r="DL11" s="1327"/>
      <c r="DM11" s="1327"/>
      <c r="DN11" s="1327"/>
      <c r="DO11" s="1327"/>
      <c r="DP11" s="1327"/>
      <c r="DQ11" s="1327"/>
      <c r="DR11" s="1327"/>
      <c r="DS11" s="1327"/>
      <c r="DT11" s="1327"/>
      <c r="DU11" s="1327"/>
      <c r="DV11" s="1327"/>
      <c r="DW11" s="1327"/>
      <c r="DX11" s="1327"/>
      <c r="DY11" s="1327"/>
    </row>
    <row r="12" spans="1:129" s="1319" customFormat="1" ht="33">
      <c r="A12" s="1315" t="s">
        <v>756</v>
      </c>
      <c r="B12" s="1317" t="s">
        <v>773</v>
      </c>
      <c r="C12" s="1317" t="s">
        <v>716</v>
      </c>
      <c r="D12" s="1317" t="s">
        <v>708</v>
      </c>
      <c r="E12" s="1319">
        <v>500</v>
      </c>
      <c r="F12" s="1319">
        <v>484.47</v>
      </c>
      <c r="G12" s="1319">
        <v>0</v>
      </c>
      <c r="H12" s="1319">
        <v>489.6</v>
      </c>
      <c r="I12" s="1359">
        <v>0</v>
      </c>
      <c r="J12" s="1324">
        <f t="shared" si="0"/>
        <v>0</v>
      </c>
      <c r="K12" s="1359">
        <v>0</v>
      </c>
      <c r="L12" s="1324">
        <f t="shared" si="1"/>
        <v>0</v>
      </c>
      <c r="M12" s="1327">
        <v>0</v>
      </c>
      <c r="N12" s="1327">
        <v>0</v>
      </c>
      <c r="O12" s="1327">
        <v>8553</v>
      </c>
      <c r="P12" s="1327">
        <v>10747</v>
      </c>
      <c r="Q12" s="1327">
        <v>0</v>
      </c>
      <c r="R12" s="1327">
        <v>0</v>
      </c>
      <c r="S12" s="1327">
        <v>0</v>
      </c>
      <c r="T12" s="1327">
        <v>2972591</v>
      </c>
      <c r="U12" s="1360">
        <v>0</v>
      </c>
      <c r="V12" s="1327">
        <v>20413</v>
      </c>
      <c r="W12" s="1327">
        <v>0</v>
      </c>
      <c r="X12" s="1327">
        <v>0</v>
      </c>
      <c r="Y12" s="1327">
        <v>0</v>
      </c>
      <c r="Z12" s="1327">
        <v>0</v>
      </c>
      <c r="AA12" s="1327">
        <v>0</v>
      </c>
      <c r="AB12" s="1327">
        <v>2021.85</v>
      </c>
      <c r="AC12" s="1327">
        <v>0</v>
      </c>
      <c r="AD12" s="1327">
        <v>0</v>
      </c>
      <c r="AE12" s="1327">
        <v>0</v>
      </c>
      <c r="AF12" s="1360">
        <v>0</v>
      </c>
      <c r="AG12" s="1327">
        <v>0</v>
      </c>
      <c r="AH12" s="1327">
        <v>0</v>
      </c>
      <c r="AI12" s="1327">
        <f t="shared" si="2"/>
        <v>3014325.85</v>
      </c>
      <c r="AJ12" s="1321">
        <v>377803.53</v>
      </c>
      <c r="AK12" s="1360">
        <v>0</v>
      </c>
      <c r="AL12" s="1327">
        <v>0</v>
      </c>
      <c r="AM12" s="1327">
        <v>0</v>
      </c>
      <c r="AN12" s="1327">
        <v>0</v>
      </c>
      <c r="AO12" s="1327">
        <v>0</v>
      </c>
      <c r="AP12" s="1327">
        <v>0</v>
      </c>
      <c r="AQ12" s="1327">
        <v>0</v>
      </c>
      <c r="AR12" s="1327">
        <v>914.93</v>
      </c>
      <c r="AS12" s="1327">
        <f t="shared" si="3"/>
        <v>914.93</v>
      </c>
      <c r="AT12" s="1361">
        <f t="shared" si="4"/>
        <v>3393044.31</v>
      </c>
      <c r="AU12" s="1327">
        <f t="shared" si="5"/>
        <v>6786.0886200000004</v>
      </c>
      <c r="AV12" s="1327">
        <f t="shared" si="6"/>
        <v>0</v>
      </c>
      <c r="AW12" s="1327">
        <f t="shared" si="7"/>
        <v>0</v>
      </c>
      <c r="AX12" s="1327">
        <f t="shared" si="8"/>
        <v>6028.6517000000003</v>
      </c>
      <c r="AY12" s="1327">
        <f t="shared" si="9"/>
        <v>755.60706000000005</v>
      </c>
      <c r="AZ12" s="1327">
        <f t="shared" si="10"/>
        <v>1.8298599999999998</v>
      </c>
      <c r="BA12" s="1327"/>
      <c r="BB12" s="1327"/>
      <c r="BC12" s="1327"/>
      <c r="BD12" s="1327"/>
      <c r="BE12" s="1327"/>
      <c r="BF12" s="1327"/>
      <c r="BG12" s="1327"/>
      <c r="BH12" s="1327"/>
      <c r="BI12" s="1327"/>
      <c r="BJ12" s="1327"/>
      <c r="BK12" s="1327"/>
      <c r="BL12" s="1327"/>
      <c r="BM12" s="1327"/>
      <c r="BN12" s="1327"/>
      <c r="BO12" s="1327"/>
      <c r="BP12" s="1327"/>
      <c r="BQ12" s="1327"/>
      <c r="BR12" s="1327"/>
      <c r="BS12" s="1327"/>
      <c r="BT12" s="1327"/>
      <c r="BU12" s="1327"/>
      <c r="BV12" s="1327"/>
      <c r="BW12" s="1327"/>
      <c r="BX12" s="1327"/>
      <c r="BY12" s="1327"/>
      <c r="BZ12" s="1327"/>
      <c r="CA12" s="1327"/>
      <c r="CB12" s="1327"/>
      <c r="CC12" s="1327"/>
      <c r="CD12" s="1327"/>
      <c r="CE12" s="1327"/>
      <c r="CF12" s="1327"/>
      <c r="CG12" s="1327"/>
      <c r="CH12" s="1327"/>
      <c r="CI12" s="1327"/>
      <c r="CJ12" s="1327"/>
      <c r="CK12" s="1327"/>
      <c r="CL12" s="1327"/>
      <c r="CM12" s="1327"/>
      <c r="CN12" s="1327"/>
      <c r="CO12" s="1327"/>
      <c r="CP12" s="1327"/>
      <c r="CQ12" s="1327"/>
      <c r="CR12" s="1327"/>
      <c r="CS12" s="1327"/>
      <c r="CT12" s="1327"/>
      <c r="CU12" s="1327"/>
      <c r="CV12" s="1327"/>
      <c r="CW12" s="1327"/>
      <c r="CX12" s="1327"/>
      <c r="CY12" s="1327"/>
      <c r="CZ12" s="1327"/>
      <c r="DA12" s="1327"/>
      <c r="DB12" s="1327"/>
      <c r="DC12" s="1327"/>
      <c r="DD12" s="1327"/>
      <c r="DE12" s="1327"/>
      <c r="DF12" s="1327"/>
      <c r="DG12" s="1327"/>
      <c r="DH12" s="1327"/>
      <c r="DI12" s="1327"/>
      <c r="DJ12" s="1327"/>
      <c r="DK12" s="1327"/>
      <c r="DL12" s="1327"/>
      <c r="DM12" s="1327"/>
      <c r="DN12" s="1327"/>
      <c r="DO12" s="1327"/>
      <c r="DP12" s="1327"/>
      <c r="DQ12" s="1327"/>
      <c r="DR12" s="1327"/>
      <c r="DS12" s="1327"/>
      <c r="DT12" s="1327"/>
      <c r="DU12" s="1327"/>
      <c r="DV12" s="1327"/>
      <c r="DW12" s="1327"/>
      <c r="DX12" s="1327"/>
      <c r="DY12" s="1327"/>
    </row>
    <row r="13" spans="1:129" s="1319" customFormat="1" ht="33">
      <c r="A13" s="1315" t="s">
        <v>757</v>
      </c>
      <c r="B13" s="1317" t="s">
        <v>774</v>
      </c>
      <c r="C13" s="1317" t="s">
        <v>714</v>
      </c>
      <c r="D13" s="1362" t="s">
        <v>717</v>
      </c>
      <c r="E13" s="1319">
        <v>164</v>
      </c>
      <c r="F13" s="1319">
        <v>173.41</v>
      </c>
      <c r="G13" s="1319">
        <v>0</v>
      </c>
      <c r="H13" s="1319">
        <v>179.05</v>
      </c>
      <c r="I13" s="1359">
        <v>0</v>
      </c>
      <c r="J13" s="1324">
        <f t="shared" si="0"/>
        <v>0</v>
      </c>
      <c r="K13" s="1359">
        <v>0</v>
      </c>
      <c r="L13" s="1324">
        <f t="shared" si="1"/>
        <v>0</v>
      </c>
      <c r="M13" s="1327">
        <v>0</v>
      </c>
      <c r="N13" s="1327">
        <v>0</v>
      </c>
      <c r="O13" s="1327">
        <v>0</v>
      </c>
      <c r="P13" s="1327">
        <v>0</v>
      </c>
      <c r="Q13" s="1327">
        <v>0</v>
      </c>
      <c r="R13" s="1327">
        <v>0</v>
      </c>
      <c r="S13" s="1327">
        <v>0</v>
      </c>
      <c r="T13" s="1327">
        <v>1036378</v>
      </c>
      <c r="U13" s="1360">
        <v>0</v>
      </c>
      <c r="V13" s="1327">
        <v>7224</v>
      </c>
      <c r="W13" s="1327">
        <v>0</v>
      </c>
      <c r="X13" s="1327">
        <v>0</v>
      </c>
      <c r="Y13" s="1327">
        <v>0</v>
      </c>
      <c r="Z13" s="1327">
        <v>7032</v>
      </c>
      <c r="AA13" s="1327">
        <v>164672</v>
      </c>
      <c r="AB13" s="1327">
        <v>920.41</v>
      </c>
      <c r="AC13" s="1327">
        <v>0</v>
      </c>
      <c r="AD13" s="1327">
        <v>205.41</v>
      </c>
      <c r="AE13" s="1327">
        <v>0</v>
      </c>
      <c r="AF13" s="1360">
        <v>0</v>
      </c>
      <c r="AG13" s="1327">
        <v>0</v>
      </c>
      <c r="AH13" s="1327">
        <v>0</v>
      </c>
      <c r="AI13" s="1327">
        <f t="shared" si="2"/>
        <v>1216431.8199999998</v>
      </c>
      <c r="AJ13" s="1321">
        <v>349526.22</v>
      </c>
      <c r="AK13" s="1360">
        <v>0</v>
      </c>
      <c r="AL13" s="1327">
        <v>0</v>
      </c>
      <c r="AM13" s="1327">
        <v>0</v>
      </c>
      <c r="AN13" s="1327">
        <v>0</v>
      </c>
      <c r="AO13" s="1327">
        <v>0</v>
      </c>
      <c r="AP13" s="1327">
        <v>0</v>
      </c>
      <c r="AQ13" s="1327">
        <v>0</v>
      </c>
      <c r="AR13" s="1327">
        <v>28418.61</v>
      </c>
      <c r="AS13" s="1327">
        <f t="shared" si="3"/>
        <v>28418.61</v>
      </c>
      <c r="AT13" s="1361">
        <f t="shared" si="4"/>
        <v>1594376.65</v>
      </c>
      <c r="AU13" s="1327">
        <f t="shared" si="5"/>
        <v>9721.8088414634149</v>
      </c>
      <c r="AV13" s="1327">
        <f t="shared" si="6"/>
        <v>0</v>
      </c>
      <c r="AW13" s="1327">
        <f t="shared" si="7"/>
        <v>0</v>
      </c>
      <c r="AX13" s="1327">
        <f t="shared" si="8"/>
        <v>7417.26719512195</v>
      </c>
      <c r="AY13" s="1327">
        <f t="shared" si="9"/>
        <v>2131.2574390243899</v>
      </c>
      <c r="AZ13" s="1327">
        <f t="shared" si="10"/>
        <v>173.28420731707317</v>
      </c>
      <c r="BA13" s="1327"/>
      <c r="BB13" s="1327"/>
      <c r="BC13" s="1327"/>
      <c r="BD13" s="1327"/>
      <c r="BE13" s="1327"/>
      <c r="BF13" s="1327"/>
      <c r="BG13" s="1327"/>
      <c r="BH13" s="1327"/>
      <c r="BI13" s="1327"/>
      <c r="BJ13" s="1327"/>
      <c r="BK13" s="1327"/>
      <c r="BL13" s="1327"/>
      <c r="BM13" s="1327"/>
      <c r="BN13" s="1327"/>
      <c r="BO13" s="1327"/>
      <c r="BP13" s="1327"/>
      <c r="BQ13" s="1327"/>
      <c r="BR13" s="1327"/>
      <c r="BS13" s="1327"/>
      <c r="BT13" s="1327"/>
      <c r="BU13" s="1327"/>
      <c r="BV13" s="1327"/>
      <c r="BW13" s="1327"/>
      <c r="BX13" s="1327"/>
      <c r="BY13" s="1327"/>
      <c r="BZ13" s="1327"/>
      <c r="CA13" s="1327"/>
      <c r="CB13" s="1327"/>
      <c r="CC13" s="1327"/>
      <c r="CD13" s="1327"/>
      <c r="CE13" s="1327"/>
      <c r="CF13" s="1327"/>
      <c r="CG13" s="1327"/>
      <c r="CH13" s="1327"/>
      <c r="CI13" s="1327"/>
      <c r="CJ13" s="1327"/>
      <c r="CK13" s="1327"/>
      <c r="CL13" s="1327"/>
      <c r="CM13" s="1327"/>
      <c r="CN13" s="1327"/>
      <c r="CO13" s="1327"/>
      <c r="CP13" s="1327"/>
      <c r="CQ13" s="1327"/>
      <c r="CR13" s="1327"/>
      <c r="CS13" s="1327"/>
      <c r="CT13" s="1327"/>
      <c r="CU13" s="1327"/>
      <c r="CV13" s="1327"/>
      <c r="CW13" s="1327"/>
      <c r="CX13" s="1327"/>
      <c r="CY13" s="1327"/>
      <c r="CZ13" s="1327"/>
      <c r="DA13" s="1327"/>
      <c r="DB13" s="1327"/>
      <c r="DC13" s="1327"/>
      <c r="DD13" s="1327"/>
      <c r="DE13" s="1327"/>
      <c r="DF13" s="1327"/>
      <c r="DG13" s="1327"/>
      <c r="DH13" s="1327"/>
      <c r="DI13" s="1327"/>
      <c r="DJ13" s="1327"/>
      <c r="DK13" s="1327"/>
      <c r="DL13" s="1327"/>
      <c r="DM13" s="1327"/>
      <c r="DN13" s="1327"/>
      <c r="DO13" s="1327"/>
      <c r="DP13" s="1327"/>
      <c r="DQ13" s="1327"/>
      <c r="DR13" s="1327"/>
      <c r="DS13" s="1327"/>
      <c r="DT13" s="1327"/>
      <c r="DU13" s="1327"/>
      <c r="DV13" s="1327"/>
      <c r="DW13" s="1327"/>
      <c r="DX13" s="1327"/>
      <c r="DY13" s="1327"/>
    </row>
    <row r="14" spans="1:129" s="1319" customFormat="1" ht="33">
      <c r="A14" s="1315" t="s">
        <v>758</v>
      </c>
      <c r="B14" s="1317" t="s">
        <v>775</v>
      </c>
      <c r="C14" s="1317" t="s">
        <v>714</v>
      </c>
      <c r="D14" s="1317" t="s">
        <v>718</v>
      </c>
      <c r="E14" s="1319">
        <v>362</v>
      </c>
      <c r="F14" s="1319">
        <v>354.77</v>
      </c>
      <c r="G14" s="1319">
        <v>0</v>
      </c>
      <c r="H14" s="1319">
        <v>360.11</v>
      </c>
      <c r="I14" s="1359">
        <v>0</v>
      </c>
      <c r="J14" s="1324">
        <f t="shared" si="0"/>
        <v>0</v>
      </c>
      <c r="K14" s="1359">
        <v>0</v>
      </c>
      <c r="L14" s="1324">
        <f t="shared" si="1"/>
        <v>0</v>
      </c>
      <c r="M14" s="1327">
        <v>0</v>
      </c>
      <c r="N14" s="1327">
        <v>0</v>
      </c>
      <c r="O14" s="1327">
        <v>0</v>
      </c>
      <c r="P14" s="1327">
        <v>0</v>
      </c>
      <c r="Q14" s="1327">
        <v>0</v>
      </c>
      <c r="R14" s="1327">
        <v>0</v>
      </c>
      <c r="S14" s="1327">
        <v>0</v>
      </c>
      <c r="T14" s="1327">
        <v>2168280</v>
      </c>
      <c r="U14" s="1360">
        <v>0</v>
      </c>
      <c r="V14" s="1327">
        <v>14890</v>
      </c>
      <c r="W14" s="1327">
        <v>10000</v>
      </c>
      <c r="X14" s="1327">
        <v>0</v>
      </c>
      <c r="Y14" s="1327">
        <v>0</v>
      </c>
      <c r="Z14" s="1327">
        <v>0</v>
      </c>
      <c r="AA14" s="1327">
        <v>63984</v>
      </c>
      <c r="AB14" s="1327">
        <v>1478.19</v>
      </c>
      <c r="AC14" s="1327">
        <v>0</v>
      </c>
      <c r="AD14" s="1327">
        <v>908.9</v>
      </c>
      <c r="AE14" s="1327">
        <v>0</v>
      </c>
      <c r="AF14" s="1360">
        <v>0</v>
      </c>
      <c r="AG14" s="1327">
        <v>0</v>
      </c>
      <c r="AH14" s="1327">
        <v>0</v>
      </c>
      <c r="AI14" s="1327">
        <f t="shared" si="2"/>
        <v>2259541.09</v>
      </c>
      <c r="AJ14" s="1321">
        <v>363164.43</v>
      </c>
      <c r="AK14" s="1360">
        <v>57038.14</v>
      </c>
      <c r="AL14" s="1327">
        <v>0</v>
      </c>
      <c r="AM14" s="1327">
        <v>0</v>
      </c>
      <c r="AN14" s="1327">
        <v>0</v>
      </c>
      <c r="AO14" s="1327">
        <v>0</v>
      </c>
      <c r="AP14" s="1327">
        <v>0</v>
      </c>
      <c r="AQ14" s="1327">
        <v>57038.14</v>
      </c>
      <c r="AR14" s="1327">
        <v>570329.11</v>
      </c>
      <c r="AS14" s="1327">
        <f t="shared" si="3"/>
        <v>627367.25</v>
      </c>
      <c r="AT14" s="1361">
        <f t="shared" si="4"/>
        <v>3250072.7699999996</v>
      </c>
      <c r="AU14" s="1327">
        <f t="shared" si="5"/>
        <v>8978.1015745856348</v>
      </c>
      <c r="AV14" s="1327">
        <f t="shared" si="6"/>
        <v>0</v>
      </c>
      <c r="AW14" s="1327">
        <f t="shared" si="7"/>
        <v>0</v>
      </c>
      <c r="AX14" s="1327">
        <f t="shared" si="8"/>
        <v>6241.8262154696131</v>
      </c>
      <c r="AY14" s="1327">
        <f t="shared" si="9"/>
        <v>1003.2166574585635</v>
      </c>
      <c r="AZ14" s="1327">
        <f t="shared" si="10"/>
        <v>1733.0587016574586</v>
      </c>
      <c r="BA14" s="1327"/>
      <c r="BB14" s="1327"/>
      <c r="BC14" s="1327"/>
      <c r="BD14" s="1327"/>
      <c r="BE14" s="1327"/>
      <c r="BF14" s="1327"/>
      <c r="BG14" s="1327"/>
      <c r="BH14" s="1327"/>
      <c r="BI14" s="1327"/>
      <c r="BJ14" s="1327"/>
      <c r="BK14" s="1327"/>
      <c r="BL14" s="1327"/>
      <c r="BM14" s="1327"/>
      <c r="BN14" s="1327"/>
      <c r="BO14" s="1327"/>
      <c r="BP14" s="1327"/>
      <c r="BQ14" s="1327"/>
      <c r="BR14" s="1327"/>
      <c r="BS14" s="1327"/>
      <c r="BT14" s="1327"/>
      <c r="BU14" s="1327"/>
      <c r="BV14" s="1327"/>
      <c r="BW14" s="1327"/>
      <c r="BX14" s="1327"/>
      <c r="BY14" s="1327"/>
      <c r="BZ14" s="1327"/>
      <c r="CA14" s="1327"/>
      <c r="CB14" s="1327"/>
      <c r="CC14" s="1327"/>
      <c r="CD14" s="1327"/>
      <c r="CE14" s="1327"/>
      <c r="CF14" s="1327"/>
      <c r="CG14" s="1327"/>
      <c r="CH14" s="1327"/>
      <c r="CI14" s="1327"/>
      <c r="CJ14" s="1327"/>
      <c r="CK14" s="1327"/>
      <c r="CL14" s="1327"/>
      <c r="CM14" s="1327"/>
      <c r="CN14" s="1327"/>
      <c r="CO14" s="1327"/>
      <c r="CP14" s="1327"/>
      <c r="CQ14" s="1327"/>
      <c r="CR14" s="1327"/>
      <c r="CS14" s="1327"/>
      <c r="CT14" s="1327"/>
      <c r="CU14" s="1327"/>
      <c r="CV14" s="1327"/>
      <c r="CW14" s="1327"/>
      <c r="CX14" s="1327"/>
      <c r="CY14" s="1327"/>
      <c r="CZ14" s="1327"/>
      <c r="DA14" s="1327"/>
      <c r="DB14" s="1327"/>
      <c r="DC14" s="1327"/>
      <c r="DD14" s="1327"/>
      <c r="DE14" s="1327"/>
      <c r="DF14" s="1327"/>
      <c r="DG14" s="1327"/>
      <c r="DH14" s="1327"/>
      <c r="DI14" s="1327"/>
      <c r="DJ14" s="1327"/>
      <c r="DK14" s="1327"/>
      <c r="DL14" s="1327"/>
      <c r="DM14" s="1327"/>
      <c r="DN14" s="1327"/>
      <c r="DO14" s="1327"/>
      <c r="DP14" s="1327"/>
      <c r="DQ14" s="1327"/>
      <c r="DR14" s="1327"/>
      <c r="DS14" s="1327"/>
      <c r="DT14" s="1327"/>
      <c r="DU14" s="1327"/>
      <c r="DV14" s="1327"/>
      <c r="DW14" s="1327"/>
      <c r="DX14" s="1327"/>
      <c r="DY14" s="1327"/>
    </row>
    <row r="15" spans="1:129" s="1319" customFormat="1" ht="22">
      <c r="A15" s="1315" t="s">
        <v>759</v>
      </c>
      <c r="B15" s="1317" t="s">
        <v>776</v>
      </c>
      <c r="C15" s="1317" t="s">
        <v>714</v>
      </c>
      <c r="D15" s="1362" t="s">
        <v>719</v>
      </c>
      <c r="E15" s="1319">
        <v>502</v>
      </c>
      <c r="F15" s="1319">
        <v>484.76</v>
      </c>
      <c r="G15" s="1319">
        <v>0</v>
      </c>
      <c r="H15" s="1319">
        <v>500.7</v>
      </c>
      <c r="I15" s="1359">
        <v>0</v>
      </c>
      <c r="J15" s="1324">
        <f t="shared" si="0"/>
        <v>0</v>
      </c>
      <c r="K15" s="1359">
        <v>0</v>
      </c>
      <c r="L15" s="1324">
        <f t="shared" si="1"/>
        <v>0</v>
      </c>
      <c r="M15" s="1327">
        <v>0</v>
      </c>
      <c r="N15" s="1327">
        <v>0</v>
      </c>
      <c r="O15" s="1327">
        <v>634587</v>
      </c>
      <c r="P15" s="1327">
        <v>0</v>
      </c>
      <c r="Q15" s="1327">
        <v>0</v>
      </c>
      <c r="R15" s="1327">
        <v>0</v>
      </c>
      <c r="S15" s="1327">
        <v>0</v>
      </c>
      <c r="T15" s="1327">
        <v>2379808</v>
      </c>
      <c r="U15" s="1360">
        <v>0</v>
      </c>
      <c r="V15" s="1327">
        <v>16342</v>
      </c>
      <c r="W15" s="1327">
        <v>10600</v>
      </c>
      <c r="X15" s="1327">
        <v>0</v>
      </c>
      <c r="Y15" s="1327">
        <v>0</v>
      </c>
      <c r="Z15" s="1327">
        <v>0</v>
      </c>
      <c r="AA15" s="1327">
        <v>56048</v>
      </c>
      <c r="AB15" s="1327">
        <v>2044.73</v>
      </c>
      <c r="AC15" s="1327">
        <v>0</v>
      </c>
      <c r="AD15" s="1327">
        <v>928.65</v>
      </c>
      <c r="AE15" s="1327">
        <v>0</v>
      </c>
      <c r="AF15" s="1360">
        <v>0</v>
      </c>
      <c r="AG15" s="1327">
        <v>0</v>
      </c>
      <c r="AH15" s="1327">
        <v>0</v>
      </c>
      <c r="AI15" s="1327">
        <f t="shared" si="2"/>
        <v>3100358.38</v>
      </c>
      <c r="AJ15" s="1321">
        <v>539204.03</v>
      </c>
      <c r="AK15" s="1360">
        <v>17404.73</v>
      </c>
      <c r="AL15" s="1327">
        <v>0</v>
      </c>
      <c r="AM15" s="1327">
        <v>0</v>
      </c>
      <c r="AN15" s="1327">
        <v>0</v>
      </c>
      <c r="AO15" s="1327">
        <v>0</v>
      </c>
      <c r="AP15" s="1327">
        <v>0</v>
      </c>
      <c r="AQ15" s="1327">
        <v>17404.73</v>
      </c>
      <c r="AR15" s="1327">
        <v>214232.16</v>
      </c>
      <c r="AS15" s="1327">
        <f t="shared" si="3"/>
        <v>231636.89</v>
      </c>
      <c r="AT15" s="1361">
        <f t="shared" si="4"/>
        <v>3871199.3</v>
      </c>
      <c r="AU15" s="1327">
        <f t="shared" si="5"/>
        <v>7711.5523904382462</v>
      </c>
      <c r="AV15" s="1327">
        <f t="shared" si="6"/>
        <v>0</v>
      </c>
      <c r="AW15" s="1327">
        <f t="shared" si="7"/>
        <v>0</v>
      </c>
      <c r="AX15" s="1327">
        <f t="shared" si="8"/>
        <v>6176.0127091633467</v>
      </c>
      <c r="AY15" s="1327">
        <f t="shared" si="9"/>
        <v>1074.1116135458167</v>
      </c>
      <c r="AZ15" s="1327">
        <f t="shared" si="10"/>
        <v>461.42806772908369</v>
      </c>
      <c r="BA15" s="1327"/>
      <c r="BB15" s="1327"/>
      <c r="BC15" s="1327"/>
      <c r="BD15" s="1327"/>
      <c r="BE15" s="1327"/>
      <c r="BF15" s="1327"/>
      <c r="BG15" s="1327"/>
      <c r="BH15" s="1327"/>
      <c r="BI15" s="1327"/>
      <c r="BJ15" s="1327"/>
      <c r="BK15" s="1327"/>
      <c r="BL15" s="1327"/>
      <c r="BM15" s="1327"/>
      <c r="BN15" s="1327"/>
      <c r="BO15" s="1327"/>
      <c r="BP15" s="1327"/>
      <c r="BQ15" s="1327"/>
      <c r="BR15" s="1327"/>
      <c r="BS15" s="1327"/>
      <c r="BT15" s="1327"/>
      <c r="BU15" s="1327"/>
      <c r="BV15" s="1327"/>
      <c r="BW15" s="1327"/>
      <c r="BX15" s="1327"/>
      <c r="BY15" s="1327"/>
      <c r="BZ15" s="1327"/>
      <c r="CA15" s="1327"/>
      <c r="CB15" s="1327"/>
      <c r="CC15" s="1327"/>
      <c r="CD15" s="1327"/>
      <c r="CE15" s="1327"/>
      <c r="CF15" s="1327"/>
      <c r="CG15" s="1327"/>
      <c r="CH15" s="1327"/>
      <c r="CI15" s="1327"/>
      <c r="CJ15" s="1327"/>
      <c r="CK15" s="1327"/>
      <c r="CL15" s="1327"/>
      <c r="CM15" s="1327"/>
      <c r="CN15" s="1327"/>
      <c r="CO15" s="1327"/>
      <c r="CP15" s="1327"/>
      <c r="CQ15" s="1327"/>
      <c r="CR15" s="1327"/>
      <c r="CS15" s="1327"/>
      <c r="CT15" s="1327"/>
      <c r="CU15" s="1327"/>
      <c r="CV15" s="1327"/>
      <c r="CW15" s="1327"/>
      <c r="CX15" s="1327"/>
      <c r="CY15" s="1327"/>
      <c r="CZ15" s="1327"/>
      <c r="DA15" s="1327"/>
      <c r="DB15" s="1327"/>
      <c r="DC15" s="1327"/>
      <c r="DD15" s="1327"/>
      <c r="DE15" s="1327"/>
      <c r="DF15" s="1327"/>
      <c r="DG15" s="1327"/>
      <c r="DH15" s="1327"/>
      <c r="DI15" s="1327"/>
      <c r="DJ15" s="1327"/>
      <c r="DK15" s="1327"/>
      <c r="DL15" s="1327"/>
      <c r="DM15" s="1327"/>
      <c r="DN15" s="1327"/>
      <c r="DO15" s="1327"/>
      <c r="DP15" s="1327"/>
      <c r="DQ15" s="1327"/>
      <c r="DR15" s="1327"/>
      <c r="DS15" s="1327"/>
      <c r="DT15" s="1327"/>
      <c r="DU15" s="1327"/>
      <c r="DV15" s="1327"/>
      <c r="DW15" s="1327"/>
      <c r="DX15" s="1327"/>
      <c r="DY15" s="1327"/>
    </row>
    <row r="16" spans="1:129" s="1319" customFormat="1" ht="22">
      <c r="A16" s="1315" t="s">
        <v>760</v>
      </c>
      <c r="B16" s="1317" t="s">
        <v>777</v>
      </c>
      <c r="C16" s="1317" t="s">
        <v>714</v>
      </c>
      <c r="D16" s="1362" t="s">
        <v>720</v>
      </c>
      <c r="E16" s="1319">
        <v>367</v>
      </c>
      <c r="F16" s="1319">
        <v>327.88</v>
      </c>
      <c r="G16" s="1319">
        <v>0</v>
      </c>
      <c r="H16" s="1319">
        <v>358.59</v>
      </c>
      <c r="I16" s="1359">
        <v>0</v>
      </c>
      <c r="J16" s="1324">
        <f t="shared" si="0"/>
        <v>0</v>
      </c>
      <c r="K16" s="1359">
        <v>0</v>
      </c>
      <c r="L16" s="1324">
        <f t="shared" si="1"/>
        <v>0</v>
      </c>
      <c r="M16" s="1327">
        <v>0</v>
      </c>
      <c r="N16" s="1327">
        <v>0</v>
      </c>
      <c r="O16" s="1327">
        <v>0</v>
      </c>
      <c r="P16" s="1327">
        <v>0</v>
      </c>
      <c r="Q16" s="1327">
        <v>0</v>
      </c>
      <c r="R16" s="1327">
        <v>0</v>
      </c>
      <c r="S16" s="1327">
        <v>0</v>
      </c>
      <c r="T16" s="1327">
        <v>2181290</v>
      </c>
      <c r="U16" s="1360">
        <v>0</v>
      </c>
      <c r="V16" s="1327">
        <v>7623</v>
      </c>
      <c r="W16" s="1327">
        <v>4400</v>
      </c>
      <c r="X16" s="1327">
        <v>150</v>
      </c>
      <c r="Y16" s="1327">
        <v>0</v>
      </c>
      <c r="Z16" s="1327">
        <v>0</v>
      </c>
      <c r="AA16" s="1327">
        <v>28272</v>
      </c>
      <c r="AB16" s="1327">
        <v>1062.26</v>
      </c>
      <c r="AC16" s="1327">
        <v>0</v>
      </c>
      <c r="AD16" s="1327">
        <v>290.91000000000003</v>
      </c>
      <c r="AE16" s="1327">
        <v>0</v>
      </c>
      <c r="AF16" s="1360">
        <v>0</v>
      </c>
      <c r="AG16" s="1327">
        <v>0</v>
      </c>
      <c r="AH16" s="1327">
        <v>600</v>
      </c>
      <c r="AI16" s="1327">
        <f t="shared" si="2"/>
        <v>2223688.17</v>
      </c>
      <c r="AJ16" s="1321">
        <v>284760.69</v>
      </c>
      <c r="AK16" s="1360">
        <v>2278</v>
      </c>
      <c r="AL16" s="1327">
        <v>0</v>
      </c>
      <c r="AM16" s="1327">
        <v>0</v>
      </c>
      <c r="AN16" s="1327">
        <v>0</v>
      </c>
      <c r="AO16" s="1327">
        <v>0</v>
      </c>
      <c r="AP16" s="1327">
        <v>0</v>
      </c>
      <c r="AQ16" s="1327">
        <v>2278</v>
      </c>
      <c r="AR16" s="1327">
        <v>463795.63</v>
      </c>
      <c r="AS16" s="1327">
        <f t="shared" si="3"/>
        <v>466073.63</v>
      </c>
      <c r="AT16" s="1361">
        <f t="shared" si="4"/>
        <v>2974522.49</v>
      </c>
      <c r="AU16" s="1327">
        <f t="shared" si="5"/>
        <v>8104.9659128065405</v>
      </c>
      <c r="AV16" s="1327">
        <f t="shared" si="6"/>
        <v>0</v>
      </c>
      <c r="AW16" s="1327">
        <f t="shared" si="7"/>
        <v>0</v>
      </c>
      <c r="AX16" s="1327">
        <f t="shared" si="8"/>
        <v>6059.0958310626702</v>
      </c>
      <c r="AY16" s="1327">
        <f t="shared" si="9"/>
        <v>775.9146866485014</v>
      </c>
      <c r="AZ16" s="1327">
        <f t="shared" si="10"/>
        <v>1269.9553950953677</v>
      </c>
      <c r="BA16" s="1327"/>
      <c r="BB16" s="1327"/>
      <c r="BC16" s="1327"/>
      <c r="BD16" s="1327"/>
      <c r="BE16" s="1327"/>
      <c r="BF16" s="1327"/>
      <c r="BG16" s="1327"/>
      <c r="BH16" s="1327"/>
      <c r="BI16" s="1327"/>
      <c r="BJ16" s="1327"/>
      <c r="BK16" s="1327"/>
      <c r="BL16" s="1327"/>
      <c r="BM16" s="1327"/>
      <c r="BN16" s="1327"/>
      <c r="BO16" s="1327"/>
      <c r="BP16" s="1327"/>
      <c r="BQ16" s="1327"/>
      <c r="BR16" s="1327"/>
      <c r="BS16" s="1327"/>
      <c r="BT16" s="1327"/>
      <c r="BU16" s="1327"/>
      <c r="BV16" s="1327"/>
      <c r="BW16" s="1327"/>
      <c r="BX16" s="1327"/>
      <c r="BY16" s="1327"/>
      <c r="BZ16" s="1327"/>
      <c r="CA16" s="1327"/>
      <c r="CB16" s="1327"/>
      <c r="CC16" s="1327"/>
      <c r="CD16" s="1327"/>
      <c r="CE16" s="1327"/>
      <c r="CF16" s="1327"/>
      <c r="CG16" s="1327"/>
      <c r="CH16" s="1327"/>
      <c r="CI16" s="1327"/>
      <c r="CJ16" s="1327"/>
      <c r="CK16" s="1327"/>
      <c r="CL16" s="1327"/>
      <c r="CM16" s="1327"/>
      <c r="CN16" s="1327"/>
      <c r="CO16" s="1327"/>
      <c r="CP16" s="1327"/>
      <c r="CQ16" s="1327"/>
      <c r="CR16" s="1327"/>
      <c r="CS16" s="1327"/>
      <c r="CT16" s="1327"/>
      <c r="CU16" s="1327"/>
      <c r="CV16" s="1327"/>
      <c r="CW16" s="1327"/>
      <c r="CX16" s="1327"/>
      <c r="CY16" s="1327"/>
      <c r="CZ16" s="1327"/>
      <c r="DA16" s="1327"/>
      <c r="DB16" s="1327"/>
      <c r="DC16" s="1327"/>
      <c r="DD16" s="1327"/>
      <c r="DE16" s="1327"/>
      <c r="DF16" s="1327"/>
      <c r="DG16" s="1327"/>
      <c r="DH16" s="1327"/>
      <c r="DI16" s="1327"/>
      <c r="DJ16" s="1327"/>
      <c r="DK16" s="1327"/>
      <c r="DL16" s="1327"/>
      <c r="DM16" s="1327"/>
      <c r="DN16" s="1327"/>
      <c r="DO16" s="1327"/>
      <c r="DP16" s="1327"/>
      <c r="DQ16" s="1327"/>
      <c r="DR16" s="1327"/>
      <c r="DS16" s="1327"/>
      <c r="DT16" s="1327"/>
      <c r="DU16" s="1327"/>
      <c r="DV16" s="1327"/>
      <c r="DW16" s="1327"/>
      <c r="DX16" s="1327"/>
      <c r="DY16" s="1327"/>
    </row>
    <row r="17" spans="1:129" s="1319" customFormat="1" ht="22">
      <c r="A17" s="1315" t="s">
        <v>761</v>
      </c>
      <c r="B17" s="1317" t="s">
        <v>778</v>
      </c>
      <c r="C17" s="1317" t="s">
        <v>716</v>
      </c>
      <c r="D17" s="1317" t="s">
        <v>721</v>
      </c>
      <c r="E17" s="1319">
        <v>428</v>
      </c>
      <c r="F17" s="1319">
        <v>403.74</v>
      </c>
      <c r="G17" s="1319">
        <v>0</v>
      </c>
      <c r="H17" s="1319">
        <v>411.38</v>
      </c>
      <c r="I17" s="1359">
        <v>0</v>
      </c>
      <c r="J17" s="1324">
        <f t="shared" si="0"/>
        <v>0</v>
      </c>
      <c r="K17" s="1359">
        <v>0</v>
      </c>
      <c r="L17" s="1324">
        <f t="shared" si="1"/>
        <v>0</v>
      </c>
      <c r="M17" s="1327">
        <v>0</v>
      </c>
      <c r="N17" s="1327">
        <v>0</v>
      </c>
      <c r="O17" s="1327">
        <v>0</v>
      </c>
      <c r="P17" s="1327">
        <v>0</v>
      </c>
      <c r="Q17" s="1327">
        <v>0</v>
      </c>
      <c r="R17" s="1327">
        <v>0</v>
      </c>
      <c r="S17" s="1327">
        <v>0</v>
      </c>
      <c r="T17" s="1327">
        <v>2501171.0099999998</v>
      </c>
      <c r="U17" s="1360">
        <v>0</v>
      </c>
      <c r="V17" s="1327">
        <v>15620</v>
      </c>
      <c r="W17" s="1327">
        <v>2400</v>
      </c>
      <c r="X17" s="1327">
        <v>0</v>
      </c>
      <c r="Y17" s="1327">
        <v>0</v>
      </c>
      <c r="Z17" s="1327">
        <v>0</v>
      </c>
      <c r="AA17" s="1327">
        <v>50096</v>
      </c>
      <c r="AB17" s="1327">
        <v>1760.15</v>
      </c>
      <c r="AC17" s="1327">
        <v>0</v>
      </c>
      <c r="AD17" s="1327">
        <v>0</v>
      </c>
      <c r="AE17" s="1327">
        <v>0</v>
      </c>
      <c r="AF17" s="1360">
        <v>0</v>
      </c>
      <c r="AG17" s="1327">
        <v>0</v>
      </c>
      <c r="AH17" s="1327">
        <v>0</v>
      </c>
      <c r="AI17" s="1327">
        <f t="shared" si="2"/>
        <v>2571047.1599999997</v>
      </c>
      <c r="AJ17" s="1321">
        <v>327430.32</v>
      </c>
      <c r="AK17" s="1360">
        <v>1639</v>
      </c>
      <c r="AL17" s="1327">
        <v>0</v>
      </c>
      <c r="AM17" s="1327">
        <v>0</v>
      </c>
      <c r="AN17" s="1327">
        <v>0</v>
      </c>
      <c r="AO17" s="1327">
        <v>0</v>
      </c>
      <c r="AP17" s="1327">
        <v>0</v>
      </c>
      <c r="AQ17" s="1327">
        <v>1639</v>
      </c>
      <c r="AR17" s="1327">
        <v>104057.84</v>
      </c>
      <c r="AS17" s="1327">
        <f t="shared" si="3"/>
        <v>105696.84</v>
      </c>
      <c r="AT17" s="1361">
        <f t="shared" si="4"/>
        <v>3004174.32</v>
      </c>
      <c r="AU17" s="1327">
        <f t="shared" si="5"/>
        <v>7019.0988785046729</v>
      </c>
      <c r="AV17" s="1327">
        <f t="shared" si="6"/>
        <v>0</v>
      </c>
      <c r="AW17" s="1327">
        <f t="shared" si="7"/>
        <v>0</v>
      </c>
      <c r="AX17" s="1327">
        <f t="shared" si="8"/>
        <v>6007.1195327102796</v>
      </c>
      <c r="AY17" s="1327">
        <f t="shared" si="9"/>
        <v>765.0241121495327</v>
      </c>
      <c r="AZ17" s="1327">
        <f t="shared" si="10"/>
        <v>246.95523364485982</v>
      </c>
      <c r="BA17" s="1327"/>
      <c r="BB17" s="1327"/>
      <c r="BC17" s="1327"/>
      <c r="BD17" s="1327"/>
      <c r="BE17" s="1327"/>
      <c r="BF17" s="1327"/>
      <c r="BG17" s="1327"/>
      <c r="BH17" s="1327"/>
      <c r="BI17" s="1327"/>
      <c r="BJ17" s="1327"/>
      <c r="BK17" s="1327"/>
      <c r="BL17" s="1327"/>
      <c r="BM17" s="1327"/>
      <c r="BN17" s="1327"/>
      <c r="BO17" s="1327"/>
      <c r="BP17" s="1327"/>
      <c r="BQ17" s="1327"/>
      <c r="BR17" s="1327"/>
      <c r="BS17" s="1327"/>
      <c r="BT17" s="1327"/>
      <c r="BU17" s="1327"/>
      <c r="BV17" s="1327"/>
      <c r="BW17" s="1327"/>
      <c r="BX17" s="1327"/>
      <c r="BY17" s="1327"/>
      <c r="BZ17" s="1327"/>
      <c r="CA17" s="1327"/>
      <c r="CB17" s="1327"/>
      <c r="CC17" s="1327"/>
      <c r="CD17" s="1327"/>
      <c r="CE17" s="1327"/>
      <c r="CF17" s="1327"/>
      <c r="CG17" s="1327"/>
      <c r="CH17" s="1327"/>
      <c r="CI17" s="1327"/>
      <c r="CJ17" s="1327"/>
      <c r="CK17" s="1327"/>
      <c r="CL17" s="1327"/>
      <c r="CM17" s="1327"/>
      <c r="CN17" s="1327"/>
      <c r="CO17" s="1327"/>
      <c r="CP17" s="1327"/>
      <c r="CQ17" s="1327"/>
      <c r="CR17" s="1327"/>
      <c r="CS17" s="1327"/>
      <c r="CT17" s="1327"/>
      <c r="CU17" s="1327"/>
      <c r="CV17" s="1327"/>
      <c r="CW17" s="1327"/>
      <c r="CX17" s="1327"/>
      <c r="CY17" s="1327"/>
      <c r="CZ17" s="1327"/>
      <c r="DA17" s="1327"/>
      <c r="DB17" s="1327"/>
      <c r="DC17" s="1327"/>
      <c r="DD17" s="1327"/>
      <c r="DE17" s="1327"/>
      <c r="DF17" s="1327"/>
      <c r="DG17" s="1327"/>
      <c r="DH17" s="1327"/>
      <c r="DI17" s="1327"/>
      <c r="DJ17" s="1327"/>
      <c r="DK17" s="1327"/>
      <c r="DL17" s="1327"/>
      <c r="DM17" s="1327"/>
      <c r="DN17" s="1327"/>
      <c r="DO17" s="1327"/>
      <c r="DP17" s="1327"/>
      <c r="DQ17" s="1327"/>
      <c r="DR17" s="1327"/>
      <c r="DS17" s="1327"/>
      <c r="DT17" s="1327"/>
      <c r="DU17" s="1327"/>
      <c r="DV17" s="1327"/>
      <c r="DW17" s="1327"/>
      <c r="DX17" s="1327"/>
      <c r="DY17" s="1327"/>
    </row>
    <row r="18" spans="1:129" s="1319" customFormat="1" ht="33">
      <c r="A18" s="1315" t="s">
        <v>762</v>
      </c>
      <c r="B18" s="1317" t="s">
        <v>779</v>
      </c>
      <c r="C18" s="1317" t="s">
        <v>714</v>
      </c>
      <c r="D18" s="1317" t="s">
        <v>708</v>
      </c>
      <c r="E18" s="1319">
        <v>81</v>
      </c>
      <c r="F18" s="1319">
        <v>75.63</v>
      </c>
      <c r="G18" s="1319">
        <v>0</v>
      </c>
      <c r="H18" s="1319">
        <v>76.22</v>
      </c>
      <c r="I18" s="1359">
        <v>0</v>
      </c>
      <c r="J18" s="1324">
        <f t="shared" si="0"/>
        <v>0</v>
      </c>
      <c r="K18" s="1359">
        <v>0</v>
      </c>
      <c r="L18" s="1324">
        <f t="shared" si="1"/>
        <v>0</v>
      </c>
      <c r="M18" s="1327">
        <v>0</v>
      </c>
      <c r="N18" s="1327">
        <v>0</v>
      </c>
      <c r="O18" s="1327">
        <v>0</v>
      </c>
      <c r="P18" s="1327">
        <v>0</v>
      </c>
      <c r="Q18" s="1327">
        <v>0</v>
      </c>
      <c r="R18" s="1327">
        <v>0</v>
      </c>
      <c r="S18" s="1327">
        <v>0</v>
      </c>
      <c r="T18" s="1327">
        <v>478149</v>
      </c>
      <c r="U18" s="1360">
        <v>0</v>
      </c>
      <c r="V18" s="1327">
        <v>2413</v>
      </c>
      <c r="W18" s="1327">
        <v>0</v>
      </c>
      <c r="X18" s="1327">
        <v>0</v>
      </c>
      <c r="Y18" s="1327">
        <v>0</v>
      </c>
      <c r="Z18" s="1327">
        <v>0</v>
      </c>
      <c r="AA18" s="1327">
        <v>45632</v>
      </c>
      <c r="AB18" s="1327">
        <v>220.33</v>
      </c>
      <c r="AC18" s="1327">
        <v>0</v>
      </c>
      <c r="AD18" s="1327">
        <v>251.33</v>
      </c>
      <c r="AE18" s="1327">
        <v>0</v>
      </c>
      <c r="AF18" s="1360">
        <v>0</v>
      </c>
      <c r="AG18" s="1327">
        <v>0</v>
      </c>
      <c r="AH18" s="1327">
        <v>0</v>
      </c>
      <c r="AI18" s="1327">
        <f t="shared" si="2"/>
        <v>526665.65999999992</v>
      </c>
      <c r="AJ18" s="1321">
        <v>202654.62</v>
      </c>
      <c r="AK18" s="1360">
        <v>-61130.67</v>
      </c>
      <c r="AL18" s="1327">
        <v>0</v>
      </c>
      <c r="AM18" s="1327">
        <v>0</v>
      </c>
      <c r="AN18" s="1327">
        <v>0</v>
      </c>
      <c r="AO18" s="1327">
        <v>0</v>
      </c>
      <c r="AP18" s="1327">
        <v>0</v>
      </c>
      <c r="AQ18" s="1327">
        <v>-61130.67</v>
      </c>
      <c r="AR18" s="1327">
        <v>296188.03999999998</v>
      </c>
      <c r="AS18" s="1327">
        <f t="shared" si="3"/>
        <v>235057.37</v>
      </c>
      <c r="AT18" s="1361">
        <f t="shared" si="4"/>
        <v>964377.64999999991</v>
      </c>
      <c r="AU18" s="1327">
        <f t="shared" si="5"/>
        <v>11905.896913580245</v>
      </c>
      <c r="AV18" s="1327">
        <f t="shared" si="6"/>
        <v>0</v>
      </c>
      <c r="AW18" s="1327">
        <f t="shared" si="7"/>
        <v>0</v>
      </c>
      <c r="AX18" s="1327">
        <f t="shared" si="8"/>
        <v>6502.045185185184</v>
      </c>
      <c r="AY18" s="1327">
        <f t="shared" si="9"/>
        <v>2501.9088888888887</v>
      </c>
      <c r="AZ18" s="1327">
        <f t="shared" si="10"/>
        <v>2901.9428395061727</v>
      </c>
      <c r="BA18" s="1327"/>
      <c r="BB18" s="1327"/>
      <c r="BC18" s="1327"/>
      <c r="BD18" s="1327"/>
      <c r="BE18" s="1327"/>
      <c r="BF18" s="1327"/>
      <c r="BG18" s="1327"/>
      <c r="BH18" s="1327"/>
      <c r="BI18" s="1327"/>
      <c r="BJ18" s="1327"/>
      <c r="BK18" s="1327"/>
      <c r="BL18" s="1327"/>
      <c r="BM18" s="1327"/>
      <c r="BN18" s="1327"/>
      <c r="BO18" s="1327"/>
      <c r="BP18" s="1327"/>
      <c r="BQ18" s="1327"/>
      <c r="BR18" s="1327"/>
      <c r="BS18" s="1327"/>
      <c r="BT18" s="1327"/>
      <c r="BU18" s="1327"/>
      <c r="BV18" s="1327"/>
      <c r="BW18" s="1327"/>
      <c r="BX18" s="1327"/>
      <c r="BY18" s="1327"/>
      <c r="BZ18" s="1327"/>
      <c r="CA18" s="1327"/>
      <c r="CB18" s="1327"/>
      <c r="CC18" s="1327"/>
      <c r="CD18" s="1327"/>
      <c r="CE18" s="1327"/>
      <c r="CF18" s="1327"/>
      <c r="CG18" s="1327"/>
      <c r="CH18" s="1327"/>
      <c r="CI18" s="1327"/>
      <c r="CJ18" s="1327"/>
      <c r="CK18" s="1327"/>
      <c r="CL18" s="1327"/>
      <c r="CM18" s="1327"/>
      <c r="CN18" s="1327"/>
      <c r="CO18" s="1327"/>
      <c r="CP18" s="1327"/>
      <c r="CQ18" s="1327"/>
      <c r="CR18" s="1327"/>
      <c r="CS18" s="1327"/>
      <c r="CT18" s="1327"/>
      <c r="CU18" s="1327"/>
      <c r="CV18" s="1327"/>
      <c r="CW18" s="1327"/>
      <c r="CX18" s="1327"/>
      <c r="CY18" s="1327"/>
      <c r="CZ18" s="1327"/>
      <c r="DA18" s="1327"/>
      <c r="DB18" s="1327"/>
      <c r="DC18" s="1327"/>
      <c r="DD18" s="1327"/>
      <c r="DE18" s="1327"/>
      <c r="DF18" s="1327"/>
      <c r="DG18" s="1327"/>
      <c r="DH18" s="1327"/>
      <c r="DI18" s="1327"/>
      <c r="DJ18" s="1327"/>
      <c r="DK18" s="1327"/>
      <c r="DL18" s="1327"/>
      <c r="DM18" s="1327"/>
      <c r="DN18" s="1327"/>
      <c r="DO18" s="1327"/>
      <c r="DP18" s="1327"/>
      <c r="DQ18" s="1327"/>
      <c r="DR18" s="1327"/>
      <c r="DS18" s="1327"/>
      <c r="DT18" s="1327"/>
      <c r="DU18" s="1327"/>
      <c r="DV18" s="1327"/>
      <c r="DW18" s="1327"/>
      <c r="DX18" s="1327"/>
      <c r="DY18" s="1327"/>
    </row>
    <row r="19" spans="1:129" s="1319" customFormat="1" ht="33">
      <c r="A19" s="1315" t="s">
        <v>763</v>
      </c>
      <c r="B19" s="1317" t="s">
        <v>780</v>
      </c>
      <c r="C19" s="1317" t="s">
        <v>722</v>
      </c>
      <c r="D19" s="1317" t="s">
        <v>719</v>
      </c>
      <c r="E19" s="1319">
        <v>394</v>
      </c>
      <c r="F19" s="1319">
        <v>384.71</v>
      </c>
      <c r="G19" s="1319">
        <v>0</v>
      </c>
      <c r="H19" s="1319">
        <v>391.32</v>
      </c>
      <c r="I19" s="1359">
        <v>0</v>
      </c>
      <c r="J19" s="1324">
        <f t="shared" si="0"/>
        <v>0</v>
      </c>
      <c r="K19" s="1359">
        <v>0</v>
      </c>
      <c r="L19" s="1324">
        <f t="shared" si="1"/>
        <v>0</v>
      </c>
      <c r="M19" s="1327">
        <v>0</v>
      </c>
      <c r="N19" s="1327">
        <v>0</v>
      </c>
      <c r="O19" s="1327">
        <v>0</v>
      </c>
      <c r="P19" s="1327">
        <v>0</v>
      </c>
      <c r="Q19" s="1327">
        <v>0</v>
      </c>
      <c r="R19" s="1327">
        <v>0</v>
      </c>
      <c r="S19" s="1327">
        <v>0</v>
      </c>
      <c r="T19" s="1327">
        <v>2358426</v>
      </c>
      <c r="U19" s="1360">
        <v>0</v>
      </c>
      <c r="V19" s="1327">
        <v>14086</v>
      </c>
      <c r="W19" s="1327">
        <v>7408.64</v>
      </c>
      <c r="X19" s="1327">
        <v>0</v>
      </c>
      <c r="Y19" s="1327">
        <v>0</v>
      </c>
      <c r="Z19" s="1327">
        <v>0</v>
      </c>
      <c r="AA19" s="1327">
        <v>83824</v>
      </c>
      <c r="AB19" s="1327">
        <v>1395.2</v>
      </c>
      <c r="AC19" s="1327">
        <v>0</v>
      </c>
      <c r="AD19" s="1327">
        <v>828.76</v>
      </c>
      <c r="AE19" s="1327">
        <v>0</v>
      </c>
      <c r="AF19" s="1360">
        <v>0</v>
      </c>
      <c r="AG19" s="1327">
        <v>0</v>
      </c>
      <c r="AH19" s="1327">
        <v>0</v>
      </c>
      <c r="AI19" s="1327">
        <f t="shared" si="2"/>
        <v>2465968.6</v>
      </c>
      <c r="AJ19" s="1321">
        <v>475783.75</v>
      </c>
      <c r="AK19" s="1360">
        <v>100000</v>
      </c>
      <c r="AL19" s="1327">
        <v>0</v>
      </c>
      <c r="AM19" s="1327">
        <v>0</v>
      </c>
      <c r="AN19" s="1327">
        <v>0</v>
      </c>
      <c r="AO19" s="1327">
        <v>0</v>
      </c>
      <c r="AP19" s="1327">
        <v>0</v>
      </c>
      <c r="AQ19" s="1327">
        <v>100000</v>
      </c>
      <c r="AR19" s="1327">
        <v>1098026.82</v>
      </c>
      <c r="AS19" s="1327">
        <f t="shared" si="3"/>
        <v>1198026.82</v>
      </c>
      <c r="AT19" s="1361">
        <f t="shared" si="4"/>
        <v>4139779.17</v>
      </c>
      <c r="AU19" s="1327">
        <f t="shared" si="5"/>
        <v>10507.053730964466</v>
      </c>
      <c r="AV19" s="1327">
        <f t="shared" si="6"/>
        <v>0</v>
      </c>
      <c r="AW19" s="1327">
        <f t="shared" si="7"/>
        <v>0</v>
      </c>
      <c r="AX19" s="1327">
        <f t="shared" si="8"/>
        <v>6258.8035532994927</v>
      </c>
      <c r="AY19" s="1327">
        <f t="shared" si="9"/>
        <v>1207.5729695431471</v>
      </c>
      <c r="AZ19" s="1327">
        <f t="shared" si="10"/>
        <v>3040.6772081218278</v>
      </c>
      <c r="BA19" s="1327"/>
      <c r="BB19" s="1327"/>
      <c r="BC19" s="1327"/>
      <c r="BD19" s="1327"/>
      <c r="BE19" s="1327"/>
      <c r="BF19" s="1327"/>
      <c r="BG19" s="1327"/>
      <c r="BH19" s="1327"/>
      <c r="BI19" s="1327"/>
      <c r="BJ19" s="1327"/>
      <c r="BK19" s="1327"/>
      <c r="BL19" s="1327"/>
      <c r="BM19" s="1327"/>
      <c r="BN19" s="1327"/>
      <c r="BO19" s="1327"/>
      <c r="BP19" s="1327"/>
      <c r="BQ19" s="1327"/>
      <c r="BR19" s="1327"/>
      <c r="BS19" s="1327"/>
      <c r="BT19" s="1327"/>
      <c r="BU19" s="1327"/>
      <c r="BV19" s="1327"/>
      <c r="BW19" s="1327"/>
      <c r="BX19" s="1327"/>
      <c r="BY19" s="1327"/>
      <c r="BZ19" s="1327"/>
      <c r="CA19" s="1327"/>
      <c r="CB19" s="1327"/>
      <c r="CC19" s="1327"/>
      <c r="CD19" s="1327"/>
      <c r="CE19" s="1327"/>
      <c r="CF19" s="1327"/>
      <c r="CG19" s="1327"/>
      <c r="CH19" s="1327"/>
      <c r="CI19" s="1327"/>
      <c r="CJ19" s="1327"/>
      <c r="CK19" s="1327"/>
      <c r="CL19" s="1327"/>
      <c r="CM19" s="1327"/>
      <c r="CN19" s="1327"/>
      <c r="CO19" s="1327"/>
      <c r="CP19" s="1327"/>
      <c r="CQ19" s="1327"/>
      <c r="CR19" s="1327"/>
      <c r="CS19" s="1327"/>
      <c r="CT19" s="1327"/>
      <c r="CU19" s="1327"/>
      <c r="CV19" s="1327"/>
      <c r="CW19" s="1327"/>
      <c r="CX19" s="1327"/>
      <c r="CY19" s="1327"/>
      <c r="CZ19" s="1327"/>
      <c r="DA19" s="1327"/>
      <c r="DB19" s="1327"/>
      <c r="DC19" s="1327"/>
      <c r="DD19" s="1327"/>
      <c r="DE19" s="1327"/>
      <c r="DF19" s="1327"/>
      <c r="DG19" s="1327"/>
      <c r="DH19" s="1327"/>
      <c r="DI19" s="1327"/>
      <c r="DJ19" s="1327"/>
      <c r="DK19" s="1327"/>
      <c r="DL19" s="1327"/>
      <c r="DM19" s="1327"/>
      <c r="DN19" s="1327"/>
      <c r="DO19" s="1327"/>
      <c r="DP19" s="1327"/>
      <c r="DQ19" s="1327"/>
      <c r="DR19" s="1327"/>
      <c r="DS19" s="1327"/>
      <c r="DT19" s="1327"/>
      <c r="DU19" s="1327"/>
      <c r="DV19" s="1327"/>
      <c r="DW19" s="1327"/>
      <c r="DX19" s="1327"/>
      <c r="DY19" s="1327"/>
    </row>
    <row r="20" spans="1:129" s="1319" customFormat="1" ht="33">
      <c r="A20" s="1315" t="s">
        <v>764</v>
      </c>
      <c r="B20" s="1317" t="s">
        <v>781</v>
      </c>
      <c r="C20" s="1317" t="s">
        <v>714</v>
      </c>
      <c r="D20" s="1317" t="s">
        <v>723</v>
      </c>
      <c r="E20" s="1319">
        <v>386</v>
      </c>
      <c r="F20" s="1319">
        <v>302.13</v>
      </c>
      <c r="G20" s="1319">
        <v>0</v>
      </c>
      <c r="H20" s="1319">
        <v>302.14</v>
      </c>
      <c r="I20" s="1359">
        <v>0</v>
      </c>
      <c r="J20" s="1324">
        <f t="shared" si="0"/>
        <v>0</v>
      </c>
      <c r="K20" s="1359">
        <v>0</v>
      </c>
      <c r="L20" s="1324">
        <f t="shared" si="1"/>
        <v>0</v>
      </c>
      <c r="M20" s="1327">
        <v>0</v>
      </c>
      <c r="N20" s="1327">
        <v>0</v>
      </c>
      <c r="O20" s="1327">
        <v>0</v>
      </c>
      <c r="P20" s="1327">
        <v>0</v>
      </c>
      <c r="Q20" s="1327">
        <v>0</v>
      </c>
      <c r="R20" s="1327">
        <v>0</v>
      </c>
      <c r="S20" s="1327">
        <v>0</v>
      </c>
      <c r="T20" s="1327">
        <v>1414836</v>
      </c>
      <c r="U20" s="1360">
        <v>0</v>
      </c>
      <c r="V20" s="1327">
        <v>8652</v>
      </c>
      <c r="W20" s="1327">
        <v>0</v>
      </c>
      <c r="X20" s="1327">
        <v>0</v>
      </c>
      <c r="Y20" s="1327">
        <v>0</v>
      </c>
      <c r="Z20" s="1327">
        <v>0</v>
      </c>
      <c r="AA20" s="1327">
        <v>204709</v>
      </c>
      <c r="AB20" s="1327">
        <v>0</v>
      </c>
      <c r="AC20" s="1327">
        <v>0</v>
      </c>
      <c r="AD20" s="1327">
        <v>0</v>
      </c>
      <c r="AE20" s="1327">
        <v>0</v>
      </c>
      <c r="AF20" s="1360">
        <v>0</v>
      </c>
      <c r="AG20" s="1327">
        <v>0</v>
      </c>
      <c r="AH20" s="1327">
        <v>0</v>
      </c>
      <c r="AI20" s="1327">
        <f t="shared" si="2"/>
        <v>1628197</v>
      </c>
      <c r="AJ20" s="1321">
        <v>402738.77</v>
      </c>
      <c r="AK20" s="1360">
        <v>0</v>
      </c>
      <c r="AL20" s="1327">
        <v>0</v>
      </c>
      <c r="AM20" s="1327">
        <v>0</v>
      </c>
      <c r="AN20" s="1327">
        <v>0</v>
      </c>
      <c r="AO20" s="1327">
        <v>0</v>
      </c>
      <c r="AP20" s="1327">
        <v>0</v>
      </c>
      <c r="AQ20" s="1327">
        <v>0</v>
      </c>
      <c r="AR20" s="1327">
        <v>72448.61</v>
      </c>
      <c r="AS20" s="1327">
        <f t="shared" si="3"/>
        <v>72448.61</v>
      </c>
      <c r="AT20" s="1361">
        <f t="shared" si="4"/>
        <v>2103384.38</v>
      </c>
      <c r="AU20" s="1327">
        <f t="shared" si="5"/>
        <v>5449.1823316062173</v>
      </c>
      <c r="AV20" s="1327">
        <f t="shared" si="6"/>
        <v>0</v>
      </c>
      <c r="AW20" s="1327">
        <f t="shared" si="7"/>
        <v>0</v>
      </c>
      <c r="AX20" s="1327">
        <f t="shared" si="8"/>
        <v>4218.1269430051816</v>
      </c>
      <c r="AY20" s="1327">
        <f t="shared" si="9"/>
        <v>1043.3646891191711</v>
      </c>
      <c r="AZ20" s="1327">
        <f t="shared" si="10"/>
        <v>187.69069948186529</v>
      </c>
      <c r="BA20" s="1327"/>
      <c r="BB20" s="1327"/>
      <c r="BC20" s="1327"/>
      <c r="BD20" s="1327"/>
      <c r="BE20" s="1327"/>
      <c r="BF20" s="1327"/>
      <c r="BG20" s="1327"/>
      <c r="BH20" s="1327"/>
      <c r="BI20" s="1327"/>
      <c r="BJ20" s="1327"/>
      <c r="BK20" s="1327"/>
      <c r="BL20" s="1327"/>
      <c r="BM20" s="1327"/>
      <c r="BN20" s="1327"/>
      <c r="BO20" s="1327"/>
      <c r="BP20" s="1327"/>
      <c r="BQ20" s="1327"/>
      <c r="BR20" s="1327"/>
      <c r="BS20" s="1327"/>
      <c r="BT20" s="1327"/>
      <c r="BU20" s="1327"/>
      <c r="BV20" s="1327"/>
      <c r="BW20" s="1327"/>
      <c r="BX20" s="1327"/>
      <c r="BY20" s="1327"/>
      <c r="BZ20" s="1327"/>
      <c r="CA20" s="1327"/>
      <c r="CB20" s="1327"/>
      <c r="CC20" s="1327"/>
      <c r="CD20" s="1327"/>
      <c r="CE20" s="1327"/>
      <c r="CF20" s="1327"/>
      <c r="CG20" s="1327"/>
      <c r="CH20" s="1327"/>
      <c r="CI20" s="1327"/>
      <c r="CJ20" s="1327"/>
      <c r="CK20" s="1327"/>
      <c r="CL20" s="1327"/>
      <c r="CM20" s="1327"/>
      <c r="CN20" s="1327"/>
      <c r="CO20" s="1327"/>
      <c r="CP20" s="1327"/>
      <c r="CQ20" s="1327"/>
      <c r="CR20" s="1327"/>
      <c r="CS20" s="1327"/>
      <c r="CT20" s="1327"/>
      <c r="CU20" s="1327"/>
      <c r="CV20" s="1327"/>
      <c r="CW20" s="1327"/>
      <c r="CX20" s="1327"/>
      <c r="CY20" s="1327"/>
      <c r="CZ20" s="1327"/>
      <c r="DA20" s="1327"/>
      <c r="DB20" s="1327"/>
      <c r="DC20" s="1327"/>
      <c r="DD20" s="1327"/>
      <c r="DE20" s="1327"/>
      <c r="DF20" s="1327"/>
      <c r="DG20" s="1327"/>
      <c r="DH20" s="1327"/>
      <c r="DI20" s="1327"/>
      <c r="DJ20" s="1327"/>
      <c r="DK20" s="1327"/>
      <c r="DL20" s="1327"/>
      <c r="DM20" s="1327"/>
      <c r="DN20" s="1327"/>
      <c r="DO20" s="1327"/>
      <c r="DP20" s="1327"/>
      <c r="DQ20" s="1327"/>
      <c r="DR20" s="1327"/>
      <c r="DS20" s="1327"/>
      <c r="DT20" s="1327"/>
      <c r="DU20" s="1327"/>
      <c r="DV20" s="1327"/>
      <c r="DW20" s="1327"/>
      <c r="DX20" s="1327"/>
      <c r="DY20" s="1327"/>
    </row>
    <row r="21" spans="1:129" s="1364" customFormat="1" ht="22">
      <c r="A21" s="1316" t="s">
        <v>765</v>
      </c>
      <c r="B21" s="1318" t="s">
        <v>782</v>
      </c>
      <c r="C21" s="1318" t="s">
        <v>724</v>
      </c>
      <c r="D21" s="1363" t="s">
        <v>725</v>
      </c>
      <c r="E21" s="1364">
        <v>280</v>
      </c>
      <c r="F21" s="1364">
        <v>280.81</v>
      </c>
      <c r="G21" s="1364">
        <v>5.29</v>
      </c>
      <c r="H21" s="1364">
        <v>288.79000000000002</v>
      </c>
      <c r="I21" s="1365">
        <v>0</v>
      </c>
      <c r="J21" s="1325">
        <f t="shared" si="0"/>
        <v>0</v>
      </c>
      <c r="K21" s="1365">
        <v>0</v>
      </c>
      <c r="L21" s="1325">
        <f t="shared" si="1"/>
        <v>0</v>
      </c>
      <c r="M21" s="1328">
        <v>0</v>
      </c>
      <c r="N21" s="1328">
        <v>0</v>
      </c>
      <c r="O21" s="1328">
        <v>618291</v>
      </c>
      <c r="P21" s="1328">
        <v>0</v>
      </c>
      <c r="Q21" s="1328">
        <v>0</v>
      </c>
      <c r="R21" s="1328">
        <v>0</v>
      </c>
      <c r="S21" s="1328">
        <v>0</v>
      </c>
      <c r="T21" s="1328">
        <v>1121784</v>
      </c>
      <c r="U21" s="1366">
        <v>0</v>
      </c>
      <c r="V21" s="1328">
        <v>7703</v>
      </c>
      <c r="W21" s="1328">
        <v>0</v>
      </c>
      <c r="X21" s="1328">
        <v>3475</v>
      </c>
      <c r="Y21" s="1328">
        <v>0</v>
      </c>
      <c r="Z21" s="1328">
        <v>0</v>
      </c>
      <c r="AA21" s="1328">
        <v>0</v>
      </c>
      <c r="AB21" s="1328">
        <v>0</v>
      </c>
      <c r="AC21" s="1328">
        <v>0</v>
      </c>
      <c r="AD21" s="1328">
        <v>0</v>
      </c>
      <c r="AE21" s="1328">
        <v>0</v>
      </c>
      <c r="AF21" s="1366">
        <v>0</v>
      </c>
      <c r="AG21" s="1328">
        <v>0</v>
      </c>
      <c r="AH21" s="1328">
        <v>0</v>
      </c>
      <c r="AI21" s="1328">
        <f t="shared" si="2"/>
        <v>1751253</v>
      </c>
      <c r="AJ21" s="1322">
        <v>37686</v>
      </c>
      <c r="AK21" s="1366">
        <v>182033.46</v>
      </c>
      <c r="AL21" s="1328">
        <v>0</v>
      </c>
      <c r="AM21" s="1328">
        <v>0</v>
      </c>
      <c r="AN21" s="1328">
        <v>0</v>
      </c>
      <c r="AO21" s="1328">
        <v>0</v>
      </c>
      <c r="AP21" s="1328">
        <v>0</v>
      </c>
      <c r="AQ21" s="1328">
        <v>182033.46</v>
      </c>
      <c r="AR21" s="1328">
        <v>9817</v>
      </c>
      <c r="AS21" s="1328">
        <f t="shared" si="3"/>
        <v>191850.46</v>
      </c>
      <c r="AT21" s="1367">
        <f t="shared" si="4"/>
        <v>1980789.46</v>
      </c>
      <c r="AU21" s="1328">
        <f t="shared" si="5"/>
        <v>7074.2480714285712</v>
      </c>
      <c r="AV21" s="1328">
        <f>J21/E21</f>
        <v>0</v>
      </c>
      <c r="AW21" s="1328">
        <f t="shared" si="7"/>
        <v>0</v>
      </c>
      <c r="AX21" s="1327">
        <f t="shared" si="8"/>
        <v>6254.4750000000004</v>
      </c>
      <c r="AY21" s="1327">
        <f t="shared" si="9"/>
        <v>134.59285714285716</v>
      </c>
      <c r="AZ21" s="1327">
        <f t="shared" si="10"/>
        <v>685.18021428571421</v>
      </c>
      <c r="BA21" s="1328"/>
      <c r="BB21" s="1328"/>
      <c r="BC21" s="1328"/>
      <c r="BD21" s="1328"/>
      <c r="BE21" s="1328"/>
      <c r="BF21" s="1328"/>
      <c r="BG21" s="1328"/>
      <c r="BH21" s="1328"/>
      <c r="BI21" s="1328"/>
      <c r="BJ21" s="1328"/>
      <c r="BK21" s="1328"/>
      <c r="BL21" s="1328"/>
      <c r="BM21" s="1328"/>
      <c r="BN21" s="1328"/>
      <c r="BO21" s="1328"/>
      <c r="BP21" s="1328"/>
      <c r="BQ21" s="1328"/>
      <c r="BR21" s="1328"/>
      <c r="BS21" s="1328"/>
      <c r="BT21" s="1328"/>
      <c r="BU21" s="1328"/>
      <c r="BV21" s="1328"/>
      <c r="BW21" s="1328"/>
      <c r="BX21" s="1328"/>
      <c r="BY21" s="1328"/>
      <c r="BZ21" s="1328"/>
      <c r="CA21" s="1328"/>
      <c r="CB21" s="1328"/>
      <c r="CC21" s="1328"/>
      <c r="CD21" s="1328"/>
      <c r="CE21" s="1328"/>
      <c r="CF21" s="1328"/>
      <c r="CG21" s="1328"/>
      <c r="CH21" s="1328"/>
      <c r="CI21" s="1328"/>
      <c r="CJ21" s="1328"/>
      <c r="CK21" s="1328"/>
      <c r="CL21" s="1328"/>
      <c r="CM21" s="1328"/>
      <c r="CN21" s="1328"/>
      <c r="CO21" s="1328"/>
      <c r="CP21" s="1328"/>
      <c r="CQ21" s="1328"/>
      <c r="CR21" s="1328"/>
      <c r="CS21" s="1328"/>
      <c r="CT21" s="1328"/>
      <c r="CU21" s="1328"/>
      <c r="CV21" s="1328"/>
      <c r="CW21" s="1328"/>
      <c r="CX21" s="1328"/>
      <c r="CY21" s="1328"/>
      <c r="CZ21" s="1328"/>
      <c r="DA21" s="1328"/>
      <c r="DB21" s="1328"/>
      <c r="DC21" s="1328"/>
      <c r="DD21" s="1328"/>
      <c r="DE21" s="1328"/>
      <c r="DF21" s="1328"/>
      <c r="DG21" s="1328"/>
      <c r="DH21" s="1328"/>
      <c r="DI21" s="1328"/>
      <c r="DJ21" s="1328"/>
      <c r="DK21" s="1328"/>
      <c r="DL21" s="1328"/>
      <c r="DM21" s="1328"/>
      <c r="DN21" s="1328"/>
      <c r="DO21" s="1328"/>
      <c r="DP21" s="1328"/>
      <c r="DQ21" s="1328"/>
      <c r="DR21" s="1328"/>
      <c r="DS21" s="1328"/>
      <c r="DT21" s="1328"/>
      <c r="DU21" s="1328"/>
      <c r="DV21" s="1328"/>
      <c r="DW21" s="1328"/>
      <c r="DX21" s="1328"/>
      <c r="DY21" s="1328"/>
    </row>
    <row r="22" spans="1:129" s="1319" customFormat="1">
      <c r="A22" s="1315"/>
      <c r="B22" s="1317"/>
      <c r="C22" s="1317"/>
      <c r="D22" s="1362"/>
      <c r="I22" s="1327"/>
      <c r="J22" s="1327"/>
      <c r="K22" s="1327"/>
      <c r="L22" s="1327"/>
      <c r="M22" s="1327"/>
      <c r="N22" s="1327"/>
      <c r="O22" s="1327"/>
      <c r="P22" s="1327"/>
      <c r="Q22" s="1327"/>
      <c r="R22" s="1327"/>
      <c r="S22" s="1327"/>
      <c r="T22" s="1327"/>
      <c r="U22" s="1360"/>
      <c r="V22" s="1327"/>
      <c r="W22" s="1327"/>
      <c r="X22" s="1327"/>
      <c r="Y22" s="1327"/>
      <c r="Z22" s="1327"/>
      <c r="AA22" s="1327"/>
      <c r="AB22" s="1327"/>
      <c r="AC22" s="1327"/>
      <c r="AD22" s="1327"/>
      <c r="AE22" s="1327"/>
      <c r="AF22" s="1360"/>
      <c r="AG22" s="1327"/>
      <c r="AH22" s="1327"/>
      <c r="AI22" s="1327"/>
      <c r="AJ22" s="1335"/>
      <c r="AK22" s="1360"/>
      <c r="AL22" s="1327"/>
      <c r="AM22" s="1327"/>
      <c r="AN22" s="1327"/>
      <c r="AO22" s="1327"/>
      <c r="AP22" s="1327"/>
      <c r="AQ22" s="1327"/>
      <c r="AR22" s="1327"/>
      <c r="AS22" s="1327"/>
      <c r="AT22" s="1336"/>
      <c r="AU22" s="1327"/>
      <c r="AV22" s="1327"/>
      <c r="AW22" s="1327"/>
      <c r="AX22" s="1368"/>
      <c r="AY22" s="1368"/>
      <c r="AZ22" s="1368"/>
      <c r="BA22" s="1327"/>
      <c r="BB22" s="1327"/>
      <c r="BC22" s="1327"/>
      <c r="BD22" s="1327"/>
      <c r="BE22" s="1327"/>
      <c r="BF22" s="1327"/>
      <c r="BG22" s="1327"/>
      <c r="BH22" s="1327"/>
      <c r="BI22" s="1327"/>
      <c r="BJ22" s="1327"/>
      <c r="BK22" s="1327"/>
      <c r="BL22" s="1327"/>
      <c r="BM22" s="1327"/>
      <c r="BN22" s="1327"/>
      <c r="BO22" s="1327"/>
      <c r="BP22" s="1327"/>
      <c r="BQ22" s="1327"/>
      <c r="BR22" s="1327"/>
      <c r="BS22" s="1327"/>
      <c r="BT22" s="1327"/>
      <c r="BU22" s="1327"/>
      <c r="BV22" s="1327"/>
      <c r="BW22" s="1327"/>
      <c r="BX22" s="1327"/>
      <c r="BY22" s="1327"/>
      <c r="BZ22" s="1327"/>
      <c r="CA22" s="1327"/>
      <c r="CB22" s="1327"/>
      <c r="CC22" s="1327"/>
      <c r="CD22" s="1327"/>
      <c r="CE22" s="1327"/>
      <c r="CF22" s="1327"/>
      <c r="CG22" s="1327"/>
      <c r="CH22" s="1327"/>
      <c r="CI22" s="1327"/>
      <c r="CJ22" s="1327"/>
      <c r="CK22" s="1327"/>
      <c r="CL22" s="1327"/>
      <c r="CM22" s="1327"/>
      <c r="CN22" s="1327"/>
      <c r="CO22" s="1327"/>
      <c r="CP22" s="1327"/>
      <c r="CQ22" s="1327"/>
      <c r="CR22" s="1327"/>
      <c r="CS22" s="1327"/>
      <c r="CT22" s="1327"/>
      <c r="CU22" s="1327"/>
      <c r="CV22" s="1327"/>
      <c r="CW22" s="1327"/>
      <c r="CX22" s="1327"/>
      <c r="CY22" s="1327"/>
      <c r="CZ22" s="1327"/>
      <c r="DA22" s="1327"/>
      <c r="DB22" s="1327"/>
      <c r="DC22" s="1327"/>
      <c r="DD22" s="1327"/>
      <c r="DE22" s="1327"/>
      <c r="DF22" s="1327"/>
      <c r="DG22" s="1327"/>
      <c r="DH22" s="1327"/>
      <c r="DI22" s="1327"/>
      <c r="DJ22" s="1327"/>
      <c r="DK22" s="1327"/>
      <c r="DL22" s="1327"/>
      <c r="DM22" s="1327"/>
      <c r="DN22" s="1327"/>
      <c r="DO22" s="1327"/>
      <c r="DP22" s="1327"/>
      <c r="DQ22" s="1327"/>
      <c r="DR22" s="1327"/>
      <c r="DS22" s="1327"/>
      <c r="DT22" s="1327"/>
      <c r="DU22" s="1327"/>
      <c r="DV22" s="1327"/>
      <c r="DW22" s="1327"/>
      <c r="DX22" s="1327"/>
      <c r="DY22" s="1327"/>
    </row>
    <row r="23" spans="1:129" s="1371" customFormat="1">
      <c r="A23" s="1369" t="s">
        <v>726</v>
      </c>
      <c r="B23" s="1370"/>
      <c r="C23" s="1370"/>
      <c r="D23" s="1370"/>
      <c r="E23" s="1371">
        <f>SUM(E5:E21)</f>
        <v>6340</v>
      </c>
      <c r="I23" s="1372">
        <f t="shared" ref="I23:AT23" si="11">SUM(I5:I21)</f>
        <v>0</v>
      </c>
      <c r="J23" s="1372">
        <f t="shared" si="11"/>
        <v>0</v>
      </c>
      <c r="K23" s="1372">
        <f t="shared" si="11"/>
        <v>0</v>
      </c>
      <c r="L23" s="1372">
        <f t="shared" si="11"/>
        <v>0</v>
      </c>
      <c r="M23" s="1372">
        <f t="shared" si="11"/>
        <v>0</v>
      </c>
      <c r="N23" s="1372">
        <f t="shared" si="11"/>
        <v>0</v>
      </c>
      <c r="O23" s="1372">
        <f t="shared" si="11"/>
        <v>2007800</v>
      </c>
      <c r="P23" s="1372">
        <f t="shared" si="11"/>
        <v>99436</v>
      </c>
      <c r="Q23" s="1372">
        <f t="shared" si="11"/>
        <v>0</v>
      </c>
      <c r="R23" s="1372">
        <f t="shared" si="11"/>
        <v>0</v>
      </c>
      <c r="S23" s="1372">
        <f t="shared" si="11"/>
        <v>0</v>
      </c>
      <c r="T23" s="1372">
        <f t="shared" si="11"/>
        <v>35224055.899999999</v>
      </c>
      <c r="U23" s="1372">
        <f t="shared" si="11"/>
        <v>0</v>
      </c>
      <c r="V23" s="1372">
        <f t="shared" si="11"/>
        <v>224294</v>
      </c>
      <c r="W23" s="1372">
        <f t="shared" si="11"/>
        <v>89145.39</v>
      </c>
      <c r="X23" s="1372">
        <f t="shared" si="11"/>
        <v>6925</v>
      </c>
      <c r="Y23" s="1372">
        <f t="shared" si="11"/>
        <v>0</v>
      </c>
      <c r="Z23" s="1372">
        <f t="shared" si="11"/>
        <v>13771</v>
      </c>
      <c r="AA23" s="1372">
        <f t="shared" si="11"/>
        <v>1823585</v>
      </c>
      <c r="AB23" s="1372">
        <f t="shared" si="11"/>
        <v>20100.790000000005</v>
      </c>
      <c r="AC23" s="1372">
        <f t="shared" si="11"/>
        <v>37375.300000000003</v>
      </c>
      <c r="AD23" s="1372">
        <f t="shared" si="11"/>
        <v>9865.93</v>
      </c>
      <c r="AE23" s="1372">
        <f t="shared" si="11"/>
        <v>0</v>
      </c>
      <c r="AF23" s="1372">
        <f t="shared" si="11"/>
        <v>0</v>
      </c>
      <c r="AG23" s="1372">
        <f t="shared" si="11"/>
        <v>0</v>
      </c>
      <c r="AH23" s="1372">
        <f t="shared" si="11"/>
        <v>2006.5</v>
      </c>
      <c r="AI23" s="1372">
        <f t="shared" si="11"/>
        <v>39558360.810000002</v>
      </c>
      <c r="AJ23" s="1372">
        <f t="shared" si="11"/>
        <v>7677790.1400000006</v>
      </c>
      <c r="AK23" s="1372">
        <f t="shared" si="11"/>
        <v>982902.12999999989</v>
      </c>
      <c r="AL23" s="1372">
        <f t="shared" si="11"/>
        <v>0</v>
      </c>
      <c r="AM23" s="1372">
        <f t="shared" si="11"/>
        <v>23894.25</v>
      </c>
      <c r="AN23" s="1372">
        <f t="shared" si="11"/>
        <v>0</v>
      </c>
      <c r="AO23" s="1372">
        <f t="shared" si="11"/>
        <v>0</v>
      </c>
      <c r="AP23" s="1372">
        <f t="shared" si="11"/>
        <v>0</v>
      </c>
      <c r="AQ23" s="1372">
        <f t="shared" si="11"/>
        <v>1006796.3799999999</v>
      </c>
      <c r="AR23" s="1372">
        <f t="shared" si="11"/>
        <v>4935689.93</v>
      </c>
      <c r="AS23" s="1372">
        <f t="shared" si="11"/>
        <v>5966380.5600000005</v>
      </c>
      <c r="AT23" s="1373">
        <f t="shared" si="11"/>
        <v>53202531.509999998</v>
      </c>
      <c r="AU23" s="1372">
        <f t="shared" si="5"/>
        <v>8391.566484227129</v>
      </c>
      <c r="AV23" s="1368">
        <f>J23/E23</f>
        <v>0</v>
      </c>
      <c r="AW23" s="1368">
        <f>L23/E23</f>
        <v>0</v>
      </c>
      <c r="AX23" s="1368">
        <f>AI23/E23</f>
        <v>6239.4890867507893</v>
      </c>
      <c r="AY23" s="1368">
        <f>AJ23/E23</f>
        <v>1211.0079085173502</v>
      </c>
      <c r="AZ23" s="1368">
        <f>AS23/E23</f>
        <v>941.06948895899063</v>
      </c>
    </row>
    <row r="24" spans="1:129">
      <c r="B24" s="1313"/>
      <c r="C24" s="1313"/>
      <c r="D24" s="1313"/>
      <c r="E24" s="1313">
        <f>SUM(E20,E18,E16,E15,E14,E13,E11,E10,)</f>
        <v>2602</v>
      </c>
      <c r="I24" s="1313"/>
      <c r="J24" s="1313"/>
      <c r="K24" s="1313"/>
      <c r="L24" s="1313"/>
      <c r="U24" s="1313"/>
      <c r="AF24" s="1313"/>
      <c r="AJ24" s="1313"/>
      <c r="AT24" s="1313"/>
    </row>
    <row r="25" spans="1:129">
      <c r="B25" s="1313"/>
      <c r="C25" s="1313"/>
      <c r="D25" s="1313"/>
      <c r="I25" s="1313"/>
      <c r="J25" s="1313"/>
      <c r="K25" s="1313"/>
      <c r="L25" s="1313"/>
      <c r="U25" s="1313"/>
      <c r="AF25" s="1313"/>
      <c r="AJ25" s="1313"/>
      <c r="AT25" s="1313"/>
      <c r="AX25" s="1374">
        <f>AVERAGE(AX5:AX21)</f>
        <v>6336.4368613637935</v>
      </c>
    </row>
    <row r="26" spans="1:129" s="1319" customFormat="1" ht="33">
      <c r="A26" s="1315" t="s">
        <v>727</v>
      </c>
      <c r="B26" s="1317" t="s">
        <v>728</v>
      </c>
      <c r="C26" s="1317" t="s">
        <v>729</v>
      </c>
      <c r="D26" s="1317" t="s">
        <v>730</v>
      </c>
      <c r="I26" s="1359">
        <v>0</v>
      </c>
      <c r="J26" s="1324">
        <f>I26</f>
        <v>0</v>
      </c>
      <c r="K26" s="1359">
        <v>0</v>
      </c>
      <c r="L26" s="1324">
        <f>K26</f>
        <v>0</v>
      </c>
      <c r="M26" s="1327">
        <v>0</v>
      </c>
      <c r="N26" s="1327">
        <v>0</v>
      </c>
      <c r="O26" s="1327">
        <v>0</v>
      </c>
      <c r="P26" s="1327">
        <v>0</v>
      </c>
      <c r="Q26" s="1327">
        <v>0</v>
      </c>
      <c r="R26" s="1327">
        <v>0</v>
      </c>
      <c r="S26" s="1327">
        <v>0</v>
      </c>
      <c r="T26" s="1327">
        <v>0</v>
      </c>
      <c r="U26" s="1360">
        <v>0</v>
      </c>
      <c r="V26" s="1327">
        <v>0</v>
      </c>
      <c r="W26" s="1327">
        <v>0</v>
      </c>
      <c r="X26" s="1327"/>
      <c r="Y26" s="1327">
        <v>0</v>
      </c>
      <c r="Z26" s="1327">
        <v>0</v>
      </c>
      <c r="AA26" s="1327">
        <v>0</v>
      </c>
      <c r="AB26" s="1327">
        <v>0</v>
      </c>
      <c r="AC26" s="1327">
        <v>0</v>
      </c>
      <c r="AD26" s="1327">
        <v>0</v>
      </c>
      <c r="AE26" s="1327"/>
      <c r="AF26" s="1360">
        <v>0</v>
      </c>
      <c r="AG26" s="1327">
        <v>0</v>
      </c>
      <c r="AH26" s="1327">
        <v>0</v>
      </c>
      <c r="AI26" s="1327">
        <f>SUM(M26:AH26)-(AF26+U26)</f>
        <v>0</v>
      </c>
      <c r="AJ26" s="1321">
        <v>0</v>
      </c>
      <c r="AK26" s="1360">
        <v>0</v>
      </c>
      <c r="AL26" s="1327"/>
      <c r="AM26" s="1327">
        <v>0</v>
      </c>
      <c r="AN26" s="1327">
        <v>0</v>
      </c>
      <c r="AO26" s="1327"/>
      <c r="AP26" s="1327"/>
      <c r="AQ26" s="1327">
        <v>0</v>
      </c>
      <c r="AR26" s="1327">
        <v>0</v>
      </c>
      <c r="AS26" s="1327">
        <f>SUM(AL26:AR26)</f>
        <v>0</v>
      </c>
      <c r="AT26" s="1361">
        <f>SUM(AS26,AJ26,AI26,L26,J26)</f>
        <v>0</v>
      </c>
      <c r="AU26" s="1327" t="e">
        <f>AT26/E26</f>
        <v>#DIV/0!</v>
      </c>
      <c r="AV26" s="1327" t="e">
        <f>J26/E26</f>
        <v>#DIV/0!</v>
      </c>
      <c r="AW26" s="1327"/>
      <c r="AX26" s="1327"/>
      <c r="AY26" s="1327"/>
      <c r="AZ26" s="1327"/>
      <c r="BA26" s="1327"/>
      <c r="BB26" s="1327"/>
      <c r="BC26" s="1327"/>
      <c r="BD26" s="1327"/>
      <c r="BE26" s="1327"/>
      <c r="BF26" s="1327"/>
      <c r="BG26" s="1327"/>
      <c r="BH26" s="1327"/>
      <c r="BI26" s="1327"/>
      <c r="BJ26" s="1327"/>
      <c r="BK26" s="1327"/>
      <c r="BL26" s="1327"/>
      <c r="BM26" s="1327"/>
      <c r="BN26" s="1327"/>
      <c r="BO26" s="1327"/>
      <c r="BP26" s="1327"/>
      <c r="BQ26" s="1327"/>
      <c r="BR26" s="1327"/>
      <c r="BS26" s="1327"/>
      <c r="BT26" s="1327"/>
      <c r="BU26" s="1327"/>
      <c r="BV26" s="1327"/>
      <c r="BW26" s="1327"/>
      <c r="BX26" s="1327"/>
      <c r="BY26" s="1327"/>
      <c r="BZ26" s="1327"/>
      <c r="CA26" s="1327"/>
      <c r="CB26" s="1327"/>
      <c r="CC26" s="1327"/>
      <c r="CD26" s="1327"/>
      <c r="CE26" s="1327"/>
      <c r="CF26" s="1327"/>
      <c r="CG26" s="1327"/>
      <c r="CH26" s="1327"/>
      <c r="CI26" s="1327"/>
      <c r="CJ26" s="1327"/>
      <c r="CK26" s="1327"/>
      <c r="CL26" s="1327"/>
      <c r="CM26" s="1327"/>
      <c r="CN26" s="1327"/>
      <c r="CO26" s="1327"/>
      <c r="CP26" s="1327"/>
      <c r="CQ26" s="1327"/>
      <c r="CR26" s="1327"/>
      <c r="CS26" s="1327"/>
      <c r="CT26" s="1327"/>
      <c r="CU26" s="1327"/>
      <c r="CV26" s="1327"/>
      <c r="CW26" s="1327"/>
      <c r="CX26" s="1327"/>
      <c r="CY26" s="1327"/>
      <c r="CZ26" s="1327"/>
      <c r="DA26" s="1327"/>
      <c r="DB26" s="1327"/>
      <c r="DC26" s="1327"/>
      <c r="DD26" s="1327"/>
      <c r="DE26" s="1327"/>
      <c r="DF26" s="1327"/>
      <c r="DG26" s="1327"/>
      <c r="DH26" s="1327"/>
      <c r="DI26" s="1327"/>
      <c r="DJ26" s="1327"/>
      <c r="DK26" s="1327"/>
      <c r="DL26" s="1327"/>
      <c r="DM26" s="1327"/>
      <c r="DN26" s="1327"/>
      <c r="DO26" s="1327"/>
      <c r="DP26" s="1327"/>
      <c r="DQ26" s="1327"/>
      <c r="DR26" s="1327"/>
      <c r="DS26" s="1327"/>
      <c r="DT26" s="1327"/>
      <c r="DU26" s="1327"/>
      <c r="DV26" s="1327"/>
      <c r="DW26" s="1327"/>
      <c r="DX26" s="1327"/>
      <c r="DY26" s="1327"/>
    </row>
    <row r="27" spans="1:129" s="1319" customFormat="1" ht="22">
      <c r="A27" s="1315" t="s">
        <v>731</v>
      </c>
      <c r="B27" s="1317" t="s">
        <v>732</v>
      </c>
      <c r="C27" s="1317"/>
      <c r="D27" s="1317"/>
      <c r="I27" s="1359">
        <v>0</v>
      </c>
      <c r="J27" s="1324">
        <f>I27</f>
        <v>0</v>
      </c>
      <c r="K27" s="1359">
        <v>0</v>
      </c>
      <c r="L27" s="1324">
        <f>K27</f>
        <v>0</v>
      </c>
      <c r="M27" s="1327">
        <v>0</v>
      </c>
      <c r="N27" s="1327">
        <v>0</v>
      </c>
      <c r="O27" s="1327">
        <v>0</v>
      </c>
      <c r="P27" s="1327">
        <v>0</v>
      </c>
      <c r="Q27" s="1327">
        <v>0</v>
      </c>
      <c r="R27" s="1327">
        <v>0</v>
      </c>
      <c r="S27" s="1327">
        <v>0</v>
      </c>
      <c r="T27" s="1327">
        <v>0</v>
      </c>
      <c r="U27" s="1360">
        <v>0</v>
      </c>
      <c r="V27" s="1327">
        <v>0</v>
      </c>
      <c r="W27" s="1327">
        <v>0</v>
      </c>
      <c r="X27" s="1327"/>
      <c r="Y27" s="1327">
        <v>0</v>
      </c>
      <c r="Z27" s="1327">
        <v>0</v>
      </c>
      <c r="AA27" s="1327">
        <v>0</v>
      </c>
      <c r="AB27" s="1327">
        <v>0</v>
      </c>
      <c r="AC27" s="1327">
        <v>0</v>
      </c>
      <c r="AD27" s="1327">
        <v>0</v>
      </c>
      <c r="AE27" s="1327"/>
      <c r="AF27" s="1360">
        <v>0</v>
      </c>
      <c r="AG27" s="1327">
        <v>0</v>
      </c>
      <c r="AH27" s="1327">
        <v>0</v>
      </c>
      <c r="AI27" s="1327">
        <f>SUM(M27:AH27)-(AF27+U27)</f>
        <v>0</v>
      </c>
      <c r="AJ27" s="1321">
        <v>0</v>
      </c>
      <c r="AK27" s="1360">
        <v>0</v>
      </c>
      <c r="AL27" s="1327"/>
      <c r="AM27" s="1327">
        <v>0</v>
      </c>
      <c r="AN27" s="1327">
        <v>0</v>
      </c>
      <c r="AO27" s="1327"/>
      <c r="AP27" s="1327"/>
      <c r="AQ27" s="1327">
        <v>0</v>
      </c>
      <c r="AR27" s="1327">
        <v>0</v>
      </c>
      <c r="AS27" s="1327">
        <f>SUM(AL27:AR27)</f>
        <v>0</v>
      </c>
      <c r="AT27" s="1361">
        <f>SUM(AS27,AJ27,AI27,L27,J27)</f>
        <v>0</v>
      </c>
      <c r="AU27" s="1327" t="e">
        <f>AT27/E27</f>
        <v>#DIV/0!</v>
      </c>
      <c r="AV27" s="1327" t="e">
        <f>J27/E27</f>
        <v>#DIV/0!</v>
      </c>
      <c r="AW27" s="1327"/>
      <c r="AX27" s="1327"/>
      <c r="AY27" s="1327"/>
      <c r="AZ27" s="1327"/>
      <c r="BA27" s="1327"/>
      <c r="BB27" s="1327"/>
      <c r="BC27" s="1327"/>
      <c r="BD27" s="1327"/>
      <c r="BE27" s="1327"/>
      <c r="BF27" s="1327"/>
      <c r="BG27" s="1327"/>
      <c r="BH27" s="1327"/>
      <c r="BI27" s="1327"/>
      <c r="BJ27" s="1327"/>
      <c r="BK27" s="1327"/>
      <c r="BL27" s="1327"/>
      <c r="BM27" s="1327"/>
      <c r="BN27" s="1327"/>
      <c r="BO27" s="1327"/>
      <c r="BP27" s="1327"/>
      <c r="BQ27" s="1327"/>
      <c r="BR27" s="1327"/>
      <c r="BS27" s="1327"/>
      <c r="BT27" s="1327"/>
      <c r="BU27" s="1327"/>
      <c r="BV27" s="1327"/>
      <c r="BW27" s="1327"/>
      <c r="BX27" s="1327"/>
      <c r="BY27" s="1327"/>
      <c r="BZ27" s="1327"/>
      <c r="CA27" s="1327"/>
      <c r="CB27" s="1327"/>
      <c r="CC27" s="1327"/>
      <c r="CD27" s="1327"/>
      <c r="CE27" s="1327"/>
      <c r="CF27" s="1327"/>
      <c r="CG27" s="1327"/>
      <c r="CH27" s="1327"/>
      <c r="CI27" s="1327"/>
      <c r="CJ27" s="1327"/>
      <c r="CK27" s="1327"/>
      <c r="CL27" s="1327"/>
      <c r="CM27" s="1327"/>
      <c r="CN27" s="1327"/>
      <c r="CO27" s="1327"/>
      <c r="CP27" s="1327"/>
      <c r="CQ27" s="1327"/>
      <c r="CR27" s="1327"/>
      <c r="CS27" s="1327"/>
      <c r="CT27" s="1327"/>
      <c r="CU27" s="1327"/>
      <c r="CV27" s="1327"/>
      <c r="CW27" s="1327"/>
      <c r="CX27" s="1327"/>
      <c r="CY27" s="1327"/>
      <c r="CZ27" s="1327"/>
      <c r="DA27" s="1327"/>
      <c r="DB27" s="1327"/>
      <c r="DC27" s="1327"/>
      <c r="DD27" s="1327"/>
      <c r="DE27" s="1327"/>
      <c r="DF27" s="1327"/>
      <c r="DG27" s="1327"/>
      <c r="DH27" s="1327"/>
      <c r="DI27" s="1327"/>
      <c r="DJ27" s="1327"/>
      <c r="DK27" s="1327"/>
      <c r="DL27" s="1327"/>
      <c r="DM27" s="1327"/>
      <c r="DN27" s="1327"/>
      <c r="DO27" s="1327"/>
      <c r="DP27" s="1327"/>
      <c r="DQ27" s="1327"/>
      <c r="DR27" s="1327"/>
      <c r="DS27" s="1327"/>
      <c r="DT27" s="1327"/>
      <c r="DU27" s="1327"/>
      <c r="DV27" s="1327"/>
      <c r="DW27" s="1327"/>
      <c r="DX27" s="1327"/>
      <c r="DY27" s="1327"/>
    </row>
    <row r="28" spans="1:129">
      <c r="B28" s="1313"/>
      <c r="C28" s="1313"/>
      <c r="D28" s="1313"/>
      <c r="I28" s="1313"/>
      <c r="J28" s="1313"/>
      <c r="K28" s="1313"/>
      <c r="L28" s="1313"/>
      <c r="U28" s="1313"/>
      <c r="AF28" s="1313"/>
      <c r="AJ28" s="1313"/>
      <c r="AT28" s="1313"/>
    </row>
    <row r="29" spans="1:129">
      <c r="B29" s="1313"/>
      <c r="C29" s="1313"/>
      <c r="D29" s="1313"/>
      <c r="I29" s="1313"/>
      <c r="J29" s="1313"/>
      <c r="K29" s="1313"/>
      <c r="L29" s="1313"/>
      <c r="U29" s="1313"/>
      <c r="AF29" s="1313"/>
      <c r="AJ29" s="1313"/>
      <c r="AT29" s="1313"/>
    </row>
    <row r="30" spans="1:129">
      <c r="B30" s="1313"/>
      <c r="C30" s="1313"/>
      <c r="D30" s="1313"/>
      <c r="I30" s="1313"/>
      <c r="J30" s="1313"/>
      <c r="K30" s="1313"/>
      <c r="L30" s="1313"/>
      <c r="U30" s="1313"/>
      <c r="AF30" s="1313"/>
      <c r="AJ30" s="1313"/>
      <c r="AT30" s="1313"/>
    </row>
    <row r="31" spans="1:129">
      <c r="B31" s="1313" t="s">
        <v>1469</v>
      </c>
      <c r="C31" s="1313"/>
      <c r="D31" s="1313"/>
      <c r="I31" s="1313"/>
      <c r="J31" s="1313"/>
      <c r="K31" s="1313"/>
      <c r="L31" s="1313"/>
      <c r="U31" s="1313"/>
      <c r="Y31" s="1374">
        <f>SUM(Y23,Z23,AA23,AC23)</f>
        <v>1874731.3</v>
      </c>
      <c r="AF31" s="1313"/>
      <c r="AJ31" s="1313"/>
      <c r="AT31" s="1313"/>
    </row>
    <row r="32" spans="1:129">
      <c r="B32" s="1313" t="s">
        <v>1468</v>
      </c>
      <c r="C32" s="1313"/>
      <c r="D32" s="1313"/>
      <c r="I32" s="1313"/>
      <c r="J32" s="1313"/>
      <c r="K32" s="1313"/>
      <c r="L32" s="1313"/>
      <c r="U32" s="1313"/>
      <c r="Y32" s="1374">
        <f>Y31/E23</f>
        <v>295.6989432176656</v>
      </c>
      <c r="AF32" s="1313"/>
      <c r="AJ32" s="1313"/>
      <c r="AT32" s="1313"/>
    </row>
    <row r="33" s="1313" customFormat="1"/>
    <row r="34" s="1313" customFormat="1"/>
    <row r="35" s="1313" customFormat="1"/>
    <row r="36" s="1313" customFormat="1"/>
    <row r="37" s="1313" customFormat="1"/>
    <row r="38" s="1313" customFormat="1"/>
    <row r="39" s="1313" customFormat="1"/>
    <row r="40" s="1313" customFormat="1"/>
    <row r="41" s="1313" customFormat="1"/>
    <row r="42" s="1313" customFormat="1"/>
    <row r="43" s="1313" customFormat="1"/>
    <row r="44" s="1313" customFormat="1"/>
    <row r="45" s="1313" customFormat="1"/>
    <row r="46" s="1313" customFormat="1"/>
    <row r="47" s="1313" customFormat="1"/>
    <row r="48" s="1313" customFormat="1"/>
    <row r="49" s="1313" customFormat="1"/>
    <row r="50" s="1313" customFormat="1"/>
    <row r="51" s="1313" customFormat="1"/>
    <row r="52" s="1313" customFormat="1"/>
    <row r="53" s="1313" customFormat="1"/>
    <row r="54" s="1313" customFormat="1"/>
    <row r="55" s="1313" customFormat="1"/>
    <row r="56" s="1313" customFormat="1"/>
    <row r="57" s="1313" customFormat="1"/>
    <row r="58" s="1313" customFormat="1"/>
    <row r="59" s="1313" customFormat="1"/>
    <row r="60" s="1313" customFormat="1"/>
    <row r="61" s="1313" customFormat="1"/>
    <row r="62" s="1313" customFormat="1"/>
    <row r="63" s="1313" customFormat="1"/>
    <row r="64" s="1313" customFormat="1"/>
    <row r="65" s="1313" customFormat="1"/>
    <row r="66" s="1313" customFormat="1"/>
    <row r="67" s="1313" customFormat="1"/>
    <row r="68" s="1313" customFormat="1"/>
    <row r="69" s="1313" customFormat="1"/>
    <row r="70" s="1313" customFormat="1"/>
    <row r="71" s="1313" customFormat="1"/>
    <row r="72" s="1313" customFormat="1"/>
    <row r="73" s="1313" customFormat="1"/>
    <row r="74" s="1313" customFormat="1"/>
    <row r="75" s="1313" customFormat="1"/>
    <row r="76" s="1313" customFormat="1"/>
    <row r="77" s="1313" customFormat="1"/>
    <row r="78" s="1313" customFormat="1"/>
    <row r="79" s="1313" customFormat="1"/>
    <row r="80" s="1313" customFormat="1"/>
    <row r="81" s="1313" customFormat="1"/>
    <row r="82" s="1313" customFormat="1"/>
    <row r="83" s="1313" customFormat="1"/>
    <row r="84" s="1313" customFormat="1"/>
    <row r="85" s="1313" customFormat="1"/>
    <row r="86" s="1313" customFormat="1"/>
    <row r="87" s="1313" customFormat="1"/>
    <row r="88" s="1313" customFormat="1"/>
    <row r="89" s="1313" customFormat="1"/>
    <row r="90" s="1313" customFormat="1"/>
    <row r="91" s="1313" customFormat="1"/>
    <row r="92" s="1313" customFormat="1"/>
    <row r="93" s="1313" customFormat="1"/>
    <row r="94" s="1313" customFormat="1"/>
    <row r="95" s="1313" customFormat="1"/>
    <row r="96" s="1313" customFormat="1"/>
    <row r="97" s="1313" customFormat="1"/>
    <row r="98" s="1313" customFormat="1"/>
    <row r="99" s="1313" customFormat="1"/>
    <row r="100" s="1313" customFormat="1"/>
    <row r="101" s="1313" customFormat="1"/>
    <row r="102" s="1313" customFormat="1"/>
    <row r="103" s="1313" customFormat="1"/>
    <row r="104" s="1313" customFormat="1"/>
    <row r="105" s="1313" customFormat="1"/>
    <row r="106" s="1313" customFormat="1"/>
    <row r="107" s="1313" customFormat="1"/>
    <row r="108" s="1313" customFormat="1"/>
    <row r="109" s="1313" customFormat="1"/>
    <row r="110" s="1313" customFormat="1"/>
    <row r="111" s="1313" customFormat="1"/>
    <row r="112" s="1313" customFormat="1"/>
    <row r="113" s="1313" customFormat="1"/>
    <row r="114" s="1313" customFormat="1"/>
    <row r="115" s="1313" customFormat="1"/>
    <row r="116" s="1313" customFormat="1"/>
    <row r="117" s="1313" customFormat="1"/>
    <row r="118" s="1313" customFormat="1"/>
    <row r="119" s="1313" customFormat="1"/>
    <row r="120" s="1313" customFormat="1"/>
    <row r="121" s="1313" customFormat="1"/>
    <row r="122" s="1313" customFormat="1"/>
    <row r="123" s="1313" customFormat="1"/>
    <row r="124" s="1313" customFormat="1"/>
    <row r="125" s="1313" customFormat="1"/>
    <row r="126" s="1313" customFormat="1"/>
    <row r="127" s="1313" customFormat="1"/>
    <row r="128" s="1313" customFormat="1"/>
    <row r="129" s="1313" customFormat="1"/>
    <row r="130" s="1313" customFormat="1"/>
    <row r="131" s="1313" customFormat="1"/>
    <row r="132" s="1313" customFormat="1"/>
    <row r="133" s="1313" customFormat="1"/>
    <row r="134" s="1313" customFormat="1"/>
    <row r="135" s="1313" customFormat="1"/>
    <row r="136" s="1313" customFormat="1"/>
    <row r="137" s="1313" customFormat="1"/>
    <row r="138" s="1313" customFormat="1"/>
    <row r="139" s="1313" customFormat="1"/>
    <row r="140" s="1313" customFormat="1"/>
    <row r="141" s="1313" customFormat="1"/>
    <row r="142" s="1313" customFormat="1"/>
    <row r="143" s="1313" customFormat="1"/>
    <row r="144" s="1313" customFormat="1"/>
    <row r="145" s="1313" customFormat="1"/>
    <row r="146" s="1313" customFormat="1"/>
    <row r="147" s="1313" customFormat="1"/>
    <row r="148" s="1313" customFormat="1"/>
    <row r="149" s="1313" customFormat="1"/>
    <row r="150" s="1313" customFormat="1"/>
    <row r="151" s="1313" customFormat="1"/>
    <row r="152" s="1313" customFormat="1"/>
    <row r="153" s="1313" customFormat="1"/>
    <row r="154" s="1313" customFormat="1"/>
    <row r="155" s="1313" customFormat="1"/>
    <row r="156" s="1313" customFormat="1"/>
    <row r="157" s="1313" customFormat="1"/>
    <row r="158" s="1313" customFormat="1"/>
    <row r="159" s="1313" customFormat="1"/>
    <row r="160" s="1313" customFormat="1"/>
    <row r="161" s="1313" customFormat="1"/>
    <row r="162" s="1313" customFormat="1"/>
    <row r="163" s="1313" customFormat="1"/>
    <row r="164" s="1313" customFormat="1"/>
    <row r="165" s="1313" customFormat="1"/>
    <row r="166" s="1313" customFormat="1"/>
    <row r="167" s="1313" customFormat="1"/>
    <row r="168" s="1313" customFormat="1"/>
    <row r="169" s="1313" customFormat="1"/>
    <row r="170" s="1313" customFormat="1"/>
    <row r="171" s="1313" customFormat="1"/>
    <row r="172" s="1313" customFormat="1"/>
    <row r="173" s="1313" customFormat="1"/>
    <row r="174" s="1313" customFormat="1"/>
    <row r="175" s="1313" customFormat="1"/>
    <row r="176" s="1313" customFormat="1"/>
    <row r="177" s="1313" customFormat="1"/>
    <row r="178" s="1313" customFormat="1"/>
    <row r="179" s="1313" customFormat="1"/>
    <row r="180" s="1313" customFormat="1"/>
    <row r="181" s="1313" customFormat="1"/>
    <row r="182" s="1313" customFormat="1"/>
    <row r="183" s="1313" customFormat="1"/>
    <row r="184" s="1313" customFormat="1"/>
    <row r="185" s="1313" customFormat="1"/>
    <row r="186" s="1313" customFormat="1"/>
    <row r="187" s="1313" customFormat="1"/>
    <row r="188" s="1313" customFormat="1"/>
    <row r="189" s="1313" customFormat="1"/>
    <row r="190" s="1313" customFormat="1"/>
    <row r="191" s="1313" customFormat="1"/>
    <row r="192" s="1313" customFormat="1"/>
    <row r="193" s="1313" customFormat="1"/>
    <row r="194" s="1313" customFormat="1"/>
    <row r="195" s="1313" customFormat="1"/>
    <row r="196" s="1313" customFormat="1"/>
    <row r="197" s="1313" customFormat="1"/>
    <row r="198" s="1313" customFormat="1"/>
    <row r="199" s="1313" customFormat="1"/>
    <row r="200" s="1313" customFormat="1"/>
    <row r="201" s="1313" customFormat="1"/>
    <row r="202" s="1313" customFormat="1"/>
    <row r="203" s="1313" customFormat="1"/>
    <row r="204" s="1313" customFormat="1"/>
    <row r="205" s="1313" customFormat="1"/>
    <row r="206" s="1313" customFormat="1"/>
    <row r="207" s="1313" customFormat="1"/>
    <row r="208" s="1313" customFormat="1"/>
    <row r="209" s="1313" customFormat="1"/>
    <row r="210" s="1313" customFormat="1"/>
    <row r="211" s="1313" customFormat="1"/>
    <row r="212" s="1313" customFormat="1"/>
    <row r="213" s="1313" customFormat="1"/>
    <row r="214" s="1313" customFormat="1"/>
    <row r="215" s="1313" customFormat="1"/>
    <row r="216" s="1313" customFormat="1"/>
    <row r="217" s="1313" customFormat="1"/>
    <row r="218" s="1313" customFormat="1"/>
    <row r="219" s="1313" customFormat="1"/>
    <row r="220" s="1313" customFormat="1"/>
    <row r="221" s="1313" customFormat="1"/>
    <row r="222" s="1313" customFormat="1"/>
    <row r="223" s="1313" customFormat="1"/>
    <row r="224" s="1313" customFormat="1"/>
    <row r="225" s="1313" customFormat="1"/>
    <row r="226" s="1313" customFormat="1"/>
    <row r="227" s="1313" customFormat="1"/>
    <row r="228" s="1313" customFormat="1"/>
    <row r="229" s="1313" customFormat="1"/>
    <row r="230" s="1313" customFormat="1"/>
    <row r="231" s="1313" customFormat="1"/>
    <row r="232" s="1313" customFormat="1"/>
    <row r="233" s="1313" customFormat="1"/>
    <row r="234" s="1313" customFormat="1"/>
    <row r="235" s="1313" customFormat="1"/>
    <row r="236" s="1313" customFormat="1"/>
    <row r="237" s="1313" customFormat="1"/>
    <row r="238" s="1313" customFormat="1"/>
    <row r="239" s="1313" customFormat="1"/>
    <row r="240" s="1313" customFormat="1"/>
    <row r="241" s="1313" customFormat="1"/>
    <row r="242" s="1313" customFormat="1"/>
    <row r="243" s="1313" customFormat="1"/>
    <row r="244" s="1313" customFormat="1"/>
    <row r="245" s="1313" customFormat="1"/>
    <row r="246" s="1313" customFormat="1"/>
    <row r="247" s="1313" customFormat="1"/>
    <row r="248" s="1313" customFormat="1"/>
    <row r="249" s="1313" customFormat="1"/>
    <row r="250" s="1313" customFormat="1"/>
    <row r="251" s="1313" customFormat="1"/>
    <row r="252" s="1313" customFormat="1"/>
    <row r="253" s="1313" customFormat="1"/>
    <row r="254" s="1313" customFormat="1"/>
    <row r="255" s="1313" customFormat="1"/>
    <row r="256" s="1313" customFormat="1"/>
    <row r="257" s="1313" customFormat="1"/>
    <row r="258" s="1313" customFormat="1"/>
    <row r="259" s="1313" customFormat="1"/>
    <row r="260" s="1313" customFormat="1"/>
    <row r="261" s="1313" customFormat="1"/>
    <row r="262" s="1313" customFormat="1"/>
    <row r="263" s="1313" customFormat="1"/>
    <row r="264" s="1313" customFormat="1"/>
    <row r="265" s="1313" customFormat="1"/>
    <row r="266" s="1313" customFormat="1"/>
    <row r="267" s="1313" customFormat="1"/>
    <row r="268" s="1313" customFormat="1"/>
    <row r="269" s="1313" customFormat="1"/>
    <row r="270" s="1313" customFormat="1"/>
    <row r="271" s="1313" customFormat="1"/>
    <row r="272" s="1313" customFormat="1"/>
    <row r="273" s="1313" customFormat="1"/>
    <row r="274" s="1313" customFormat="1"/>
    <row r="275" s="1313" customFormat="1"/>
    <row r="276" s="1313" customFormat="1"/>
    <row r="277" s="1313" customFormat="1"/>
    <row r="278" s="1313" customFormat="1"/>
    <row r="279" s="1313" customFormat="1"/>
    <row r="280" s="1313" customFormat="1"/>
    <row r="281" s="1313" customFormat="1"/>
    <row r="282" s="1313" customFormat="1"/>
    <row r="283" s="1313" customFormat="1"/>
    <row r="284" s="1313" customFormat="1"/>
    <row r="285" s="1313" customFormat="1"/>
    <row r="286" s="1313" customFormat="1"/>
    <row r="287" s="1313" customFormat="1"/>
    <row r="288" s="1313" customFormat="1"/>
    <row r="289" s="1313" customFormat="1"/>
    <row r="290" s="1313" customFormat="1"/>
    <row r="291" s="1313" customFormat="1"/>
    <row r="292" s="1313" customFormat="1"/>
    <row r="293" s="1313" customFormat="1"/>
    <row r="294" s="1313" customFormat="1"/>
    <row r="295" s="1313" customFormat="1"/>
    <row r="296" s="1313" customFormat="1"/>
    <row r="297" s="1313" customFormat="1"/>
    <row r="298" s="1313" customFormat="1"/>
    <row r="299" s="1313" customFormat="1"/>
    <row r="300" s="1313" customFormat="1"/>
    <row r="301" s="1313" customFormat="1"/>
    <row r="302" s="1313" customFormat="1"/>
    <row r="303" s="1313" customFormat="1"/>
    <row r="304" s="1313" customFormat="1"/>
    <row r="305" s="1313" customFormat="1"/>
    <row r="306" s="1313" customFormat="1"/>
    <row r="307" s="1313" customFormat="1"/>
    <row r="308" s="1313" customFormat="1"/>
    <row r="309" s="1313" customFormat="1"/>
    <row r="310" s="1313" customFormat="1"/>
    <row r="311" s="1313" customFormat="1"/>
    <row r="312" s="1313" customFormat="1"/>
    <row r="313" s="1313" customFormat="1"/>
  </sheetData>
  <mergeCells count="7">
    <mergeCell ref="L3:L4"/>
    <mergeCell ref="M1:AH1"/>
    <mergeCell ref="AK1:AQ1"/>
    <mergeCell ref="AT1:AT4"/>
    <mergeCell ref="AU1:AZ1"/>
    <mergeCell ref="AI2:AI4"/>
    <mergeCell ref="AS2:AS4"/>
  </mergeCells>
  <phoneticPr fontId="153" type="noConversion"/>
  <pageMargins left="0.7" right="0.7" top="0.75" bottom="0.75" header="0.3" footer="0.3"/>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BI254"/>
  <sheetViews>
    <sheetView topLeftCell="A2" workbookViewId="0">
      <pane xSplit="3" ySplit="3" topLeftCell="AF204" activePane="bottomRight" state="frozen"/>
      <selection activeCell="A2" sqref="A2"/>
      <selection pane="topRight" activeCell="D2" sqref="D2"/>
      <selection pane="bottomLeft" activeCell="A5" sqref="A5"/>
      <selection pane="bottomRight" activeCell="AG254" sqref="AG254"/>
    </sheetView>
  </sheetViews>
  <sheetFormatPr baseColWidth="10" defaultColWidth="8.83203125" defaultRowHeight="12.75" customHeight="1" x14ac:dyDescent="0"/>
  <cols>
    <col min="1" max="1" width="12" style="1313" customWidth="1"/>
    <col min="2" max="2" width="25.83203125" style="1313" customWidth="1"/>
    <col min="3" max="3" width="12" style="359" customWidth="1"/>
    <col min="4" max="5" width="10" style="1313" customWidth="1"/>
    <col min="6" max="6" width="12.33203125" style="1313" customWidth="1"/>
    <col min="7" max="8" width="10" style="1313" customWidth="1"/>
    <col min="9" max="9" width="11.33203125" style="1313" customWidth="1"/>
    <col min="10" max="15" width="10" style="1313" customWidth="1"/>
    <col min="16" max="16" width="12.1640625" style="1313" customWidth="1"/>
    <col min="17" max="17" width="15" style="1375" customWidth="1"/>
    <col min="18" max="18" width="15" style="1319" customWidth="1"/>
    <col min="19" max="19" width="15" style="1375" customWidth="1"/>
    <col min="20" max="20" width="12" style="1376" customWidth="1"/>
    <col min="21" max="21" width="15" style="1319" customWidth="1"/>
    <col min="22" max="28" width="15" style="1313" customWidth="1"/>
    <col min="29" max="29" width="15" style="1377" customWidth="1"/>
    <col min="30" max="39" width="15" style="1313" customWidth="1"/>
    <col min="40" max="40" width="15" style="1377" customWidth="1"/>
    <col min="41" max="42" width="15" style="1313" customWidth="1"/>
    <col min="43" max="43" width="15" style="1446" customWidth="1"/>
    <col min="44" max="44" width="15" style="1447" customWidth="1"/>
    <col min="45" max="45" width="15" style="1377" customWidth="1"/>
    <col min="46" max="60" width="15" style="1313" customWidth="1"/>
    <col min="61" max="61" width="12.5" style="1313" customWidth="1"/>
    <col min="62" max="16384" width="8.83203125" style="1313"/>
  </cols>
  <sheetData>
    <row r="1" spans="1:61" s="422" customFormat="1" ht="29" customHeight="1" thickBot="1">
      <c r="B1" s="1384" t="s">
        <v>733</v>
      </c>
      <c r="C1" s="1385"/>
      <c r="Q1" s="1386" t="s">
        <v>734</v>
      </c>
      <c r="R1" s="1387" t="s">
        <v>798</v>
      </c>
      <c r="S1" s="1388" t="s">
        <v>799</v>
      </c>
      <c r="T1" s="1340" t="s">
        <v>800</v>
      </c>
      <c r="U1" s="1961" t="s">
        <v>801</v>
      </c>
      <c r="V1" s="1961"/>
      <c r="W1" s="1961"/>
      <c r="X1" s="1961"/>
      <c r="Y1" s="1961"/>
      <c r="Z1" s="1961"/>
      <c r="AA1" s="1961"/>
      <c r="AB1" s="1961"/>
      <c r="AC1" s="1961"/>
      <c r="AD1" s="1961"/>
      <c r="AE1" s="1961"/>
      <c r="AF1" s="1961"/>
      <c r="AG1" s="1961"/>
      <c r="AH1" s="1961"/>
      <c r="AI1" s="1961"/>
      <c r="AJ1" s="1961"/>
      <c r="AK1" s="1961"/>
      <c r="AL1" s="1961"/>
      <c r="AM1" s="1961"/>
      <c r="AN1" s="1961"/>
      <c r="AO1" s="1961"/>
      <c r="AP1" s="1961"/>
      <c r="AQ1" s="1962"/>
      <c r="AR1" s="1389" t="s">
        <v>793</v>
      </c>
      <c r="AS1" s="1963" t="s">
        <v>795</v>
      </c>
      <c r="AT1" s="1964"/>
      <c r="AU1" s="1964"/>
      <c r="AV1" s="1964"/>
      <c r="AW1" s="1964"/>
      <c r="AX1" s="1964"/>
      <c r="AY1" s="1964"/>
      <c r="AZ1" s="1964"/>
      <c r="BA1" s="1390" t="s">
        <v>735</v>
      </c>
      <c r="BB1" s="1391" t="s">
        <v>802</v>
      </c>
    </row>
    <row r="2" spans="1:61" s="422" customFormat="1" ht="12.75" customHeight="1" thickBot="1">
      <c r="A2" s="1392" t="s">
        <v>704</v>
      </c>
      <c r="B2" s="1393"/>
      <c r="C2" s="1394"/>
      <c r="D2" s="1395" t="s">
        <v>736</v>
      </c>
      <c r="E2" s="1395" t="s">
        <v>804</v>
      </c>
      <c r="F2" s="1395" t="s">
        <v>805</v>
      </c>
      <c r="G2" s="1395" t="s">
        <v>806</v>
      </c>
      <c r="H2" s="1395" t="s">
        <v>737</v>
      </c>
      <c r="I2" s="1395" t="s">
        <v>738</v>
      </c>
      <c r="J2" s="1395" t="s">
        <v>739</v>
      </c>
      <c r="K2" s="1395" t="s">
        <v>740</v>
      </c>
      <c r="L2" s="1395" t="s">
        <v>568</v>
      </c>
      <c r="M2" s="1395" t="s">
        <v>569</v>
      </c>
      <c r="N2" s="1395" t="s">
        <v>570</v>
      </c>
      <c r="O2" s="1395" t="s">
        <v>571</v>
      </c>
      <c r="P2" s="1396" t="s">
        <v>572</v>
      </c>
      <c r="Q2" s="1397" t="s">
        <v>807</v>
      </c>
      <c r="R2" s="1398"/>
      <c r="S2" s="1399" t="s">
        <v>808</v>
      </c>
      <c r="T2" s="1400"/>
      <c r="U2" s="1401" t="s">
        <v>809</v>
      </c>
      <c r="V2" s="1402" t="s">
        <v>810</v>
      </c>
      <c r="W2" s="1402" t="s">
        <v>811</v>
      </c>
      <c r="X2" s="1402" t="s">
        <v>812</v>
      </c>
      <c r="Y2" s="1402" t="s">
        <v>813</v>
      </c>
      <c r="Z2" s="1402" t="s">
        <v>814</v>
      </c>
      <c r="AA2" s="1402" t="s">
        <v>815</v>
      </c>
      <c r="AB2" s="1402" t="s">
        <v>816</v>
      </c>
      <c r="AC2" s="1403" t="s">
        <v>817</v>
      </c>
      <c r="AD2" s="1402" t="s">
        <v>818</v>
      </c>
      <c r="AE2" s="1402" t="s">
        <v>819</v>
      </c>
      <c r="AF2" s="1402" t="s">
        <v>820</v>
      </c>
      <c r="AG2" s="1402" t="s">
        <v>821</v>
      </c>
      <c r="AH2" s="1402" t="s">
        <v>822</v>
      </c>
      <c r="AI2" s="1402" t="s">
        <v>823</v>
      </c>
      <c r="AJ2" s="1402" t="s">
        <v>824</v>
      </c>
      <c r="AK2" s="1402" t="s">
        <v>825</v>
      </c>
      <c r="AL2" s="1402" t="s">
        <v>826</v>
      </c>
      <c r="AM2" s="1402" t="s">
        <v>827</v>
      </c>
      <c r="AN2" s="1403" t="s">
        <v>828</v>
      </c>
      <c r="AO2" s="1402" t="s">
        <v>829</v>
      </c>
      <c r="AP2" s="1402" t="s">
        <v>830</v>
      </c>
      <c r="AQ2" s="1404" t="s">
        <v>831</v>
      </c>
      <c r="AR2" s="1405" t="s">
        <v>832</v>
      </c>
      <c r="AS2" s="1406" t="s">
        <v>833</v>
      </c>
      <c r="AT2" s="1407" t="s">
        <v>834</v>
      </c>
      <c r="AU2" s="1407" t="s">
        <v>835</v>
      </c>
      <c r="AV2" s="1407" t="s">
        <v>836</v>
      </c>
      <c r="AW2" s="1407" t="s">
        <v>837</v>
      </c>
      <c r="AX2" s="1407" t="s">
        <v>838</v>
      </c>
      <c r="AY2" s="1407" t="s">
        <v>839</v>
      </c>
      <c r="AZ2" s="1407" t="s">
        <v>840</v>
      </c>
      <c r="BA2" s="1408"/>
      <c r="BB2" s="1409"/>
      <c r="BC2" s="1395"/>
      <c r="BD2" s="1395"/>
      <c r="BE2" s="1395"/>
      <c r="BF2" s="1395"/>
      <c r="BG2" s="1395"/>
      <c r="BH2" s="1395"/>
      <c r="BI2" s="1395" t="s">
        <v>573</v>
      </c>
    </row>
    <row r="3" spans="1:61" s="422" customFormat="1" ht="36" customHeight="1" thickBot="1">
      <c r="A3" s="1410"/>
      <c r="B3" s="1411"/>
      <c r="C3" s="1412" t="s">
        <v>1374</v>
      </c>
      <c r="D3" s="1395" t="s">
        <v>574</v>
      </c>
      <c r="E3" s="1395" t="s">
        <v>663</v>
      </c>
      <c r="F3" s="1395" t="s">
        <v>664</v>
      </c>
      <c r="G3" s="1395" t="s">
        <v>665</v>
      </c>
      <c r="H3" s="1395" t="s">
        <v>575</v>
      </c>
      <c r="I3" s="1395" t="s">
        <v>576</v>
      </c>
      <c r="J3" s="1395" t="s">
        <v>577</v>
      </c>
      <c r="K3" s="1395" t="s">
        <v>578</v>
      </c>
      <c r="L3" s="1395" t="s">
        <v>579</v>
      </c>
      <c r="M3" s="1395" t="s">
        <v>580</v>
      </c>
      <c r="N3" s="1395" t="s">
        <v>581</v>
      </c>
      <c r="O3" s="1395" t="s">
        <v>582</v>
      </c>
      <c r="P3" s="1396" t="s">
        <v>583</v>
      </c>
      <c r="Q3" s="1397" t="s">
        <v>666</v>
      </c>
      <c r="R3" s="1398"/>
      <c r="S3" s="1399" t="s">
        <v>667</v>
      </c>
      <c r="T3" s="1340"/>
      <c r="U3" s="1401" t="s">
        <v>668</v>
      </c>
      <c r="V3" s="1402" t="s">
        <v>669</v>
      </c>
      <c r="W3" s="1402" t="s">
        <v>670</v>
      </c>
      <c r="X3" s="1402" t="s">
        <v>671</v>
      </c>
      <c r="Y3" s="1402" t="s">
        <v>672</v>
      </c>
      <c r="Z3" s="1402" t="s">
        <v>673</v>
      </c>
      <c r="AA3" s="1402" t="s">
        <v>674</v>
      </c>
      <c r="AB3" s="1402" t="s">
        <v>675</v>
      </c>
      <c r="AC3" s="1403" t="s">
        <v>676</v>
      </c>
      <c r="AD3" s="1402" t="s">
        <v>677</v>
      </c>
      <c r="AE3" s="1402" t="s">
        <v>678</v>
      </c>
      <c r="AF3" s="1402" t="s">
        <v>679</v>
      </c>
      <c r="AG3" s="1402" t="s">
        <v>680</v>
      </c>
      <c r="AH3" s="1402" t="s">
        <v>681</v>
      </c>
      <c r="AI3" s="1402" t="s">
        <v>682</v>
      </c>
      <c r="AJ3" s="1402" t="s">
        <v>683</v>
      </c>
      <c r="AK3" s="1402" t="s">
        <v>684</v>
      </c>
      <c r="AL3" s="1402" t="s">
        <v>685</v>
      </c>
      <c r="AM3" s="1402" t="s">
        <v>686</v>
      </c>
      <c r="AN3" s="1403" t="s">
        <v>687</v>
      </c>
      <c r="AO3" s="1402" t="s">
        <v>688</v>
      </c>
      <c r="AP3" s="1402" t="s">
        <v>689</v>
      </c>
      <c r="AQ3" s="1413"/>
      <c r="AR3" s="1405" t="s">
        <v>690</v>
      </c>
      <c r="AS3" s="1406" t="s">
        <v>691</v>
      </c>
      <c r="AT3" s="1407" t="s">
        <v>692</v>
      </c>
      <c r="AU3" s="1407" t="s">
        <v>693</v>
      </c>
      <c r="AV3" s="1407" t="s">
        <v>694</v>
      </c>
      <c r="AW3" s="1407" t="s">
        <v>695</v>
      </c>
      <c r="AX3" s="1407" t="s">
        <v>1349</v>
      </c>
      <c r="AY3" s="1407" t="s">
        <v>696</v>
      </c>
      <c r="AZ3" s="1407" t="s">
        <v>697</v>
      </c>
      <c r="BA3" s="1408"/>
      <c r="BB3" s="1409"/>
      <c r="BC3" s="1414" t="s">
        <v>698</v>
      </c>
      <c r="BD3" s="1414" t="s">
        <v>699</v>
      </c>
      <c r="BE3" s="1414" t="s">
        <v>700</v>
      </c>
      <c r="BF3" s="1414" t="s">
        <v>701</v>
      </c>
      <c r="BG3" s="1414" t="s">
        <v>702</v>
      </c>
      <c r="BH3" s="1414" t="s">
        <v>703</v>
      </c>
      <c r="BI3" s="1395" t="s">
        <v>584</v>
      </c>
    </row>
    <row r="4" spans="1:61" s="422" customFormat="1" ht="12.75" customHeight="1" thickBot="1">
      <c r="A4" s="1415"/>
      <c r="B4" s="1416"/>
      <c r="C4" s="1394"/>
      <c r="D4" s="1395" t="s">
        <v>704</v>
      </c>
      <c r="E4" s="1395" t="s">
        <v>704</v>
      </c>
      <c r="F4" s="1395" t="s">
        <v>704</v>
      </c>
      <c r="G4" s="1395" t="s">
        <v>704</v>
      </c>
      <c r="H4" s="1395" t="s">
        <v>704</v>
      </c>
      <c r="I4" s="1395" t="s">
        <v>704</v>
      </c>
      <c r="J4" s="1395" t="s">
        <v>704</v>
      </c>
      <c r="K4" s="1395" t="s">
        <v>704</v>
      </c>
      <c r="L4" s="1395" t="s">
        <v>704</v>
      </c>
      <c r="M4" s="1395" t="s">
        <v>704</v>
      </c>
      <c r="N4" s="1395" t="s">
        <v>704</v>
      </c>
      <c r="O4" s="1395" t="s">
        <v>704</v>
      </c>
      <c r="P4" s="1396" t="s">
        <v>704</v>
      </c>
      <c r="Q4" s="1397" t="s">
        <v>704</v>
      </c>
      <c r="R4" s="1398"/>
      <c r="S4" s="1399" t="s">
        <v>704</v>
      </c>
      <c r="T4" s="1400"/>
      <c r="U4" s="1401" t="s">
        <v>704</v>
      </c>
      <c r="V4" s="1402" t="s">
        <v>704</v>
      </c>
      <c r="W4" s="1402" t="s">
        <v>704</v>
      </c>
      <c r="X4" s="1402" t="s">
        <v>704</v>
      </c>
      <c r="Y4" s="1402" t="s">
        <v>704</v>
      </c>
      <c r="Z4" s="1402" t="s">
        <v>704</v>
      </c>
      <c r="AA4" s="1402" t="s">
        <v>704</v>
      </c>
      <c r="AB4" s="1402" t="s">
        <v>704</v>
      </c>
      <c r="AC4" s="1403" t="s">
        <v>704</v>
      </c>
      <c r="AD4" s="1402" t="s">
        <v>704</v>
      </c>
      <c r="AE4" s="1402" t="s">
        <v>704</v>
      </c>
      <c r="AF4" s="1402" t="s">
        <v>704</v>
      </c>
      <c r="AG4" s="1402" t="s">
        <v>704</v>
      </c>
      <c r="AH4" s="1402" t="s">
        <v>704</v>
      </c>
      <c r="AI4" s="1402" t="s">
        <v>704</v>
      </c>
      <c r="AJ4" s="1402" t="s">
        <v>704</v>
      </c>
      <c r="AK4" s="1402" t="s">
        <v>704</v>
      </c>
      <c r="AL4" s="1402" t="s">
        <v>704</v>
      </c>
      <c r="AM4" s="1402" t="s">
        <v>704</v>
      </c>
      <c r="AN4" s="1403" t="s">
        <v>704</v>
      </c>
      <c r="AO4" s="1402" t="s">
        <v>704</v>
      </c>
      <c r="AP4" s="1402" t="s">
        <v>704</v>
      </c>
      <c r="AQ4" s="1417"/>
      <c r="AR4" s="1405" t="s">
        <v>704</v>
      </c>
      <c r="AS4" s="1406" t="s">
        <v>704</v>
      </c>
      <c r="AT4" s="1407" t="s">
        <v>704</v>
      </c>
      <c r="AU4" s="1407" t="s">
        <v>704</v>
      </c>
      <c r="AV4" s="1407" t="s">
        <v>704</v>
      </c>
      <c r="AW4" s="1407" t="s">
        <v>704</v>
      </c>
      <c r="AX4" s="1407" t="s">
        <v>704</v>
      </c>
      <c r="AY4" s="1407" t="s">
        <v>704</v>
      </c>
      <c r="AZ4" s="1407" t="s">
        <v>704</v>
      </c>
      <c r="BA4" s="1408"/>
      <c r="BB4" s="1409"/>
      <c r="BC4" s="1395"/>
      <c r="BD4" s="1395"/>
      <c r="BE4" s="1395"/>
      <c r="BF4" s="1395"/>
      <c r="BG4" s="1395"/>
      <c r="BH4" s="1395"/>
      <c r="BI4" s="1395" t="s">
        <v>704</v>
      </c>
    </row>
    <row r="5" spans="1:61" ht="12.75" customHeight="1" thickBot="1">
      <c r="A5" s="1418" t="s">
        <v>585</v>
      </c>
      <c r="B5" s="1418" t="s">
        <v>586</v>
      </c>
      <c r="C5" s="1419">
        <v>1348</v>
      </c>
      <c r="D5" s="1420">
        <v>921.91</v>
      </c>
      <c r="E5" s="1420">
        <v>1291.2</v>
      </c>
      <c r="F5" s="1421">
        <v>-0.12</v>
      </c>
      <c r="G5" s="1420">
        <v>1326.94</v>
      </c>
      <c r="H5" s="1420">
        <v>1359.14</v>
      </c>
      <c r="I5" s="1422">
        <v>125817937</v>
      </c>
      <c r="J5" s="1422">
        <v>25</v>
      </c>
      <c r="K5" s="1422">
        <v>25</v>
      </c>
      <c r="L5" s="1422">
        <v>0</v>
      </c>
      <c r="M5" s="1422">
        <v>0</v>
      </c>
      <c r="N5" s="1420">
        <v>9.5</v>
      </c>
      <c r="O5" s="1420">
        <v>34.5</v>
      </c>
      <c r="P5" s="1423">
        <v>7708148.8600000003</v>
      </c>
      <c r="Q5" s="1424">
        <v>4088692.19</v>
      </c>
      <c r="R5" s="1425">
        <f>Q5</f>
        <v>4088692.19</v>
      </c>
      <c r="S5" s="1426">
        <v>0</v>
      </c>
      <c r="T5" s="1427">
        <f>S5</f>
        <v>0</v>
      </c>
      <c r="U5" s="1428">
        <v>5114208</v>
      </c>
      <c r="V5" s="1422">
        <v>24076</v>
      </c>
      <c r="W5" s="1422">
        <v>0</v>
      </c>
      <c r="X5" s="1422">
        <v>217009</v>
      </c>
      <c r="Y5" s="1422">
        <v>0</v>
      </c>
      <c r="Z5" s="1422">
        <v>63300</v>
      </c>
      <c r="AA5" s="1422">
        <v>0</v>
      </c>
      <c r="AB5" s="1422">
        <v>0</v>
      </c>
      <c r="AC5" s="1429">
        <v>0</v>
      </c>
      <c r="AD5" s="1422">
        <v>56214</v>
      </c>
      <c r="AE5" s="1420">
        <v>15686.15</v>
      </c>
      <c r="AF5" s="1422">
        <v>450</v>
      </c>
      <c r="AG5" s="1422">
        <v>59807</v>
      </c>
      <c r="AH5" s="1422">
        <v>3516</v>
      </c>
      <c r="AI5" s="1422">
        <v>410688</v>
      </c>
      <c r="AJ5" s="1420">
        <v>150119.89000000001</v>
      </c>
      <c r="AK5" s="1420">
        <v>115104.6</v>
      </c>
      <c r="AL5" s="1420">
        <v>4823.6000000000004</v>
      </c>
      <c r="AM5" s="1422">
        <v>0</v>
      </c>
      <c r="AN5" s="1429">
        <v>67068</v>
      </c>
      <c r="AO5" s="1422">
        <v>0</v>
      </c>
      <c r="AP5" s="1422">
        <v>60716</v>
      </c>
      <c r="AQ5" s="1430">
        <f>SUM(U5:AP5)-(AC5+AN5)</f>
        <v>6295718.2399999993</v>
      </c>
      <c r="AR5" s="1431">
        <v>2300964.2400000002</v>
      </c>
      <c r="AS5" s="1432">
        <v>15311.34</v>
      </c>
      <c r="AT5" s="1422">
        <v>0</v>
      </c>
      <c r="AU5" s="1420">
        <v>5597.08</v>
      </c>
      <c r="AV5" s="1420">
        <v>117683.6</v>
      </c>
      <c r="AW5" s="1420">
        <v>83834.37</v>
      </c>
      <c r="AX5" s="1422">
        <v>0</v>
      </c>
      <c r="AY5" s="1420">
        <v>222426.39</v>
      </c>
      <c r="AZ5" s="1420">
        <v>440094.45</v>
      </c>
      <c r="BA5" s="1423">
        <f>SUM(AT5:AZ5)</f>
        <v>869635.89</v>
      </c>
      <c r="BB5" s="1420">
        <f>SUM(BA5,AR5,AQ5,T5,R5)</f>
        <v>13555010.559999999</v>
      </c>
      <c r="BC5" s="1433">
        <f>BB5/C5</f>
        <v>10055.645816023738</v>
      </c>
      <c r="BD5" s="1433">
        <f>R5/C5</f>
        <v>3033.154443620178</v>
      </c>
      <c r="BE5" s="1433">
        <f>T5/C5</f>
        <v>0</v>
      </c>
      <c r="BF5" s="1433">
        <f>AQ5/C5</f>
        <v>4670.4141246290792</v>
      </c>
      <c r="BG5" s="1433">
        <f>AR5/C5</f>
        <v>1706.9467655786352</v>
      </c>
      <c r="BH5" s="1434">
        <f>BA5/C5</f>
        <v>645.13048219584573</v>
      </c>
      <c r="BI5" s="1422">
        <v>8967</v>
      </c>
    </row>
    <row r="6" spans="1:61" ht="12.75" customHeight="1" thickBot="1">
      <c r="A6" s="1418" t="s">
        <v>587</v>
      </c>
      <c r="B6" s="1418" t="s">
        <v>588</v>
      </c>
      <c r="C6" s="1419">
        <v>1796</v>
      </c>
      <c r="D6" s="1420">
        <v>212.5</v>
      </c>
      <c r="E6" s="1420">
        <v>1673.21</v>
      </c>
      <c r="F6" s="1421">
        <v>-0.08</v>
      </c>
      <c r="G6" s="1420">
        <v>1785.54</v>
      </c>
      <c r="H6" s="1420">
        <v>1843.58</v>
      </c>
      <c r="I6" s="1422">
        <v>177909015</v>
      </c>
      <c r="J6" s="1422">
        <v>25</v>
      </c>
      <c r="K6" s="1422">
        <v>25</v>
      </c>
      <c r="L6" s="1422">
        <v>0</v>
      </c>
      <c r="M6" s="1422">
        <v>0</v>
      </c>
      <c r="N6" s="1420">
        <v>6.9</v>
      </c>
      <c r="O6" s="1420">
        <v>31.9</v>
      </c>
      <c r="P6" s="1423">
        <v>12091421.83</v>
      </c>
      <c r="Q6" s="1424">
        <v>5322715.43</v>
      </c>
      <c r="R6" s="1425">
        <f t="shared" ref="R6:R69" si="0">Q6</f>
        <v>5322715.43</v>
      </c>
      <c r="S6" s="1426">
        <v>0</v>
      </c>
      <c r="T6" s="1427">
        <f t="shared" ref="T6:T69" si="1">S6</f>
        <v>0</v>
      </c>
      <c r="U6" s="1428">
        <v>6890765</v>
      </c>
      <c r="V6" s="1422">
        <v>0</v>
      </c>
      <c r="W6" s="1422">
        <v>0</v>
      </c>
      <c r="X6" s="1422">
        <v>0</v>
      </c>
      <c r="Y6" s="1422">
        <v>0</v>
      </c>
      <c r="Z6" s="1422">
        <v>0</v>
      </c>
      <c r="AA6" s="1422">
        <v>0</v>
      </c>
      <c r="AB6" s="1422">
        <v>0</v>
      </c>
      <c r="AC6" s="1435">
        <v>228152.61</v>
      </c>
      <c r="AD6" s="1422">
        <v>76250</v>
      </c>
      <c r="AE6" s="1420">
        <v>25806.63</v>
      </c>
      <c r="AF6" s="1422">
        <v>4605</v>
      </c>
      <c r="AG6" s="1422">
        <v>89345</v>
      </c>
      <c r="AH6" s="1422">
        <v>10255</v>
      </c>
      <c r="AI6" s="1422">
        <v>574368</v>
      </c>
      <c r="AJ6" s="1420">
        <v>50968.49</v>
      </c>
      <c r="AK6" s="1420">
        <v>76266.41</v>
      </c>
      <c r="AL6" s="1420">
        <v>7658.07</v>
      </c>
      <c r="AM6" s="1422">
        <v>0</v>
      </c>
      <c r="AN6" s="1429">
        <v>167224</v>
      </c>
      <c r="AO6" s="1422">
        <v>0</v>
      </c>
      <c r="AP6" s="1422">
        <v>74015</v>
      </c>
      <c r="AQ6" s="1430">
        <f t="shared" ref="AQ6:AQ69" si="2">SUM(U6:AP6)-(AC6+AN6)</f>
        <v>7880302.6000000006</v>
      </c>
      <c r="AR6" s="1431">
        <v>3459815.65</v>
      </c>
      <c r="AS6" s="1432">
        <v>26024.37</v>
      </c>
      <c r="AT6" s="1422">
        <v>0</v>
      </c>
      <c r="AU6" s="1420">
        <v>11348.84</v>
      </c>
      <c r="AV6" s="1422">
        <v>0</v>
      </c>
      <c r="AW6" s="1420">
        <v>1703.13</v>
      </c>
      <c r="AX6" s="1422">
        <v>0</v>
      </c>
      <c r="AY6" s="1420">
        <v>39076.339999999997</v>
      </c>
      <c r="AZ6" s="1420">
        <v>648656.9</v>
      </c>
      <c r="BA6" s="1423">
        <f t="shared" ref="BA6:BA69" si="3">SUM(AT6:AZ6)</f>
        <v>700785.21</v>
      </c>
      <c r="BB6" s="1420">
        <f t="shared" ref="BB6:BB69" si="4">SUM(BA6,AR6,AQ6,T6,R6)</f>
        <v>17363618.890000001</v>
      </c>
      <c r="BC6" s="1433">
        <f t="shared" ref="BC6:BC69" si="5">BB6/C6</f>
        <v>9667.9392483296215</v>
      </c>
      <c r="BD6" s="1433">
        <f t="shared" ref="BD6:BD69" si="6">R6/C6</f>
        <v>2963.6500167037862</v>
      </c>
      <c r="BE6" s="1433">
        <f t="shared" ref="BE6:BE69" si="7">T6/C6</f>
        <v>0</v>
      </c>
      <c r="BF6" s="1433">
        <f t="shared" ref="BF6:BF69" si="8">AQ6/C6</f>
        <v>4387.6963251670386</v>
      </c>
      <c r="BG6" s="1433">
        <f t="shared" ref="BG6:BG69" si="9">AR6/C6</f>
        <v>1926.4006959910912</v>
      </c>
      <c r="BH6" s="1434">
        <f t="shared" ref="BH6:BH69" si="10">BA6/C6</f>
        <v>390.19221046770599</v>
      </c>
      <c r="BI6" s="1422">
        <v>8400</v>
      </c>
    </row>
    <row r="7" spans="1:61" ht="12.75" customHeight="1" thickBot="1">
      <c r="A7" s="1418" t="s">
        <v>589</v>
      </c>
      <c r="B7" s="1418" t="s">
        <v>590</v>
      </c>
      <c r="C7" s="1419">
        <v>1873</v>
      </c>
      <c r="D7" s="1420">
        <v>214.9</v>
      </c>
      <c r="E7" s="1420">
        <v>1765.83</v>
      </c>
      <c r="F7" s="1421">
        <v>-0.17</v>
      </c>
      <c r="G7" s="1420">
        <v>1865.79</v>
      </c>
      <c r="H7" s="1420">
        <v>1905.16</v>
      </c>
      <c r="I7" s="1422">
        <v>228029748</v>
      </c>
      <c r="J7" s="1422">
        <v>25</v>
      </c>
      <c r="K7" s="1422">
        <v>25</v>
      </c>
      <c r="L7" s="1422">
        <v>0</v>
      </c>
      <c r="M7" s="1420">
        <v>1.27</v>
      </c>
      <c r="N7" s="1420">
        <v>9.6999999999999993</v>
      </c>
      <c r="O7" s="1420">
        <v>35.97</v>
      </c>
      <c r="P7" s="1423">
        <v>12390677.800000001</v>
      </c>
      <c r="Q7" s="1424">
        <v>7898686.5199999996</v>
      </c>
      <c r="R7" s="1425">
        <f t="shared" si="0"/>
        <v>7898686.5199999996</v>
      </c>
      <c r="S7" s="1436">
        <v>12051.97</v>
      </c>
      <c r="T7" s="1427">
        <f t="shared" si="1"/>
        <v>12051.97</v>
      </c>
      <c r="U7" s="1428">
        <v>5958505</v>
      </c>
      <c r="V7" s="1422">
        <v>43858</v>
      </c>
      <c r="W7" s="1422">
        <v>0</v>
      </c>
      <c r="X7" s="1422">
        <v>47762</v>
      </c>
      <c r="Y7" s="1422">
        <v>0</v>
      </c>
      <c r="Z7" s="1422">
        <v>0</v>
      </c>
      <c r="AA7" s="1422">
        <v>0</v>
      </c>
      <c r="AB7" s="1422">
        <v>0</v>
      </c>
      <c r="AC7" s="1429">
        <v>0</v>
      </c>
      <c r="AD7" s="1422">
        <v>78797</v>
      </c>
      <c r="AE7" s="1420">
        <v>25155.62</v>
      </c>
      <c r="AF7" s="1422">
        <v>2562</v>
      </c>
      <c r="AG7" s="1422">
        <v>124937</v>
      </c>
      <c r="AH7" s="1422">
        <v>8204</v>
      </c>
      <c r="AI7" s="1422">
        <v>540640</v>
      </c>
      <c r="AJ7" s="1420">
        <v>49446.89</v>
      </c>
      <c r="AK7" s="1422">
        <v>0</v>
      </c>
      <c r="AL7" s="1420">
        <v>6580.37</v>
      </c>
      <c r="AM7" s="1422">
        <v>0</v>
      </c>
      <c r="AN7" s="1429">
        <v>391300</v>
      </c>
      <c r="AO7" s="1422">
        <v>0</v>
      </c>
      <c r="AP7" s="1422">
        <v>23643</v>
      </c>
      <c r="AQ7" s="1430">
        <f t="shared" si="2"/>
        <v>6910090.8799999999</v>
      </c>
      <c r="AR7" s="1431">
        <v>3399485.53</v>
      </c>
      <c r="AS7" s="1437">
        <v>0</v>
      </c>
      <c r="AT7" s="1422">
        <v>0</v>
      </c>
      <c r="AU7" s="1422">
        <v>0</v>
      </c>
      <c r="AV7" s="1422">
        <v>0</v>
      </c>
      <c r="AW7" s="1420">
        <v>10985.93</v>
      </c>
      <c r="AX7" s="1422">
        <v>0</v>
      </c>
      <c r="AY7" s="1420">
        <v>10985.93</v>
      </c>
      <c r="AZ7" s="1420">
        <v>931364.25</v>
      </c>
      <c r="BA7" s="1423">
        <f t="shared" si="3"/>
        <v>953336.11</v>
      </c>
      <c r="BB7" s="1420">
        <f t="shared" si="4"/>
        <v>19173651.009999998</v>
      </c>
      <c r="BC7" s="1433">
        <f t="shared" si="5"/>
        <v>10236.866529631607</v>
      </c>
      <c r="BD7" s="1433">
        <f t="shared" si="6"/>
        <v>4217.1310838227437</v>
      </c>
      <c r="BE7" s="1433">
        <f t="shared" si="7"/>
        <v>6.4345808862786971</v>
      </c>
      <c r="BF7" s="1433">
        <f t="shared" si="8"/>
        <v>3689.3170742124935</v>
      </c>
      <c r="BG7" s="1433">
        <f t="shared" si="9"/>
        <v>1814.9949439402028</v>
      </c>
      <c r="BH7" s="1434">
        <f t="shared" si="10"/>
        <v>508.98884676988786</v>
      </c>
      <c r="BI7" s="1422">
        <v>9952</v>
      </c>
    </row>
    <row r="8" spans="1:61" ht="12.75" customHeight="1" thickBot="1">
      <c r="A8" s="1418" t="s">
        <v>591</v>
      </c>
      <c r="B8" s="1418" t="s">
        <v>592</v>
      </c>
      <c r="C8" s="1419">
        <v>1930</v>
      </c>
      <c r="D8" s="1420">
        <v>731.93</v>
      </c>
      <c r="E8" s="1420">
        <v>1803.23</v>
      </c>
      <c r="F8" s="1421">
        <v>0.04</v>
      </c>
      <c r="G8" s="1420">
        <v>1887.1</v>
      </c>
      <c r="H8" s="1420">
        <v>1939.73</v>
      </c>
      <c r="I8" s="1422">
        <v>96021915</v>
      </c>
      <c r="J8" s="1422">
        <v>25</v>
      </c>
      <c r="K8" s="1422">
        <v>25</v>
      </c>
      <c r="L8" s="1422">
        <v>0</v>
      </c>
      <c r="M8" s="1422">
        <v>0</v>
      </c>
      <c r="N8" s="1420">
        <v>10.5</v>
      </c>
      <c r="O8" s="1420">
        <v>35.5</v>
      </c>
      <c r="P8" s="1423">
        <v>11507750.140000001</v>
      </c>
      <c r="Q8" s="1424">
        <v>3232786.99</v>
      </c>
      <c r="R8" s="1425">
        <f t="shared" si="0"/>
        <v>3232786.99</v>
      </c>
      <c r="S8" s="1426">
        <v>0</v>
      </c>
      <c r="T8" s="1427">
        <f t="shared" si="1"/>
        <v>0</v>
      </c>
      <c r="U8" s="1428">
        <v>9370050</v>
      </c>
      <c r="V8" s="1422">
        <v>19738</v>
      </c>
      <c r="W8" s="1422">
        <v>0</v>
      </c>
      <c r="X8" s="1422">
        <v>0</v>
      </c>
      <c r="Y8" s="1422">
        <v>0</v>
      </c>
      <c r="Z8" s="1422">
        <v>11357</v>
      </c>
      <c r="AA8" s="1422">
        <v>6886</v>
      </c>
      <c r="AB8" s="1422">
        <v>20032</v>
      </c>
      <c r="AC8" s="1429">
        <v>0</v>
      </c>
      <c r="AD8" s="1422">
        <v>80227</v>
      </c>
      <c r="AE8" s="1420">
        <v>31670.58</v>
      </c>
      <c r="AF8" s="1422">
        <v>5353</v>
      </c>
      <c r="AG8" s="1422">
        <v>109417</v>
      </c>
      <c r="AH8" s="1422">
        <v>47466</v>
      </c>
      <c r="AI8" s="1422">
        <v>1454272</v>
      </c>
      <c r="AJ8" s="1420">
        <v>275593.90000000002</v>
      </c>
      <c r="AK8" s="1422">
        <v>0</v>
      </c>
      <c r="AL8" s="1420">
        <v>9732.43</v>
      </c>
      <c r="AM8" s="1422">
        <v>0</v>
      </c>
      <c r="AN8" s="1429">
        <v>685400</v>
      </c>
      <c r="AO8" s="1422">
        <v>0</v>
      </c>
      <c r="AP8" s="1420">
        <v>1442953.29</v>
      </c>
      <c r="AQ8" s="1430">
        <f t="shared" si="2"/>
        <v>12884748.199999999</v>
      </c>
      <c r="AR8" s="1431">
        <v>4298343.53</v>
      </c>
      <c r="AS8" s="1432">
        <v>606625.51</v>
      </c>
      <c r="AT8" s="1422">
        <v>0</v>
      </c>
      <c r="AU8" s="1420">
        <v>75489.119999999995</v>
      </c>
      <c r="AV8" s="1422">
        <v>0</v>
      </c>
      <c r="AW8" s="1422">
        <v>0</v>
      </c>
      <c r="AX8" s="1422">
        <v>7439</v>
      </c>
      <c r="AY8" s="1420">
        <v>689553.63</v>
      </c>
      <c r="AZ8" s="1420">
        <v>1102660.1599999999</v>
      </c>
      <c r="BA8" s="1423">
        <f t="shared" si="3"/>
        <v>1875141.91</v>
      </c>
      <c r="BB8" s="1420">
        <f t="shared" si="4"/>
        <v>22291020.630000003</v>
      </c>
      <c r="BC8" s="1433">
        <f t="shared" si="5"/>
        <v>11549.751621761659</v>
      </c>
      <c r="BD8" s="1433">
        <f t="shared" si="6"/>
        <v>1675.019165803109</v>
      </c>
      <c r="BE8" s="1433">
        <f t="shared" si="7"/>
        <v>0</v>
      </c>
      <c r="BF8" s="1433">
        <f t="shared" si="8"/>
        <v>6676.0353367875641</v>
      </c>
      <c r="BG8" s="1433">
        <f t="shared" si="9"/>
        <v>2227.1210000000001</v>
      </c>
      <c r="BH8" s="1434">
        <f t="shared" si="10"/>
        <v>971.57611917098438</v>
      </c>
      <c r="BI8" s="1422">
        <v>9588</v>
      </c>
    </row>
    <row r="9" spans="1:61" ht="12.75" customHeight="1" thickBot="1">
      <c r="A9" s="1418" t="s">
        <v>593</v>
      </c>
      <c r="B9" s="1418" t="s">
        <v>594</v>
      </c>
      <c r="C9" s="1419">
        <v>663</v>
      </c>
      <c r="D9" s="1420">
        <v>34.22</v>
      </c>
      <c r="E9" s="1420">
        <v>627.51</v>
      </c>
      <c r="F9" s="1421">
        <v>0.06</v>
      </c>
      <c r="G9" s="1420">
        <v>660.57</v>
      </c>
      <c r="H9" s="1420">
        <v>651.25</v>
      </c>
      <c r="I9" s="1422">
        <v>51056755</v>
      </c>
      <c r="J9" s="1422">
        <v>25</v>
      </c>
      <c r="K9" s="1422">
        <v>25</v>
      </c>
      <c r="L9" s="1422">
        <v>0</v>
      </c>
      <c r="M9" s="1422">
        <v>0</v>
      </c>
      <c r="N9" s="1420">
        <v>7.67</v>
      </c>
      <c r="O9" s="1420">
        <v>32.67</v>
      </c>
      <c r="P9" s="1423">
        <v>3067840.26</v>
      </c>
      <c r="Q9" s="1424">
        <v>1441718.04</v>
      </c>
      <c r="R9" s="1425">
        <f t="shared" si="0"/>
        <v>1441718.04</v>
      </c>
      <c r="S9" s="1426">
        <v>0</v>
      </c>
      <c r="T9" s="1427">
        <f t="shared" si="1"/>
        <v>0</v>
      </c>
      <c r="U9" s="1428">
        <v>2714869</v>
      </c>
      <c r="V9" s="1422">
        <v>43847</v>
      </c>
      <c r="W9" s="1422">
        <v>56511</v>
      </c>
      <c r="X9" s="1422">
        <v>0</v>
      </c>
      <c r="Y9" s="1422">
        <v>0</v>
      </c>
      <c r="Z9" s="1422">
        <v>0</v>
      </c>
      <c r="AA9" s="1422">
        <v>0</v>
      </c>
      <c r="AB9" s="1422">
        <v>11873</v>
      </c>
      <c r="AC9" s="1429">
        <v>0</v>
      </c>
      <c r="AD9" s="1422">
        <v>26936</v>
      </c>
      <c r="AE9" s="1420">
        <v>820.49</v>
      </c>
      <c r="AF9" s="1422">
        <v>1300</v>
      </c>
      <c r="AG9" s="1422">
        <v>11214</v>
      </c>
      <c r="AH9" s="1422">
        <v>0</v>
      </c>
      <c r="AI9" s="1422">
        <v>211792</v>
      </c>
      <c r="AJ9" s="1420">
        <v>59189.95</v>
      </c>
      <c r="AK9" s="1422">
        <v>3250</v>
      </c>
      <c r="AL9" s="1420">
        <v>2297.85</v>
      </c>
      <c r="AM9" s="1422">
        <v>0</v>
      </c>
      <c r="AN9" s="1429">
        <v>0</v>
      </c>
      <c r="AO9" s="1422">
        <v>0</v>
      </c>
      <c r="AP9" s="1420">
        <v>34400.78</v>
      </c>
      <c r="AQ9" s="1430">
        <f t="shared" si="2"/>
        <v>3178301.0700000003</v>
      </c>
      <c r="AR9" s="1431">
        <v>1460515.3</v>
      </c>
      <c r="AS9" s="1437">
        <v>431400</v>
      </c>
      <c r="AT9" s="1422">
        <v>0</v>
      </c>
      <c r="AU9" s="1422">
        <v>7400</v>
      </c>
      <c r="AV9" s="1422">
        <v>0</v>
      </c>
      <c r="AW9" s="1422">
        <v>0</v>
      </c>
      <c r="AX9" s="1422">
        <v>0</v>
      </c>
      <c r="AY9" s="1422">
        <v>438800</v>
      </c>
      <c r="AZ9" s="1420">
        <v>299601.7</v>
      </c>
      <c r="BA9" s="1423">
        <f t="shared" si="3"/>
        <v>745801.7</v>
      </c>
      <c r="BB9" s="1420">
        <f t="shared" si="4"/>
        <v>6826336.1100000003</v>
      </c>
      <c r="BC9" s="1433">
        <f t="shared" si="5"/>
        <v>10296.132895927602</v>
      </c>
      <c r="BD9" s="1433">
        <f t="shared" si="6"/>
        <v>2174.5370135746607</v>
      </c>
      <c r="BE9" s="1433">
        <f t="shared" si="7"/>
        <v>0</v>
      </c>
      <c r="BF9" s="1433">
        <f t="shared" si="8"/>
        <v>4793.8176018099548</v>
      </c>
      <c r="BG9" s="1433">
        <f t="shared" si="9"/>
        <v>2202.8888386123681</v>
      </c>
      <c r="BH9" s="1434">
        <f t="shared" si="10"/>
        <v>1124.8894419306184</v>
      </c>
      <c r="BI9" s="1422">
        <v>8709</v>
      </c>
    </row>
    <row r="10" spans="1:61" ht="12.75" customHeight="1" thickBot="1">
      <c r="A10" s="1418" t="s">
        <v>595</v>
      </c>
      <c r="B10" s="1418" t="s">
        <v>596</v>
      </c>
      <c r="C10" s="1419">
        <v>3995</v>
      </c>
      <c r="D10" s="1420">
        <v>349.65</v>
      </c>
      <c r="E10" s="1420">
        <v>3761.99</v>
      </c>
      <c r="F10" s="1421">
        <v>0.01</v>
      </c>
      <c r="G10" s="1420">
        <v>3976.86</v>
      </c>
      <c r="H10" s="1420">
        <v>3971.78</v>
      </c>
      <c r="I10" s="1422">
        <v>552953863</v>
      </c>
      <c r="J10" s="1420">
        <v>25.29</v>
      </c>
      <c r="K10" s="1422">
        <v>25</v>
      </c>
      <c r="L10" s="1420">
        <v>0.28999999999999998</v>
      </c>
      <c r="M10" s="1422">
        <v>0</v>
      </c>
      <c r="N10" s="1420">
        <v>6.87</v>
      </c>
      <c r="O10" s="1420">
        <v>32.159999999999997</v>
      </c>
      <c r="P10" s="1438">
        <v>41458550</v>
      </c>
      <c r="Q10" s="1424">
        <v>16775786.27</v>
      </c>
      <c r="R10" s="1425">
        <f t="shared" si="0"/>
        <v>16775786.27</v>
      </c>
      <c r="S10" s="1426">
        <v>0</v>
      </c>
      <c r="T10" s="1427">
        <f t="shared" si="1"/>
        <v>0</v>
      </c>
      <c r="U10" s="1428">
        <v>10621218</v>
      </c>
      <c r="V10" s="1422">
        <v>333404</v>
      </c>
      <c r="W10" s="1422">
        <v>65334</v>
      </c>
      <c r="X10" s="1422">
        <v>0</v>
      </c>
      <c r="Y10" s="1422">
        <v>0</v>
      </c>
      <c r="Z10" s="1422">
        <v>0</v>
      </c>
      <c r="AA10" s="1422">
        <v>0</v>
      </c>
      <c r="AB10" s="1422">
        <v>66599</v>
      </c>
      <c r="AC10" s="1435">
        <v>4738.3599999999997</v>
      </c>
      <c r="AD10" s="1422">
        <v>164273</v>
      </c>
      <c r="AE10" s="1420">
        <v>44248.3</v>
      </c>
      <c r="AF10" s="1422">
        <v>2950</v>
      </c>
      <c r="AG10" s="1422">
        <v>328169</v>
      </c>
      <c r="AH10" s="1422">
        <v>7032</v>
      </c>
      <c r="AI10" s="1422">
        <v>1056480</v>
      </c>
      <c r="AJ10" s="1420">
        <v>59125.58</v>
      </c>
      <c r="AK10" s="1420">
        <v>2098.9699999999998</v>
      </c>
      <c r="AL10" s="1420">
        <v>13308.62</v>
      </c>
      <c r="AM10" s="1422">
        <v>0</v>
      </c>
      <c r="AN10" s="1429">
        <v>0</v>
      </c>
      <c r="AO10" s="1422">
        <v>0</v>
      </c>
      <c r="AP10" s="1420">
        <v>337559.08</v>
      </c>
      <c r="AQ10" s="1430">
        <f t="shared" si="2"/>
        <v>13101799.550000001</v>
      </c>
      <c r="AR10" s="1431">
        <v>5439441.4699999997</v>
      </c>
      <c r="AS10" s="1437">
        <v>18500</v>
      </c>
      <c r="AT10" s="1422">
        <v>0</v>
      </c>
      <c r="AU10" s="1422">
        <v>19380</v>
      </c>
      <c r="AV10" s="1420">
        <v>2512.75</v>
      </c>
      <c r="AW10" s="1420">
        <v>103971.58</v>
      </c>
      <c r="AX10" s="1422">
        <v>0</v>
      </c>
      <c r="AY10" s="1420">
        <v>144364.32999999999</v>
      </c>
      <c r="AZ10" s="1420">
        <v>1228818.8700000001</v>
      </c>
      <c r="BA10" s="1423">
        <f t="shared" si="3"/>
        <v>1499047.53</v>
      </c>
      <c r="BB10" s="1420">
        <f t="shared" si="4"/>
        <v>36816074.82</v>
      </c>
      <c r="BC10" s="1433">
        <f t="shared" si="5"/>
        <v>9215.5381276595745</v>
      </c>
      <c r="BD10" s="1433">
        <f t="shared" si="6"/>
        <v>4199.1955619524406</v>
      </c>
      <c r="BE10" s="1433">
        <f t="shared" si="7"/>
        <v>0</v>
      </c>
      <c r="BF10" s="1433">
        <f t="shared" si="8"/>
        <v>3279.549324155194</v>
      </c>
      <c r="BG10" s="1433">
        <f t="shared" si="9"/>
        <v>1361.5623204005005</v>
      </c>
      <c r="BH10" s="1434">
        <f t="shared" si="10"/>
        <v>375.2309211514393</v>
      </c>
      <c r="BI10" s="1422">
        <v>8357</v>
      </c>
    </row>
    <row r="11" spans="1:61" ht="12.75" customHeight="1" thickBot="1">
      <c r="A11" s="1418" t="s">
        <v>597</v>
      </c>
      <c r="B11" s="1418" t="s">
        <v>598</v>
      </c>
      <c r="C11" s="1419">
        <v>463</v>
      </c>
      <c r="D11" s="1420">
        <v>169.43</v>
      </c>
      <c r="E11" s="1420">
        <v>439.01</v>
      </c>
      <c r="F11" s="1421">
        <v>0.02</v>
      </c>
      <c r="G11" s="1420">
        <v>465.34</v>
      </c>
      <c r="H11" s="1420">
        <v>467.25</v>
      </c>
      <c r="I11" s="1422">
        <v>58942722</v>
      </c>
      <c r="J11" s="1422">
        <v>27</v>
      </c>
      <c r="K11" s="1422">
        <v>25</v>
      </c>
      <c r="L11" s="1422">
        <v>2</v>
      </c>
      <c r="M11" s="1422">
        <v>0</v>
      </c>
      <c r="N11" s="1420">
        <v>7.39</v>
      </c>
      <c r="O11" s="1420">
        <v>34.39</v>
      </c>
      <c r="P11" s="1438">
        <v>2640500</v>
      </c>
      <c r="Q11" s="1424">
        <v>1779574.75</v>
      </c>
      <c r="R11" s="1425">
        <f t="shared" si="0"/>
        <v>1779574.75</v>
      </c>
      <c r="S11" s="1426">
        <v>0</v>
      </c>
      <c r="T11" s="1427">
        <f t="shared" si="1"/>
        <v>0</v>
      </c>
      <c r="U11" s="1428">
        <v>1339381</v>
      </c>
      <c r="V11" s="1422">
        <v>47015</v>
      </c>
      <c r="W11" s="1422">
        <v>24865</v>
      </c>
      <c r="X11" s="1422">
        <v>0</v>
      </c>
      <c r="Y11" s="1422">
        <v>0</v>
      </c>
      <c r="Z11" s="1422">
        <v>0</v>
      </c>
      <c r="AA11" s="1422">
        <v>0</v>
      </c>
      <c r="AB11" s="1422">
        <v>0</v>
      </c>
      <c r="AC11" s="1429">
        <v>0</v>
      </c>
      <c r="AD11" s="1422">
        <v>19325</v>
      </c>
      <c r="AE11" s="1420">
        <v>104639.03999999999</v>
      </c>
      <c r="AF11" s="1422">
        <v>250</v>
      </c>
      <c r="AG11" s="1422">
        <v>5566</v>
      </c>
      <c r="AH11" s="1422">
        <v>0</v>
      </c>
      <c r="AI11" s="1422">
        <v>371008</v>
      </c>
      <c r="AJ11" s="1420">
        <v>56432.480000000003</v>
      </c>
      <c r="AK11" s="1422">
        <v>0</v>
      </c>
      <c r="AL11" s="1420">
        <v>2076.61</v>
      </c>
      <c r="AM11" s="1422">
        <v>0</v>
      </c>
      <c r="AN11" s="1429">
        <v>0</v>
      </c>
      <c r="AO11" s="1422">
        <v>0</v>
      </c>
      <c r="AP11" s="1420">
        <v>5684.37</v>
      </c>
      <c r="AQ11" s="1430">
        <f t="shared" si="2"/>
        <v>1976242.5000000002</v>
      </c>
      <c r="AR11" s="1431">
        <v>778605.11</v>
      </c>
      <c r="AS11" s="1437">
        <v>50500</v>
      </c>
      <c r="AT11" s="1422">
        <v>0</v>
      </c>
      <c r="AU11" s="1422">
        <v>0</v>
      </c>
      <c r="AV11" s="1422">
        <v>0</v>
      </c>
      <c r="AW11" s="1420">
        <v>4717.1000000000004</v>
      </c>
      <c r="AX11" s="1422">
        <v>0</v>
      </c>
      <c r="AY11" s="1420">
        <v>55217.1</v>
      </c>
      <c r="AZ11" s="1420">
        <v>341494.51</v>
      </c>
      <c r="BA11" s="1423">
        <f t="shared" si="3"/>
        <v>401428.71</v>
      </c>
      <c r="BB11" s="1420">
        <f t="shared" si="4"/>
        <v>4935851.07</v>
      </c>
      <c r="BC11" s="1433">
        <f t="shared" si="5"/>
        <v>10660.585464362852</v>
      </c>
      <c r="BD11" s="1433">
        <f t="shared" si="6"/>
        <v>3843.5739740820736</v>
      </c>
      <c r="BE11" s="1433">
        <f t="shared" si="7"/>
        <v>0</v>
      </c>
      <c r="BF11" s="1433">
        <f t="shared" si="8"/>
        <v>4268.3423326133916</v>
      </c>
      <c r="BG11" s="1433">
        <f t="shared" si="9"/>
        <v>1681.6525053995681</v>
      </c>
      <c r="BH11" s="1434">
        <f t="shared" si="10"/>
        <v>867.01665226781859</v>
      </c>
      <c r="BI11" s="1422">
        <v>9834</v>
      </c>
    </row>
    <row r="12" spans="1:61" ht="12.75" customHeight="1" thickBot="1">
      <c r="A12" s="1418" t="s">
        <v>599</v>
      </c>
      <c r="B12" s="1418" t="s">
        <v>600</v>
      </c>
      <c r="C12" s="1419">
        <v>13530</v>
      </c>
      <c r="D12" s="1420">
        <v>142.68</v>
      </c>
      <c r="E12" s="1420">
        <v>12792.58</v>
      </c>
      <c r="F12" s="1421">
        <v>0.33</v>
      </c>
      <c r="G12" s="1420">
        <v>13536.35</v>
      </c>
      <c r="H12" s="1420">
        <v>13036.47</v>
      </c>
      <c r="I12" s="1422">
        <v>1612132510</v>
      </c>
      <c r="J12" s="1422">
        <v>25</v>
      </c>
      <c r="K12" s="1422">
        <v>25</v>
      </c>
      <c r="L12" s="1422">
        <v>0</v>
      </c>
      <c r="M12" s="1422">
        <v>2</v>
      </c>
      <c r="N12" s="1420">
        <v>16.7</v>
      </c>
      <c r="O12" s="1420">
        <v>43.7</v>
      </c>
      <c r="P12" s="1438">
        <v>173660000</v>
      </c>
      <c r="Q12" s="1424">
        <v>63482496.689999998</v>
      </c>
      <c r="R12" s="1425">
        <f t="shared" si="0"/>
        <v>63482496.689999998</v>
      </c>
      <c r="S12" s="1436">
        <v>95939.01</v>
      </c>
      <c r="T12" s="1427">
        <f t="shared" si="1"/>
        <v>95939.01</v>
      </c>
      <c r="U12" s="1428">
        <v>38640267</v>
      </c>
      <c r="V12" s="1422">
        <v>355772</v>
      </c>
      <c r="W12" s="1422">
        <v>3008398</v>
      </c>
      <c r="X12" s="1422">
        <v>0</v>
      </c>
      <c r="Y12" s="1422">
        <v>0</v>
      </c>
      <c r="Z12" s="1422">
        <v>0</v>
      </c>
      <c r="AA12" s="1422">
        <v>0</v>
      </c>
      <c r="AB12" s="1422">
        <v>0</v>
      </c>
      <c r="AC12" s="1429">
        <v>0</v>
      </c>
      <c r="AD12" s="1422">
        <v>539188</v>
      </c>
      <c r="AE12" s="1420">
        <v>45027.16</v>
      </c>
      <c r="AF12" s="1422">
        <v>40050</v>
      </c>
      <c r="AG12" s="1422">
        <v>301475</v>
      </c>
      <c r="AH12" s="1422">
        <v>202756</v>
      </c>
      <c r="AI12" s="1422">
        <v>1871534</v>
      </c>
      <c r="AJ12" s="1420">
        <v>617991.98</v>
      </c>
      <c r="AK12" s="1420">
        <v>145602.82</v>
      </c>
      <c r="AL12" s="1420">
        <v>33852.74</v>
      </c>
      <c r="AM12" s="1422">
        <v>0</v>
      </c>
      <c r="AN12" s="1429">
        <v>1208987</v>
      </c>
      <c r="AO12" s="1422">
        <v>0</v>
      </c>
      <c r="AP12" s="1420">
        <v>36278.480000000003</v>
      </c>
      <c r="AQ12" s="1430">
        <f t="shared" si="2"/>
        <v>45838193.179999992</v>
      </c>
      <c r="AR12" s="1431">
        <v>10734538.380000001</v>
      </c>
      <c r="AS12" s="1432">
        <v>33471409.899999999</v>
      </c>
      <c r="AT12" s="1422">
        <v>0</v>
      </c>
      <c r="AU12" s="1422">
        <v>0</v>
      </c>
      <c r="AV12" s="1420">
        <v>9032.1299999999992</v>
      </c>
      <c r="AW12" s="1422">
        <v>0</v>
      </c>
      <c r="AX12" s="1422">
        <v>0</v>
      </c>
      <c r="AY12" s="1420">
        <v>33480442.030000001</v>
      </c>
      <c r="AZ12" s="1420">
        <v>8365632.6799999997</v>
      </c>
      <c r="BA12" s="1423">
        <f t="shared" si="3"/>
        <v>41855106.840000004</v>
      </c>
      <c r="BB12" s="1420">
        <f t="shared" si="4"/>
        <v>162006274.10000002</v>
      </c>
      <c r="BC12" s="1433">
        <f t="shared" si="5"/>
        <v>11973.85617886179</v>
      </c>
      <c r="BD12" s="1433">
        <f t="shared" si="6"/>
        <v>4691.9805388026607</v>
      </c>
      <c r="BE12" s="1433">
        <f t="shared" si="7"/>
        <v>7.0908359201773834</v>
      </c>
      <c r="BF12" s="1433">
        <f t="shared" si="8"/>
        <v>3387.8930657797482</v>
      </c>
      <c r="BG12" s="1433">
        <f t="shared" si="9"/>
        <v>793.38790687361427</v>
      </c>
      <c r="BH12" s="1434">
        <f t="shared" si="10"/>
        <v>3093.5038314855879</v>
      </c>
      <c r="BI12" s="1422">
        <v>8427</v>
      </c>
    </row>
    <row r="13" spans="1:61" ht="12.75" customHeight="1" thickBot="1">
      <c r="A13" s="1418" t="s">
        <v>601</v>
      </c>
      <c r="B13" s="1418" t="s">
        <v>602</v>
      </c>
      <c r="C13" s="1419">
        <v>495</v>
      </c>
      <c r="D13" s="1420">
        <v>49.71</v>
      </c>
      <c r="E13" s="1420">
        <v>471.72</v>
      </c>
      <c r="F13" s="1421">
        <v>-0.12</v>
      </c>
      <c r="G13" s="1420">
        <v>485.92</v>
      </c>
      <c r="H13" s="1420">
        <v>483.88</v>
      </c>
      <c r="I13" s="1422">
        <v>46396370</v>
      </c>
      <c r="J13" s="1422">
        <v>25</v>
      </c>
      <c r="K13" s="1422">
        <v>25</v>
      </c>
      <c r="L13" s="1422">
        <v>0</v>
      </c>
      <c r="M13" s="1422">
        <v>0</v>
      </c>
      <c r="N13" s="1420">
        <v>14.9</v>
      </c>
      <c r="O13" s="1420">
        <v>39.9</v>
      </c>
      <c r="P13" s="1423">
        <v>5580662.6600000001</v>
      </c>
      <c r="Q13" s="1424">
        <v>1722893.07</v>
      </c>
      <c r="R13" s="1425">
        <f t="shared" si="0"/>
        <v>1722893.07</v>
      </c>
      <c r="S13" s="1426">
        <v>0</v>
      </c>
      <c r="T13" s="1427">
        <f t="shared" si="1"/>
        <v>0</v>
      </c>
      <c r="U13" s="1428">
        <v>1840963</v>
      </c>
      <c r="V13" s="1422">
        <v>0</v>
      </c>
      <c r="W13" s="1422">
        <v>0</v>
      </c>
      <c r="X13" s="1422">
        <v>81551</v>
      </c>
      <c r="Y13" s="1422">
        <v>0</v>
      </c>
      <c r="Z13" s="1422">
        <v>0</v>
      </c>
      <c r="AA13" s="1422">
        <v>0</v>
      </c>
      <c r="AB13" s="1422">
        <v>0</v>
      </c>
      <c r="AC13" s="1429">
        <v>0</v>
      </c>
      <c r="AD13" s="1422">
        <v>20013</v>
      </c>
      <c r="AE13" s="1420">
        <v>1634.58</v>
      </c>
      <c r="AF13" s="1422">
        <v>50</v>
      </c>
      <c r="AG13" s="1422">
        <v>22712</v>
      </c>
      <c r="AH13" s="1422">
        <v>44243</v>
      </c>
      <c r="AI13" s="1422">
        <v>371008</v>
      </c>
      <c r="AJ13" s="1420">
        <v>70152.259999999995</v>
      </c>
      <c r="AK13" s="1420">
        <v>3791.76</v>
      </c>
      <c r="AL13" s="1420">
        <v>2079.75</v>
      </c>
      <c r="AM13" s="1422">
        <v>0</v>
      </c>
      <c r="AN13" s="1429">
        <v>158342</v>
      </c>
      <c r="AO13" s="1422">
        <v>0</v>
      </c>
      <c r="AP13" s="1422">
        <v>10825</v>
      </c>
      <c r="AQ13" s="1430">
        <f t="shared" si="2"/>
        <v>2469023.3499999996</v>
      </c>
      <c r="AR13" s="1431">
        <v>810364.51</v>
      </c>
      <c r="AS13" s="1432">
        <v>15352.57</v>
      </c>
      <c r="AT13" s="1422">
        <v>0</v>
      </c>
      <c r="AU13" s="1422">
        <v>0</v>
      </c>
      <c r="AV13" s="1422">
        <v>0</v>
      </c>
      <c r="AW13" s="1422">
        <v>0</v>
      </c>
      <c r="AX13" s="1422">
        <v>0</v>
      </c>
      <c r="AY13" s="1420">
        <v>15352.57</v>
      </c>
      <c r="AZ13" s="1420">
        <v>249297.95</v>
      </c>
      <c r="BA13" s="1423">
        <f t="shared" si="3"/>
        <v>264650.52</v>
      </c>
      <c r="BB13" s="1420">
        <f t="shared" si="4"/>
        <v>5266931.45</v>
      </c>
      <c r="BC13" s="1433">
        <f t="shared" si="5"/>
        <v>10640.265555555556</v>
      </c>
      <c r="BD13" s="1433">
        <f t="shared" si="6"/>
        <v>3480.5920606060608</v>
      </c>
      <c r="BE13" s="1433">
        <f t="shared" si="7"/>
        <v>0</v>
      </c>
      <c r="BF13" s="1433">
        <f t="shared" si="8"/>
        <v>4987.9259595959593</v>
      </c>
      <c r="BG13" s="1433">
        <f t="shared" si="9"/>
        <v>1637.1000202020202</v>
      </c>
      <c r="BH13" s="1434">
        <f t="shared" si="10"/>
        <v>534.64751515151522</v>
      </c>
      <c r="BI13" s="1422">
        <v>9682</v>
      </c>
    </row>
    <row r="14" spans="1:61" ht="12.75" customHeight="1" thickBot="1">
      <c r="A14" s="1418" t="s">
        <v>603</v>
      </c>
      <c r="B14" s="1418" t="s">
        <v>604</v>
      </c>
      <c r="C14" s="1419">
        <v>1431</v>
      </c>
      <c r="D14" s="1420">
        <v>86.69</v>
      </c>
      <c r="E14" s="1420">
        <v>1344.4</v>
      </c>
      <c r="F14" s="1421">
        <v>-0.03</v>
      </c>
      <c r="G14" s="1420">
        <v>1418.06</v>
      </c>
      <c r="H14" s="1420">
        <v>1437.15</v>
      </c>
      <c r="I14" s="1422">
        <v>146063950</v>
      </c>
      <c r="J14" s="1422">
        <v>28</v>
      </c>
      <c r="K14" s="1422">
        <v>25</v>
      </c>
      <c r="L14" s="1422">
        <v>3</v>
      </c>
      <c r="M14" s="1422">
        <v>0</v>
      </c>
      <c r="N14" s="1420">
        <v>14.9</v>
      </c>
      <c r="O14" s="1420">
        <v>42.9</v>
      </c>
      <c r="P14" s="1438">
        <v>11895000</v>
      </c>
      <c r="Q14" s="1424">
        <v>6035564.9800000004</v>
      </c>
      <c r="R14" s="1425">
        <f t="shared" si="0"/>
        <v>6035564.9800000004</v>
      </c>
      <c r="S14" s="1426">
        <v>0</v>
      </c>
      <c r="T14" s="1427">
        <f t="shared" si="1"/>
        <v>0</v>
      </c>
      <c r="U14" s="1428">
        <v>5129371</v>
      </c>
      <c r="V14" s="1422">
        <v>62387</v>
      </c>
      <c r="W14" s="1422">
        <v>72011</v>
      </c>
      <c r="X14" s="1422">
        <v>0</v>
      </c>
      <c r="Y14" s="1422">
        <v>0</v>
      </c>
      <c r="Z14" s="1422">
        <v>0</v>
      </c>
      <c r="AA14" s="1422">
        <v>0</v>
      </c>
      <c r="AB14" s="1422">
        <v>0</v>
      </c>
      <c r="AC14" s="1435">
        <v>4408.45</v>
      </c>
      <c r="AD14" s="1422">
        <v>59441</v>
      </c>
      <c r="AE14" s="1420">
        <v>6447.3</v>
      </c>
      <c r="AF14" s="1422">
        <v>1050</v>
      </c>
      <c r="AG14" s="1422">
        <v>52982</v>
      </c>
      <c r="AH14" s="1422">
        <v>45415</v>
      </c>
      <c r="AI14" s="1422">
        <v>434992</v>
      </c>
      <c r="AJ14" s="1420">
        <v>107310.86</v>
      </c>
      <c r="AK14" s="1422">
        <v>0</v>
      </c>
      <c r="AL14" s="1420">
        <v>4695.5600000000004</v>
      </c>
      <c r="AM14" s="1422">
        <v>0</v>
      </c>
      <c r="AN14" s="1429">
        <v>0</v>
      </c>
      <c r="AO14" s="1422">
        <v>0</v>
      </c>
      <c r="AP14" s="1420">
        <v>155244.79999999999</v>
      </c>
      <c r="AQ14" s="1430">
        <f t="shared" si="2"/>
        <v>6131347.5199999996</v>
      </c>
      <c r="AR14" s="1431">
        <v>1922784.55</v>
      </c>
      <c r="AS14" s="1437">
        <v>1470000</v>
      </c>
      <c r="AT14" s="1422">
        <v>0</v>
      </c>
      <c r="AU14" s="1422">
        <v>0</v>
      </c>
      <c r="AV14" s="1422">
        <v>0</v>
      </c>
      <c r="AW14" s="1422">
        <v>0</v>
      </c>
      <c r="AX14" s="1422">
        <v>0</v>
      </c>
      <c r="AY14" s="1422">
        <v>1470000</v>
      </c>
      <c r="AZ14" s="1420">
        <v>919417.87</v>
      </c>
      <c r="BA14" s="1423">
        <f t="shared" si="3"/>
        <v>2389417.87</v>
      </c>
      <c r="BB14" s="1420">
        <f t="shared" si="4"/>
        <v>16479114.92</v>
      </c>
      <c r="BC14" s="1433">
        <f t="shared" si="5"/>
        <v>11515.803577917541</v>
      </c>
      <c r="BD14" s="1433">
        <f t="shared" si="6"/>
        <v>4217.72535290007</v>
      </c>
      <c r="BE14" s="1433">
        <f t="shared" si="7"/>
        <v>0</v>
      </c>
      <c r="BF14" s="1433">
        <f t="shared" si="8"/>
        <v>4284.6593431167012</v>
      </c>
      <c r="BG14" s="1433">
        <f t="shared" si="9"/>
        <v>1343.6649545772189</v>
      </c>
      <c r="BH14" s="1434">
        <f t="shared" si="10"/>
        <v>1669.75392732355</v>
      </c>
      <c r="BI14" s="1422">
        <v>8802</v>
      </c>
    </row>
    <row r="15" spans="1:61" ht="12.75" customHeight="1" thickBot="1">
      <c r="A15" s="1418" t="s">
        <v>605</v>
      </c>
      <c r="B15" s="1418" t="s">
        <v>606</v>
      </c>
      <c r="C15" s="1419">
        <v>1785</v>
      </c>
      <c r="D15" s="1420">
        <v>150.77000000000001</v>
      </c>
      <c r="E15" s="1420">
        <v>1674.96</v>
      </c>
      <c r="F15" s="1421">
        <v>0.09</v>
      </c>
      <c r="G15" s="1420">
        <v>1761.54</v>
      </c>
      <c r="H15" s="1420">
        <v>1749.81</v>
      </c>
      <c r="I15" s="1422">
        <v>267875810</v>
      </c>
      <c r="J15" s="1420">
        <v>25.8</v>
      </c>
      <c r="K15" s="1422">
        <v>25</v>
      </c>
      <c r="L15" s="1420">
        <v>0.8</v>
      </c>
      <c r="M15" s="1422">
        <v>0</v>
      </c>
      <c r="N15" s="1420">
        <v>11.4</v>
      </c>
      <c r="O15" s="1420">
        <v>37.200000000000003</v>
      </c>
      <c r="P15" s="1438">
        <v>30415000</v>
      </c>
      <c r="Q15" s="1424">
        <v>9458983.1300000008</v>
      </c>
      <c r="R15" s="1425">
        <f t="shared" si="0"/>
        <v>9458983.1300000008</v>
      </c>
      <c r="S15" s="1436">
        <v>12788.21</v>
      </c>
      <c r="T15" s="1427">
        <f t="shared" si="1"/>
        <v>12788.21</v>
      </c>
      <c r="U15" s="1428">
        <v>4128306</v>
      </c>
      <c r="V15" s="1422">
        <v>8638</v>
      </c>
      <c r="W15" s="1422">
        <v>95361</v>
      </c>
      <c r="X15" s="1422">
        <v>0</v>
      </c>
      <c r="Y15" s="1422">
        <v>0</v>
      </c>
      <c r="Z15" s="1422">
        <v>0</v>
      </c>
      <c r="AA15" s="1422">
        <v>0</v>
      </c>
      <c r="AB15" s="1420">
        <v>15149.51</v>
      </c>
      <c r="AC15" s="1429">
        <v>0</v>
      </c>
      <c r="AD15" s="1422">
        <v>72372</v>
      </c>
      <c r="AE15" s="1422">
        <v>9800</v>
      </c>
      <c r="AF15" s="1422">
        <v>1400</v>
      </c>
      <c r="AG15" s="1422">
        <v>61879</v>
      </c>
      <c r="AH15" s="1422">
        <v>15236</v>
      </c>
      <c r="AI15" s="1422">
        <v>414656</v>
      </c>
      <c r="AJ15" s="1420">
        <v>49977.61</v>
      </c>
      <c r="AK15" s="1420">
        <v>415.56</v>
      </c>
      <c r="AL15" s="1420">
        <v>6339.3</v>
      </c>
      <c r="AM15" s="1422">
        <v>0</v>
      </c>
      <c r="AN15" s="1429">
        <v>194400</v>
      </c>
      <c r="AO15" s="1422">
        <v>0</v>
      </c>
      <c r="AP15" s="1422">
        <v>2527</v>
      </c>
      <c r="AQ15" s="1430">
        <f t="shared" si="2"/>
        <v>4882056.9799999995</v>
      </c>
      <c r="AR15" s="1431">
        <v>2133235.4700000002</v>
      </c>
      <c r="AS15" s="1437">
        <v>0</v>
      </c>
      <c r="AT15" s="1422">
        <v>0</v>
      </c>
      <c r="AU15" s="1422">
        <v>0</v>
      </c>
      <c r="AV15" s="1422">
        <v>0</v>
      </c>
      <c r="AW15" s="1422">
        <v>0</v>
      </c>
      <c r="AX15" s="1422">
        <v>0</v>
      </c>
      <c r="AY15" s="1422">
        <v>0</v>
      </c>
      <c r="AZ15" s="1420">
        <v>862182.64</v>
      </c>
      <c r="BA15" s="1423">
        <f t="shared" si="3"/>
        <v>862182.64</v>
      </c>
      <c r="BB15" s="1420">
        <f t="shared" si="4"/>
        <v>17349246.43</v>
      </c>
      <c r="BC15" s="1433">
        <f t="shared" si="5"/>
        <v>9719.4657871148465</v>
      </c>
      <c r="BD15" s="1433">
        <f t="shared" si="6"/>
        <v>5299.1502128851544</v>
      </c>
      <c r="BE15" s="1433">
        <f t="shared" si="7"/>
        <v>7.1642633053221285</v>
      </c>
      <c r="BF15" s="1433">
        <f t="shared" si="8"/>
        <v>2735.0459271708683</v>
      </c>
      <c r="BG15" s="1433">
        <f t="shared" si="9"/>
        <v>1195.0898991596639</v>
      </c>
      <c r="BH15" s="1434">
        <f t="shared" si="10"/>
        <v>483.01548459383753</v>
      </c>
      <c r="BI15" s="1422">
        <v>8170</v>
      </c>
    </row>
    <row r="16" spans="1:61" ht="12.75" customHeight="1" thickBot="1">
      <c r="A16" s="1418" t="s">
        <v>607</v>
      </c>
      <c r="B16" s="1418" t="s">
        <v>608</v>
      </c>
      <c r="C16" s="1419">
        <v>14003</v>
      </c>
      <c r="D16" s="1420">
        <v>259.52999999999997</v>
      </c>
      <c r="E16" s="1420">
        <v>13236.23</v>
      </c>
      <c r="F16" s="1421">
        <v>0.08</v>
      </c>
      <c r="G16" s="1420">
        <v>13860.57</v>
      </c>
      <c r="H16" s="1420">
        <v>13696.01</v>
      </c>
      <c r="I16" s="1422">
        <v>1732144990</v>
      </c>
      <c r="J16" s="1422">
        <v>25</v>
      </c>
      <c r="K16" s="1422">
        <v>25</v>
      </c>
      <c r="L16" s="1422">
        <v>0</v>
      </c>
      <c r="M16" s="1420">
        <v>2.5</v>
      </c>
      <c r="N16" s="1420">
        <v>10.9</v>
      </c>
      <c r="O16" s="1420">
        <v>38.4</v>
      </c>
      <c r="P16" s="1438">
        <v>158025000</v>
      </c>
      <c r="Q16" s="1424">
        <v>64959961.200000003</v>
      </c>
      <c r="R16" s="1425">
        <f t="shared" si="0"/>
        <v>64959961.200000003</v>
      </c>
      <c r="S16" s="1436">
        <v>100157.01</v>
      </c>
      <c r="T16" s="1427">
        <f t="shared" si="1"/>
        <v>100157.01</v>
      </c>
      <c r="U16" s="1428">
        <v>40430117</v>
      </c>
      <c r="V16" s="1422">
        <v>688995</v>
      </c>
      <c r="W16" s="1422">
        <v>1173580</v>
      </c>
      <c r="X16" s="1422">
        <v>0</v>
      </c>
      <c r="Y16" s="1422">
        <v>0</v>
      </c>
      <c r="Z16" s="1422">
        <v>0</v>
      </c>
      <c r="AA16" s="1422">
        <v>0</v>
      </c>
      <c r="AB16" s="1422">
        <v>0</v>
      </c>
      <c r="AC16" s="1429">
        <v>0</v>
      </c>
      <c r="AD16" s="1422">
        <v>566467</v>
      </c>
      <c r="AE16" s="1420">
        <v>30922.18</v>
      </c>
      <c r="AF16" s="1422">
        <v>39850</v>
      </c>
      <c r="AG16" s="1422">
        <v>593645</v>
      </c>
      <c r="AH16" s="1422">
        <v>1368896</v>
      </c>
      <c r="AI16" s="1422">
        <v>3943696</v>
      </c>
      <c r="AJ16" s="1420">
        <v>775180.77</v>
      </c>
      <c r="AK16" s="1420">
        <v>205081.49</v>
      </c>
      <c r="AL16" s="1420">
        <v>52255.8</v>
      </c>
      <c r="AM16" s="1422">
        <v>0</v>
      </c>
      <c r="AN16" s="1429">
        <v>1507625</v>
      </c>
      <c r="AO16" s="1422">
        <v>0</v>
      </c>
      <c r="AP16" s="1422">
        <v>86411</v>
      </c>
      <c r="AQ16" s="1430">
        <f t="shared" si="2"/>
        <v>49955097.240000002</v>
      </c>
      <c r="AR16" s="1431">
        <v>17341362.329999998</v>
      </c>
      <c r="AS16" s="1432">
        <v>10385166.689999999</v>
      </c>
      <c r="AT16" s="1422">
        <v>0</v>
      </c>
      <c r="AU16" s="1422">
        <v>0</v>
      </c>
      <c r="AV16" s="1420">
        <v>10287.68</v>
      </c>
      <c r="AW16" s="1420">
        <v>1286.9000000000001</v>
      </c>
      <c r="AX16" s="1422">
        <v>0</v>
      </c>
      <c r="AY16" s="1420">
        <v>10396741.27</v>
      </c>
      <c r="AZ16" s="1420">
        <v>5665848.71</v>
      </c>
      <c r="BA16" s="1423">
        <f t="shared" si="3"/>
        <v>16074164.559999999</v>
      </c>
      <c r="BB16" s="1420">
        <f t="shared" si="4"/>
        <v>148430742.34</v>
      </c>
      <c r="BC16" s="1433">
        <f t="shared" si="5"/>
        <v>10599.924469042347</v>
      </c>
      <c r="BD16" s="1433">
        <f t="shared" si="6"/>
        <v>4639.0031564664714</v>
      </c>
      <c r="BE16" s="1433">
        <f t="shared" si="7"/>
        <v>7.152539455830893</v>
      </c>
      <c r="BF16" s="1433">
        <f t="shared" si="8"/>
        <v>3567.4567764050562</v>
      </c>
      <c r="BG16" s="1433">
        <f t="shared" si="9"/>
        <v>1238.4033657073483</v>
      </c>
      <c r="BH16" s="1434">
        <f t="shared" si="10"/>
        <v>1147.9086310076411</v>
      </c>
      <c r="BI16" s="1422">
        <v>8279</v>
      </c>
    </row>
    <row r="17" spans="1:61" ht="12.75" customHeight="1" thickBot="1">
      <c r="A17" s="1418" t="s">
        <v>609</v>
      </c>
      <c r="B17" s="1418" t="s">
        <v>610</v>
      </c>
      <c r="C17" s="1419">
        <v>3903</v>
      </c>
      <c r="D17" s="1420">
        <v>144.13</v>
      </c>
      <c r="E17" s="1420">
        <v>3600.02</v>
      </c>
      <c r="F17" s="1421">
        <v>0.11</v>
      </c>
      <c r="G17" s="1420">
        <v>3834.57</v>
      </c>
      <c r="H17" s="1420">
        <v>3809.7</v>
      </c>
      <c r="I17" s="1422">
        <v>306811031</v>
      </c>
      <c r="J17" s="1422">
        <v>25</v>
      </c>
      <c r="K17" s="1422">
        <v>25</v>
      </c>
      <c r="L17" s="1422">
        <v>0</v>
      </c>
      <c r="M17" s="1422">
        <v>0</v>
      </c>
      <c r="N17" s="1422">
        <v>20</v>
      </c>
      <c r="O17" s="1422">
        <v>45</v>
      </c>
      <c r="P17" s="1438">
        <v>54840000</v>
      </c>
      <c r="Q17" s="1424">
        <v>13574928.949999999</v>
      </c>
      <c r="R17" s="1425">
        <f t="shared" si="0"/>
        <v>13574928.949999999</v>
      </c>
      <c r="S17" s="1436">
        <v>27861.99</v>
      </c>
      <c r="T17" s="1427">
        <f t="shared" si="1"/>
        <v>27861.99</v>
      </c>
      <c r="U17" s="1428">
        <v>15324489</v>
      </c>
      <c r="V17" s="1422">
        <v>66308</v>
      </c>
      <c r="W17" s="1422">
        <v>226254</v>
      </c>
      <c r="X17" s="1422">
        <v>0</v>
      </c>
      <c r="Y17" s="1422">
        <v>0</v>
      </c>
      <c r="Z17" s="1422">
        <v>0</v>
      </c>
      <c r="AA17" s="1422">
        <v>0</v>
      </c>
      <c r="AB17" s="1420">
        <v>684.58</v>
      </c>
      <c r="AC17" s="1429">
        <v>0</v>
      </c>
      <c r="AD17" s="1422">
        <v>157569</v>
      </c>
      <c r="AE17" s="1420">
        <v>24305.52</v>
      </c>
      <c r="AF17" s="1422">
        <v>3650</v>
      </c>
      <c r="AG17" s="1422">
        <v>261901</v>
      </c>
      <c r="AH17" s="1422">
        <v>200119</v>
      </c>
      <c r="AI17" s="1422">
        <v>1023856</v>
      </c>
      <c r="AJ17" s="1420">
        <v>213591.27</v>
      </c>
      <c r="AK17" s="1420">
        <v>103588.98</v>
      </c>
      <c r="AL17" s="1420">
        <v>12235.79</v>
      </c>
      <c r="AM17" s="1422">
        <v>0</v>
      </c>
      <c r="AN17" s="1429">
        <v>580770</v>
      </c>
      <c r="AO17" s="1422">
        <v>0</v>
      </c>
      <c r="AP17" s="1420">
        <v>6667247.0300000003</v>
      </c>
      <c r="AQ17" s="1430">
        <f t="shared" si="2"/>
        <v>24285799.170000002</v>
      </c>
      <c r="AR17" s="1431">
        <v>4650240.49</v>
      </c>
      <c r="AS17" s="1437">
        <v>0</v>
      </c>
      <c r="AT17" s="1422">
        <v>0</v>
      </c>
      <c r="AU17" s="1422">
        <v>0</v>
      </c>
      <c r="AV17" s="1422">
        <v>0</v>
      </c>
      <c r="AW17" s="1422">
        <v>0</v>
      </c>
      <c r="AX17" s="1422">
        <v>0</v>
      </c>
      <c r="AY17" s="1422">
        <v>0</v>
      </c>
      <c r="AZ17" s="1420">
        <v>2672253.65</v>
      </c>
      <c r="BA17" s="1423">
        <f t="shared" si="3"/>
        <v>2672253.65</v>
      </c>
      <c r="BB17" s="1420">
        <f t="shared" si="4"/>
        <v>45211084.25</v>
      </c>
      <c r="BC17" s="1433">
        <f t="shared" si="5"/>
        <v>11583.675185754548</v>
      </c>
      <c r="BD17" s="1433">
        <f t="shared" si="6"/>
        <v>3478.0755700743016</v>
      </c>
      <c r="BE17" s="1433">
        <f t="shared" si="7"/>
        <v>7.1386087624903922</v>
      </c>
      <c r="BF17" s="1433">
        <f t="shared" si="8"/>
        <v>6222.3415757109924</v>
      </c>
      <c r="BG17" s="1433">
        <f t="shared" si="9"/>
        <v>1191.4528542147068</v>
      </c>
      <c r="BH17" s="1434">
        <f t="shared" si="10"/>
        <v>684.66657699205734</v>
      </c>
      <c r="BI17" s="1422">
        <v>8496</v>
      </c>
    </row>
    <row r="18" spans="1:61" ht="12.75" customHeight="1" thickBot="1">
      <c r="A18" s="1418" t="s">
        <v>611</v>
      </c>
      <c r="B18" s="1418" t="s">
        <v>612</v>
      </c>
      <c r="C18" s="1419">
        <v>1639</v>
      </c>
      <c r="D18" s="1420">
        <v>52.89</v>
      </c>
      <c r="E18" s="1420">
        <v>1554.62</v>
      </c>
      <c r="F18" s="1421">
        <v>0.25</v>
      </c>
      <c r="G18" s="1420">
        <v>1639.42</v>
      </c>
      <c r="H18" s="1420">
        <v>1608.1</v>
      </c>
      <c r="I18" s="1422">
        <v>92498110</v>
      </c>
      <c r="J18" s="1422">
        <v>25</v>
      </c>
      <c r="K18" s="1422">
        <v>25</v>
      </c>
      <c r="L18" s="1422">
        <v>0</v>
      </c>
      <c r="M18" s="1422">
        <v>0</v>
      </c>
      <c r="N18" s="1420">
        <v>19.8</v>
      </c>
      <c r="O18" s="1420">
        <v>44.8</v>
      </c>
      <c r="P18" s="1423">
        <v>18292857.010000002</v>
      </c>
      <c r="Q18" s="1424">
        <v>3875328.19</v>
      </c>
      <c r="R18" s="1425">
        <f t="shared" si="0"/>
        <v>3875328.19</v>
      </c>
      <c r="S18" s="1426">
        <v>0</v>
      </c>
      <c r="T18" s="1427">
        <f t="shared" si="1"/>
        <v>0</v>
      </c>
      <c r="U18" s="1428">
        <v>7462155</v>
      </c>
      <c r="V18" s="1422">
        <v>30585</v>
      </c>
      <c r="W18" s="1422">
        <v>387265</v>
      </c>
      <c r="X18" s="1422">
        <v>0</v>
      </c>
      <c r="Y18" s="1422">
        <v>0</v>
      </c>
      <c r="Z18" s="1422">
        <v>0</v>
      </c>
      <c r="AA18" s="1422">
        <v>55333</v>
      </c>
      <c r="AB18" s="1422">
        <v>0</v>
      </c>
      <c r="AC18" s="1429">
        <v>0</v>
      </c>
      <c r="AD18" s="1422">
        <v>66511</v>
      </c>
      <c r="AE18" s="1422">
        <v>11400</v>
      </c>
      <c r="AF18" s="1422">
        <v>5500</v>
      </c>
      <c r="AG18" s="1422">
        <v>44734</v>
      </c>
      <c r="AH18" s="1422">
        <v>12306</v>
      </c>
      <c r="AI18" s="1422">
        <v>371405</v>
      </c>
      <c r="AJ18" s="1420">
        <v>86745.9</v>
      </c>
      <c r="AK18" s="1422">
        <v>0</v>
      </c>
      <c r="AL18" s="1420">
        <v>4787.7</v>
      </c>
      <c r="AM18" s="1422">
        <v>0</v>
      </c>
      <c r="AN18" s="1429">
        <v>0</v>
      </c>
      <c r="AO18" s="1422">
        <v>0</v>
      </c>
      <c r="AP18" s="1420">
        <v>183723.72</v>
      </c>
      <c r="AQ18" s="1430">
        <f t="shared" si="2"/>
        <v>8722451.3200000003</v>
      </c>
      <c r="AR18" s="1431">
        <v>2339792.62</v>
      </c>
      <c r="AS18" s="1432">
        <v>3541723.95</v>
      </c>
      <c r="AT18" s="1422">
        <v>0</v>
      </c>
      <c r="AU18" s="1422">
        <v>5000</v>
      </c>
      <c r="AV18" s="1420">
        <v>994.5</v>
      </c>
      <c r="AW18" s="1420">
        <v>8131.84</v>
      </c>
      <c r="AX18" s="1422">
        <v>0</v>
      </c>
      <c r="AY18" s="1420">
        <v>3555850.29</v>
      </c>
      <c r="AZ18" s="1422">
        <v>610782</v>
      </c>
      <c r="BA18" s="1423">
        <f t="shared" si="3"/>
        <v>4180758.63</v>
      </c>
      <c r="BB18" s="1420">
        <f t="shared" si="4"/>
        <v>19118330.760000002</v>
      </c>
      <c r="BC18" s="1433">
        <f t="shared" si="5"/>
        <v>11664.631336180599</v>
      </c>
      <c r="BD18" s="1433">
        <f t="shared" si="6"/>
        <v>2364.4467297132396</v>
      </c>
      <c r="BE18" s="1433">
        <f t="shared" si="7"/>
        <v>0</v>
      </c>
      <c r="BF18" s="1433">
        <f t="shared" si="8"/>
        <v>5321.8128859060407</v>
      </c>
      <c r="BG18" s="1433">
        <f t="shared" si="9"/>
        <v>1427.5732885906041</v>
      </c>
      <c r="BH18" s="1434">
        <f t="shared" si="10"/>
        <v>2550.7984319707139</v>
      </c>
      <c r="BI18" s="1422">
        <v>7507</v>
      </c>
    </row>
    <row r="19" spans="1:61" ht="12.75" customHeight="1" thickBot="1">
      <c r="A19" s="1418" t="s">
        <v>613</v>
      </c>
      <c r="B19" s="1418" t="s">
        <v>614</v>
      </c>
      <c r="C19" s="1419">
        <v>561</v>
      </c>
      <c r="D19" s="1420">
        <v>124.64</v>
      </c>
      <c r="E19" s="1420">
        <v>517.76</v>
      </c>
      <c r="F19" s="1421">
        <v>-0.02</v>
      </c>
      <c r="G19" s="1420">
        <v>554.21</v>
      </c>
      <c r="H19" s="1420">
        <v>579.07000000000005</v>
      </c>
      <c r="I19" s="1422">
        <v>26852310</v>
      </c>
      <c r="J19" s="1420">
        <v>25.6</v>
      </c>
      <c r="K19" s="1422">
        <v>25</v>
      </c>
      <c r="L19" s="1420">
        <v>0.6</v>
      </c>
      <c r="M19" s="1422">
        <v>0</v>
      </c>
      <c r="N19" s="1422">
        <v>8</v>
      </c>
      <c r="O19" s="1420">
        <v>33.6</v>
      </c>
      <c r="P19" s="1423">
        <v>1458903.6</v>
      </c>
      <c r="Q19" s="1424">
        <v>800129.77</v>
      </c>
      <c r="R19" s="1425">
        <f t="shared" si="0"/>
        <v>800129.77</v>
      </c>
      <c r="S19" s="1436">
        <v>7311.75</v>
      </c>
      <c r="T19" s="1427">
        <f t="shared" si="1"/>
        <v>7311.75</v>
      </c>
      <c r="U19" s="1428">
        <v>2843527</v>
      </c>
      <c r="V19" s="1422">
        <v>30934</v>
      </c>
      <c r="W19" s="1422">
        <v>0</v>
      </c>
      <c r="X19" s="1422">
        <v>994</v>
      </c>
      <c r="Y19" s="1422">
        <v>0</v>
      </c>
      <c r="Z19" s="1422">
        <v>0</v>
      </c>
      <c r="AA19" s="1422">
        <v>18424</v>
      </c>
      <c r="AB19" s="1422">
        <v>0</v>
      </c>
      <c r="AC19" s="1429">
        <v>0</v>
      </c>
      <c r="AD19" s="1422">
        <v>23950</v>
      </c>
      <c r="AE19" s="1422">
        <v>0</v>
      </c>
      <c r="AF19" s="1422">
        <v>400</v>
      </c>
      <c r="AG19" s="1422">
        <v>19299</v>
      </c>
      <c r="AH19" s="1422">
        <v>0</v>
      </c>
      <c r="AI19" s="1422">
        <v>160704</v>
      </c>
      <c r="AJ19" s="1420">
        <v>18663.28</v>
      </c>
      <c r="AK19" s="1422">
        <v>4875</v>
      </c>
      <c r="AL19" s="1420">
        <v>2237.61</v>
      </c>
      <c r="AM19" s="1422">
        <v>0</v>
      </c>
      <c r="AN19" s="1429">
        <v>0</v>
      </c>
      <c r="AO19" s="1422">
        <v>0</v>
      </c>
      <c r="AP19" s="1422">
        <v>23053</v>
      </c>
      <c r="AQ19" s="1430">
        <f t="shared" si="2"/>
        <v>3147060.8899999997</v>
      </c>
      <c r="AR19" s="1431">
        <v>726790.34</v>
      </c>
      <c r="AS19" s="1437">
        <v>0</v>
      </c>
      <c r="AT19" s="1422">
        <v>0</v>
      </c>
      <c r="AU19" s="1422">
        <v>0</v>
      </c>
      <c r="AV19" s="1422">
        <v>0</v>
      </c>
      <c r="AW19" s="1422">
        <v>0</v>
      </c>
      <c r="AX19" s="1422">
        <v>0</v>
      </c>
      <c r="AY19" s="1422">
        <v>0</v>
      </c>
      <c r="AZ19" s="1420">
        <v>185052.39</v>
      </c>
      <c r="BA19" s="1423">
        <f t="shared" si="3"/>
        <v>185052.39</v>
      </c>
      <c r="BB19" s="1420">
        <f t="shared" si="4"/>
        <v>4866345.1399999997</v>
      </c>
      <c r="BC19" s="1433">
        <f t="shared" si="5"/>
        <v>8674.4120142602496</v>
      </c>
      <c r="BD19" s="1433">
        <f t="shared" si="6"/>
        <v>1426.2562745098039</v>
      </c>
      <c r="BE19" s="1433">
        <f t="shared" si="7"/>
        <v>13.033422459893048</v>
      </c>
      <c r="BF19" s="1433">
        <f t="shared" si="8"/>
        <v>5609.7342067736181</v>
      </c>
      <c r="BG19" s="1433">
        <f t="shared" si="9"/>
        <v>1295.5264527629233</v>
      </c>
      <c r="BH19" s="1434">
        <f t="shared" si="10"/>
        <v>329.86165775401071</v>
      </c>
      <c r="BI19" s="1422">
        <v>8893</v>
      </c>
    </row>
    <row r="20" spans="1:61" ht="12.75" customHeight="1" thickBot="1">
      <c r="A20" s="1418" t="s">
        <v>615</v>
      </c>
      <c r="B20" s="1418" t="s">
        <v>616</v>
      </c>
      <c r="C20" s="1419">
        <v>1064</v>
      </c>
      <c r="D20" s="1420">
        <v>114.78</v>
      </c>
      <c r="E20" s="1420">
        <v>1005.5</v>
      </c>
      <c r="F20" s="1421">
        <v>0.1</v>
      </c>
      <c r="G20" s="1420">
        <v>1066.67</v>
      </c>
      <c r="H20" s="1420">
        <v>1084.53</v>
      </c>
      <c r="I20" s="1422">
        <v>47818131</v>
      </c>
      <c r="J20" s="1422">
        <v>25</v>
      </c>
      <c r="K20" s="1422">
        <v>25</v>
      </c>
      <c r="L20" s="1422">
        <v>0</v>
      </c>
      <c r="M20" s="1422">
        <v>0</v>
      </c>
      <c r="N20" s="1422">
        <v>7</v>
      </c>
      <c r="O20" s="1422">
        <v>32</v>
      </c>
      <c r="P20" s="1423">
        <v>2604113.2000000002</v>
      </c>
      <c r="Q20" s="1424">
        <v>1425403.98</v>
      </c>
      <c r="R20" s="1425">
        <f t="shared" si="0"/>
        <v>1425403.98</v>
      </c>
      <c r="S20" s="1436">
        <v>2624.97</v>
      </c>
      <c r="T20" s="1427">
        <f t="shared" si="1"/>
        <v>2624.97</v>
      </c>
      <c r="U20" s="1428">
        <v>5394553</v>
      </c>
      <c r="V20" s="1422">
        <v>76409</v>
      </c>
      <c r="W20" s="1422">
        <v>55908</v>
      </c>
      <c r="X20" s="1422">
        <v>0</v>
      </c>
      <c r="Y20" s="1422">
        <v>0</v>
      </c>
      <c r="Z20" s="1422">
        <v>0</v>
      </c>
      <c r="AA20" s="1422">
        <v>28316</v>
      </c>
      <c r="AB20" s="1422">
        <v>0</v>
      </c>
      <c r="AC20" s="1429">
        <v>0</v>
      </c>
      <c r="AD20" s="1422">
        <v>44856</v>
      </c>
      <c r="AE20" s="1420">
        <v>5150.3500000000004</v>
      </c>
      <c r="AF20" s="1422">
        <v>650</v>
      </c>
      <c r="AG20" s="1422">
        <v>104947</v>
      </c>
      <c r="AH20" s="1422">
        <v>0</v>
      </c>
      <c r="AI20" s="1422">
        <v>274784</v>
      </c>
      <c r="AJ20" s="1420">
        <v>4442.9399999999996</v>
      </c>
      <c r="AK20" s="1420">
        <v>10562.52</v>
      </c>
      <c r="AL20" s="1420">
        <v>4368.76</v>
      </c>
      <c r="AM20" s="1422">
        <v>0</v>
      </c>
      <c r="AN20" s="1429">
        <v>0</v>
      </c>
      <c r="AO20" s="1422">
        <v>0</v>
      </c>
      <c r="AP20" s="1422">
        <v>66455</v>
      </c>
      <c r="AQ20" s="1430">
        <f t="shared" si="2"/>
        <v>6071402.5699999994</v>
      </c>
      <c r="AR20" s="1431">
        <v>1259017.56</v>
      </c>
      <c r="AS20" s="1432">
        <v>6355.9</v>
      </c>
      <c r="AT20" s="1422">
        <v>0</v>
      </c>
      <c r="AU20" s="1422">
        <v>0</v>
      </c>
      <c r="AV20" s="1422">
        <v>1990</v>
      </c>
      <c r="AW20" s="1422">
        <v>0</v>
      </c>
      <c r="AX20" s="1422">
        <v>0</v>
      </c>
      <c r="AY20" s="1420">
        <v>8345.9</v>
      </c>
      <c r="AZ20" s="1420">
        <v>424383.98</v>
      </c>
      <c r="BA20" s="1423">
        <f t="shared" si="3"/>
        <v>434719.88</v>
      </c>
      <c r="BB20" s="1420">
        <f t="shared" si="4"/>
        <v>9193168.959999999</v>
      </c>
      <c r="BC20" s="1433">
        <f t="shared" si="5"/>
        <v>8640.1963909774422</v>
      </c>
      <c r="BD20" s="1433">
        <f t="shared" si="6"/>
        <v>1339.665394736842</v>
      </c>
      <c r="BE20" s="1433">
        <f t="shared" si="7"/>
        <v>2.4670770676691727</v>
      </c>
      <c r="BF20" s="1433">
        <f t="shared" si="8"/>
        <v>5706.2054229323303</v>
      </c>
      <c r="BG20" s="1433">
        <f t="shared" si="9"/>
        <v>1183.2871804511278</v>
      </c>
      <c r="BH20" s="1434">
        <f t="shared" si="10"/>
        <v>408.57131578947372</v>
      </c>
      <c r="BI20" s="1422">
        <v>7982</v>
      </c>
    </row>
    <row r="21" spans="1:61" ht="12.75" customHeight="1" thickBot="1">
      <c r="A21" s="1418" t="s">
        <v>617</v>
      </c>
      <c r="B21" s="1418" t="s">
        <v>618</v>
      </c>
      <c r="C21" s="1419">
        <v>2790</v>
      </c>
      <c r="D21" s="1420">
        <v>209.17</v>
      </c>
      <c r="E21" s="1420">
        <v>2580.12</v>
      </c>
      <c r="F21" s="1421">
        <v>-0.02</v>
      </c>
      <c r="G21" s="1420">
        <v>2743.08</v>
      </c>
      <c r="H21" s="1420">
        <v>2766.07</v>
      </c>
      <c r="I21" s="1422">
        <v>324769058</v>
      </c>
      <c r="J21" s="1422">
        <v>25</v>
      </c>
      <c r="K21" s="1422">
        <v>25</v>
      </c>
      <c r="L21" s="1422">
        <v>0</v>
      </c>
      <c r="M21" s="1422">
        <v>0</v>
      </c>
      <c r="N21" s="1420">
        <v>9.3000000000000007</v>
      </c>
      <c r="O21" s="1420">
        <v>34.299999999999997</v>
      </c>
      <c r="P21" s="1438">
        <v>18220000</v>
      </c>
      <c r="Q21" s="1424">
        <v>10588975.52</v>
      </c>
      <c r="R21" s="1425">
        <f t="shared" si="0"/>
        <v>10588975.52</v>
      </c>
      <c r="S21" s="1426">
        <v>0</v>
      </c>
      <c r="T21" s="1427">
        <f t="shared" si="1"/>
        <v>0</v>
      </c>
      <c r="U21" s="1428">
        <v>8857707</v>
      </c>
      <c r="V21" s="1422">
        <v>384097</v>
      </c>
      <c r="W21" s="1422">
        <v>0</v>
      </c>
      <c r="X21" s="1422">
        <v>136210</v>
      </c>
      <c r="Y21" s="1422">
        <v>0</v>
      </c>
      <c r="Z21" s="1422">
        <v>0</v>
      </c>
      <c r="AA21" s="1422">
        <v>0</v>
      </c>
      <c r="AB21" s="1422">
        <v>0</v>
      </c>
      <c r="AC21" s="1429">
        <v>0</v>
      </c>
      <c r="AD21" s="1422">
        <v>114405</v>
      </c>
      <c r="AE21" s="1422">
        <v>2800</v>
      </c>
      <c r="AF21" s="1422">
        <v>1900</v>
      </c>
      <c r="AG21" s="1422">
        <v>132169</v>
      </c>
      <c r="AH21" s="1422">
        <v>3223</v>
      </c>
      <c r="AI21" s="1422">
        <v>652736</v>
      </c>
      <c r="AJ21" s="1420">
        <v>211923.08</v>
      </c>
      <c r="AK21" s="1420">
        <v>28437.52</v>
      </c>
      <c r="AL21" s="1420">
        <v>9880.99</v>
      </c>
      <c r="AM21" s="1422">
        <v>0</v>
      </c>
      <c r="AN21" s="1429">
        <v>97200</v>
      </c>
      <c r="AO21" s="1422">
        <v>0</v>
      </c>
      <c r="AP21" s="1420">
        <v>1020687.81</v>
      </c>
      <c r="AQ21" s="1430">
        <f t="shared" si="2"/>
        <v>11556176.4</v>
      </c>
      <c r="AR21" s="1431">
        <v>4248218.2</v>
      </c>
      <c r="AS21" s="1432">
        <v>5608.11</v>
      </c>
      <c r="AT21" s="1422">
        <v>0</v>
      </c>
      <c r="AU21" s="1420">
        <v>23755.200000000001</v>
      </c>
      <c r="AV21" s="1422">
        <v>1698</v>
      </c>
      <c r="AW21" s="1420">
        <v>11420.35</v>
      </c>
      <c r="AX21" s="1422">
        <v>0</v>
      </c>
      <c r="AY21" s="1420">
        <v>42481.66</v>
      </c>
      <c r="AZ21" s="1420">
        <v>1334043.3799999999</v>
      </c>
      <c r="BA21" s="1423">
        <f t="shared" si="3"/>
        <v>1413398.5899999999</v>
      </c>
      <c r="BB21" s="1420">
        <f t="shared" si="4"/>
        <v>27806768.710000001</v>
      </c>
      <c r="BC21" s="1433">
        <f t="shared" si="5"/>
        <v>9966.5837670250894</v>
      </c>
      <c r="BD21" s="1433">
        <f t="shared" si="6"/>
        <v>3795.331727598566</v>
      </c>
      <c r="BE21" s="1433">
        <f t="shared" si="7"/>
        <v>0</v>
      </c>
      <c r="BF21" s="1433">
        <f t="shared" si="8"/>
        <v>4141.9987096774194</v>
      </c>
      <c r="BG21" s="1433">
        <f t="shared" si="9"/>
        <v>1522.6588530465951</v>
      </c>
      <c r="BH21" s="1434">
        <f t="shared" si="10"/>
        <v>506.59447670250893</v>
      </c>
      <c r="BI21" s="1422">
        <v>8853</v>
      </c>
    </row>
    <row r="22" spans="1:61" ht="12.75" customHeight="1" thickBot="1">
      <c r="A22" s="1418" t="s">
        <v>619</v>
      </c>
      <c r="B22" s="1418" t="s">
        <v>620</v>
      </c>
      <c r="C22" s="1419">
        <v>420</v>
      </c>
      <c r="D22" s="1420">
        <v>94.57</v>
      </c>
      <c r="E22" s="1420">
        <v>393.4</v>
      </c>
      <c r="F22" s="1421">
        <v>-0.05</v>
      </c>
      <c r="G22" s="1420">
        <v>417.09</v>
      </c>
      <c r="H22" s="1420">
        <v>422.66</v>
      </c>
      <c r="I22" s="1422">
        <v>28893080</v>
      </c>
      <c r="J22" s="1422">
        <v>25</v>
      </c>
      <c r="K22" s="1422">
        <v>25</v>
      </c>
      <c r="L22" s="1422">
        <v>0</v>
      </c>
      <c r="M22" s="1422">
        <v>0</v>
      </c>
      <c r="N22" s="1420">
        <v>13.1</v>
      </c>
      <c r="O22" s="1420">
        <v>38.1</v>
      </c>
      <c r="P22" s="1423">
        <v>2947734.89</v>
      </c>
      <c r="Q22" s="1424">
        <v>1009585.62</v>
      </c>
      <c r="R22" s="1425">
        <f t="shared" si="0"/>
        <v>1009585.62</v>
      </c>
      <c r="S22" s="1426">
        <v>0</v>
      </c>
      <c r="T22" s="1427">
        <f t="shared" si="1"/>
        <v>0</v>
      </c>
      <c r="U22" s="1428">
        <v>1854104</v>
      </c>
      <c r="V22" s="1422">
        <v>31705</v>
      </c>
      <c r="W22" s="1422">
        <v>0</v>
      </c>
      <c r="X22" s="1422">
        <v>6535</v>
      </c>
      <c r="Y22" s="1422">
        <v>0</v>
      </c>
      <c r="Z22" s="1422">
        <v>0</v>
      </c>
      <c r="AA22" s="1422">
        <v>16776</v>
      </c>
      <c r="AB22" s="1422">
        <v>0</v>
      </c>
      <c r="AC22" s="1429">
        <v>0</v>
      </c>
      <c r="AD22" s="1422">
        <v>17481</v>
      </c>
      <c r="AE22" s="1420">
        <v>4165.8100000000004</v>
      </c>
      <c r="AF22" s="1422">
        <v>3150</v>
      </c>
      <c r="AG22" s="1422">
        <v>21087</v>
      </c>
      <c r="AH22" s="1422">
        <v>0</v>
      </c>
      <c r="AI22" s="1422">
        <v>311488</v>
      </c>
      <c r="AJ22" s="1420">
        <v>51587.65</v>
      </c>
      <c r="AK22" s="1420">
        <v>7312.52</v>
      </c>
      <c r="AL22" s="1420">
        <v>1813.39</v>
      </c>
      <c r="AM22" s="1422">
        <v>0</v>
      </c>
      <c r="AN22" s="1429">
        <v>190998</v>
      </c>
      <c r="AO22" s="1422">
        <v>0</v>
      </c>
      <c r="AP22" s="1422">
        <v>43312</v>
      </c>
      <c r="AQ22" s="1430">
        <f t="shared" si="2"/>
        <v>2370517.37</v>
      </c>
      <c r="AR22" s="1431">
        <v>1176665.03</v>
      </c>
      <c r="AS22" s="1437">
        <v>0</v>
      </c>
      <c r="AT22" s="1422">
        <v>0</v>
      </c>
      <c r="AU22" s="1422">
        <v>0</v>
      </c>
      <c r="AV22" s="1422">
        <v>0</v>
      </c>
      <c r="AW22" s="1422">
        <v>0</v>
      </c>
      <c r="AX22" s="1422">
        <v>0</v>
      </c>
      <c r="AY22" s="1422">
        <v>0</v>
      </c>
      <c r="AZ22" s="1420">
        <v>246945.87</v>
      </c>
      <c r="BA22" s="1423">
        <f t="shared" si="3"/>
        <v>246945.87</v>
      </c>
      <c r="BB22" s="1420">
        <f t="shared" si="4"/>
        <v>4803713.8899999997</v>
      </c>
      <c r="BC22" s="1433">
        <f t="shared" si="5"/>
        <v>11437.414023809522</v>
      </c>
      <c r="BD22" s="1433">
        <f t="shared" si="6"/>
        <v>2403.7752857142859</v>
      </c>
      <c r="BE22" s="1433">
        <f t="shared" si="7"/>
        <v>0</v>
      </c>
      <c r="BF22" s="1433">
        <f t="shared" si="8"/>
        <v>5644.0889761904764</v>
      </c>
      <c r="BG22" s="1433">
        <f t="shared" si="9"/>
        <v>2801.5834047619046</v>
      </c>
      <c r="BH22" s="1434">
        <f t="shared" si="10"/>
        <v>587.96635714285708</v>
      </c>
      <c r="BI22" s="1422">
        <v>9612</v>
      </c>
    </row>
    <row r="23" spans="1:61" ht="12.75" customHeight="1" thickBot="1">
      <c r="A23" s="1418" t="s">
        <v>621</v>
      </c>
      <c r="B23" s="1418" t="s">
        <v>622</v>
      </c>
      <c r="C23" s="1419">
        <v>966</v>
      </c>
      <c r="D23" s="1420">
        <v>72.16</v>
      </c>
      <c r="E23" s="1420">
        <v>908.92</v>
      </c>
      <c r="F23" s="1421">
        <v>0</v>
      </c>
      <c r="G23" s="1420">
        <v>948.39</v>
      </c>
      <c r="H23" s="1420">
        <v>964.2</v>
      </c>
      <c r="I23" s="1422">
        <v>48788908</v>
      </c>
      <c r="J23" s="1422">
        <v>25</v>
      </c>
      <c r="K23" s="1422">
        <v>25</v>
      </c>
      <c r="L23" s="1422">
        <v>0</v>
      </c>
      <c r="M23" s="1422">
        <v>0</v>
      </c>
      <c r="N23" s="1420">
        <v>7.8</v>
      </c>
      <c r="O23" s="1420">
        <v>32.799999999999997</v>
      </c>
      <c r="P23" s="1438">
        <v>2742868</v>
      </c>
      <c r="Q23" s="1424">
        <v>1502367.93</v>
      </c>
      <c r="R23" s="1425">
        <f t="shared" si="0"/>
        <v>1502367.93</v>
      </c>
      <c r="S23" s="1426">
        <v>0</v>
      </c>
      <c r="T23" s="1427">
        <f t="shared" si="1"/>
        <v>0</v>
      </c>
      <c r="U23" s="1428">
        <v>4639396</v>
      </c>
      <c r="V23" s="1422">
        <v>75372</v>
      </c>
      <c r="W23" s="1422">
        <v>1717</v>
      </c>
      <c r="X23" s="1422">
        <v>0</v>
      </c>
      <c r="Y23" s="1422">
        <v>0</v>
      </c>
      <c r="Z23" s="1422">
        <v>0</v>
      </c>
      <c r="AA23" s="1422">
        <v>24918</v>
      </c>
      <c r="AB23" s="1422">
        <v>175</v>
      </c>
      <c r="AC23" s="1429">
        <v>0</v>
      </c>
      <c r="AD23" s="1422">
        <v>39879</v>
      </c>
      <c r="AE23" s="1422">
        <v>0</v>
      </c>
      <c r="AF23" s="1422">
        <v>2480</v>
      </c>
      <c r="AG23" s="1422">
        <v>20965</v>
      </c>
      <c r="AH23" s="1422">
        <v>1758</v>
      </c>
      <c r="AI23" s="1422">
        <v>219232</v>
      </c>
      <c r="AJ23" s="1422">
        <v>75470</v>
      </c>
      <c r="AK23" s="1420">
        <v>23562.52</v>
      </c>
      <c r="AL23" s="1420">
        <v>3432.8</v>
      </c>
      <c r="AM23" s="1422">
        <v>0</v>
      </c>
      <c r="AN23" s="1429">
        <v>0</v>
      </c>
      <c r="AO23" s="1422">
        <v>0</v>
      </c>
      <c r="AP23" s="1422">
        <v>78081</v>
      </c>
      <c r="AQ23" s="1430">
        <f t="shared" si="2"/>
        <v>5206438.3199999994</v>
      </c>
      <c r="AR23" s="1431">
        <v>1162169.28</v>
      </c>
      <c r="AS23" s="1432">
        <v>4864.33</v>
      </c>
      <c r="AT23" s="1422">
        <v>0</v>
      </c>
      <c r="AU23" s="1422">
        <v>0</v>
      </c>
      <c r="AV23" s="1422">
        <v>0</v>
      </c>
      <c r="AW23" s="1422">
        <v>0</v>
      </c>
      <c r="AX23" s="1422">
        <v>0</v>
      </c>
      <c r="AY23" s="1420">
        <v>4864.33</v>
      </c>
      <c r="AZ23" s="1420">
        <v>458154.88</v>
      </c>
      <c r="BA23" s="1423">
        <f t="shared" si="3"/>
        <v>463019.21</v>
      </c>
      <c r="BB23" s="1420">
        <f t="shared" si="4"/>
        <v>8333994.7399999993</v>
      </c>
      <c r="BC23" s="1433">
        <f t="shared" si="5"/>
        <v>8627.3237474120069</v>
      </c>
      <c r="BD23" s="1433">
        <f t="shared" si="6"/>
        <v>1555.246304347826</v>
      </c>
      <c r="BE23" s="1433">
        <f t="shared" si="7"/>
        <v>0</v>
      </c>
      <c r="BF23" s="1433">
        <f t="shared" si="8"/>
        <v>5389.6877018633531</v>
      </c>
      <c r="BG23" s="1433">
        <f t="shared" si="9"/>
        <v>1203.0737888198757</v>
      </c>
      <c r="BH23" s="1434">
        <f t="shared" si="10"/>
        <v>479.31595238095241</v>
      </c>
      <c r="BI23" s="1422">
        <v>7979</v>
      </c>
    </row>
    <row r="24" spans="1:61" ht="12.75" customHeight="1" thickBot="1">
      <c r="A24" s="1418" t="s">
        <v>623</v>
      </c>
      <c r="B24" s="1418" t="s">
        <v>624</v>
      </c>
      <c r="C24" s="1419">
        <v>370</v>
      </c>
      <c r="D24" s="1420">
        <v>116.19</v>
      </c>
      <c r="E24" s="1420">
        <v>335.7</v>
      </c>
      <c r="F24" s="1421">
        <v>-0.08</v>
      </c>
      <c r="G24" s="1420">
        <v>358.15</v>
      </c>
      <c r="H24" s="1420">
        <v>373.88</v>
      </c>
      <c r="I24" s="1422">
        <v>31722894</v>
      </c>
      <c r="J24" s="1420">
        <v>25.9</v>
      </c>
      <c r="K24" s="1422">
        <v>25</v>
      </c>
      <c r="L24" s="1420">
        <v>0.9</v>
      </c>
      <c r="M24" s="1422">
        <v>0</v>
      </c>
      <c r="N24" s="1420">
        <v>13.1</v>
      </c>
      <c r="O24" s="1422">
        <v>39</v>
      </c>
      <c r="P24" s="1423">
        <v>1993767.42</v>
      </c>
      <c r="Q24" s="1424">
        <v>1243348.17</v>
      </c>
      <c r="R24" s="1425">
        <f t="shared" si="0"/>
        <v>1243348.17</v>
      </c>
      <c r="S24" s="1426">
        <v>0</v>
      </c>
      <c r="T24" s="1427">
        <f t="shared" si="1"/>
        <v>0</v>
      </c>
      <c r="U24" s="1428">
        <v>1480875</v>
      </c>
      <c r="V24" s="1422">
        <v>35344</v>
      </c>
      <c r="W24" s="1422">
        <v>84648</v>
      </c>
      <c r="X24" s="1422">
        <v>0</v>
      </c>
      <c r="Y24" s="1422">
        <v>0</v>
      </c>
      <c r="Z24" s="1422">
        <v>0</v>
      </c>
      <c r="AA24" s="1422">
        <v>0</v>
      </c>
      <c r="AB24" s="1420">
        <v>41.25</v>
      </c>
      <c r="AC24" s="1429">
        <v>0</v>
      </c>
      <c r="AD24" s="1422">
        <v>15464</v>
      </c>
      <c r="AE24" s="1422">
        <v>5600</v>
      </c>
      <c r="AF24" s="1422">
        <v>1000</v>
      </c>
      <c r="AG24" s="1422">
        <v>0</v>
      </c>
      <c r="AH24" s="1422">
        <v>0</v>
      </c>
      <c r="AI24" s="1422">
        <v>280736</v>
      </c>
      <c r="AJ24" s="1420">
        <v>19343.93</v>
      </c>
      <c r="AK24" s="1420">
        <v>63386.22</v>
      </c>
      <c r="AL24" s="1420">
        <v>1663.19</v>
      </c>
      <c r="AM24" s="1422">
        <v>0</v>
      </c>
      <c r="AN24" s="1429">
        <v>167670</v>
      </c>
      <c r="AO24" s="1422">
        <v>0</v>
      </c>
      <c r="AP24" s="1422">
        <v>22555</v>
      </c>
      <c r="AQ24" s="1430">
        <f t="shared" si="2"/>
        <v>2010656.5899999999</v>
      </c>
      <c r="AR24" s="1431">
        <v>574559.4</v>
      </c>
      <c r="AS24" s="1437">
        <v>0</v>
      </c>
      <c r="AT24" s="1422">
        <v>0</v>
      </c>
      <c r="AU24" s="1422">
        <v>0</v>
      </c>
      <c r="AV24" s="1422">
        <v>0</v>
      </c>
      <c r="AW24" s="1422">
        <v>0</v>
      </c>
      <c r="AX24" s="1422">
        <v>0</v>
      </c>
      <c r="AY24" s="1422">
        <v>0</v>
      </c>
      <c r="AZ24" s="1420">
        <v>116906.82</v>
      </c>
      <c r="BA24" s="1423">
        <f t="shared" si="3"/>
        <v>116906.82</v>
      </c>
      <c r="BB24" s="1420">
        <f t="shared" si="4"/>
        <v>3945470.9799999995</v>
      </c>
      <c r="BC24" s="1433">
        <f t="shared" si="5"/>
        <v>10663.435081081079</v>
      </c>
      <c r="BD24" s="1433">
        <f t="shared" si="6"/>
        <v>3360.4004594594594</v>
      </c>
      <c r="BE24" s="1433">
        <f t="shared" si="7"/>
        <v>0</v>
      </c>
      <c r="BF24" s="1433">
        <f t="shared" si="8"/>
        <v>5434.2069999999994</v>
      </c>
      <c r="BG24" s="1433">
        <f t="shared" si="9"/>
        <v>1552.8632432432432</v>
      </c>
      <c r="BH24" s="1434">
        <f t="shared" si="10"/>
        <v>315.9643783783784</v>
      </c>
      <c r="BI24" s="1422">
        <v>10548</v>
      </c>
    </row>
    <row r="25" spans="1:61" ht="12.75" customHeight="1" thickBot="1">
      <c r="A25" s="1418" t="s">
        <v>625</v>
      </c>
      <c r="B25" s="1418" t="s">
        <v>626</v>
      </c>
      <c r="C25" s="1419">
        <v>468</v>
      </c>
      <c r="D25" s="1420">
        <v>402.49</v>
      </c>
      <c r="E25" s="1420">
        <v>448.28</v>
      </c>
      <c r="F25" s="1421">
        <v>-0.06</v>
      </c>
      <c r="G25" s="1420">
        <v>470.23</v>
      </c>
      <c r="H25" s="1420">
        <v>462.67</v>
      </c>
      <c r="I25" s="1422">
        <v>31013712</v>
      </c>
      <c r="J25" s="1422">
        <v>25</v>
      </c>
      <c r="K25" s="1422">
        <v>25</v>
      </c>
      <c r="L25" s="1422">
        <v>0</v>
      </c>
      <c r="M25" s="1422">
        <v>0</v>
      </c>
      <c r="N25" s="1420">
        <v>16.5</v>
      </c>
      <c r="O25" s="1420">
        <v>41.5</v>
      </c>
      <c r="P25" s="1423">
        <v>5286175.2</v>
      </c>
      <c r="Q25" s="1424">
        <v>1221576.8799999999</v>
      </c>
      <c r="R25" s="1425">
        <f t="shared" si="0"/>
        <v>1221576.8799999999</v>
      </c>
      <c r="S25" s="1436">
        <v>1705.82</v>
      </c>
      <c r="T25" s="1427">
        <f t="shared" si="1"/>
        <v>1705.82</v>
      </c>
      <c r="U25" s="1428">
        <v>2034843</v>
      </c>
      <c r="V25" s="1422">
        <v>14708</v>
      </c>
      <c r="W25" s="1422">
        <v>46151</v>
      </c>
      <c r="X25" s="1422">
        <v>0</v>
      </c>
      <c r="Y25" s="1422">
        <v>0</v>
      </c>
      <c r="Z25" s="1422">
        <v>0</v>
      </c>
      <c r="AA25" s="1422">
        <v>5729</v>
      </c>
      <c r="AB25" s="1422">
        <v>0</v>
      </c>
      <c r="AC25" s="1429">
        <v>0</v>
      </c>
      <c r="AD25" s="1422">
        <v>19136</v>
      </c>
      <c r="AE25" s="1422">
        <v>148133</v>
      </c>
      <c r="AF25" s="1422">
        <v>100</v>
      </c>
      <c r="AG25" s="1422">
        <v>4347</v>
      </c>
      <c r="AH25" s="1422">
        <v>31644</v>
      </c>
      <c r="AI25" s="1422">
        <v>350176</v>
      </c>
      <c r="AJ25" s="1420">
        <v>1895.39</v>
      </c>
      <c r="AK25" s="1420">
        <v>43333.56</v>
      </c>
      <c r="AL25" s="1420">
        <v>1689.85</v>
      </c>
      <c r="AM25" s="1422">
        <v>0</v>
      </c>
      <c r="AN25" s="1429">
        <v>175775</v>
      </c>
      <c r="AO25" s="1422">
        <v>0</v>
      </c>
      <c r="AP25" s="1420">
        <v>141182.94</v>
      </c>
      <c r="AQ25" s="1430">
        <f t="shared" si="2"/>
        <v>2843068.74</v>
      </c>
      <c r="AR25" s="1431">
        <v>1410167.44</v>
      </c>
      <c r="AS25" s="1437">
        <v>0</v>
      </c>
      <c r="AT25" s="1422">
        <v>0</v>
      </c>
      <c r="AU25" s="1422">
        <v>0</v>
      </c>
      <c r="AV25" s="1422">
        <v>11580</v>
      </c>
      <c r="AW25" s="1422">
        <v>0</v>
      </c>
      <c r="AX25" s="1422">
        <v>0</v>
      </c>
      <c r="AY25" s="1422">
        <v>11580</v>
      </c>
      <c r="AZ25" s="1420">
        <v>249593.46</v>
      </c>
      <c r="BA25" s="1423">
        <f t="shared" si="3"/>
        <v>272753.45999999996</v>
      </c>
      <c r="BB25" s="1420">
        <f t="shared" si="4"/>
        <v>5749272.3400000008</v>
      </c>
      <c r="BC25" s="1433">
        <f t="shared" si="5"/>
        <v>12284.769957264958</v>
      </c>
      <c r="BD25" s="1433">
        <f t="shared" si="6"/>
        <v>2610.2070085470082</v>
      </c>
      <c r="BE25" s="1433">
        <f t="shared" si="7"/>
        <v>3.6449145299145296</v>
      </c>
      <c r="BF25" s="1433">
        <f t="shared" si="8"/>
        <v>6074.9332051282054</v>
      </c>
      <c r="BG25" s="1433">
        <f t="shared" si="9"/>
        <v>3013.1782905982905</v>
      </c>
      <c r="BH25" s="1434">
        <f t="shared" si="10"/>
        <v>582.80653846153837</v>
      </c>
      <c r="BI25" s="1422">
        <v>11843</v>
      </c>
    </row>
    <row r="26" spans="1:61" ht="12.75" customHeight="1" thickBot="1">
      <c r="A26" s="1418" t="s">
        <v>627</v>
      </c>
      <c r="B26" s="1418" t="s">
        <v>628</v>
      </c>
      <c r="C26" s="1419">
        <v>1528</v>
      </c>
      <c r="D26" s="1420">
        <v>240.02</v>
      </c>
      <c r="E26" s="1420">
        <v>1454.45</v>
      </c>
      <c r="F26" s="1421">
        <v>-0.04</v>
      </c>
      <c r="G26" s="1420">
        <v>1518.04</v>
      </c>
      <c r="H26" s="1420">
        <v>1498.26</v>
      </c>
      <c r="I26" s="1422">
        <v>78804106</v>
      </c>
      <c r="J26" s="1422">
        <v>25</v>
      </c>
      <c r="K26" s="1422">
        <v>25</v>
      </c>
      <c r="L26" s="1422">
        <v>0</v>
      </c>
      <c r="M26" s="1422">
        <v>0</v>
      </c>
      <c r="N26" s="1420">
        <v>11.5</v>
      </c>
      <c r="O26" s="1420">
        <v>36.5</v>
      </c>
      <c r="P26" s="1423">
        <v>8102400.8200000003</v>
      </c>
      <c r="Q26" s="1424">
        <v>2739337.95</v>
      </c>
      <c r="R26" s="1425">
        <f t="shared" si="0"/>
        <v>2739337.95</v>
      </c>
      <c r="S26" s="1436">
        <v>12819.38</v>
      </c>
      <c r="T26" s="1427">
        <f t="shared" si="1"/>
        <v>12819.38</v>
      </c>
      <c r="U26" s="1428">
        <v>7079915</v>
      </c>
      <c r="V26" s="1422">
        <v>49038</v>
      </c>
      <c r="W26" s="1422">
        <v>120867</v>
      </c>
      <c r="X26" s="1422">
        <v>0</v>
      </c>
      <c r="Y26" s="1422">
        <v>0</v>
      </c>
      <c r="Z26" s="1422">
        <v>0</v>
      </c>
      <c r="AA26" s="1422">
        <v>18615</v>
      </c>
      <c r="AB26" s="1420">
        <v>3140.29</v>
      </c>
      <c r="AC26" s="1435">
        <v>231294.74</v>
      </c>
      <c r="AD26" s="1422">
        <v>61968</v>
      </c>
      <c r="AE26" s="1420">
        <v>10842.83</v>
      </c>
      <c r="AF26" s="1422">
        <v>350</v>
      </c>
      <c r="AG26" s="1422">
        <v>56232</v>
      </c>
      <c r="AH26" s="1422">
        <v>14943</v>
      </c>
      <c r="AI26" s="1422">
        <v>881220</v>
      </c>
      <c r="AJ26" s="1420">
        <v>6137.85</v>
      </c>
      <c r="AK26" s="1420">
        <v>968621.24</v>
      </c>
      <c r="AL26" s="1420">
        <v>5546.34</v>
      </c>
      <c r="AM26" s="1422">
        <v>0</v>
      </c>
      <c r="AN26" s="1429">
        <v>585845</v>
      </c>
      <c r="AO26" s="1422">
        <v>0</v>
      </c>
      <c r="AP26" s="1420">
        <v>380735.08</v>
      </c>
      <c r="AQ26" s="1430">
        <f t="shared" si="2"/>
        <v>9658171.629999999</v>
      </c>
      <c r="AR26" s="1431">
        <v>3324175.76</v>
      </c>
      <c r="AS26" s="1437">
        <v>0</v>
      </c>
      <c r="AT26" s="1422">
        <v>0</v>
      </c>
      <c r="AU26" s="1420">
        <v>12330.68</v>
      </c>
      <c r="AV26" s="1422">
        <v>0</v>
      </c>
      <c r="AW26" s="1420">
        <v>2844.92</v>
      </c>
      <c r="AX26" s="1422">
        <v>0</v>
      </c>
      <c r="AY26" s="1420">
        <v>15175.6</v>
      </c>
      <c r="AZ26" s="1420">
        <v>731940.93</v>
      </c>
      <c r="BA26" s="1423">
        <f t="shared" si="3"/>
        <v>762292.13</v>
      </c>
      <c r="BB26" s="1420">
        <f t="shared" si="4"/>
        <v>16496796.850000001</v>
      </c>
      <c r="BC26" s="1433">
        <f t="shared" si="5"/>
        <v>10796.333017015708</v>
      </c>
      <c r="BD26" s="1433">
        <f t="shared" si="6"/>
        <v>1792.7604384816755</v>
      </c>
      <c r="BE26" s="1433">
        <f t="shared" si="7"/>
        <v>8.389646596858638</v>
      </c>
      <c r="BF26" s="1433">
        <f t="shared" si="8"/>
        <v>6320.7929515706801</v>
      </c>
      <c r="BG26" s="1433">
        <f t="shared" si="9"/>
        <v>2175.5076963350784</v>
      </c>
      <c r="BH26" s="1434">
        <f t="shared" si="10"/>
        <v>498.88228403141363</v>
      </c>
      <c r="BI26" s="1422">
        <v>9716</v>
      </c>
    </row>
    <row r="27" spans="1:61" ht="12.75" customHeight="1" thickBot="1">
      <c r="A27" s="1418" t="s">
        <v>629</v>
      </c>
      <c r="B27" s="1418" t="s">
        <v>630</v>
      </c>
      <c r="C27" s="1419">
        <v>557</v>
      </c>
      <c r="D27" s="1420">
        <v>482.36</v>
      </c>
      <c r="E27" s="1420">
        <v>522.74</v>
      </c>
      <c r="F27" s="1421">
        <v>-0.24</v>
      </c>
      <c r="G27" s="1420">
        <v>553.99</v>
      </c>
      <c r="H27" s="1420">
        <v>597.91999999999996</v>
      </c>
      <c r="I27" s="1422">
        <v>75341621</v>
      </c>
      <c r="J27" s="1422">
        <v>30</v>
      </c>
      <c r="K27" s="1422">
        <v>25</v>
      </c>
      <c r="L27" s="1422">
        <v>5</v>
      </c>
      <c r="M27" s="1422">
        <v>0</v>
      </c>
      <c r="N27" s="1420">
        <v>6.7</v>
      </c>
      <c r="O27" s="1420">
        <v>36.700000000000003</v>
      </c>
      <c r="P27" s="1423">
        <v>6526640.0999999996</v>
      </c>
      <c r="Q27" s="1424">
        <v>2443783.29</v>
      </c>
      <c r="R27" s="1425">
        <f t="shared" si="0"/>
        <v>2443783.29</v>
      </c>
      <c r="S27" s="1436">
        <v>9535.8700000000008</v>
      </c>
      <c r="T27" s="1427">
        <f t="shared" si="1"/>
        <v>9535.8700000000008</v>
      </c>
      <c r="U27" s="1428">
        <v>1831564</v>
      </c>
      <c r="V27" s="1422">
        <v>142886</v>
      </c>
      <c r="W27" s="1422">
        <v>0</v>
      </c>
      <c r="X27" s="1422">
        <v>93808</v>
      </c>
      <c r="Y27" s="1422">
        <v>0</v>
      </c>
      <c r="Z27" s="1422">
        <v>0</v>
      </c>
      <c r="AA27" s="1422">
        <v>0</v>
      </c>
      <c r="AB27" s="1422">
        <v>0</v>
      </c>
      <c r="AC27" s="1429">
        <v>0</v>
      </c>
      <c r="AD27" s="1422">
        <v>24730</v>
      </c>
      <c r="AE27" s="1420">
        <v>4578.3</v>
      </c>
      <c r="AF27" s="1422">
        <v>2000</v>
      </c>
      <c r="AG27" s="1422">
        <v>36933</v>
      </c>
      <c r="AH27" s="1422">
        <v>3516</v>
      </c>
      <c r="AI27" s="1422">
        <v>185504</v>
      </c>
      <c r="AJ27" s="1420">
        <v>21293.77</v>
      </c>
      <c r="AK27" s="1422">
        <v>24375</v>
      </c>
      <c r="AL27" s="1420">
        <v>2397.6799999999998</v>
      </c>
      <c r="AM27" s="1422">
        <v>0</v>
      </c>
      <c r="AN27" s="1429">
        <v>96131</v>
      </c>
      <c r="AO27" s="1422">
        <v>0</v>
      </c>
      <c r="AP27" s="1420">
        <v>932148.98</v>
      </c>
      <c r="AQ27" s="1430">
        <f t="shared" si="2"/>
        <v>3305734.73</v>
      </c>
      <c r="AR27" s="1431">
        <v>1412314.74</v>
      </c>
      <c r="AS27" s="1437">
        <v>0</v>
      </c>
      <c r="AT27" s="1422">
        <v>0</v>
      </c>
      <c r="AU27" s="1422">
        <v>0</v>
      </c>
      <c r="AV27" s="1422">
        <v>0</v>
      </c>
      <c r="AW27" s="1420">
        <v>158164.13</v>
      </c>
      <c r="AX27" s="1422">
        <v>0</v>
      </c>
      <c r="AY27" s="1420">
        <v>158164.13</v>
      </c>
      <c r="AZ27" s="1420">
        <v>413418.33</v>
      </c>
      <c r="BA27" s="1423">
        <f t="shared" si="3"/>
        <v>729746.59000000008</v>
      </c>
      <c r="BB27" s="1420">
        <f t="shared" si="4"/>
        <v>7901115.2200000007</v>
      </c>
      <c r="BC27" s="1433">
        <f t="shared" si="5"/>
        <v>14185.126068222622</v>
      </c>
      <c r="BD27" s="1433">
        <f t="shared" si="6"/>
        <v>4387.4026750448829</v>
      </c>
      <c r="BE27" s="1433">
        <f t="shared" si="7"/>
        <v>17.120053859964095</v>
      </c>
      <c r="BF27" s="1433">
        <f t="shared" si="8"/>
        <v>5934.8917953321361</v>
      </c>
      <c r="BG27" s="1433">
        <f t="shared" si="9"/>
        <v>2535.5740394973068</v>
      </c>
      <c r="BH27" s="1434">
        <f t="shared" si="10"/>
        <v>1310.1375044883305</v>
      </c>
      <c r="BI27" s="1422">
        <v>10384</v>
      </c>
    </row>
    <row r="28" spans="1:61" ht="12.75" customHeight="1" thickBot="1">
      <c r="A28" s="1418" t="s">
        <v>631</v>
      </c>
      <c r="B28" s="1418" t="s">
        <v>632</v>
      </c>
      <c r="C28" s="1419">
        <v>1867</v>
      </c>
      <c r="D28" s="1420">
        <v>218.54</v>
      </c>
      <c r="E28" s="1420">
        <v>1746.33</v>
      </c>
      <c r="F28" s="1421">
        <v>0.02</v>
      </c>
      <c r="G28" s="1420">
        <v>1855.72</v>
      </c>
      <c r="H28" s="1420">
        <v>1864.96</v>
      </c>
      <c r="I28" s="1422">
        <v>128099294</v>
      </c>
      <c r="J28" s="1422">
        <v>25</v>
      </c>
      <c r="K28" s="1422">
        <v>25</v>
      </c>
      <c r="L28" s="1422">
        <v>0</v>
      </c>
      <c r="M28" s="1422">
        <v>0</v>
      </c>
      <c r="N28" s="1420">
        <v>13.05</v>
      </c>
      <c r="O28" s="1420">
        <v>38.049999999999997</v>
      </c>
      <c r="P28" s="1423">
        <v>15445942.35</v>
      </c>
      <c r="Q28" s="1424">
        <v>4435748.0599999996</v>
      </c>
      <c r="R28" s="1425">
        <f t="shared" si="0"/>
        <v>4435748.0599999996</v>
      </c>
      <c r="S28" s="1426">
        <v>0</v>
      </c>
      <c r="T28" s="1427">
        <f t="shared" si="1"/>
        <v>0</v>
      </c>
      <c r="U28" s="1428">
        <v>8169716</v>
      </c>
      <c r="V28" s="1422">
        <v>110641</v>
      </c>
      <c r="W28" s="1422">
        <v>48583</v>
      </c>
      <c r="X28" s="1422">
        <v>0</v>
      </c>
      <c r="Y28" s="1422">
        <v>0</v>
      </c>
      <c r="Z28" s="1422">
        <v>0</v>
      </c>
      <c r="AA28" s="1422">
        <v>0</v>
      </c>
      <c r="AB28" s="1422">
        <v>0</v>
      </c>
      <c r="AC28" s="1429">
        <v>0</v>
      </c>
      <c r="AD28" s="1422">
        <v>77135</v>
      </c>
      <c r="AE28" s="1420">
        <v>14933.06</v>
      </c>
      <c r="AF28" s="1422">
        <v>2726</v>
      </c>
      <c r="AG28" s="1422">
        <v>68258</v>
      </c>
      <c r="AH28" s="1422">
        <v>89072</v>
      </c>
      <c r="AI28" s="1422">
        <v>528240</v>
      </c>
      <c r="AJ28" s="1420">
        <v>158016.79</v>
      </c>
      <c r="AK28" s="1422">
        <v>29250</v>
      </c>
      <c r="AL28" s="1420">
        <v>6124.61</v>
      </c>
      <c r="AM28" s="1422">
        <v>0</v>
      </c>
      <c r="AN28" s="1429">
        <v>0</v>
      </c>
      <c r="AO28" s="1422">
        <v>0</v>
      </c>
      <c r="AP28" s="1420">
        <v>436219.25</v>
      </c>
      <c r="AQ28" s="1430">
        <f t="shared" si="2"/>
        <v>9738914.709999999</v>
      </c>
      <c r="AR28" s="1431">
        <v>2680583.06</v>
      </c>
      <c r="AS28" s="1437">
        <v>1500000</v>
      </c>
      <c r="AT28" s="1422">
        <v>0</v>
      </c>
      <c r="AU28" s="1422">
        <v>0</v>
      </c>
      <c r="AV28" s="1422">
        <v>0</v>
      </c>
      <c r="AW28" s="1420">
        <v>84562.3</v>
      </c>
      <c r="AX28" s="1422">
        <v>0</v>
      </c>
      <c r="AY28" s="1420">
        <v>1584562.3</v>
      </c>
      <c r="AZ28" s="1420">
        <v>714114.67</v>
      </c>
      <c r="BA28" s="1423">
        <f t="shared" si="3"/>
        <v>2383239.27</v>
      </c>
      <c r="BB28" s="1420">
        <f t="shared" si="4"/>
        <v>19238485.099999998</v>
      </c>
      <c r="BC28" s="1433">
        <f t="shared" si="5"/>
        <v>10304.49121585431</v>
      </c>
      <c r="BD28" s="1433">
        <f t="shared" si="6"/>
        <v>2375.8693411890731</v>
      </c>
      <c r="BE28" s="1433">
        <f t="shared" si="7"/>
        <v>0</v>
      </c>
      <c r="BF28" s="1433">
        <f t="shared" si="8"/>
        <v>5216.3442474558105</v>
      </c>
      <c r="BG28" s="1433">
        <f t="shared" si="9"/>
        <v>1435.7702517407606</v>
      </c>
      <c r="BH28" s="1434">
        <f t="shared" si="10"/>
        <v>1276.5073754686664</v>
      </c>
      <c r="BI28" s="1422">
        <v>9498</v>
      </c>
    </row>
    <row r="29" spans="1:61" ht="12.75" customHeight="1" thickBot="1">
      <c r="A29" s="1418" t="s">
        <v>633</v>
      </c>
      <c r="B29" s="1418" t="s">
        <v>634</v>
      </c>
      <c r="C29" s="1419">
        <v>650</v>
      </c>
      <c r="D29" s="1420">
        <v>158.04</v>
      </c>
      <c r="E29" s="1420">
        <v>606.85</v>
      </c>
      <c r="F29" s="1421">
        <v>-0.03</v>
      </c>
      <c r="G29" s="1420">
        <v>643.33000000000004</v>
      </c>
      <c r="H29" s="1420">
        <v>650.82000000000005</v>
      </c>
      <c r="I29" s="1422">
        <v>200052616</v>
      </c>
      <c r="J29" s="1422">
        <v>25</v>
      </c>
      <c r="K29" s="1422">
        <v>25</v>
      </c>
      <c r="L29" s="1422">
        <v>0</v>
      </c>
      <c r="M29" s="1422">
        <v>0</v>
      </c>
      <c r="N29" s="1420">
        <v>11.13</v>
      </c>
      <c r="O29" s="1420">
        <v>36.130000000000003</v>
      </c>
      <c r="P29" s="1423">
        <v>13946945.529999999</v>
      </c>
      <c r="Q29" s="1424">
        <v>6490219.9000000004</v>
      </c>
      <c r="R29" s="1425">
        <f t="shared" si="0"/>
        <v>6490219.9000000004</v>
      </c>
      <c r="S29" s="1426">
        <v>0</v>
      </c>
      <c r="T29" s="1427">
        <f t="shared" si="1"/>
        <v>0</v>
      </c>
      <c r="U29" s="1428">
        <v>0</v>
      </c>
      <c r="V29" s="1422">
        <v>0</v>
      </c>
      <c r="W29" s="1422">
        <v>0</v>
      </c>
      <c r="X29" s="1422">
        <v>8944</v>
      </c>
      <c r="Y29" s="1422">
        <v>0</v>
      </c>
      <c r="Z29" s="1422">
        <v>0</v>
      </c>
      <c r="AA29" s="1422">
        <v>0</v>
      </c>
      <c r="AB29" s="1422">
        <v>0</v>
      </c>
      <c r="AC29" s="1429">
        <v>0</v>
      </c>
      <c r="AD29" s="1422">
        <v>26918</v>
      </c>
      <c r="AE29" s="1420">
        <v>2673.65</v>
      </c>
      <c r="AF29" s="1422">
        <v>950</v>
      </c>
      <c r="AG29" s="1422">
        <v>62245</v>
      </c>
      <c r="AH29" s="1422">
        <v>7911</v>
      </c>
      <c r="AI29" s="1420">
        <v>169007.94</v>
      </c>
      <c r="AJ29" s="1420">
        <v>222321.01</v>
      </c>
      <c r="AK29" s="1422">
        <v>0</v>
      </c>
      <c r="AL29" s="1420">
        <v>2448.17</v>
      </c>
      <c r="AM29" s="1422">
        <v>0</v>
      </c>
      <c r="AN29" s="1429">
        <v>190998</v>
      </c>
      <c r="AO29" s="1422">
        <v>0</v>
      </c>
      <c r="AP29" s="1422">
        <v>0</v>
      </c>
      <c r="AQ29" s="1430">
        <f t="shared" si="2"/>
        <v>503418.77</v>
      </c>
      <c r="AR29" s="1431">
        <v>2001702.5</v>
      </c>
      <c r="AS29" s="1437">
        <v>0</v>
      </c>
      <c r="AT29" s="1422">
        <v>0</v>
      </c>
      <c r="AU29" s="1422">
        <v>0</v>
      </c>
      <c r="AV29" s="1422">
        <v>2726</v>
      </c>
      <c r="AW29" s="1422">
        <v>0</v>
      </c>
      <c r="AX29" s="1422">
        <v>0</v>
      </c>
      <c r="AY29" s="1422">
        <v>2726</v>
      </c>
      <c r="AZ29" s="1420">
        <v>423917.57</v>
      </c>
      <c r="BA29" s="1423">
        <f t="shared" si="3"/>
        <v>429369.57</v>
      </c>
      <c r="BB29" s="1420">
        <f t="shared" si="4"/>
        <v>9424710.7400000002</v>
      </c>
      <c r="BC29" s="1433">
        <f t="shared" si="5"/>
        <v>14499.554984615384</v>
      </c>
      <c r="BD29" s="1433">
        <f t="shared" si="6"/>
        <v>9984.9536923076921</v>
      </c>
      <c r="BE29" s="1433">
        <f t="shared" si="7"/>
        <v>0</v>
      </c>
      <c r="BF29" s="1433">
        <f t="shared" si="8"/>
        <v>774.4904153846154</v>
      </c>
      <c r="BG29" s="1433">
        <f t="shared" si="9"/>
        <v>3079.5423076923075</v>
      </c>
      <c r="BH29" s="1434">
        <f t="shared" si="10"/>
        <v>660.56856923076919</v>
      </c>
      <c r="BI29" s="1422">
        <v>11437</v>
      </c>
    </row>
    <row r="30" spans="1:61" ht="12.75" customHeight="1" thickBot="1">
      <c r="A30" s="1418" t="s">
        <v>635</v>
      </c>
      <c r="B30" s="1418" t="s">
        <v>636</v>
      </c>
      <c r="C30" s="1419">
        <v>1206</v>
      </c>
      <c r="D30" s="1420">
        <v>182.72</v>
      </c>
      <c r="E30" s="1420">
        <v>1155.3800000000001</v>
      </c>
      <c r="F30" s="1421">
        <v>-0.02</v>
      </c>
      <c r="G30" s="1420">
        <v>1220.04</v>
      </c>
      <c r="H30" s="1420">
        <v>1228.21</v>
      </c>
      <c r="I30" s="1422">
        <v>73828426</v>
      </c>
      <c r="J30" s="1422">
        <v>25</v>
      </c>
      <c r="K30" s="1422">
        <v>25</v>
      </c>
      <c r="L30" s="1422">
        <v>0</v>
      </c>
      <c r="M30" s="1422">
        <v>0</v>
      </c>
      <c r="N30" s="1422">
        <v>11</v>
      </c>
      <c r="O30" s="1422">
        <v>36</v>
      </c>
      <c r="P30" s="1438">
        <v>8155000</v>
      </c>
      <c r="Q30" s="1424">
        <v>2463149.9500000002</v>
      </c>
      <c r="R30" s="1425">
        <f t="shared" si="0"/>
        <v>2463149.9500000002</v>
      </c>
      <c r="S30" s="1426">
        <v>0</v>
      </c>
      <c r="T30" s="1427">
        <f t="shared" si="1"/>
        <v>0</v>
      </c>
      <c r="U30" s="1428">
        <v>5670099</v>
      </c>
      <c r="V30" s="1422">
        <v>34819</v>
      </c>
      <c r="W30" s="1422">
        <v>110320</v>
      </c>
      <c r="X30" s="1422">
        <v>0</v>
      </c>
      <c r="Y30" s="1422">
        <v>0</v>
      </c>
      <c r="Z30" s="1422">
        <v>0</v>
      </c>
      <c r="AA30" s="1422">
        <v>0</v>
      </c>
      <c r="AB30" s="1422">
        <v>0</v>
      </c>
      <c r="AC30" s="1429">
        <v>0</v>
      </c>
      <c r="AD30" s="1422">
        <v>50799</v>
      </c>
      <c r="AE30" s="1420">
        <v>10196.1</v>
      </c>
      <c r="AF30" s="1422">
        <v>1455</v>
      </c>
      <c r="AG30" s="1422">
        <v>75612</v>
      </c>
      <c r="AH30" s="1422">
        <v>95225</v>
      </c>
      <c r="AI30" s="1422">
        <v>927520</v>
      </c>
      <c r="AJ30" s="1420">
        <v>147975.34</v>
      </c>
      <c r="AK30" s="1422">
        <v>27625</v>
      </c>
      <c r="AL30" s="1420">
        <v>4755.3500000000004</v>
      </c>
      <c r="AM30" s="1422">
        <v>0</v>
      </c>
      <c r="AN30" s="1429">
        <v>0</v>
      </c>
      <c r="AO30" s="1422">
        <v>0</v>
      </c>
      <c r="AP30" s="1420">
        <v>437933.39</v>
      </c>
      <c r="AQ30" s="1430">
        <f t="shared" si="2"/>
        <v>7594334.1799999988</v>
      </c>
      <c r="AR30" s="1431">
        <v>2146814.59</v>
      </c>
      <c r="AS30" s="1432">
        <v>1053513.23</v>
      </c>
      <c r="AT30" s="1422">
        <v>0</v>
      </c>
      <c r="AU30" s="1422">
        <v>0</v>
      </c>
      <c r="AV30" s="1422">
        <v>0</v>
      </c>
      <c r="AW30" s="1420">
        <v>62612.06</v>
      </c>
      <c r="AX30" s="1422">
        <v>0</v>
      </c>
      <c r="AY30" s="1420">
        <v>1116125.29</v>
      </c>
      <c r="AZ30" s="1420">
        <v>472866.43</v>
      </c>
      <c r="BA30" s="1423">
        <f t="shared" si="3"/>
        <v>1651603.78</v>
      </c>
      <c r="BB30" s="1420">
        <f t="shared" si="4"/>
        <v>13855902.5</v>
      </c>
      <c r="BC30" s="1433">
        <f t="shared" si="5"/>
        <v>11489.139718076285</v>
      </c>
      <c r="BD30" s="1433">
        <f t="shared" si="6"/>
        <v>2042.4128938640133</v>
      </c>
      <c r="BE30" s="1433">
        <f t="shared" si="7"/>
        <v>0</v>
      </c>
      <c r="BF30" s="1433">
        <f t="shared" si="8"/>
        <v>6297.1261857379759</v>
      </c>
      <c r="BG30" s="1433">
        <f t="shared" si="9"/>
        <v>1780.1116003316749</v>
      </c>
      <c r="BH30" s="1434">
        <f t="shared" si="10"/>
        <v>1369.4890381426203</v>
      </c>
      <c r="BI30" s="1422">
        <v>8468</v>
      </c>
    </row>
    <row r="31" spans="1:61" ht="12.75" customHeight="1" thickBot="1">
      <c r="A31" s="1418" t="s">
        <v>637</v>
      </c>
      <c r="B31" s="1418" t="s">
        <v>638</v>
      </c>
      <c r="C31" s="1419">
        <v>418</v>
      </c>
      <c r="D31" s="1420">
        <v>242.56</v>
      </c>
      <c r="E31" s="1420">
        <v>412.49</v>
      </c>
      <c r="F31" s="1421">
        <v>-0.27</v>
      </c>
      <c r="G31" s="1420">
        <v>424.3</v>
      </c>
      <c r="H31" s="1420">
        <v>438.16</v>
      </c>
      <c r="I31" s="1422">
        <v>30211193</v>
      </c>
      <c r="J31" s="1422">
        <v>25</v>
      </c>
      <c r="K31" s="1422">
        <v>25</v>
      </c>
      <c r="L31" s="1422">
        <v>0</v>
      </c>
      <c r="M31" s="1422">
        <v>0</v>
      </c>
      <c r="N31" s="1420">
        <v>16.809999999999999</v>
      </c>
      <c r="O31" s="1420">
        <v>41.81</v>
      </c>
      <c r="P31" s="1423">
        <v>3109817.59</v>
      </c>
      <c r="Q31" s="1424">
        <v>1169817.69</v>
      </c>
      <c r="R31" s="1425">
        <f t="shared" si="0"/>
        <v>1169817.69</v>
      </c>
      <c r="S31" s="1426">
        <v>0</v>
      </c>
      <c r="T31" s="1427">
        <f t="shared" si="1"/>
        <v>0</v>
      </c>
      <c r="U31" s="1428">
        <v>1888703</v>
      </c>
      <c r="V31" s="1422">
        <v>5248</v>
      </c>
      <c r="W31" s="1422">
        <v>0</v>
      </c>
      <c r="X31" s="1422">
        <v>0</v>
      </c>
      <c r="Y31" s="1422">
        <v>0</v>
      </c>
      <c r="Z31" s="1422">
        <v>0</v>
      </c>
      <c r="AA31" s="1422">
        <v>8247</v>
      </c>
      <c r="AB31" s="1420">
        <v>2518.41</v>
      </c>
      <c r="AC31" s="1435">
        <v>282036.14</v>
      </c>
      <c r="AD31" s="1422">
        <v>18122</v>
      </c>
      <c r="AE31" s="1420">
        <v>239451.68</v>
      </c>
      <c r="AF31" s="1422">
        <v>0</v>
      </c>
      <c r="AG31" s="1422">
        <v>11295</v>
      </c>
      <c r="AH31" s="1422">
        <v>1465</v>
      </c>
      <c r="AI31" s="1422">
        <v>619008</v>
      </c>
      <c r="AJ31" s="1420">
        <v>1794.99</v>
      </c>
      <c r="AK31" s="1420">
        <v>7041.76</v>
      </c>
      <c r="AL31" s="1420">
        <v>2351.9699999999998</v>
      </c>
      <c r="AM31" s="1422">
        <v>0</v>
      </c>
      <c r="AN31" s="1429">
        <v>48600</v>
      </c>
      <c r="AO31" s="1422">
        <v>0</v>
      </c>
      <c r="AP31" s="1422">
        <v>36651</v>
      </c>
      <c r="AQ31" s="1430">
        <f t="shared" si="2"/>
        <v>2841897.81</v>
      </c>
      <c r="AR31" s="1431">
        <v>2148393.9</v>
      </c>
      <c r="AS31" s="1437">
        <v>0</v>
      </c>
      <c r="AT31" s="1422">
        <v>0</v>
      </c>
      <c r="AU31" s="1420">
        <v>8324.24</v>
      </c>
      <c r="AV31" s="1422">
        <v>0</v>
      </c>
      <c r="AW31" s="1422">
        <v>1597</v>
      </c>
      <c r="AX31" s="1422">
        <v>0</v>
      </c>
      <c r="AY31" s="1420">
        <v>9921.24</v>
      </c>
      <c r="AZ31" s="1420">
        <v>196368.49</v>
      </c>
      <c r="BA31" s="1423">
        <f t="shared" si="3"/>
        <v>216210.97</v>
      </c>
      <c r="BB31" s="1420">
        <f t="shared" si="4"/>
        <v>6376320.3699999992</v>
      </c>
      <c r="BC31" s="1433">
        <f t="shared" si="5"/>
        <v>15254.354952153108</v>
      </c>
      <c r="BD31" s="1433">
        <f t="shared" si="6"/>
        <v>2798.6069138755979</v>
      </c>
      <c r="BE31" s="1433">
        <f t="shared" si="7"/>
        <v>0</v>
      </c>
      <c r="BF31" s="1433">
        <f t="shared" si="8"/>
        <v>6798.7985885167463</v>
      </c>
      <c r="BG31" s="1433">
        <f t="shared" si="9"/>
        <v>5139.6983253588514</v>
      </c>
      <c r="BH31" s="1434">
        <f t="shared" si="10"/>
        <v>517.2511244019139</v>
      </c>
      <c r="BI31" s="1422">
        <v>13555</v>
      </c>
    </row>
    <row r="32" spans="1:61" ht="12.75" customHeight="1" thickBot="1">
      <c r="A32" s="1418" t="s">
        <v>639</v>
      </c>
      <c r="B32" s="1418" t="s">
        <v>640</v>
      </c>
      <c r="C32" s="1419">
        <v>1156</v>
      </c>
      <c r="D32" s="1420">
        <v>587.09</v>
      </c>
      <c r="E32" s="1420">
        <v>1115.07</v>
      </c>
      <c r="F32" s="1421">
        <v>-0.24</v>
      </c>
      <c r="G32" s="1420">
        <v>1161.53</v>
      </c>
      <c r="H32" s="1420">
        <v>1188.8900000000001</v>
      </c>
      <c r="I32" s="1439"/>
      <c r="J32" s="1422">
        <v>25</v>
      </c>
      <c r="K32" s="1422">
        <v>25</v>
      </c>
      <c r="L32" s="1422">
        <v>0</v>
      </c>
      <c r="M32" s="1422">
        <v>0</v>
      </c>
      <c r="N32" s="1420">
        <v>14.8</v>
      </c>
      <c r="O32" s="1420">
        <v>39.799999999999997</v>
      </c>
      <c r="P32" s="1438">
        <v>2890000</v>
      </c>
      <c r="Q32" s="1424">
        <v>4041005.35</v>
      </c>
      <c r="R32" s="1425">
        <f t="shared" si="0"/>
        <v>4041005.35</v>
      </c>
      <c r="S32" s="1426">
        <v>0</v>
      </c>
      <c r="T32" s="1427">
        <f t="shared" si="1"/>
        <v>0</v>
      </c>
      <c r="U32" s="1428">
        <v>4574431</v>
      </c>
      <c r="V32" s="1422">
        <v>30862</v>
      </c>
      <c r="W32" s="1422">
        <v>0</v>
      </c>
      <c r="X32" s="1422">
        <v>186020</v>
      </c>
      <c r="Y32" s="1422">
        <v>0</v>
      </c>
      <c r="Z32" s="1422">
        <v>0</v>
      </c>
      <c r="AA32" s="1422">
        <v>0</v>
      </c>
      <c r="AB32" s="1422">
        <v>57156</v>
      </c>
      <c r="AC32" s="1429">
        <v>0</v>
      </c>
      <c r="AD32" s="1422">
        <v>49172</v>
      </c>
      <c r="AE32" s="1420">
        <v>38058.42</v>
      </c>
      <c r="AF32" s="1422">
        <v>50</v>
      </c>
      <c r="AG32" s="1422">
        <v>29294</v>
      </c>
      <c r="AH32" s="1422">
        <v>26370</v>
      </c>
      <c r="AI32" s="1422">
        <v>981088</v>
      </c>
      <c r="AJ32" s="1420">
        <v>4870.4799999999996</v>
      </c>
      <c r="AK32" s="1420">
        <v>12221.14</v>
      </c>
      <c r="AL32" s="1420">
        <v>5743.87</v>
      </c>
      <c r="AM32" s="1422">
        <v>0</v>
      </c>
      <c r="AN32" s="1429">
        <v>476280</v>
      </c>
      <c r="AO32" s="1422">
        <v>0</v>
      </c>
      <c r="AP32" s="1420">
        <v>405752.75</v>
      </c>
      <c r="AQ32" s="1430">
        <f t="shared" si="2"/>
        <v>6401089.6600000001</v>
      </c>
      <c r="AR32" s="1431">
        <v>4164602.69</v>
      </c>
      <c r="AS32" s="1432">
        <v>-535935.84</v>
      </c>
      <c r="AT32" s="1422">
        <v>0</v>
      </c>
      <c r="AU32" s="1422">
        <v>0</v>
      </c>
      <c r="AV32" s="1422">
        <v>0</v>
      </c>
      <c r="AW32" s="1420">
        <v>19899.25</v>
      </c>
      <c r="AX32" s="1422">
        <v>0</v>
      </c>
      <c r="AY32" s="1420">
        <v>-516036.59</v>
      </c>
      <c r="AZ32" s="1420">
        <v>430400.5</v>
      </c>
      <c r="BA32" s="1423">
        <f t="shared" si="3"/>
        <v>-65736.840000000026</v>
      </c>
      <c r="BB32" s="1420">
        <f t="shared" si="4"/>
        <v>14540960.859999999</v>
      </c>
      <c r="BC32" s="1433">
        <f t="shared" si="5"/>
        <v>12578.685865051903</v>
      </c>
      <c r="BD32" s="1433">
        <f t="shared" si="6"/>
        <v>3495.6793685121106</v>
      </c>
      <c r="BE32" s="1433">
        <f t="shared" si="7"/>
        <v>0</v>
      </c>
      <c r="BF32" s="1433">
        <f t="shared" si="8"/>
        <v>5537.2747923875431</v>
      </c>
      <c r="BG32" s="1433">
        <f t="shared" si="9"/>
        <v>3602.5974826989618</v>
      </c>
      <c r="BH32" s="1434">
        <f t="shared" si="10"/>
        <v>-56.865778546712825</v>
      </c>
      <c r="BI32" s="1422">
        <v>11700</v>
      </c>
    </row>
    <row r="33" spans="1:61" ht="12.75" customHeight="1" thickBot="1">
      <c r="A33" s="1418" t="s">
        <v>641</v>
      </c>
      <c r="B33" s="1418" t="s">
        <v>642</v>
      </c>
      <c r="C33" s="1419">
        <v>1953</v>
      </c>
      <c r="D33" s="1420">
        <v>329.82</v>
      </c>
      <c r="E33" s="1422">
        <v>1875</v>
      </c>
      <c r="F33" s="1421">
        <v>-0.11</v>
      </c>
      <c r="G33" s="1420">
        <v>1942.25</v>
      </c>
      <c r="H33" s="1420">
        <v>1920.16</v>
      </c>
      <c r="I33" s="1422">
        <v>186657358</v>
      </c>
      <c r="J33" s="1422">
        <v>25</v>
      </c>
      <c r="K33" s="1422">
        <v>25</v>
      </c>
      <c r="L33" s="1422">
        <v>0</v>
      </c>
      <c r="M33" s="1422">
        <v>0</v>
      </c>
      <c r="N33" s="1420">
        <v>13.9</v>
      </c>
      <c r="O33" s="1420">
        <v>38.9</v>
      </c>
      <c r="P33" s="1438">
        <v>9320000</v>
      </c>
      <c r="Q33" s="1424">
        <v>6678629.1399999997</v>
      </c>
      <c r="R33" s="1425">
        <f t="shared" si="0"/>
        <v>6678629.1399999997</v>
      </c>
      <c r="S33" s="1436">
        <v>18401.490000000002</v>
      </c>
      <c r="T33" s="1427">
        <f t="shared" si="1"/>
        <v>18401.490000000002</v>
      </c>
      <c r="U33" s="1428">
        <v>7201754</v>
      </c>
      <c r="V33" s="1422">
        <v>59119</v>
      </c>
      <c r="W33" s="1422">
        <v>0</v>
      </c>
      <c r="X33" s="1422">
        <v>217340</v>
      </c>
      <c r="Y33" s="1422">
        <v>0</v>
      </c>
      <c r="Z33" s="1422">
        <v>0</v>
      </c>
      <c r="AA33" s="1422">
        <v>0</v>
      </c>
      <c r="AB33" s="1422">
        <v>0</v>
      </c>
      <c r="AC33" s="1435">
        <v>128804.82</v>
      </c>
      <c r="AD33" s="1422">
        <v>79418</v>
      </c>
      <c r="AE33" s="1420">
        <v>10148.540000000001</v>
      </c>
      <c r="AF33" s="1422">
        <v>5350</v>
      </c>
      <c r="AG33" s="1422">
        <v>58182</v>
      </c>
      <c r="AH33" s="1422">
        <v>3809</v>
      </c>
      <c r="AI33" s="1422">
        <v>514352</v>
      </c>
      <c r="AJ33" s="1420">
        <v>21441.17</v>
      </c>
      <c r="AK33" s="1420">
        <v>47065.599999999999</v>
      </c>
      <c r="AL33" s="1420">
        <v>7148.91</v>
      </c>
      <c r="AM33" s="1422">
        <v>0</v>
      </c>
      <c r="AN33" s="1429">
        <v>220173</v>
      </c>
      <c r="AO33" s="1422">
        <v>0</v>
      </c>
      <c r="AP33" s="1420">
        <v>90470.89</v>
      </c>
      <c r="AQ33" s="1430">
        <f t="shared" si="2"/>
        <v>8315599.1099999994</v>
      </c>
      <c r="AR33" s="1431">
        <v>3741408.48</v>
      </c>
      <c r="AS33" s="1437">
        <v>0</v>
      </c>
      <c r="AT33" s="1422">
        <v>0</v>
      </c>
      <c r="AU33" s="1422">
        <v>27000</v>
      </c>
      <c r="AV33" s="1422">
        <v>0</v>
      </c>
      <c r="AW33" s="1420">
        <v>621408.99</v>
      </c>
      <c r="AX33" s="1422">
        <v>0</v>
      </c>
      <c r="AY33" s="1420">
        <v>648408.99</v>
      </c>
      <c r="AZ33" s="1420">
        <v>862182.53</v>
      </c>
      <c r="BA33" s="1423">
        <f t="shared" si="3"/>
        <v>2159000.5099999998</v>
      </c>
      <c r="BB33" s="1420">
        <f t="shared" si="4"/>
        <v>20913038.73</v>
      </c>
      <c r="BC33" s="1433">
        <f t="shared" si="5"/>
        <v>10708.161152073733</v>
      </c>
      <c r="BD33" s="1433">
        <f t="shared" si="6"/>
        <v>3419.6769790066564</v>
      </c>
      <c r="BE33" s="1433">
        <f t="shared" si="7"/>
        <v>9.4221658986175125</v>
      </c>
      <c r="BF33" s="1433">
        <f t="shared" si="8"/>
        <v>4257.8592473118279</v>
      </c>
      <c r="BG33" s="1433">
        <f t="shared" si="9"/>
        <v>1915.7237480798772</v>
      </c>
      <c r="BH33" s="1434">
        <f t="shared" si="10"/>
        <v>1105.4790117767536</v>
      </c>
      <c r="BI33" s="1422">
        <v>9445</v>
      </c>
    </row>
    <row r="34" spans="1:61" ht="12.75" customHeight="1" thickBot="1">
      <c r="A34" s="1418" t="s">
        <v>643</v>
      </c>
      <c r="B34" s="1418" t="s">
        <v>644</v>
      </c>
      <c r="C34" s="1419">
        <v>758</v>
      </c>
      <c r="D34" s="1420">
        <v>339.62</v>
      </c>
      <c r="E34" s="1420">
        <v>706.87</v>
      </c>
      <c r="F34" s="1421">
        <v>-0.12</v>
      </c>
      <c r="G34" s="1420">
        <v>749.83</v>
      </c>
      <c r="H34" s="1420">
        <v>770.63</v>
      </c>
      <c r="I34" s="1422">
        <v>58642245</v>
      </c>
      <c r="J34" s="1422">
        <v>25</v>
      </c>
      <c r="K34" s="1422">
        <v>25</v>
      </c>
      <c r="L34" s="1422">
        <v>0</v>
      </c>
      <c r="M34" s="1422">
        <v>0</v>
      </c>
      <c r="N34" s="1422">
        <v>11</v>
      </c>
      <c r="O34" s="1422">
        <v>36</v>
      </c>
      <c r="P34" s="1438">
        <v>5802400</v>
      </c>
      <c r="Q34" s="1424">
        <v>2048565.48</v>
      </c>
      <c r="R34" s="1425">
        <f t="shared" si="0"/>
        <v>2048565.48</v>
      </c>
      <c r="S34" s="1436">
        <v>7385.19</v>
      </c>
      <c r="T34" s="1427">
        <f t="shared" si="1"/>
        <v>7385.19</v>
      </c>
      <c r="U34" s="1428">
        <v>3235662</v>
      </c>
      <c r="V34" s="1422">
        <v>10821</v>
      </c>
      <c r="W34" s="1422">
        <v>0</v>
      </c>
      <c r="X34" s="1422">
        <v>21803</v>
      </c>
      <c r="Y34" s="1422">
        <v>0</v>
      </c>
      <c r="Z34" s="1422">
        <v>0</v>
      </c>
      <c r="AA34" s="1422">
        <v>0</v>
      </c>
      <c r="AB34" s="1422">
        <v>0</v>
      </c>
      <c r="AC34" s="1429">
        <v>0</v>
      </c>
      <c r="AD34" s="1422">
        <v>31873</v>
      </c>
      <c r="AE34" s="1420">
        <v>37876.35</v>
      </c>
      <c r="AF34" s="1422">
        <v>150</v>
      </c>
      <c r="AG34" s="1422">
        <v>42905</v>
      </c>
      <c r="AH34" s="1422">
        <v>11134</v>
      </c>
      <c r="AI34" s="1422">
        <v>550560</v>
      </c>
      <c r="AJ34" s="1420">
        <v>98882.35</v>
      </c>
      <c r="AK34" s="1420">
        <v>27833.58</v>
      </c>
      <c r="AL34" s="1420">
        <v>3148.4</v>
      </c>
      <c r="AM34" s="1422">
        <v>0</v>
      </c>
      <c r="AN34" s="1429">
        <v>194400</v>
      </c>
      <c r="AO34" s="1422">
        <v>0</v>
      </c>
      <c r="AP34" s="1422">
        <v>210972</v>
      </c>
      <c r="AQ34" s="1430">
        <f t="shared" si="2"/>
        <v>4283620.68</v>
      </c>
      <c r="AR34" s="1431">
        <v>1512779.17</v>
      </c>
      <c r="AS34" s="1437">
        <v>0</v>
      </c>
      <c r="AT34" s="1422">
        <v>0</v>
      </c>
      <c r="AU34" s="1420">
        <v>4625.4799999999996</v>
      </c>
      <c r="AV34" s="1422">
        <v>0</v>
      </c>
      <c r="AW34" s="1422">
        <v>0</v>
      </c>
      <c r="AX34" s="1422">
        <v>0</v>
      </c>
      <c r="AY34" s="1420">
        <v>4625.4799999999996</v>
      </c>
      <c r="AZ34" s="1420">
        <v>358622.43</v>
      </c>
      <c r="BA34" s="1423">
        <f t="shared" si="3"/>
        <v>367873.39</v>
      </c>
      <c r="BB34" s="1420">
        <f t="shared" si="4"/>
        <v>8220223.9100000001</v>
      </c>
      <c r="BC34" s="1433">
        <f t="shared" si="5"/>
        <v>10844.622572559367</v>
      </c>
      <c r="BD34" s="1433">
        <f t="shared" si="6"/>
        <v>2702.592981530343</v>
      </c>
      <c r="BE34" s="1433">
        <f t="shared" si="7"/>
        <v>9.7429947229551441</v>
      </c>
      <c r="BF34" s="1433">
        <f t="shared" si="8"/>
        <v>5651.2146174142472</v>
      </c>
      <c r="BG34" s="1433">
        <f t="shared" si="9"/>
        <v>1995.7508839050131</v>
      </c>
      <c r="BH34" s="1434">
        <f t="shared" si="10"/>
        <v>485.3210949868074</v>
      </c>
      <c r="BI34" s="1422">
        <v>9926</v>
      </c>
    </row>
    <row r="35" spans="1:61" ht="12.75" customHeight="1" thickBot="1">
      <c r="A35" s="1418" t="s">
        <v>645</v>
      </c>
      <c r="B35" s="1418" t="s">
        <v>646</v>
      </c>
      <c r="C35" s="1419">
        <v>1036</v>
      </c>
      <c r="D35" s="1420">
        <v>367.29</v>
      </c>
      <c r="E35" s="1420">
        <v>966.39</v>
      </c>
      <c r="F35" s="1421">
        <v>-0.13</v>
      </c>
      <c r="G35" s="1420">
        <v>1023.67</v>
      </c>
      <c r="H35" s="1420">
        <v>1056.26</v>
      </c>
      <c r="I35" s="1422">
        <v>88968822</v>
      </c>
      <c r="J35" s="1422">
        <v>25</v>
      </c>
      <c r="K35" s="1422">
        <v>25</v>
      </c>
      <c r="L35" s="1422">
        <v>0</v>
      </c>
      <c r="M35" s="1422">
        <v>0</v>
      </c>
      <c r="N35" s="1420">
        <v>6.5</v>
      </c>
      <c r="O35" s="1420">
        <v>31.5</v>
      </c>
      <c r="P35" s="1438">
        <v>4380000</v>
      </c>
      <c r="Q35" s="1424">
        <v>2588320.0299999998</v>
      </c>
      <c r="R35" s="1425">
        <f t="shared" si="0"/>
        <v>2588320.0299999998</v>
      </c>
      <c r="S35" s="1426">
        <v>0</v>
      </c>
      <c r="T35" s="1427">
        <f t="shared" si="1"/>
        <v>0</v>
      </c>
      <c r="U35" s="1428">
        <v>4248117</v>
      </c>
      <c r="V35" s="1422">
        <v>82506</v>
      </c>
      <c r="W35" s="1422">
        <v>0</v>
      </c>
      <c r="X35" s="1422">
        <v>46437</v>
      </c>
      <c r="Y35" s="1422">
        <v>0</v>
      </c>
      <c r="Z35" s="1422">
        <v>0</v>
      </c>
      <c r="AA35" s="1422">
        <v>0</v>
      </c>
      <c r="AB35" s="1422">
        <v>0</v>
      </c>
      <c r="AC35" s="1429">
        <v>0</v>
      </c>
      <c r="AD35" s="1422">
        <v>43687</v>
      </c>
      <c r="AE35" s="1420">
        <v>1802.76</v>
      </c>
      <c r="AF35" s="1422">
        <v>50</v>
      </c>
      <c r="AG35" s="1422">
        <v>30838</v>
      </c>
      <c r="AH35" s="1422">
        <v>0</v>
      </c>
      <c r="AI35" s="1422">
        <v>494014</v>
      </c>
      <c r="AJ35" s="1420">
        <v>66408.56</v>
      </c>
      <c r="AK35" s="1422">
        <v>0</v>
      </c>
      <c r="AL35" s="1420">
        <v>4025.24</v>
      </c>
      <c r="AM35" s="1422">
        <v>0</v>
      </c>
      <c r="AN35" s="1429">
        <v>0</v>
      </c>
      <c r="AO35" s="1422">
        <v>0</v>
      </c>
      <c r="AP35" s="1422">
        <v>24317</v>
      </c>
      <c r="AQ35" s="1430">
        <f t="shared" si="2"/>
        <v>5042202.5599999996</v>
      </c>
      <c r="AR35" s="1431">
        <v>1782302.07</v>
      </c>
      <c r="AS35" s="1437">
        <v>0</v>
      </c>
      <c r="AT35" s="1422">
        <v>0</v>
      </c>
      <c r="AU35" s="1422">
        <v>5500</v>
      </c>
      <c r="AV35" s="1422">
        <v>0</v>
      </c>
      <c r="AW35" s="1422">
        <v>0</v>
      </c>
      <c r="AX35" s="1422">
        <v>0</v>
      </c>
      <c r="AY35" s="1422">
        <v>5500</v>
      </c>
      <c r="AZ35" s="1420">
        <v>312980.56</v>
      </c>
      <c r="BA35" s="1423">
        <f t="shared" si="3"/>
        <v>323980.56</v>
      </c>
      <c r="BB35" s="1420">
        <f t="shared" si="4"/>
        <v>9736805.2199999988</v>
      </c>
      <c r="BC35" s="1433">
        <f t="shared" si="5"/>
        <v>9398.4606370656365</v>
      </c>
      <c r="BD35" s="1433">
        <f t="shared" si="6"/>
        <v>2498.378407335907</v>
      </c>
      <c r="BE35" s="1433">
        <f t="shared" si="7"/>
        <v>0</v>
      </c>
      <c r="BF35" s="1433">
        <f t="shared" si="8"/>
        <v>4866.9908880308876</v>
      </c>
      <c r="BG35" s="1433">
        <f t="shared" si="9"/>
        <v>1720.3687934362936</v>
      </c>
      <c r="BH35" s="1434">
        <f t="shared" si="10"/>
        <v>312.72254826254829</v>
      </c>
      <c r="BI35" s="1422">
        <v>9360</v>
      </c>
    </row>
    <row r="36" spans="1:61" ht="12.75" customHeight="1" thickBot="1">
      <c r="A36" s="1418" t="s">
        <v>647</v>
      </c>
      <c r="B36" s="1418" t="s">
        <v>648</v>
      </c>
      <c r="C36" s="1419">
        <v>974</v>
      </c>
      <c r="D36" s="1420">
        <v>147.04</v>
      </c>
      <c r="E36" s="1420">
        <v>920.85</v>
      </c>
      <c r="F36" s="1421">
        <v>-7.0000000000000007E-2</v>
      </c>
      <c r="G36" s="1420">
        <v>956.04</v>
      </c>
      <c r="H36" s="1420">
        <v>982.79</v>
      </c>
      <c r="I36" s="1422">
        <v>60040052</v>
      </c>
      <c r="J36" s="1422">
        <v>25</v>
      </c>
      <c r="K36" s="1422">
        <v>25</v>
      </c>
      <c r="L36" s="1422">
        <v>0</v>
      </c>
      <c r="M36" s="1422">
        <v>0</v>
      </c>
      <c r="N36" s="1420">
        <v>10.44</v>
      </c>
      <c r="O36" s="1420">
        <v>35.44</v>
      </c>
      <c r="P36" s="1423">
        <v>4392620.51</v>
      </c>
      <c r="Q36" s="1424">
        <v>1980257.78</v>
      </c>
      <c r="R36" s="1425">
        <f t="shared" si="0"/>
        <v>1980257.78</v>
      </c>
      <c r="S36" s="1426">
        <v>3900</v>
      </c>
      <c r="T36" s="1427">
        <f t="shared" si="1"/>
        <v>3900</v>
      </c>
      <c r="U36" s="1428">
        <v>4463835</v>
      </c>
      <c r="V36" s="1422">
        <v>57118</v>
      </c>
      <c r="W36" s="1422">
        <v>0</v>
      </c>
      <c r="X36" s="1422">
        <v>38607</v>
      </c>
      <c r="Y36" s="1422">
        <v>0</v>
      </c>
      <c r="Z36" s="1422">
        <v>0</v>
      </c>
      <c r="AA36" s="1422">
        <v>0</v>
      </c>
      <c r="AB36" s="1422">
        <v>0</v>
      </c>
      <c r="AC36" s="1429">
        <v>0</v>
      </c>
      <c r="AD36" s="1422">
        <v>40648</v>
      </c>
      <c r="AE36" s="1420">
        <v>5572.81</v>
      </c>
      <c r="AF36" s="1422">
        <v>100</v>
      </c>
      <c r="AG36" s="1422">
        <v>49650</v>
      </c>
      <c r="AH36" s="1422">
        <v>0</v>
      </c>
      <c r="AI36" s="1422">
        <v>277760</v>
      </c>
      <c r="AJ36" s="1420">
        <v>23243.66</v>
      </c>
      <c r="AK36" s="1422">
        <v>0</v>
      </c>
      <c r="AL36" s="1420">
        <v>3376.13</v>
      </c>
      <c r="AM36" s="1422">
        <v>0</v>
      </c>
      <c r="AN36" s="1429">
        <v>0</v>
      </c>
      <c r="AO36" s="1422">
        <v>0</v>
      </c>
      <c r="AP36" s="1420">
        <v>90152.42</v>
      </c>
      <c r="AQ36" s="1430">
        <f t="shared" si="2"/>
        <v>5050063.0199999996</v>
      </c>
      <c r="AR36" s="1431">
        <v>1197561.57</v>
      </c>
      <c r="AS36" s="1437">
        <v>0</v>
      </c>
      <c r="AT36" s="1422">
        <v>0</v>
      </c>
      <c r="AU36" s="1422">
        <v>0</v>
      </c>
      <c r="AV36" s="1422">
        <v>1530</v>
      </c>
      <c r="AW36" s="1422">
        <v>0</v>
      </c>
      <c r="AX36" s="1422">
        <v>0</v>
      </c>
      <c r="AY36" s="1422">
        <v>1530</v>
      </c>
      <c r="AZ36" s="1420">
        <v>388217.18</v>
      </c>
      <c r="BA36" s="1423">
        <f t="shared" si="3"/>
        <v>391277.18</v>
      </c>
      <c r="BB36" s="1420">
        <f t="shared" si="4"/>
        <v>8623059.5499999989</v>
      </c>
      <c r="BC36" s="1433">
        <f t="shared" si="5"/>
        <v>8853.2438911704303</v>
      </c>
      <c r="BD36" s="1433">
        <f t="shared" si="6"/>
        <v>2033.1188706365504</v>
      </c>
      <c r="BE36" s="1433">
        <f t="shared" si="7"/>
        <v>4.0041067761806985</v>
      </c>
      <c r="BF36" s="1433">
        <f t="shared" si="8"/>
        <v>5184.8696303901434</v>
      </c>
      <c r="BG36" s="1433">
        <f t="shared" si="9"/>
        <v>1229.5293326488706</v>
      </c>
      <c r="BH36" s="1434">
        <f t="shared" si="10"/>
        <v>401.72195071868583</v>
      </c>
      <c r="BI36" s="1422">
        <v>8264</v>
      </c>
    </row>
    <row r="37" spans="1:61" ht="12.75" customHeight="1" thickBot="1">
      <c r="A37" s="1418" t="s">
        <v>649</v>
      </c>
      <c r="B37" s="1418" t="s">
        <v>650</v>
      </c>
      <c r="C37" s="1419">
        <v>592</v>
      </c>
      <c r="D37" s="1420">
        <v>179.43</v>
      </c>
      <c r="E37" s="1420">
        <v>564.83000000000004</v>
      </c>
      <c r="F37" s="1421">
        <v>-0.08</v>
      </c>
      <c r="G37" s="1420">
        <v>589.26</v>
      </c>
      <c r="H37" s="1420">
        <v>602.29</v>
      </c>
      <c r="I37" s="1422">
        <v>39406153</v>
      </c>
      <c r="J37" s="1422">
        <v>25</v>
      </c>
      <c r="K37" s="1422">
        <v>25</v>
      </c>
      <c r="L37" s="1422">
        <v>0</v>
      </c>
      <c r="M37" s="1422">
        <v>0</v>
      </c>
      <c r="N37" s="1420">
        <v>13.49</v>
      </c>
      <c r="O37" s="1420">
        <v>38.49</v>
      </c>
      <c r="P37" s="1438">
        <v>3585000</v>
      </c>
      <c r="Q37" s="1424">
        <v>1399843.68</v>
      </c>
      <c r="R37" s="1425">
        <f t="shared" si="0"/>
        <v>1399843.68</v>
      </c>
      <c r="S37" s="1426">
        <v>0</v>
      </c>
      <c r="T37" s="1427">
        <f t="shared" si="1"/>
        <v>0</v>
      </c>
      <c r="U37" s="1428">
        <v>2679169</v>
      </c>
      <c r="V37" s="1422">
        <v>23380</v>
      </c>
      <c r="W37" s="1422">
        <v>0</v>
      </c>
      <c r="X37" s="1422">
        <v>0</v>
      </c>
      <c r="Y37" s="1422">
        <v>0</v>
      </c>
      <c r="Z37" s="1422">
        <v>0</v>
      </c>
      <c r="AA37" s="1422">
        <v>0</v>
      </c>
      <c r="AB37" s="1422">
        <v>0</v>
      </c>
      <c r="AC37" s="1429">
        <v>0</v>
      </c>
      <c r="AD37" s="1422">
        <v>24911</v>
      </c>
      <c r="AE37" s="1422">
        <v>2400</v>
      </c>
      <c r="AF37" s="1422">
        <v>50</v>
      </c>
      <c r="AG37" s="1422">
        <v>0</v>
      </c>
      <c r="AH37" s="1422">
        <v>0</v>
      </c>
      <c r="AI37" s="1422">
        <v>181536</v>
      </c>
      <c r="AJ37" s="1420">
        <v>20373.5</v>
      </c>
      <c r="AK37" s="1422">
        <v>0</v>
      </c>
      <c r="AL37" s="1420">
        <v>2411.44</v>
      </c>
      <c r="AM37" s="1422">
        <v>0</v>
      </c>
      <c r="AN37" s="1429">
        <v>87077</v>
      </c>
      <c r="AO37" s="1422">
        <v>0</v>
      </c>
      <c r="AP37" s="1422">
        <v>33001</v>
      </c>
      <c r="AQ37" s="1430">
        <f t="shared" si="2"/>
        <v>2967231.94</v>
      </c>
      <c r="AR37" s="1431">
        <v>783053.06</v>
      </c>
      <c r="AS37" s="1437">
        <v>0</v>
      </c>
      <c r="AT37" s="1422">
        <v>0</v>
      </c>
      <c r="AU37" s="1422">
        <v>0</v>
      </c>
      <c r="AV37" s="1422">
        <v>1537</v>
      </c>
      <c r="AW37" s="1422">
        <v>0</v>
      </c>
      <c r="AX37" s="1422">
        <v>0</v>
      </c>
      <c r="AY37" s="1422">
        <v>1537</v>
      </c>
      <c r="AZ37" s="1420">
        <v>351912.81</v>
      </c>
      <c r="BA37" s="1423">
        <f t="shared" si="3"/>
        <v>354986.81</v>
      </c>
      <c r="BB37" s="1420">
        <f t="shared" si="4"/>
        <v>5505115.4900000002</v>
      </c>
      <c r="BC37" s="1433">
        <f t="shared" si="5"/>
        <v>9299.1815709459461</v>
      </c>
      <c r="BD37" s="1433">
        <f t="shared" si="6"/>
        <v>2364.6008108108108</v>
      </c>
      <c r="BE37" s="1433">
        <f t="shared" si="7"/>
        <v>0</v>
      </c>
      <c r="BF37" s="1433">
        <f t="shared" si="8"/>
        <v>5012.2161148648647</v>
      </c>
      <c r="BG37" s="1433">
        <f t="shared" si="9"/>
        <v>1322.7247635135136</v>
      </c>
      <c r="BH37" s="1434">
        <f t="shared" si="10"/>
        <v>599.63988175675672</v>
      </c>
      <c r="BI37" s="1422">
        <v>8334</v>
      </c>
    </row>
    <row r="38" spans="1:61" ht="12.75" customHeight="1" thickBot="1">
      <c r="A38" s="1418" t="s">
        <v>651</v>
      </c>
      <c r="B38" s="1418" t="s">
        <v>652</v>
      </c>
      <c r="C38" s="1419">
        <v>452</v>
      </c>
      <c r="D38" s="1420">
        <v>203.3</v>
      </c>
      <c r="E38" s="1420">
        <v>431.47</v>
      </c>
      <c r="F38" s="1421">
        <v>-0.15</v>
      </c>
      <c r="G38" s="1420">
        <v>460.61</v>
      </c>
      <c r="H38" s="1420">
        <v>445.08</v>
      </c>
      <c r="I38" s="1422">
        <v>51362365</v>
      </c>
      <c r="J38" s="1422">
        <v>25</v>
      </c>
      <c r="K38" s="1422">
        <v>25</v>
      </c>
      <c r="L38" s="1422">
        <v>0</v>
      </c>
      <c r="M38" s="1422">
        <v>0</v>
      </c>
      <c r="N38" s="1420">
        <v>11.6</v>
      </c>
      <c r="O38" s="1420">
        <v>36.6</v>
      </c>
      <c r="P38" s="1438">
        <v>2758000</v>
      </c>
      <c r="Q38" s="1424">
        <v>1588114.26</v>
      </c>
      <c r="R38" s="1425">
        <f t="shared" si="0"/>
        <v>1588114.26</v>
      </c>
      <c r="S38" s="1436">
        <v>420.01</v>
      </c>
      <c r="T38" s="1427">
        <f t="shared" si="1"/>
        <v>420.01</v>
      </c>
      <c r="U38" s="1428">
        <v>1653430</v>
      </c>
      <c r="V38" s="1422">
        <v>23867</v>
      </c>
      <c r="W38" s="1422">
        <v>0</v>
      </c>
      <c r="X38" s="1422">
        <v>114046</v>
      </c>
      <c r="Y38" s="1422">
        <v>0</v>
      </c>
      <c r="Z38" s="1422">
        <v>0</v>
      </c>
      <c r="AA38" s="1422">
        <v>1701</v>
      </c>
      <c r="AB38" s="1422">
        <v>0</v>
      </c>
      <c r="AC38" s="1429">
        <v>0</v>
      </c>
      <c r="AD38" s="1422">
        <v>18409</v>
      </c>
      <c r="AE38" s="1422">
        <v>0</v>
      </c>
      <c r="AF38" s="1422">
        <v>830</v>
      </c>
      <c r="AG38" s="1422">
        <v>0</v>
      </c>
      <c r="AH38" s="1422">
        <v>0</v>
      </c>
      <c r="AI38" s="1422">
        <v>138384</v>
      </c>
      <c r="AJ38" s="1420">
        <v>1823.35</v>
      </c>
      <c r="AK38" s="1422">
        <v>0</v>
      </c>
      <c r="AL38" s="1420">
        <v>2021.63</v>
      </c>
      <c r="AM38" s="1422">
        <v>0</v>
      </c>
      <c r="AN38" s="1429">
        <v>451994</v>
      </c>
      <c r="AO38" s="1422">
        <v>0</v>
      </c>
      <c r="AP38" s="1422">
        <v>11336</v>
      </c>
      <c r="AQ38" s="1430">
        <f t="shared" si="2"/>
        <v>1965847.98</v>
      </c>
      <c r="AR38" s="1431">
        <v>1349712.07</v>
      </c>
      <c r="AS38" s="1437">
        <v>602700</v>
      </c>
      <c r="AT38" s="1422">
        <v>0</v>
      </c>
      <c r="AU38" s="1422">
        <v>0</v>
      </c>
      <c r="AV38" s="1422">
        <v>27001</v>
      </c>
      <c r="AW38" s="1422">
        <v>0</v>
      </c>
      <c r="AX38" s="1422">
        <v>0</v>
      </c>
      <c r="AY38" s="1422">
        <v>629701</v>
      </c>
      <c r="AZ38" s="1420">
        <v>288408.01</v>
      </c>
      <c r="BA38" s="1423">
        <f t="shared" si="3"/>
        <v>945110.01</v>
      </c>
      <c r="BB38" s="1420">
        <f t="shared" si="4"/>
        <v>5849204.3300000001</v>
      </c>
      <c r="BC38" s="1433">
        <f t="shared" si="5"/>
        <v>12940.717544247787</v>
      </c>
      <c r="BD38" s="1433">
        <f t="shared" si="6"/>
        <v>3513.5271238938053</v>
      </c>
      <c r="BE38" s="1433">
        <f t="shared" si="7"/>
        <v>0.92922566371681414</v>
      </c>
      <c r="BF38" s="1433">
        <f t="shared" si="8"/>
        <v>4349.2211946902653</v>
      </c>
      <c r="BG38" s="1433">
        <f t="shared" si="9"/>
        <v>2986.088650442478</v>
      </c>
      <c r="BH38" s="1434">
        <f t="shared" si="10"/>
        <v>2090.951349557522</v>
      </c>
      <c r="BI38" s="1422">
        <v>9428</v>
      </c>
    </row>
    <row r="39" spans="1:61" ht="12.75" customHeight="1" thickBot="1">
      <c r="A39" s="1418" t="s">
        <v>653</v>
      </c>
      <c r="B39" s="1418" t="s">
        <v>654</v>
      </c>
      <c r="C39" s="1419">
        <v>1758</v>
      </c>
      <c r="D39" s="1420">
        <v>75.319999999999993</v>
      </c>
      <c r="E39" s="1420">
        <v>1633.87</v>
      </c>
      <c r="F39" s="1421">
        <v>0.02</v>
      </c>
      <c r="G39" s="1420">
        <v>1737.77</v>
      </c>
      <c r="H39" s="1420">
        <v>1713.35</v>
      </c>
      <c r="I39" s="1422">
        <v>235471967</v>
      </c>
      <c r="J39" s="1422">
        <v>25</v>
      </c>
      <c r="K39" s="1422">
        <v>25</v>
      </c>
      <c r="L39" s="1422">
        <v>0</v>
      </c>
      <c r="M39" s="1422">
        <v>0</v>
      </c>
      <c r="N39" s="1420">
        <v>4.4000000000000004</v>
      </c>
      <c r="O39" s="1420">
        <v>29.4</v>
      </c>
      <c r="P39" s="1423">
        <v>10410589.970000001</v>
      </c>
      <c r="Q39" s="1424">
        <v>6387188.4199999999</v>
      </c>
      <c r="R39" s="1425">
        <f t="shared" si="0"/>
        <v>6387188.4199999999</v>
      </c>
      <c r="S39" s="1436">
        <v>1618.88</v>
      </c>
      <c r="T39" s="1427">
        <f t="shared" si="1"/>
        <v>1618.88</v>
      </c>
      <c r="U39" s="1428">
        <v>4761625</v>
      </c>
      <c r="V39" s="1422">
        <v>191760</v>
      </c>
      <c r="W39" s="1422">
        <v>155484</v>
      </c>
      <c r="X39" s="1422">
        <v>0</v>
      </c>
      <c r="Y39" s="1422">
        <v>0</v>
      </c>
      <c r="Z39" s="1422">
        <v>0</v>
      </c>
      <c r="AA39" s="1422">
        <v>0</v>
      </c>
      <c r="AB39" s="1422">
        <v>0</v>
      </c>
      <c r="AC39" s="1429">
        <v>0</v>
      </c>
      <c r="AD39" s="1422">
        <v>70864</v>
      </c>
      <c r="AE39" s="1420">
        <v>14287.55</v>
      </c>
      <c r="AF39" s="1422">
        <v>1000</v>
      </c>
      <c r="AG39" s="1422">
        <v>75450</v>
      </c>
      <c r="AH39" s="1422">
        <v>7911</v>
      </c>
      <c r="AI39" s="1422">
        <v>424576</v>
      </c>
      <c r="AJ39" s="1420">
        <v>132894.43</v>
      </c>
      <c r="AK39" s="1420">
        <v>28438.16</v>
      </c>
      <c r="AL39" s="1420">
        <v>5259.9</v>
      </c>
      <c r="AM39" s="1422">
        <v>0</v>
      </c>
      <c r="AN39" s="1429">
        <v>105000</v>
      </c>
      <c r="AO39" s="1422">
        <v>0</v>
      </c>
      <c r="AP39" s="1422">
        <v>3010</v>
      </c>
      <c r="AQ39" s="1430">
        <f t="shared" si="2"/>
        <v>5872560.04</v>
      </c>
      <c r="AR39" s="1431">
        <v>2116138.54</v>
      </c>
      <c r="AS39" s="1432">
        <v>10275.1</v>
      </c>
      <c r="AT39" s="1422">
        <v>0</v>
      </c>
      <c r="AU39" s="1422">
        <v>2000</v>
      </c>
      <c r="AV39" s="1422">
        <v>7226</v>
      </c>
      <c r="AW39" s="1422">
        <v>0</v>
      </c>
      <c r="AX39" s="1422">
        <v>0</v>
      </c>
      <c r="AY39" s="1420">
        <v>19501.099999999999</v>
      </c>
      <c r="AZ39" s="1420">
        <v>822433.8</v>
      </c>
      <c r="BA39" s="1423">
        <f t="shared" si="3"/>
        <v>851160.9</v>
      </c>
      <c r="BB39" s="1420">
        <f t="shared" si="4"/>
        <v>15228666.780000001</v>
      </c>
      <c r="BC39" s="1433">
        <f t="shared" si="5"/>
        <v>8662.4953242320826</v>
      </c>
      <c r="BD39" s="1433">
        <f t="shared" si="6"/>
        <v>3633.2129806598405</v>
      </c>
      <c r="BE39" s="1433">
        <f t="shared" si="7"/>
        <v>0.92086461888509674</v>
      </c>
      <c r="BF39" s="1433">
        <f t="shared" si="8"/>
        <v>3340.4778384527872</v>
      </c>
      <c r="BG39" s="1433">
        <f t="shared" si="9"/>
        <v>1203.719306029579</v>
      </c>
      <c r="BH39" s="1434">
        <f t="shared" si="10"/>
        <v>484.16433447098979</v>
      </c>
      <c r="BI39" s="1422">
        <v>8192</v>
      </c>
    </row>
    <row r="40" spans="1:61" ht="12.75" customHeight="1" thickBot="1">
      <c r="A40" s="1418" t="s">
        <v>655</v>
      </c>
      <c r="B40" s="1418" t="s">
        <v>656</v>
      </c>
      <c r="C40" s="1419">
        <v>622</v>
      </c>
      <c r="D40" s="1420">
        <v>158.55000000000001</v>
      </c>
      <c r="E40" s="1420">
        <v>567.78</v>
      </c>
      <c r="F40" s="1421">
        <v>0.03</v>
      </c>
      <c r="G40" s="1420">
        <v>603.97</v>
      </c>
      <c r="H40" s="1420">
        <v>613.75</v>
      </c>
      <c r="I40" s="1422">
        <v>134227849</v>
      </c>
      <c r="J40" s="1420">
        <v>26.24</v>
      </c>
      <c r="K40" s="1422">
        <v>25</v>
      </c>
      <c r="L40" s="1420">
        <v>1.24</v>
      </c>
      <c r="M40" s="1422">
        <v>0</v>
      </c>
      <c r="N40" s="1420">
        <v>7.26</v>
      </c>
      <c r="O40" s="1420">
        <v>33.5</v>
      </c>
      <c r="P40" s="1423">
        <v>3889281.27</v>
      </c>
      <c r="Q40" s="1424">
        <v>3298234.23</v>
      </c>
      <c r="R40" s="1425">
        <f t="shared" si="0"/>
        <v>3298234.23</v>
      </c>
      <c r="S40" s="1436">
        <v>576.71</v>
      </c>
      <c r="T40" s="1427">
        <f t="shared" si="1"/>
        <v>576.71</v>
      </c>
      <c r="U40" s="1428">
        <v>1578708</v>
      </c>
      <c r="V40" s="1422">
        <v>11156</v>
      </c>
      <c r="W40" s="1422">
        <v>11308</v>
      </c>
      <c r="X40" s="1422">
        <v>0</v>
      </c>
      <c r="Y40" s="1422">
        <v>0</v>
      </c>
      <c r="Z40" s="1422">
        <v>0</v>
      </c>
      <c r="AA40" s="1422">
        <v>0</v>
      </c>
      <c r="AB40" s="1422">
        <v>0</v>
      </c>
      <c r="AC40" s="1429">
        <v>0</v>
      </c>
      <c r="AD40" s="1422">
        <v>25385</v>
      </c>
      <c r="AE40" s="1420">
        <v>2489.59</v>
      </c>
      <c r="AF40" s="1422">
        <v>300</v>
      </c>
      <c r="AG40" s="1422">
        <v>50544</v>
      </c>
      <c r="AH40" s="1422">
        <v>0</v>
      </c>
      <c r="AI40" s="1422">
        <v>158224</v>
      </c>
      <c r="AJ40" s="1420">
        <v>2514.31</v>
      </c>
      <c r="AK40" s="1420">
        <v>45229.919999999998</v>
      </c>
      <c r="AL40" s="1420">
        <v>2825.09</v>
      </c>
      <c r="AM40" s="1422">
        <v>0</v>
      </c>
      <c r="AN40" s="1429">
        <v>0</v>
      </c>
      <c r="AO40" s="1422">
        <v>0</v>
      </c>
      <c r="AP40" s="1420">
        <v>469383.55</v>
      </c>
      <c r="AQ40" s="1430">
        <f t="shared" si="2"/>
        <v>2358067.46</v>
      </c>
      <c r="AR40" s="1431">
        <v>1049297.83</v>
      </c>
      <c r="AS40" s="1437">
        <v>0</v>
      </c>
      <c r="AT40" s="1422">
        <v>0</v>
      </c>
      <c r="AU40" s="1422">
        <v>0</v>
      </c>
      <c r="AV40" s="1420">
        <v>15388.19</v>
      </c>
      <c r="AW40" s="1422">
        <v>0</v>
      </c>
      <c r="AX40" s="1422">
        <v>0</v>
      </c>
      <c r="AY40" s="1420">
        <v>15388.19</v>
      </c>
      <c r="AZ40" s="1420">
        <v>423848.29</v>
      </c>
      <c r="BA40" s="1423">
        <f t="shared" si="3"/>
        <v>454624.67</v>
      </c>
      <c r="BB40" s="1420">
        <f t="shared" si="4"/>
        <v>7160800.9000000004</v>
      </c>
      <c r="BC40" s="1433">
        <f t="shared" si="5"/>
        <v>11512.541639871382</v>
      </c>
      <c r="BD40" s="1433">
        <f t="shared" si="6"/>
        <v>5302.627379421222</v>
      </c>
      <c r="BE40" s="1433">
        <f t="shared" si="7"/>
        <v>0.92718649517684892</v>
      </c>
      <c r="BF40" s="1433">
        <f t="shared" si="8"/>
        <v>3791.1052411575561</v>
      </c>
      <c r="BG40" s="1433">
        <f t="shared" si="9"/>
        <v>1686.9740032154341</v>
      </c>
      <c r="BH40" s="1434">
        <f t="shared" si="10"/>
        <v>730.9078295819935</v>
      </c>
      <c r="BI40" s="1422">
        <v>10093</v>
      </c>
    </row>
    <row r="41" spans="1:61" ht="12.75" customHeight="1" thickBot="1">
      <c r="A41" s="1418" t="s">
        <v>657</v>
      </c>
      <c r="B41" s="1418" t="s">
        <v>658</v>
      </c>
      <c r="C41" s="1419">
        <v>498</v>
      </c>
      <c r="D41" s="1420">
        <v>181.23</v>
      </c>
      <c r="E41" s="1420">
        <v>467.85</v>
      </c>
      <c r="F41" s="1421">
        <v>-0.03</v>
      </c>
      <c r="G41" s="1420">
        <v>487.46</v>
      </c>
      <c r="H41" s="1420">
        <v>513.28</v>
      </c>
      <c r="I41" s="1422">
        <v>133683258</v>
      </c>
      <c r="J41" s="1420">
        <v>25.04</v>
      </c>
      <c r="K41" s="1422">
        <v>25</v>
      </c>
      <c r="L41" s="1420">
        <v>0.04</v>
      </c>
      <c r="M41" s="1422">
        <v>0</v>
      </c>
      <c r="N41" s="1420">
        <v>3.66</v>
      </c>
      <c r="O41" s="1420">
        <v>28.7</v>
      </c>
      <c r="P41" s="1423">
        <v>4452376.8099999996</v>
      </c>
      <c r="Q41" s="1424">
        <v>3514424.32</v>
      </c>
      <c r="R41" s="1425">
        <f t="shared" si="0"/>
        <v>3514424.32</v>
      </c>
      <c r="S41" s="1436">
        <v>482.61</v>
      </c>
      <c r="T41" s="1427">
        <f t="shared" si="1"/>
        <v>482.61</v>
      </c>
      <c r="U41" s="1428">
        <v>0</v>
      </c>
      <c r="V41" s="1422">
        <v>0</v>
      </c>
      <c r="W41" s="1422">
        <v>0</v>
      </c>
      <c r="X41" s="1422">
        <v>0</v>
      </c>
      <c r="Y41" s="1422">
        <v>0</v>
      </c>
      <c r="Z41" s="1422">
        <v>0</v>
      </c>
      <c r="AA41" s="1422">
        <v>0</v>
      </c>
      <c r="AB41" s="1422">
        <v>0</v>
      </c>
      <c r="AC41" s="1429">
        <v>0</v>
      </c>
      <c r="AD41" s="1422">
        <v>21229</v>
      </c>
      <c r="AE41" s="1420">
        <v>16494.5</v>
      </c>
      <c r="AF41" s="1422">
        <v>1780</v>
      </c>
      <c r="AG41" s="1422">
        <v>21534</v>
      </c>
      <c r="AH41" s="1422">
        <v>0</v>
      </c>
      <c r="AI41" s="1422">
        <v>144336</v>
      </c>
      <c r="AJ41" s="1420">
        <v>2102.71</v>
      </c>
      <c r="AK41" s="1420">
        <v>52430.28</v>
      </c>
      <c r="AL41" s="1420">
        <v>1937.17</v>
      </c>
      <c r="AM41" s="1422">
        <v>0</v>
      </c>
      <c r="AN41" s="1429">
        <v>46725</v>
      </c>
      <c r="AO41" s="1422">
        <v>0</v>
      </c>
      <c r="AP41" s="1422">
        <v>0</v>
      </c>
      <c r="AQ41" s="1430">
        <f t="shared" si="2"/>
        <v>261843.66000000003</v>
      </c>
      <c r="AR41" s="1431">
        <v>1687421.43</v>
      </c>
      <c r="AS41" s="1437">
        <v>808900</v>
      </c>
      <c r="AT41" s="1422">
        <v>0</v>
      </c>
      <c r="AU41" s="1422">
        <v>0</v>
      </c>
      <c r="AV41" s="1422">
        <v>0</v>
      </c>
      <c r="AW41" s="1422">
        <v>0</v>
      </c>
      <c r="AX41" s="1422">
        <v>0</v>
      </c>
      <c r="AY41" s="1422">
        <v>808900</v>
      </c>
      <c r="AZ41" s="1422">
        <v>309591</v>
      </c>
      <c r="BA41" s="1423">
        <f t="shared" si="3"/>
        <v>1118491</v>
      </c>
      <c r="BB41" s="1420">
        <f t="shared" si="4"/>
        <v>6582663.0199999996</v>
      </c>
      <c r="BC41" s="1433">
        <f t="shared" si="5"/>
        <v>13218.198835341365</v>
      </c>
      <c r="BD41" s="1433">
        <f t="shared" si="6"/>
        <v>7057.0769477911645</v>
      </c>
      <c r="BE41" s="1433">
        <f t="shared" si="7"/>
        <v>0.9690963855421687</v>
      </c>
      <c r="BF41" s="1433">
        <f t="shared" si="8"/>
        <v>525.79048192771086</v>
      </c>
      <c r="BG41" s="1433">
        <f t="shared" si="9"/>
        <v>3388.3964457831325</v>
      </c>
      <c r="BH41" s="1434">
        <f t="shared" si="10"/>
        <v>2245.9658634538155</v>
      </c>
      <c r="BI41" s="1422">
        <v>10005</v>
      </c>
    </row>
    <row r="42" spans="1:61" ht="12.75" customHeight="1" thickBot="1">
      <c r="A42" s="1418" t="s">
        <v>481</v>
      </c>
      <c r="B42" s="1418" t="s">
        <v>482</v>
      </c>
      <c r="C42" s="1419">
        <v>551</v>
      </c>
      <c r="D42" s="1420">
        <v>102.84</v>
      </c>
      <c r="E42" s="1420">
        <v>521.4</v>
      </c>
      <c r="F42" s="1421">
        <v>-0.06</v>
      </c>
      <c r="G42" s="1420">
        <v>550.17999999999995</v>
      </c>
      <c r="H42" s="1420">
        <v>551.95000000000005</v>
      </c>
      <c r="I42" s="1422">
        <v>25654954</v>
      </c>
      <c r="J42" s="1422">
        <v>25</v>
      </c>
      <c r="K42" s="1422">
        <v>25</v>
      </c>
      <c r="L42" s="1422">
        <v>0</v>
      </c>
      <c r="M42" s="1422">
        <v>0</v>
      </c>
      <c r="N42" s="1422">
        <v>10</v>
      </c>
      <c r="O42" s="1422">
        <v>35</v>
      </c>
      <c r="P42" s="1423">
        <v>2540492.92</v>
      </c>
      <c r="Q42" s="1424">
        <v>821193.4</v>
      </c>
      <c r="R42" s="1425">
        <f t="shared" si="0"/>
        <v>821193.4</v>
      </c>
      <c r="S42" s="1426">
        <v>0</v>
      </c>
      <c r="T42" s="1427">
        <f t="shared" si="1"/>
        <v>0</v>
      </c>
      <c r="U42" s="1428">
        <v>2720420</v>
      </c>
      <c r="V42" s="1422">
        <v>23846</v>
      </c>
      <c r="W42" s="1422">
        <v>0</v>
      </c>
      <c r="X42" s="1422">
        <v>31982</v>
      </c>
      <c r="Y42" s="1422">
        <v>0</v>
      </c>
      <c r="Z42" s="1422">
        <v>0</v>
      </c>
      <c r="AA42" s="1422">
        <v>38344</v>
      </c>
      <c r="AB42" s="1422">
        <v>0</v>
      </c>
      <c r="AC42" s="1429">
        <v>0</v>
      </c>
      <c r="AD42" s="1422">
        <v>22829</v>
      </c>
      <c r="AE42" s="1420">
        <v>7044.69</v>
      </c>
      <c r="AF42" s="1422">
        <v>250</v>
      </c>
      <c r="AG42" s="1422">
        <v>51113</v>
      </c>
      <c r="AH42" s="1422">
        <v>0</v>
      </c>
      <c r="AI42" s="1422">
        <v>96720</v>
      </c>
      <c r="AJ42" s="1420">
        <v>2261.12</v>
      </c>
      <c r="AK42" s="1420">
        <v>39812.519999999997</v>
      </c>
      <c r="AL42" s="1422">
        <v>0</v>
      </c>
      <c r="AM42" s="1422">
        <v>0</v>
      </c>
      <c r="AN42" s="1429">
        <v>0</v>
      </c>
      <c r="AO42" s="1422">
        <v>0</v>
      </c>
      <c r="AP42" s="1420">
        <v>135037.76000000001</v>
      </c>
      <c r="AQ42" s="1430">
        <f t="shared" si="2"/>
        <v>3169660.09</v>
      </c>
      <c r="AR42" s="1431">
        <v>567482.64</v>
      </c>
      <c r="AS42" s="1432">
        <v>714127.26</v>
      </c>
      <c r="AT42" s="1422">
        <v>0</v>
      </c>
      <c r="AU42" s="1422">
        <v>0</v>
      </c>
      <c r="AV42" s="1422">
        <v>0</v>
      </c>
      <c r="AW42" s="1422">
        <v>0</v>
      </c>
      <c r="AX42" s="1422">
        <v>0</v>
      </c>
      <c r="AY42" s="1420">
        <v>714127.26</v>
      </c>
      <c r="AZ42" s="1420">
        <v>370044.85</v>
      </c>
      <c r="BA42" s="1423">
        <f t="shared" si="3"/>
        <v>1084172.1099999999</v>
      </c>
      <c r="BB42" s="1420">
        <f t="shared" si="4"/>
        <v>5642508.2400000002</v>
      </c>
      <c r="BC42" s="1433">
        <f t="shared" si="5"/>
        <v>10240.486823956444</v>
      </c>
      <c r="BD42" s="1433">
        <f t="shared" si="6"/>
        <v>1490.3691470054448</v>
      </c>
      <c r="BE42" s="1433">
        <f t="shared" si="7"/>
        <v>0</v>
      </c>
      <c r="BF42" s="1433">
        <f t="shared" si="8"/>
        <v>5752.5591470054442</v>
      </c>
      <c r="BG42" s="1433">
        <f t="shared" si="9"/>
        <v>1029.914047186933</v>
      </c>
      <c r="BH42" s="1434">
        <f t="shared" si="10"/>
        <v>1967.6444827586204</v>
      </c>
      <c r="BI42" s="1422">
        <v>7711</v>
      </c>
    </row>
    <row r="43" spans="1:61" ht="12.75" customHeight="1" thickBot="1">
      <c r="A43" s="1418" t="s">
        <v>483</v>
      </c>
      <c r="B43" s="1418" t="s">
        <v>484</v>
      </c>
      <c r="C43" s="1419">
        <v>842</v>
      </c>
      <c r="D43" s="1420">
        <v>467.75</v>
      </c>
      <c r="E43" s="1420">
        <v>810.84</v>
      </c>
      <c r="F43" s="1421">
        <v>-0.02</v>
      </c>
      <c r="G43" s="1420">
        <v>846.77</v>
      </c>
      <c r="H43" s="1420">
        <v>894.25</v>
      </c>
      <c r="I43" s="1422">
        <v>53565172</v>
      </c>
      <c r="J43" s="1422">
        <v>28</v>
      </c>
      <c r="K43" s="1422">
        <v>25</v>
      </c>
      <c r="L43" s="1422">
        <v>3</v>
      </c>
      <c r="M43" s="1422">
        <v>0</v>
      </c>
      <c r="N43" s="1420">
        <v>10.1</v>
      </c>
      <c r="O43" s="1420">
        <v>38.1</v>
      </c>
      <c r="P43" s="1438">
        <v>4632000</v>
      </c>
      <c r="Q43" s="1424">
        <v>1799810.06</v>
      </c>
      <c r="R43" s="1425">
        <f t="shared" si="0"/>
        <v>1799810.06</v>
      </c>
      <c r="S43" s="1426">
        <v>0</v>
      </c>
      <c r="T43" s="1427">
        <f t="shared" si="1"/>
        <v>0</v>
      </c>
      <c r="U43" s="1428">
        <v>4137037</v>
      </c>
      <c r="V43" s="1422">
        <v>54026</v>
      </c>
      <c r="W43" s="1422">
        <v>46133</v>
      </c>
      <c r="X43" s="1422">
        <v>0</v>
      </c>
      <c r="Y43" s="1422">
        <v>0</v>
      </c>
      <c r="Z43" s="1422">
        <v>60975</v>
      </c>
      <c r="AA43" s="1422">
        <v>11100</v>
      </c>
      <c r="AB43" s="1422">
        <v>0</v>
      </c>
      <c r="AC43" s="1429">
        <v>0</v>
      </c>
      <c r="AD43" s="1422">
        <v>36986</v>
      </c>
      <c r="AE43" s="1420">
        <v>30814.06</v>
      </c>
      <c r="AF43" s="1422">
        <v>2500</v>
      </c>
      <c r="AG43" s="1422">
        <v>26206</v>
      </c>
      <c r="AH43" s="1422">
        <v>1172</v>
      </c>
      <c r="AI43" s="1422">
        <v>247504</v>
      </c>
      <c r="AJ43" s="1420">
        <v>7134.53</v>
      </c>
      <c r="AK43" s="1420">
        <v>22750.32</v>
      </c>
      <c r="AL43" s="1420">
        <v>3042.04</v>
      </c>
      <c r="AM43" s="1422">
        <v>0</v>
      </c>
      <c r="AN43" s="1429">
        <v>136080</v>
      </c>
      <c r="AO43" s="1422">
        <v>0</v>
      </c>
      <c r="AP43" s="1420">
        <v>78351.11</v>
      </c>
      <c r="AQ43" s="1430">
        <f t="shared" si="2"/>
        <v>4765731.0600000005</v>
      </c>
      <c r="AR43" s="1431">
        <v>2479054.87</v>
      </c>
      <c r="AS43" s="1432">
        <v>3831.29</v>
      </c>
      <c r="AT43" s="1422">
        <v>0</v>
      </c>
      <c r="AU43" s="1422">
        <v>0</v>
      </c>
      <c r="AV43" s="1422">
        <v>0</v>
      </c>
      <c r="AW43" s="1422">
        <v>0</v>
      </c>
      <c r="AX43" s="1422">
        <v>0</v>
      </c>
      <c r="AY43" s="1420">
        <v>3831.29</v>
      </c>
      <c r="AZ43" s="1420">
        <v>467375.76</v>
      </c>
      <c r="BA43" s="1423">
        <f t="shared" si="3"/>
        <v>471207.05</v>
      </c>
      <c r="BB43" s="1420">
        <f t="shared" si="4"/>
        <v>9515803.040000001</v>
      </c>
      <c r="BC43" s="1433">
        <f t="shared" si="5"/>
        <v>11301.428788598576</v>
      </c>
      <c r="BD43" s="1433">
        <f t="shared" si="6"/>
        <v>2137.5416389548695</v>
      </c>
      <c r="BE43" s="1433">
        <f t="shared" si="7"/>
        <v>0</v>
      </c>
      <c r="BF43" s="1433">
        <f t="shared" si="8"/>
        <v>5660.0131353919251</v>
      </c>
      <c r="BG43" s="1433">
        <f t="shared" si="9"/>
        <v>2944.2456888361048</v>
      </c>
      <c r="BH43" s="1434">
        <f t="shared" si="10"/>
        <v>559.62832541567695</v>
      </c>
      <c r="BI43" s="1422">
        <v>9283</v>
      </c>
    </row>
    <row r="44" spans="1:61" ht="12.75" customHeight="1" thickBot="1">
      <c r="A44" s="1418" t="s">
        <v>485</v>
      </c>
      <c r="B44" s="1418" t="s">
        <v>486</v>
      </c>
      <c r="C44" s="1419">
        <v>2810</v>
      </c>
      <c r="D44" s="1420">
        <v>380.27</v>
      </c>
      <c r="E44" s="1420">
        <v>2599.9699999999998</v>
      </c>
      <c r="F44" s="1421">
        <v>-0.13</v>
      </c>
      <c r="G44" s="1420">
        <v>2758.03</v>
      </c>
      <c r="H44" s="1420">
        <v>2857.8</v>
      </c>
      <c r="I44" s="1422">
        <v>245726881</v>
      </c>
      <c r="J44" s="1422">
        <v>25</v>
      </c>
      <c r="K44" s="1422">
        <v>25</v>
      </c>
      <c r="L44" s="1422">
        <v>0</v>
      </c>
      <c r="M44" s="1422">
        <v>0</v>
      </c>
      <c r="N44" s="1420">
        <v>4.5999999999999996</v>
      </c>
      <c r="O44" s="1420">
        <v>29.6</v>
      </c>
      <c r="P44" s="1438">
        <v>9805000</v>
      </c>
      <c r="Q44" s="1424">
        <v>6805219.5899999999</v>
      </c>
      <c r="R44" s="1425">
        <f t="shared" si="0"/>
        <v>6805219.5899999999</v>
      </c>
      <c r="S44" s="1436">
        <v>538260.89</v>
      </c>
      <c r="T44" s="1427">
        <f t="shared" si="1"/>
        <v>538260.89</v>
      </c>
      <c r="U44" s="1428">
        <v>11041299</v>
      </c>
      <c r="V44" s="1422">
        <v>170916</v>
      </c>
      <c r="W44" s="1422">
        <v>0</v>
      </c>
      <c r="X44" s="1422">
        <v>172619</v>
      </c>
      <c r="Y44" s="1422">
        <v>0</v>
      </c>
      <c r="Z44" s="1422">
        <v>8804</v>
      </c>
      <c r="AA44" s="1422">
        <v>0</v>
      </c>
      <c r="AB44" s="1422">
        <v>0</v>
      </c>
      <c r="AC44" s="1435">
        <v>233623.91</v>
      </c>
      <c r="AD44" s="1422">
        <v>118199</v>
      </c>
      <c r="AE44" s="1422">
        <v>7400</v>
      </c>
      <c r="AF44" s="1422">
        <v>3400</v>
      </c>
      <c r="AG44" s="1422">
        <v>158538</v>
      </c>
      <c r="AH44" s="1422">
        <v>10255</v>
      </c>
      <c r="AI44" s="1422">
        <v>948848</v>
      </c>
      <c r="AJ44" s="1420">
        <v>54022.84</v>
      </c>
      <c r="AK44" s="1420">
        <v>101293.41</v>
      </c>
      <c r="AL44" s="1420">
        <v>10445.68</v>
      </c>
      <c r="AM44" s="1422">
        <v>0</v>
      </c>
      <c r="AN44" s="1435">
        <v>583576.9</v>
      </c>
      <c r="AO44" s="1422">
        <v>0</v>
      </c>
      <c r="AP44" s="1420">
        <v>751603.29</v>
      </c>
      <c r="AQ44" s="1430">
        <f t="shared" si="2"/>
        <v>13557643.220000001</v>
      </c>
      <c r="AR44" s="1431">
        <v>6218935.9100000001</v>
      </c>
      <c r="AS44" s="1432">
        <v>1021419.05</v>
      </c>
      <c r="AT44" s="1422">
        <v>0</v>
      </c>
      <c r="AU44" s="1420">
        <v>145651.67000000001</v>
      </c>
      <c r="AV44" s="1420">
        <v>30667.33</v>
      </c>
      <c r="AW44" s="1420">
        <v>9673.94</v>
      </c>
      <c r="AX44" s="1422">
        <v>0</v>
      </c>
      <c r="AY44" s="1420">
        <v>1207411.99</v>
      </c>
      <c r="AZ44" s="1420">
        <v>866415.2</v>
      </c>
      <c r="BA44" s="1423">
        <f t="shared" si="3"/>
        <v>2259820.13</v>
      </c>
      <c r="BB44" s="1420">
        <f t="shared" si="4"/>
        <v>29379879.739999998</v>
      </c>
      <c r="BC44" s="1433">
        <f t="shared" si="5"/>
        <v>10455.47321708185</v>
      </c>
      <c r="BD44" s="1433">
        <f t="shared" si="6"/>
        <v>2421.7863309608542</v>
      </c>
      <c r="BE44" s="1433">
        <f t="shared" si="7"/>
        <v>191.55191814946619</v>
      </c>
      <c r="BF44" s="1433">
        <f t="shared" si="8"/>
        <v>4824.7840640569393</v>
      </c>
      <c r="BG44" s="1433">
        <f t="shared" si="9"/>
        <v>2213.1444519572956</v>
      </c>
      <c r="BH44" s="1434">
        <f t="shared" si="10"/>
        <v>804.20645195729537</v>
      </c>
      <c r="BI44" s="1422">
        <v>8882</v>
      </c>
    </row>
    <row r="45" spans="1:61" ht="12.75" customHeight="1" thickBot="1">
      <c r="A45" s="1418" t="s">
        <v>487</v>
      </c>
      <c r="B45" s="1418" t="s">
        <v>488</v>
      </c>
      <c r="C45" s="1419">
        <v>612</v>
      </c>
      <c r="D45" s="1420">
        <v>291.64999999999998</v>
      </c>
      <c r="E45" s="1420">
        <v>575.98</v>
      </c>
      <c r="F45" s="1421">
        <v>-0.1</v>
      </c>
      <c r="G45" s="1420">
        <v>613.47</v>
      </c>
      <c r="H45" s="1420">
        <v>622.33000000000004</v>
      </c>
      <c r="I45" s="1422">
        <v>69247514</v>
      </c>
      <c r="J45" s="1420">
        <v>29.9</v>
      </c>
      <c r="K45" s="1422">
        <v>25</v>
      </c>
      <c r="L45" s="1420">
        <v>4.9000000000000004</v>
      </c>
      <c r="M45" s="1422">
        <v>0</v>
      </c>
      <c r="N45" s="1420">
        <v>7.5</v>
      </c>
      <c r="O45" s="1420">
        <v>37.4</v>
      </c>
      <c r="P45" s="1438">
        <v>6160596</v>
      </c>
      <c r="Q45" s="1424">
        <v>2328121.5699999998</v>
      </c>
      <c r="R45" s="1425">
        <f t="shared" si="0"/>
        <v>2328121.5699999998</v>
      </c>
      <c r="S45" s="1436">
        <v>116868.14</v>
      </c>
      <c r="T45" s="1427">
        <f t="shared" si="1"/>
        <v>116868.14</v>
      </c>
      <c r="U45" s="1428">
        <v>2158864</v>
      </c>
      <c r="V45" s="1422">
        <v>44176</v>
      </c>
      <c r="W45" s="1422">
        <v>0</v>
      </c>
      <c r="X45" s="1422">
        <v>0</v>
      </c>
      <c r="Y45" s="1422">
        <v>0</v>
      </c>
      <c r="Z45" s="1422">
        <v>294309</v>
      </c>
      <c r="AA45" s="1422">
        <v>6320</v>
      </c>
      <c r="AB45" s="1422">
        <v>0</v>
      </c>
      <c r="AC45" s="1429">
        <v>0</v>
      </c>
      <c r="AD45" s="1422">
        <v>25740</v>
      </c>
      <c r="AE45" s="1420">
        <v>387594.85</v>
      </c>
      <c r="AF45" s="1422">
        <v>200</v>
      </c>
      <c r="AG45" s="1422">
        <v>9711</v>
      </c>
      <c r="AH45" s="1422">
        <v>0</v>
      </c>
      <c r="AI45" s="1422">
        <v>137888</v>
      </c>
      <c r="AJ45" s="1420">
        <v>2549.4899999999998</v>
      </c>
      <c r="AK45" s="1420">
        <v>9244.25</v>
      </c>
      <c r="AL45" s="1420">
        <v>2216.48</v>
      </c>
      <c r="AM45" s="1422">
        <v>0</v>
      </c>
      <c r="AN45" s="1429">
        <v>0</v>
      </c>
      <c r="AO45" s="1422">
        <v>0</v>
      </c>
      <c r="AP45" s="1420">
        <v>493815.21</v>
      </c>
      <c r="AQ45" s="1430">
        <f t="shared" si="2"/>
        <v>3572628.2800000003</v>
      </c>
      <c r="AR45" s="1431">
        <v>788018.31</v>
      </c>
      <c r="AS45" s="1432">
        <v>983677.2</v>
      </c>
      <c r="AT45" s="1422">
        <v>0</v>
      </c>
      <c r="AU45" s="1422">
        <v>0</v>
      </c>
      <c r="AV45" s="1422">
        <v>0</v>
      </c>
      <c r="AW45" s="1422">
        <v>0</v>
      </c>
      <c r="AX45" s="1422">
        <v>0</v>
      </c>
      <c r="AY45" s="1420">
        <v>983677.2</v>
      </c>
      <c r="AZ45" s="1420">
        <v>386476.72</v>
      </c>
      <c r="BA45" s="1423">
        <f t="shared" si="3"/>
        <v>1370153.92</v>
      </c>
      <c r="BB45" s="1420">
        <f t="shared" si="4"/>
        <v>8175790.2199999988</v>
      </c>
      <c r="BC45" s="1433">
        <f t="shared" si="5"/>
        <v>13359.134346405226</v>
      </c>
      <c r="BD45" s="1433">
        <f t="shared" si="6"/>
        <v>3804.1202124183005</v>
      </c>
      <c r="BE45" s="1433">
        <f t="shared" si="7"/>
        <v>190.96101307189542</v>
      </c>
      <c r="BF45" s="1433">
        <f t="shared" si="8"/>
        <v>5837.6279084967327</v>
      </c>
      <c r="BG45" s="1433">
        <f t="shared" si="9"/>
        <v>1287.6116176470589</v>
      </c>
      <c r="BH45" s="1434">
        <f t="shared" si="10"/>
        <v>2238.8135947712417</v>
      </c>
      <c r="BI45" s="1422">
        <v>9596</v>
      </c>
    </row>
    <row r="46" spans="1:61" ht="12.75" customHeight="1" thickBot="1">
      <c r="A46" s="1418" t="s">
        <v>489</v>
      </c>
      <c r="B46" s="1418" t="s">
        <v>490</v>
      </c>
      <c r="C46" s="1419">
        <v>494</v>
      </c>
      <c r="D46" s="1420">
        <v>106.57</v>
      </c>
      <c r="E46" s="1420">
        <v>462.99</v>
      </c>
      <c r="F46" s="1421">
        <v>0.08</v>
      </c>
      <c r="G46" s="1420">
        <v>490.49</v>
      </c>
      <c r="H46" s="1420">
        <v>495.63</v>
      </c>
      <c r="I46" s="1422">
        <v>139456568</v>
      </c>
      <c r="J46" s="1420">
        <v>26.6</v>
      </c>
      <c r="K46" s="1422">
        <v>25</v>
      </c>
      <c r="L46" s="1420">
        <v>1.6</v>
      </c>
      <c r="M46" s="1422">
        <v>0</v>
      </c>
      <c r="N46" s="1420">
        <v>11.7</v>
      </c>
      <c r="O46" s="1420">
        <v>38.299999999999997</v>
      </c>
      <c r="P46" s="1438">
        <v>2103897</v>
      </c>
      <c r="Q46" s="1424">
        <v>4565124.95</v>
      </c>
      <c r="R46" s="1425">
        <f t="shared" si="0"/>
        <v>4565124.95</v>
      </c>
      <c r="S46" s="1436">
        <v>52913.89</v>
      </c>
      <c r="T46" s="1427">
        <f t="shared" si="1"/>
        <v>52913.89</v>
      </c>
      <c r="U46" s="1428">
        <v>236256</v>
      </c>
      <c r="V46" s="1422">
        <v>62488</v>
      </c>
      <c r="W46" s="1422">
        <v>0</v>
      </c>
      <c r="X46" s="1422">
        <v>22104</v>
      </c>
      <c r="Y46" s="1422">
        <v>0</v>
      </c>
      <c r="Z46" s="1422">
        <v>0</v>
      </c>
      <c r="AA46" s="1422">
        <v>31398</v>
      </c>
      <c r="AB46" s="1422">
        <v>0</v>
      </c>
      <c r="AC46" s="1429">
        <v>0</v>
      </c>
      <c r="AD46" s="1422">
        <v>20499</v>
      </c>
      <c r="AE46" s="1422">
        <v>3800</v>
      </c>
      <c r="AF46" s="1422">
        <v>100</v>
      </c>
      <c r="AG46" s="1422">
        <v>27628</v>
      </c>
      <c r="AH46" s="1422">
        <v>586</v>
      </c>
      <c r="AI46" s="1422">
        <v>160704</v>
      </c>
      <c r="AJ46" s="1420">
        <v>2030.41</v>
      </c>
      <c r="AK46" s="1420">
        <v>2978.97</v>
      </c>
      <c r="AL46" s="1420">
        <v>1923.93</v>
      </c>
      <c r="AM46" s="1422">
        <v>0</v>
      </c>
      <c r="AN46" s="1429">
        <v>97200</v>
      </c>
      <c r="AO46" s="1422">
        <v>0</v>
      </c>
      <c r="AP46" s="1422">
        <v>5595</v>
      </c>
      <c r="AQ46" s="1430">
        <f t="shared" si="2"/>
        <v>578091.31000000006</v>
      </c>
      <c r="AR46" s="1431">
        <v>784643.09</v>
      </c>
      <c r="AS46" s="1437">
        <v>0</v>
      </c>
      <c r="AT46" s="1422">
        <v>0</v>
      </c>
      <c r="AU46" s="1422">
        <v>0</v>
      </c>
      <c r="AV46" s="1422">
        <v>0</v>
      </c>
      <c r="AW46" s="1422">
        <v>0</v>
      </c>
      <c r="AX46" s="1422">
        <v>0</v>
      </c>
      <c r="AY46" s="1422">
        <v>0</v>
      </c>
      <c r="AZ46" s="1420">
        <v>212749.11</v>
      </c>
      <c r="BA46" s="1423">
        <f t="shared" si="3"/>
        <v>212749.11</v>
      </c>
      <c r="BB46" s="1420">
        <f t="shared" si="4"/>
        <v>6193522.3499999996</v>
      </c>
      <c r="BC46" s="1433">
        <f t="shared" si="5"/>
        <v>12537.49463562753</v>
      </c>
      <c r="BD46" s="1433">
        <f t="shared" si="6"/>
        <v>9241.1436234817811</v>
      </c>
      <c r="BE46" s="1433">
        <f t="shared" si="7"/>
        <v>107.11313765182186</v>
      </c>
      <c r="BF46" s="1433">
        <f t="shared" si="8"/>
        <v>1170.2253238866399</v>
      </c>
      <c r="BG46" s="1433">
        <f t="shared" si="9"/>
        <v>1588.3463360323885</v>
      </c>
      <c r="BH46" s="1434">
        <f t="shared" si="10"/>
        <v>430.66621457489873</v>
      </c>
      <c r="BI46" s="1422">
        <v>9561</v>
      </c>
    </row>
    <row r="47" spans="1:61" ht="12.75" customHeight="1" thickBot="1">
      <c r="A47" s="1418" t="s">
        <v>491</v>
      </c>
      <c r="B47" s="1418" t="s">
        <v>492</v>
      </c>
      <c r="C47" s="1419">
        <v>414</v>
      </c>
      <c r="D47" s="1420">
        <v>161.09</v>
      </c>
      <c r="E47" s="1420">
        <v>391.68</v>
      </c>
      <c r="F47" s="1421">
        <v>0</v>
      </c>
      <c r="G47" s="1420">
        <v>411.35</v>
      </c>
      <c r="H47" s="1420">
        <v>412.05</v>
      </c>
      <c r="I47" s="1422">
        <v>70606416</v>
      </c>
      <c r="J47" s="1422">
        <v>25</v>
      </c>
      <c r="K47" s="1422">
        <v>25</v>
      </c>
      <c r="L47" s="1422">
        <v>0</v>
      </c>
      <c r="M47" s="1422">
        <v>0</v>
      </c>
      <c r="N47" s="1420">
        <v>11.2</v>
      </c>
      <c r="O47" s="1420">
        <v>36.200000000000003</v>
      </c>
      <c r="P47" s="1438">
        <v>4675000</v>
      </c>
      <c r="Q47" s="1424">
        <v>2225620.11</v>
      </c>
      <c r="R47" s="1425">
        <f t="shared" si="0"/>
        <v>2225620.11</v>
      </c>
      <c r="S47" s="1436">
        <v>475.41</v>
      </c>
      <c r="T47" s="1427">
        <f t="shared" si="1"/>
        <v>475.41</v>
      </c>
      <c r="U47" s="1428">
        <v>1027823</v>
      </c>
      <c r="V47" s="1422">
        <v>24991</v>
      </c>
      <c r="W47" s="1422">
        <v>9622</v>
      </c>
      <c r="X47" s="1422">
        <v>0</v>
      </c>
      <c r="Y47" s="1422">
        <v>0</v>
      </c>
      <c r="Z47" s="1422">
        <v>0</v>
      </c>
      <c r="AA47" s="1422">
        <v>16258</v>
      </c>
      <c r="AB47" s="1422">
        <v>0</v>
      </c>
      <c r="AC47" s="1429">
        <v>0</v>
      </c>
      <c r="AD47" s="1422">
        <v>17042</v>
      </c>
      <c r="AE47" s="1422">
        <v>6400</v>
      </c>
      <c r="AF47" s="1422">
        <v>0</v>
      </c>
      <c r="AG47" s="1422">
        <v>32585</v>
      </c>
      <c r="AH47" s="1422">
        <v>0</v>
      </c>
      <c r="AI47" s="1422">
        <v>102672</v>
      </c>
      <c r="AJ47" s="1420">
        <v>30348.13</v>
      </c>
      <c r="AK47" s="1422">
        <v>0</v>
      </c>
      <c r="AL47" s="1420">
        <v>1642.21</v>
      </c>
      <c r="AM47" s="1422">
        <v>0</v>
      </c>
      <c r="AN47" s="1429">
        <v>97200</v>
      </c>
      <c r="AO47" s="1422">
        <v>0</v>
      </c>
      <c r="AP47" s="1420">
        <v>378994.94</v>
      </c>
      <c r="AQ47" s="1430">
        <f t="shared" si="2"/>
        <v>1648378.2799999998</v>
      </c>
      <c r="AR47" s="1431">
        <v>1162004.1299999999</v>
      </c>
      <c r="AS47" s="1432">
        <v>1820179.23</v>
      </c>
      <c r="AT47" s="1422">
        <v>0</v>
      </c>
      <c r="AU47" s="1422">
        <v>0</v>
      </c>
      <c r="AV47" s="1422">
        <v>0</v>
      </c>
      <c r="AW47" s="1422">
        <v>0</v>
      </c>
      <c r="AX47" s="1422">
        <v>0</v>
      </c>
      <c r="AY47" s="1420">
        <v>1820179.23</v>
      </c>
      <c r="AZ47" s="1420">
        <v>225217.26</v>
      </c>
      <c r="BA47" s="1423">
        <f t="shared" si="3"/>
        <v>2045396.49</v>
      </c>
      <c r="BB47" s="1420">
        <f t="shared" si="4"/>
        <v>7081874.4199999999</v>
      </c>
      <c r="BC47" s="1433">
        <f t="shared" si="5"/>
        <v>17105.976859903381</v>
      </c>
      <c r="BD47" s="1433">
        <f t="shared" si="6"/>
        <v>5375.8939855072458</v>
      </c>
      <c r="BE47" s="1433">
        <f t="shared" si="7"/>
        <v>1.1483333333333334</v>
      </c>
      <c r="BF47" s="1433">
        <f t="shared" si="8"/>
        <v>3981.5900483091782</v>
      </c>
      <c r="BG47" s="1433">
        <f t="shared" si="9"/>
        <v>2806.7732608695651</v>
      </c>
      <c r="BH47" s="1434">
        <f t="shared" si="10"/>
        <v>4940.5712318840579</v>
      </c>
      <c r="BI47" s="1422">
        <v>9675</v>
      </c>
    </row>
    <row r="48" spans="1:61" ht="12.75" customHeight="1" thickBot="1">
      <c r="A48" s="1418" t="s">
        <v>493</v>
      </c>
      <c r="B48" s="1418" t="s">
        <v>494</v>
      </c>
      <c r="C48" s="1419">
        <v>2222</v>
      </c>
      <c r="D48" s="1420">
        <v>274.06</v>
      </c>
      <c r="E48" s="1420">
        <v>2105.8200000000002</v>
      </c>
      <c r="F48" s="1421">
        <v>-0.04</v>
      </c>
      <c r="G48" s="1420">
        <v>2227.21</v>
      </c>
      <c r="H48" s="1420">
        <v>2281.88</v>
      </c>
      <c r="I48" s="1422">
        <v>197354704</v>
      </c>
      <c r="J48" s="1422">
        <v>25</v>
      </c>
      <c r="K48" s="1422">
        <v>25</v>
      </c>
      <c r="L48" s="1422">
        <v>0</v>
      </c>
      <c r="M48" s="1422">
        <v>0</v>
      </c>
      <c r="N48" s="1420">
        <v>10.4</v>
      </c>
      <c r="O48" s="1420">
        <v>35.4</v>
      </c>
      <c r="P48" s="1438">
        <v>18415176</v>
      </c>
      <c r="Q48" s="1424">
        <v>6590488.2999999998</v>
      </c>
      <c r="R48" s="1425">
        <f t="shared" si="0"/>
        <v>6590488.2999999998</v>
      </c>
      <c r="S48" s="1436">
        <v>6296.77</v>
      </c>
      <c r="T48" s="1427">
        <f t="shared" si="1"/>
        <v>6296.77</v>
      </c>
      <c r="U48" s="1428">
        <v>8923664</v>
      </c>
      <c r="V48" s="1422">
        <v>228356</v>
      </c>
      <c r="W48" s="1422">
        <v>0</v>
      </c>
      <c r="X48" s="1422">
        <v>61615</v>
      </c>
      <c r="Y48" s="1422">
        <v>0</v>
      </c>
      <c r="Z48" s="1422">
        <v>0</v>
      </c>
      <c r="AA48" s="1422">
        <v>0</v>
      </c>
      <c r="AB48" s="1422">
        <v>0</v>
      </c>
      <c r="AC48" s="1429">
        <v>0</v>
      </c>
      <c r="AD48" s="1422">
        <v>94379</v>
      </c>
      <c r="AE48" s="1420">
        <v>6070.78</v>
      </c>
      <c r="AF48" s="1422">
        <v>1950</v>
      </c>
      <c r="AG48" s="1422">
        <v>48756</v>
      </c>
      <c r="AH48" s="1422">
        <v>16408</v>
      </c>
      <c r="AI48" s="1422">
        <v>707296</v>
      </c>
      <c r="AJ48" s="1420">
        <v>20842.11</v>
      </c>
      <c r="AK48" s="1420">
        <v>638729.69999999995</v>
      </c>
      <c r="AL48" s="1420">
        <v>800142.21</v>
      </c>
      <c r="AM48" s="1422">
        <v>0</v>
      </c>
      <c r="AN48" s="1429">
        <v>388800</v>
      </c>
      <c r="AO48" s="1422">
        <v>0</v>
      </c>
      <c r="AP48" s="1422">
        <v>130260</v>
      </c>
      <c r="AQ48" s="1430">
        <f t="shared" si="2"/>
        <v>11678468.799999997</v>
      </c>
      <c r="AR48" s="1431">
        <v>4241649.3499999996</v>
      </c>
      <c r="AS48" s="1432">
        <v>1274573.3500000001</v>
      </c>
      <c r="AT48" s="1422">
        <v>0</v>
      </c>
      <c r="AU48" s="1422">
        <v>20546</v>
      </c>
      <c r="AV48" s="1422">
        <v>0</v>
      </c>
      <c r="AW48" s="1420">
        <v>6068.89</v>
      </c>
      <c r="AX48" s="1420">
        <v>87447.6</v>
      </c>
      <c r="AY48" s="1420">
        <v>1388635.84</v>
      </c>
      <c r="AZ48" s="1420">
        <v>1160743.74</v>
      </c>
      <c r="BA48" s="1423">
        <f t="shared" si="3"/>
        <v>2663442.0700000003</v>
      </c>
      <c r="BB48" s="1420">
        <f t="shared" si="4"/>
        <v>25180345.289999999</v>
      </c>
      <c r="BC48" s="1433">
        <f t="shared" si="5"/>
        <v>11332.288609360936</v>
      </c>
      <c r="BD48" s="1433">
        <f t="shared" si="6"/>
        <v>2966.0163366336633</v>
      </c>
      <c r="BE48" s="1433">
        <f t="shared" si="7"/>
        <v>2.8338298829882991</v>
      </c>
      <c r="BF48" s="1433">
        <f t="shared" si="8"/>
        <v>5255.8365436543645</v>
      </c>
      <c r="BG48" s="1433">
        <f t="shared" si="9"/>
        <v>1908.9331008100808</v>
      </c>
      <c r="BH48" s="1434">
        <f t="shared" si="10"/>
        <v>1198.6687983798381</v>
      </c>
      <c r="BI48" s="1422">
        <v>8902</v>
      </c>
    </row>
    <row r="49" spans="1:61" ht="12.75" customHeight="1" thickBot="1">
      <c r="A49" s="1418" t="s">
        <v>495</v>
      </c>
      <c r="B49" s="1418" t="s">
        <v>496</v>
      </c>
      <c r="C49" s="1419">
        <v>558</v>
      </c>
      <c r="D49" s="1420">
        <v>64.650000000000006</v>
      </c>
      <c r="E49" s="1420">
        <v>531.74</v>
      </c>
      <c r="F49" s="1421">
        <v>-0.03</v>
      </c>
      <c r="G49" s="1420">
        <v>566.29</v>
      </c>
      <c r="H49" s="1420">
        <v>532.98</v>
      </c>
      <c r="I49" s="1422">
        <v>29732090</v>
      </c>
      <c r="J49" s="1422">
        <v>25</v>
      </c>
      <c r="K49" s="1422">
        <v>25</v>
      </c>
      <c r="L49" s="1422">
        <v>0</v>
      </c>
      <c r="M49" s="1422">
        <v>0</v>
      </c>
      <c r="N49" s="1420">
        <v>12.7</v>
      </c>
      <c r="O49" s="1420">
        <v>37.700000000000003</v>
      </c>
      <c r="P49" s="1438">
        <v>2802600</v>
      </c>
      <c r="Q49" s="1424">
        <v>1037657.29</v>
      </c>
      <c r="R49" s="1425">
        <f t="shared" si="0"/>
        <v>1037657.29</v>
      </c>
      <c r="S49" s="1426">
        <v>0</v>
      </c>
      <c r="T49" s="1427">
        <f t="shared" si="1"/>
        <v>0</v>
      </c>
      <c r="U49" s="1428">
        <v>2477120</v>
      </c>
      <c r="V49" s="1422">
        <v>36525</v>
      </c>
      <c r="W49" s="1422">
        <v>200024</v>
      </c>
      <c r="X49" s="1422">
        <v>0</v>
      </c>
      <c r="Y49" s="1422">
        <v>0</v>
      </c>
      <c r="Z49" s="1422">
        <v>0</v>
      </c>
      <c r="AA49" s="1422">
        <v>23555</v>
      </c>
      <c r="AB49" s="1422">
        <v>0</v>
      </c>
      <c r="AC49" s="1429">
        <v>0</v>
      </c>
      <c r="AD49" s="1422">
        <v>22044</v>
      </c>
      <c r="AE49" s="1422">
        <v>100</v>
      </c>
      <c r="AF49" s="1422">
        <v>100</v>
      </c>
      <c r="AG49" s="1422">
        <v>7842</v>
      </c>
      <c r="AH49" s="1422">
        <v>0</v>
      </c>
      <c r="AI49" s="1422">
        <v>143344</v>
      </c>
      <c r="AJ49" s="1420">
        <v>24960.13</v>
      </c>
      <c r="AK49" s="1420">
        <v>8937.52</v>
      </c>
      <c r="AL49" s="1420">
        <v>1903.2</v>
      </c>
      <c r="AM49" s="1422">
        <v>0</v>
      </c>
      <c r="AN49" s="1429">
        <v>0</v>
      </c>
      <c r="AO49" s="1422">
        <v>0</v>
      </c>
      <c r="AP49" s="1422">
        <v>27623</v>
      </c>
      <c r="AQ49" s="1430">
        <f t="shared" si="2"/>
        <v>2974077.85</v>
      </c>
      <c r="AR49" s="1431">
        <v>810724.85</v>
      </c>
      <c r="AS49" s="1437">
        <v>0</v>
      </c>
      <c r="AT49" s="1422">
        <v>0</v>
      </c>
      <c r="AU49" s="1422">
        <v>0</v>
      </c>
      <c r="AV49" s="1422">
        <v>2450</v>
      </c>
      <c r="AW49" s="1422">
        <v>0</v>
      </c>
      <c r="AX49" s="1422">
        <v>0</v>
      </c>
      <c r="AY49" s="1422">
        <v>2450</v>
      </c>
      <c r="AZ49" s="1420">
        <v>395548.47</v>
      </c>
      <c r="BA49" s="1423">
        <f t="shared" si="3"/>
        <v>400448.47</v>
      </c>
      <c r="BB49" s="1420">
        <f t="shared" si="4"/>
        <v>5222908.46</v>
      </c>
      <c r="BC49" s="1433">
        <f t="shared" si="5"/>
        <v>9360.051003584229</v>
      </c>
      <c r="BD49" s="1433">
        <f t="shared" si="6"/>
        <v>1859.6008781362009</v>
      </c>
      <c r="BE49" s="1433">
        <f t="shared" si="7"/>
        <v>0</v>
      </c>
      <c r="BF49" s="1433">
        <f t="shared" si="8"/>
        <v>5329.8886200716852</v>
      </c>
      <c r="BG49" s="1433">
        <f t="shared" si="9"/>
        <v>1452.9119175627241</v>
      </c>
      <c r="BH49" s="1434">
        <f t="shared" si="10"/>
        <v>717.64958781361997</v>
      </c>
      <c r="BI49" s="1422">
        <v>8950</v>
      </c>
    </row>
    <row r="50" spans="1:61" ht="12.75" customHeight="1" thickBot="1">
      <c r="A50" s="1418" t="s">
        <v>497</v>
      </c>
      <c r="B50" s="1418" t="s">
        <v>498</v>
      </c>
      <c r="C50" s="1419">
        <v>1614</v>
      </c>
      <c r="D50" s="1420">
        <v>208.99</v>
      </c>
      <c r="E50" s="1420">
        <v>1535.1</v>
      </c>
      <c r="F50" s="1421">
        <v>-0.03</v>
      </c>
      <c r="G50" s="1420">
        <v>1619.97</v>
      </c>
      <c r="H50" s="1420">
        <v>1598.06</v>
      </c>
      <c r="I50" s="1422">
        <v>97151883</v>
      </c>
      <c r="J50" s="1422">
        <v>25</v>
      </c>
      <c r="K50" s="1422">
        <v>25</v>
      </c>
      <c r="L50" s="1422">
        <v>0</v>
      </c>
      <c r="M50" s="1422">
        <v>0</v>
      </c>
      <c r="N50" s="1420">
        <v>7.17</v>
      </c>
      <c r="O50" s="1420">
        <v>32.17</v>
      </c>
      <c r="P50" s="1423">
        <v>6342416.7199999997</v>
      </c>
      <c r="Q50" s="1424">
        <v>2732964.25</v>
      </c>
      <c r="R50" s="1425">
        <f t="shared" si="0"/>
        <v>2732964.25</v>
      </c>
      <c r="S50" s="1426">
        <v>0</v>
      </c>
      <c r="T50" s="1427">
        <f t="shared" si="1"/>
        <v>0</v>
      </c>
      <c r="U50" s="1428">
        <v>7347520</v>
      </c>
      <c r="V50" s="1422">
        <v>37124</v>
      </c>
      <c r="W50" s="1422">
        <v>129796</v>
      </c>
      <c r="X50" s="1422">
        <v>0</v>
      </c>
      <c r="Y50" s="1422">
        <v>0</v>
      </c>
      <c r="Z50" s="1422">
        <v>0</v>
      </c>
      <c r="AA50" s="1422">
        <v>12477</v>
      </c>
      <c r="AB50" s="1422">
        <v>31422</v>
      </c>
      <c r="AC50" s="1429">
        <v>0</v>
      </c>
      <c r="AD50" s="1422">
        <v>66096</v>
      </c>
      <c r="AE50" s="1422">
        <v>1940</v>
      </c>
      <c r="AF50" s="1422">
        <v>900</v>
      </c>
      <c r="AG50" s="1422">
        <v>22753</v>
      </c>
      <c r="AH50" s="1422">
        <v>0</v>
      </c>
      <c r="AI50" s="1422">
        <v>428544</v>
      </c>
      <c r="AJ50" s="1420">
        <v>343238.33</v>
      </c>
      <c r="AK50" s="1420">
        <v>68791.759999999995</v>
      </c>
      <c r="AL50" s="1420">
        <v>6520.13</v>
      </c>
      <c r="AM50" s="1422">
        <v>0</v>
      </c>
      <c r="AN50" s="1429">
        <v>169846</v>
      </c>
      <c r="AO50" s="1422">
        <v>0</v>
      </c>
      <c r="AP50" s="1422">
        <v>109821</v>
      </c>
      <c r="AQ50" s="1430">
        <f t="shared" si="2"/>
        <v>8606943.2200000007</v>
      </c>
      <c r="AR50" s="1431">
        <v>2391888.52</v>
      </c>
      <c r="AS50" s="1437">
        <v>178520</v>
      </c>
      <c r="AT50" s="1422">
        <v>0</v>
      </c>
      <c r="AU50" s="1422">
        <v>0</v>
      </c>
      <c r="AV50" s="1422">
        <v>0</v>
      </c>
      <c r="AW50" s="1422">
        <v>53075</v>
      </c>
      <c r="AX50" s="1422">
        <v>0</v>
      </c>
      <c r="AY50" s="1422">
        <v>231595</v>
      </c>
      <c r="AZ50" s="1420">
        <v>878723.72</v>
      </c>
      <c r="BA50" s="1423">
        <f t="shared" si="3"/>
        <v>1163393.72</v>
      </c>
      <c r="BB50" s="1420">
        <f t="shared" si="4"/>
        <v>14895189.710000001</v>
      </c>
      <c r="BC50" s="1433">
        <f t="shared" si="5"/>
        <v>9228.7420755885996</v>
      </c>
      <c r="BD50" s="1433">
        <f t="shared" si="6"/>
        <v>1693.2864002478316</v>
      </c>
      <c r="BE50" s="1433">
        <f t="shared" si="7"/>
        <v>0</v>
      </c>
      <c r="BF50" s="1433">
        <f t="shared" si="8"/>
        <v>5332.6785749690216</v>
      </c>
      <c r="BG50" s="1433">
        <f t="shared" si="9"/>
        <v>1481.9631474597275</v>
      </c>
      <c r="BH50" s="1434">
        <f t="shared" si="10"/>
        <v>720.81395291201977</v>
      </c>
      <c r="BI50" s="1422">
        <v>8037</v>
      </c>
    </row>
    <row r="51" spans="1:61" ht="12.75" customHeight="1" thickBot="1">
      <c r="A51" s="1418" t="s">
        <v>499</v>
      </c>
      <c r="B51" s="1418" t="s">
        <v>500</v>
      </c>
      <c r="C51" s="1419">
        <v>1624</v>
      </c>
      <c r="D51" s="1420">
        <v>113.04</v>
      </c>
      <c r="E51" s="1420">
        <v>1567.46</v>
      </c>
      <c r="F51" s="1421">
        <v>0.24</v>
      </c>
      <c r="G51" s="1420">
        <v>1625.27</v>
      </c>
      <c r="H51" s="1420">
        <v>1574.01</v>
      </c>
      <c r="I51" s="1422">
        <v>97971832</v>
      </c>
      <c r="J51" s="1422">
        <v>25</v>
      </c>
      <c r="K51" s="1422">
        <v>25</v>
      </c>
      <c r="L51" s="1422">
        <v>0</v>
      </c>
      <c r="M51" s="1422">
        <v>0</v>
      </c>
      <c r="N51" s="1420">
        <v>12.01</v>
      </c>
      <c r="O51" s="1420">
        <v>37.01</v>
      </c>
      <c r="P51" s="1423">
        <v>10690489.32</v>
      </c>
      <c r="Q51" s="1424">
        <v>3342596.4</v>
      </c>
      <c r="R51" s="1425">
        <f t="shared" si="0"/>
        <v>3342596.4</v>
      </c>
      <c r="S51" s="1426">
        <v>0</v>
      </c>
      <c r="T51" s="1427">
        <f t="shared" si="1"/>
        <v>0</v>
      </c>
      <c r="U51" s="1428">
        <v>7220250</v>
      </c>
      <c r="V51" s="1422">
        <v>43611</v>
      </c>
      <c r="W51" s="1422">
        <v>323931</v>
      </c>
      <c r="X51" s="1422">
        <v>0</v>
      </c>
      <c r="Y51" s="1422">
        <v>0</v>
      </c>
      <c r="Z51" s="1422">
        <v>0</v>
      </c>
      <c r="AA51" s="1422">
        <v>0</v>
      </c>
      <c r="AB51" s="1422">
        <v>18007</v>
      </c>
      <c r="AC51" s="1429">
        <v>0</v>
      </c>
      <c r="AD51" s="1422">
        <v>65101</v>
      </c>
      <c r="AE51" s="1420">
        <v>6691.02</v>
      </c>
      <c r="AF51" s="1422">
        <v>1000</v>
      </c>
      <c r="AG51" s="1422">
        <v>28360</v>
      </c>
      <c r="AH51" s="1422">
        <v>4102</v>
      </c>
      <c r="AI51" s="1422">
        <v>313328</v>
      </c>
      <c r="AJ51" s="1420">
        <v>57430.32</v>
      </c>
      <c r="AK51" s="1420">
        <v>52678.879999999997</v>
      </c>
      <c r="AL51" s="1420">
        <v>5918.71</v>
      </c>
      <c r="AM51" s="1422">
        <v>0</v>
      </c>
      <c r="AN51" s="1429">
        <v>296460</v>
      </c>
      <c r="AO51" s="1422">
        <v>0</v>
      </c>
      <c r="AP51" s="1420">
        <v>365777.05</v>
      </c>
      <c r="AQ51" s="1430">
        <f t="shared" si="2"/>
        <v>8506185.9800000004</v>
      </c>
      <c r="AR51" s="1431">
        <v>1839145.65</v>
      </c>
      <c r="AS51" s="1437">
        <v>510761</v>
      </c>
      <c r="AT51" s="1422">
        <v>0</v>
      </c>
      <c r="AU51" s="1422">
        <v>0</v>
      </c>
      <c r="AV51" s="1422">
        <v>0</v>
      </c>
      <c r="AW51" s="1422">
        <v>0</v>
      </c>
      <c r="AX51" s="1422">
        <v>0</v>
      </c>
      <c r="AY51" s="1422">
        <v>510761</v>
      </c>
      <c r="AZ51" s="1420">
        <v>1007765.11</v>
      </c>
      <c r="BA51" s="1423">
        <f t="shared" si="3"/>
        <v>1518526.1099999999</v>
      </c>
      <c r="BB51" s="1420">
        <f t="shared" si="4"/>
        <v>15206454.140000001</v>
      </c>
      <c r="BC51" s="1433">
        <f t="shared" si="5"/>
        <v>9363.5801354679807</v>
      </c>
      <c r="BD51" s="1433">
        <f t="shared" si="6"/>
        <v>2058.2490147783251</v>
      </c>
      <c r="BE51" s="1433">
        <f t="shared" si="7"/>
        <v>0</v>
      </c>
      <c r="BF51" s="1433">
        <f t="shared" si="8"/>
        <v>5237.7992487684733</v>
      </c>
      <c r="BG51" s="1433">
        <f t="shared" si="9"/>
        <v>1132.4788485221675</v>
      </c>
      <c r="BH51" s="1434">
        <f t="shared" si="10"/>
        <v>935.05302339901471</v>
      </c>
      <c r="BI51" s="1422">
        <v>7330</v>
      </c>
    </row>
    <row r="52" spans="1:61" ht="12.75" customHeight="1" thickBot="1">
      <c r="A52" s="1418" t="s">
        <v>501</v>
      </c>
      <c r="B52" s="1418" t="s">
        <v>502</v>
      </c>
      <c r="C52" s="1419">
        <v>836</v>
      </c>
      <c r="D52" s="1420">
        <v>137.56</v>
      </c>
      <c r="E52" s="1420">
        <v>773.94</v>
      </c>
      <c r="F52" s="1421">
        <v>-0.01</v>
      </c>
      <c r="G52" s="1420">
        <v>821.9</v>
      </c>
      <c r="H52" s="1420">
        <v>806.92</v>
      </c>
      <c r="I52" s="1422">
        <v>51082096</v>
      </c>
      <c r="J52" s="1422">
        <v>25</v>
      </c>
      <c r="K52" s="1422">
        <v>25</v>
      </c>
      <c r="L52" s="1422">
        <v>0</v>
      </c>
      <c r="M52" s="1422">
        <v>0</v>
      </c>
      <c r="N52" s="1422">
        <v>8</v>
      </c>
      <c r="O52" s="1422">
        <v>33</v>
      </c>
      <c r="P52" s="1438">
        <v>3515000</v>
      </c>
      <c r="Q52" s="1424">
        <v>1357398.96</v>
      </c>
      <c r="R52" s="1425">
        <f t="shared" si="0"/>
        <v>1357398.96</v>
      </c>
      <c r="S52" s="1426">
        <v>0</v>
      </c>
      <c r="T52" s="1427">
        <f t="shared" si="1"/>
        <v>0</v>
      </c>
      <c r="U52" s="1428">
        <v>3678213</v>
      </c>
      <c r="V52" s="1422">
        <v>23318</v>
      </c>
      <c r="W52" s="1422">
        <v>0</v>
      </c>
      <c r="X52" s="1422">
        <v>93688</v>
      </c>
      <c r="Y52" s="1422">
        <v>0</v>
      </c>
      <c r="Z52" s="1422">
        <v>0</v>
      </c>
      <c r="AA52" s="1422">
        <v>173</v>
      </c>
      <c r="AB52" s="1422">
        <v>0</v>
      </c>
      <c r="AC52" s="1429">
        <v>0</v>
      </c>
      <c r="AD52" s="1422">
        <v>33374</v>
      </c>
      <c r="AE52" s="1422">
        <v>0</v>
      </c>
      <c r="AF52" s="1422">
        <v>100</v>
      </c>
      <c r="AG52" s="1422">
        <v>0</v>
      </c>
      <c r="AH52" s="1422">
        <v>15236</v>
      </c>
      <c r="AI52" s="1422">
        <v>257920</v>
      </c>
      <c r="AJ52" s="1420">
        <v>3305.61</v>
      </c>
      <c r="AK52" s="1422">
        <v>0</v>
      </c>
      <c r="AL52" s="1420">
        <v>2939.74</v>
      </c>
      <c r="AM52" s="1422">
        <v>0</v>
      </c>
      <c r="AN52" s="1435">
        <v>145320.20000000001</v>
      </c>
      <c r="AO52" s="1422">
        <v>0</v>
      </c>
      <c r="AP52" s="1420">
        <v>67936.639999999999</v>
      </c>
      <c r="AQ52" s="1430">
        <f t="shared" si="2"/>
        <v>4176203.9899999993</v>
      </c>
      <c r="AR52" s="1431">
        <v>1639759.89</v>
      </c>
      <c r="AS52" s="1437">
        <v>0</v>
      </c>
      <c r="AT52" s="1422">
        <v>0</v>
      </c>
      <c r="AU52" s="1422">
        <v>0</v>
      </c>
      <c r="AV52" s="1422">
        <v>0</v>
      </c>
      <c r="AW52" s="1422">
        <v>0</v>
      </c>
      <c r="AX52" s="1422">
        <v>0</v>
      </c>
      <c r="AY52" s="1422">
        <v>0</v>
      </c>
      <c r="AZ52" s="1420">
        <v>742672.05</v>
      </c>
      <c r="BA52" s="1423">
        <f t="shared" si="3"/>
        <v>742672.05</v>
      </c>
      <c r="BB52" s="1420">
        <f t="shared" si="4"/>
        <v>7916034.8899999997</v>
      </c>
      <c r="BC52" s="1433">
        <f t="shared" si="5"/>
        <v>9468.9412559808607</v>
      </c>
      <c r="BD52" s="1433">
        <f t="shared" si="6"/>
        <v>1623.6829665071771</v>
      </c>
      <c r="BE52" s="1433">
        <f t="shared" si="7"/>
        <v>0</v>
      </c>
      <c r="BF52" s="1433">
        <f t="shared" si="8"/>
        <v>4995.4593181818173</v>
      </c>
      <c r="BG52" s="1433">
        <f t="shared" si="9"/>
        <v>1961.435275119617</v>
      </c>
      <c r="BH52" s="1434">
        <f t="shared" si="10"/>
        <v>888.36369617224886</v>
      </c>
      <c r="BI52" s="1422">
        <v>8935</v>
      </c>
    </row>
    <row r="53" spans="1:61" ht="12.75" customHeight="1" thickBot="1">
      <c r="A53" s="1418" t="s">
        <v>503</v>
      </c>
      <c r="B53" s="1418" t="s">
        <v>504</v>
      </c>
      <c r="C53" s="1419">
        <v>5355</v>
      </c>
      <c r="D53" s="1420">
        <v>36.47</v>
      </c>
      <c r="E53" s="1420">
        <v>4911.8500000000004</v>
      </c>
      <c r="F53" s="1421">
        <v>0.12</v>
      </c>
      <c r="G53" s="1420">
        <v>5315.11</v>
      </c>
      <c r="H53" s="1420">
        <v>5214.8</v>
      </c>
      <c r="I53" s="1422">
        <v>505829513</v>
      </c>
      <c r="J53" s="1420">
        <v>25.4</v>
      </c>
      <c r="K53" s="1422">
        <v>25</v>
      </c>
      <c r="L53" s="1420">
        <v>0.4</v>
      </c>
      <c r="M53" s="1422">
        <v>0</v>
      </c>
      <c r="N53" s="1420">
        <v>7.7</v>
      </c>
      <c r="O53" s="1420">
        <v>33.1</v>
      </c>
      <c r="P53" s="1423">
        <v>43182475.390000001</v>
      </c>
      <c r="Q53" s="1424">
        <v>14164337.76</v>
      </c>
      <c r="R53" s="1425">
        <f t="shared" si="0"/>
        <v>14164337.76</v>
      </c>
      <c r="S53" s="1426">
        <v>0</v>
      </c>
      <c r="T53" s="1427">
        <f t="shared" si="1"/>
        <v>0</v>
      </c>
      <c r="U53" s="1428">
        <v>19439646</v>
      </c>
      <c r="V53" s="1422">
        <v>291130</v>
      </c>
      <c r="W53" s="1422">
        <v>714051</v>
      </c>
      <c r="X53" s="1422">
        <v>0</v>
      </c>
      <c r="Y53" s="1422">
        <v>0</v>
      </c>
      <c r="Z53" s="1422">
        <v>0</v>
      </c>
      <c r="AA53" s="1422">
        <v>0</v>
      </c>
      <c r="AB53" s="1422">
        <v>0</v>
      </c>
      <c r="AC53" s="1429">
        <v>0</v>
      </c>
      <c r="AD53" s="1422">
        <v>215684</v>
      </c>
      <c r="AE53" s="1420">
        <v>27794.26</v>
      </c>
      <c r="AF53" s="1422">
        <v>14150</v>
      </c>
      <c r="AG53" s="1422">
        <v>427265</v>
      </c>
      <c r="AH53" s="1422">
        <v>70320</v>
      </c>
      <c r="AI53" s="1422">
        <v>1797411</v>
      </c>
      <c r="AJ53" s="1420">
        <v>272778.64</v>
      </c>
      <c r="AK53" s="1420">
        <v>273766.48</v>
      </c>
      <c r="AL53" s="1420">
        <v>20089.310000000001</v>
      </c>
      <c r="AM53" s="1422">
        <v>0</v>
      </c>
      <c r="AN53" s="1435">
        <v>398505.24</v>
      </c>
      <c r="AO53" s="1422">
        <v>0</v>
      </c>
      <c r="AP53" s="1422">
        <v>140395</v>
      </c>
      <c r="AQ53" s="1430">
        <f t="shared" si="2"/>
        <v>23704480.690000001</v>
      </c>
      <c r="AR53" s="1431">
        <v>11966386.16</v>
      </c>
      <c r="AS53" s="1432">
        <v>18625037.850000001</v>
      </c>
      <c r="AT53" s="1422">
        <v>0</v>
      </c>
      <c r="AU53" s="1420">
        <v>82564.759999999995</v>
      </c>
      <c r="AV53" s="1420">
        <v>2830.03</v>
      </c>
      <c r="AW53" s="1422">
        <v>0</v>
      </c>
      <c r="AX53" s="1422">
        <v>0</v>
      </c>
      <c r="AY53" s="1420">
        <v>18710432.640000001</v>
      </c>
      <c r="AZ53" s="1420">
        <v>2142165.5699999998</v>
      </c>
      <c r="BA53" s="1423">
        <f t="shared" si="3"/>
        <v>20937993</v>
      </c>
      <c r="BB53" s="1420">
        <f t="shared" si="4"/>
        <v>70773197.609999999</v>
      </c>
      <c r="BC53" s="1433">
        <f t="shared" si="5"/>
        <v>13216.283400560224</v>
      </c>
      <c r="BD53" s="1433">
        <f t="shared" si="6"/>
        <v>2645.0677422969188</v>
      </c>
      <c r="BE53" s="1433">
        <f t="shared" si="7"/>
        <v>0</v>
      </c>
      <c r="BF53" s="1433">
        <f t="shared" si="8"/>
        <v>4426.6070382819798</v>
      </c>
      <c r="BG53" s="1433">
        <f t="shared" si="9"/>
        <v>2234.6192642390288</v>
      </c>
      <c r="BH53" s="1434">
        <f t="shared" si="10"/>
        <v>3909.989355742297</v>
      </c>
      <c r="BI53" s="1422">
        <v>8749</v>
      </c>
    </row>
    <row r="54" spans="1:61" ht="12.75" customHeight="1" thickBot="1">
      <c r="A54" s="1418" t="s">
        <v>505</v>
      </c>
      <c r="B54" s="1418" t="s">
        <v>506</v>
      </c>
      <c r="C54" s="1419">
        <v>3171</v>
      </c>
      <c r="D54" s="1420">
        <v>41.54</v>
      </c>
      <c r="E54" s="1420">
        <v>3010.36</v>
      </c>
      <c r="F54" s="1421">
        <v>0.09</v>
      </c>
      <c r="G54" s="1420">
        <v>3149.23</v>
      </c>
      <c r="H54" s="1420">
        <v>3114.91</v>
      </c>
      <c r="I54" s="1422">
        <v>375717359</v>
      </c>
      <c r="J54" s="1422">
        <v>26</v>
      </c>
      <c r="K54" s="1422">
        <v>25</v>
      </c>
      <c r="L54" s="1422">
        <v>1</v>
      </c>
      <c r="M54" s="1422">
        <v>0</v>
      </c>
      <c r="N54" s="1422">
        <v>9</v>
      </c>
      <c r="O54" s="1422">
        <v>35</v>
      </c>
      <c r="P54" s="1423">
        <v>25795116.780000001</v>
      </c>
      <c r="Q54" s="1424">
        <v>12359185.869999999</v>
      </c>
      <c r="R54" s="1425">
        <f t="shared" si="0"/>
        <v>12359185.869999999</v>
      </c>
      <c r="S54" s="1426">
        <v>12106</v>
      </c>
      <c r="T54" s="1427">
        <f t="shared" si="1"/>
        <v>12106</v>
      </c>
      <c r="U54" s="1428">
        <v>9856446</v>
      </c>
      <c r="V54" s="1422">
        <v>121568</v>
      </c>
      <c r="W54" s="1422">
        <v>210905</v>
      </c>
      <c r="X54" s="1422">
        <v>0</v>
      </c>
      <c r="Y54" s="1422">
        <v>0</v>
      </c>
      <c r="Z54" s="1422">
        <v>0</v>
      </c>
      <c r="AA54" s="1422">
        <v>0</v>
      </c>
      <c r="AB54" s="1422">
        <v>0</v>
      </c>
      <c r="AC54" s="1429">
        <v>0</v>
      </c>
      <c r="AD54" s="1422">
        <v>128833</v>
      </c>
      <c r="AE54" s="1420">
        <v>17010.28</v>
      </c>
      <c r="AF54" s="1422">
        <v>1550</v>
      </c>
      <c r="AG54" s="1422">
        <v>165649</v>
      </c>
      <c r="AH54" s="1422">
        <v>39262</v>
      </c>
      <c r="AI54" s="1422">
        <v>898752</v>
      </c>
      <c r="AJ54" s="1420">
        <v>225043.11</v>
      </c>
      <c r="AK54" s="1420">
        <v>130030.52</v>
      </c>
      <c r="AL54" s="1420">
        <v>11587.19</v>
      </c>
      <c r="AM54" s="1422">
        <v>0</v>
      </c>
      <c r="AN54" s="1429">
        <v>437303</v>
      </c>
      <c r="AO54" s="1422">
        <v>0</v>
      </c>
      <c r="AP54" s="1420">
        <v>83852.429999999993</v>
      </c>
      <c r="AQ54" s="1430">
        <f t="shared" si="2"/>
        <v>11890488.529999997</v>
      </c>
      <c r="AR54" s="1431">
        <v>4548959.26</v>
      </c>
      <c r="AS54" s="1432">
        <v>587681.26</v>
      </c>
      <c r="AT54" s="1422">
        <v>0</v>
      </c>
      <c r="AU54" s="1420">
        <v>11116.11</v>
      </c>
      <c r="AV54" s="1422">
        <v>0</v>
      </c>
      <c r="AW54" s="1420">
        <v>15537.93</v>
      </c>
      <c r="AX54" s="1422">
        <v>0</v>
      </c>
      <c r="AY54" s="1420">
        <v>614335.30000000005</v>
      </c>
      <c r="AZ54" s="1420">
        <v>1576575.66</v>
      </c>
      <c r="BA54" s="1423">
        <f t="shared" si="3"/>
        <v>2217565</v>
      </c>
      <c r="BB54" s="1420">
        <f t="shared" si="4"/>
        <v>31028304.659999996</v>
      </c>
      <c r="BC54" s="1433">
        <f t="shared" si="5"/>
        <v>9785.0219678334906</v>
      </c>
      <c r="BD54" s="1433">
        <f t="shared" si="6"/>
        <v>3897.5672879217909</v>
      </c>
      <c r="BE54" s="1433">
        <f t="shared" si="7"/>
        <v>3.8177231157363609</v>
      </c>
      <c r="BF54" s="1433">
        <f t="shared" si="8"/>
        <v>3749.7598643960887</v>
      </c>
      <c r="BG54" s="1433">
        <f t="shared" si="9"/>
        <v>1434.5503815830969</v>
      </c>
      <c r="BH54" s="1434">
        <f t="shared" si="10"/>
        <v>699.32671081677699</v>
      </c>
      <c r="BI54" s="1422">
        <v>8611</v>
      </c>
    </row>
    <row r="55" spans="1:61" ht="12.75" customHeight="1" thickBot="1">
      <c r="A55" s="1418" t="s">
        <v>507</v>
      </c>
      <c r="B55" s="1418" t="s">
        <v>508</v>
      </c>
      <c r="C55" s="1419">
        <v>2346</v>
      </c>
      <c r="D55" s="1420">
        <v>106.46</v>
      </c>
      <c r="E55" s="1420">
        <v>2264.75</v>
      </c>
      <c r="F55" s="1421">
        <v>0.28999999999999998</v>
      </c>
      <c r="G55" s="1420">
        <v>2349.21</v>
      </c>
      <c r="H55" s="1420">
        <v>2278.88</v>
      </c>
      <c r="I55" s="1422">
        <v>159845670</v>
      </c>
      <c r="J55" s="1422">
        <v>25</v>
      </c>
      <c r="K55" s="1422">
        <v>25</v>
      </c>
      <c r="L55" s="1422">
        <v>0</v>
      </c>
      <c r="M55" s="1422">
        <v>0</v>
      </c>
      <c r="N55" s="1420">
        <v>12.6</v>
      </c>
      <c r="O55" s="1420">
        <v>37.6</v>
      </c>
      <c r="P55" s="1423">
        <v>37204838.899999999</v>
      </c>
      <c r="Q55" s="1424">
        <v>5538221.0599999996</v>
      </c>
      <c r="R55" s="1425">
        <f t="shared" si="0"/>
        <v>5538221.0599999996</v>
      </c>
      <c r="S55" s="1426">
        <v>0</v>
      </c>
      <c r="T55" s="1427">
        <f t="shared" si="1"/>
        <v>0</v>
      </c>
      <c r="U55" s="1428">
        <v>10040060</v>
      </c>
      <c r="V55" s="1422">
        <v>60272</v>
      </c>
      <c r="W55" s="1422">
        <v>441084</v>
      </c>
      <c r="X55" s="1422">
        <v>0</v>
      </c>
      <c r="Y55" s="1422">
        <v>0</v>
      </c>
      <c r="Z55" s="1422">
        <v>0</v>
      </c>
      <c r="AA55" s="1422">
        <v>0</v>
      </c>
      <c r="AB55" s="1422">
        <v>22190</v>
      </c>
      <c r="AC55" s="1435">
        <v>538258.21</v>
      </c>
      <c r="AD55" s="1422">
        <v>94254</v>
      </c>
      <c r="AE55" s="1420">
        <v>41030.28</v>
      </c>
      <c r="AF55" s="1422">
        <v>4533</v>
      </c>
      <c r="AG55" s="1422">
        <v>12392</v>
      </c>
      <c r="AH55" s="1422">
        <v>12599</v>
      </c>
      <c r="AI55" s="1422">
        <v>279903</v>
      </c>
      <c r="AJ55" s="1420">
        <v>159866.76999999999</v>
      </c>
      <c r="AK55" s="1420">
        <v>47937.52</v>
      </c>
      <c r="AL55" s="1420">
        <v>8789.6200000000008</v>
      </c>
      <c r="AM55" s="1422">
        <v>0</v>
      </c>
      <c r="AN55" s="1429">
        <v>288198</v>
      </c>
      <c r="AO55" s="1422">
        <v>0</v>
      </c>
      <c r="AP55" s="1420">
        <v>319268.14</v>
      </c>
      <c r="AQ55" s="1430">
        <f t="shared" si="2"/>
        <v>11544179.329999998</v>
      </c>
      <c r="AR55" s="1431">
        <v>1658537.6</v>
      </c>
      <c r="AS55" s="1432">
        <v>16426857.83</v>
      </c>
      <c r="AT55" s="1422">
        <v>0</v>
      </c>
      <c r="AU55" s="1420">
        <v>760.6</v>
      </c>
      <c r="AV55" s="1422">
        <v>0</v>
      </c>
      <c r="AW55" s="1422">
        <v>14695</v>
      </c>
      <c r="AX55" s="1422">
        <v>0</v>
      </c>
      <c r="AY55" s="1420">
        <v>16442313.43</v>
      </c>
      <c r="AZ55" s="1420">
        <v>1432244.62</v>
      </c>
      <c r="BA55" s="1423">
        <f t="shared" si="3"/>
        <v>17890013.649999999</v>
      </c>
      <c r="BB55" s="1420">
        <f t="shared" si="4"/>
        <v>36630951.640000001</v>
      </c>
      <c r="BC55" s="1433">
        <f t="shared" si="5"/>
        <v>15614.216385336744</v>
      </c>
      <c r="BD55" s="1433">
        <f t="shared" si="6"/>
        <v>2360.7080392156863</v>
      </c>
      <c r="BE55" s="1433">
        <f t="shared" si="7"/>
        <v>0</v>
      </c>
      <c r="BF55" s="1433">
        <f t="shared" si="8"/>
        <v>4920.7925532821819</v>
      </c>
      <c r="BG55" s="1433">
        <f t="shared" si="9"/>
        <v>706.9640238704178</v>
      </c>
      <c r="BH55" s="1434">
        <f t="shared" si="10"/>
        <v>7625.7517689684564</v>
      </c>
      <c r="BI55" s="1422">
        <v>7109</v>
      </c>
    </row>
    <row r="56" spans="1:61" ht="12.75" customHeight="1" thickBot="1">
      <c r="A56" s="1418" t="s">
        <v>509</v>
      </c>
      <c r="B56" s="1418" t="s">
        <v>510</v>
      </c>
      <c r="C56" s="1419">
        <v>807</v>
      </c>
      <c r="D56" s="1420">
        <v>100.31</v>
      </c>
      <c r="E56" s="1420">
        <v>762.97</v>
      </c>
      <c r="F56" s="1421">
        <v>0.04</v>
      </c>
      <c r="G56" s="1420">
        <v>811.51</v>
      </c>
      <c r="H56" s="1420">
        <v>803.52</v>
      </c>
      <c r="I56" s="1422">
        <v>37673394</v>
      </c>
      <c r="J56" s="1422">
        <v>25</v>
      </c>
      <c r="K56" s="1422">
        <v>25</v>
      </c>
      <c r="L56" s="1422">
        <v>0</v>
      </c>
      <c r="M56" s="1422">
        <v>0</v>
      </c>
      <c r="N56" s="1420">
        <v>16.059999999999999</v>
      </c>
      <c r="O56" s="1420">
        <v>41.06</v>
      </c>
      <c r="P56" s="1423">
        <v>5425185.2599999998</v>
      </c>
      <c r="Q56" s="1424">
        <v>1472367.09</v>
      </c>
      <c r="R56" s="1425">
        <f t="shared" si="0"/>
        <v>1472367.09</v>
      </c>
      <c r="S56" s="1426">
        <v>0</v>
      </c>
      <c r="T56" s="1427">
        <f t="shared" si="1"/>
        <v>0</v>
      </c>
      <c r="U56" s="1428">
        <v>3937362</v>
      </c>
      <c r="V56" s="1422">
        <v>3697</v>
      </c>
      <c r="W56" s="1422">
        <v>46076</v>
      </c>
      <c r="X56" s="1422">
        <v>0</v>
      </c>
      <c r="Y56" s="1422">
        <v>0</v>
      </c>
      <c r="Z56" s="1422">
        <v>0</v>
      </c>
      <c r="AA56" s="1422">
        <v>23622</v>
      </c>
      <c r="AB56" s="1422">
        <v>0</v>
      </c>
      <c r="AC56" s="1429">
        <v>0</v>
      </c>
      <c r="AD56" s="1422">
        <v>33234</v>
      </c>
      <c r="AE56" s="1420">
        <v>5767.86</v>
      </c>
      <c r="AF56" s="1422">
        <v>300</v>
      </c>
      <c r="AG56" s="1422">
        <v>0</v>
      </c>
      <c r="AH56" s="1422">
        <v>0</v>
      </c>
      <c r="AI56" s="1422">
        <v>252960</v>
      </c>
      <c r="AJ56" s="1420">
        <v>60069.25</v>
      </c>
      <c r="AK56" s="1420">
        <v>38925.300000000003</v>
      </c>
      <c r="AL56" s="1420">
        <v>3250.22</v>
      </c>
      <c r="AM56" s="1422">
        <v>0</v>
      </c>
      <c r="AN56" s="1429">
        <v>0</v>
      </c>
      <c r="AO56" s="1422">
        <v>0</v>
      </c>
      <c r="AP56" s="1420">
        <v>5764701.0700000003</v>
      </c>
      <c r="AQ56" s="1430">
        <f t="shared" si="2"/>
        <v>10169964.699999999</v>
      </c>
      <c r="AR56" s="1431">
        <v>1409228.02</v>
      </c>
      <c r="AS56" s="1437">
        <v>0</v>
      </c>
      <c r="AT56" s="1422">
        <v>0</v>
      </c>
      <c r="AU56" s="1422">
        <v>0</v>
      </c>
      <c r="AV56" s="1422">
        <v>0</v>
      </c>
      <c r="AW56" s="1422">
        <v>0</v>
      </c>
      <c r="AX56" s="1422">
        <v>0</v>
      </c>
      <c r="AY56" s="1422">
        <v>0</v>
      </c>
      <c r="AZ56" s="1420">
        <v>421157.78</v>
      </c>
      <c r="BA56" s="1423">
        <f t="shared" si="3"/>
        <v>421157.78</v>
      </c>
      <c r="BB56" s="1420">
        <f t="shared" si="4"/>
        <v>13472717.59</v>
      </c>
      <c r="BC56" s="1433">
        <f t="shared" si="5"/>
        <v>16694.817335811647</v>
      </c>
      <c r="BD56" s="1433">
        <f t="shared" si="6"/>
        <v>1824.4945353159853</v>
      </c>
      <c r="BE56" s="1433">
        <f t="shared" si="7"/>
        <v>0</v>
      </c>
      <c r="BF56" s="1433">
        <f t="shared" si="8"/>
        <v>12602.186741016108</v>
      </c>
      <c r="BG56" s="1433">
        <f t="shared" si="9"/>
        <v>1746.2552912019826</v>
      </c>
      <c r="BH56" s="1434">
        <f t="shared" si="10"/>
        <v>521.88076827757129</v>
      </c>
      <c r="BI56" s="1422">
        <v>8825</v>
      </c>
    </row>
    <row r="57" spans="1:61" ht="12.75" customHeight="1" thickBot="1">
      <c r="A57" s="1418" t="s">
        <v>511</v>
      </c>
      <c r="B57" s="1418" t="s">
        <v>512</v>
      </c>
      <c r="C57" s="1419">
        <v>3415</v>
      </c>
      <c r="D57" s="1420">
        <v>102.41</v>
      </c>
      <c r="E57" s="1420">
        <v>3261.51</v>
      </c>
      <c r="F57" s="1421">
        <v>7.0000000000000007E-2</v>
      </c>
      <c r="G57" s="1420">
        <v>3405.6</v>
      </c>
      <c r="H57" s="1420">
        <v>3431.79</v>
      </c>
      <c r="I57" s="1422">
        <v>164383418</v>
      </c>
      <c r="J57" s="1422">
        <v>25</v>
      </c>
      <c r="K57" s="1422">
        <v>25</v>
      </c>
      <c r="L57" s="1422">
        <v>0</v>
      </c>
      <c r="M57" s="1422">
        <v>0</v>
      </c>
      <c r="N57" s="1420">
        <v>18.399999999999999</v>
      </c>
      <c r="O57" s="1420">
        <v>43.4</v>
      </c>
      <c r="P57" s="1438">
        <v>53585000</v>
      </c>
      <c r="Q57" s="1424">
        <v>6588614.4699999997</v>
      </c>
      <c r="R57" s="1425">
        <f t="shared" si="0"/>
        <v>6588614.4699999997</v>
      </c>
      <c r="S57" s="1436">
        <v>2264.37</v>
      </c>
      <c r="T57" s="1427">
        <f t="shared" si="1"/>
        <v>2264.37</v>
      </c>
      <c r="U57" s="1428">
        <v>16753036</v>
      </c>
      <c r="V57" s="1422">
        <v>67487</v>
      </c>
      <c r="W57" s="1422">
        <v>0</v>
      </c>
      <c r="X57" s="1422">
        <v>0</v>
      </c>
      <c r="Y57" s="1422">
        <v>0</v>
      </c>
      <c r="Z57" s="1422">
        <v>0</v>
      </c>
      <c r="AA57" s="1422">
        <v>0</v>
      </c>
      <c r="AB57" s="1420">
        <v>23774.68</v>
      </c>
      <c r="AC57" s="1429">
        <v>0</v>
      </c>
      <c r="AD57" s="1422">
        <v>141939</v>
      </c>
      <c r="AE57" s="1420">
        <v>19750.45</v>
      </c>
      <c r="AF57" s="1422">
        <v>5350</v>
      </c>
      <c r="AG57" s="1422">
        <v>93571</v>
      </c>
      <c r="AH57" s="1422">
        <v>1172</v>
      </c>
      <c r="AI57" s="1422">
        <v>860064</v>
      </c>
      <c r="AJ57" s="1420">
        <v>33066.79</v>
      </c>
      <c r="AK57" s="1420">
        <v>174406.87</v>
      </c>
      <c r="AL57" s="1420">
        <v>12208.78</v>
      </c>
      <c r="AM57" s="1422">
        <v>0</v>
      </c>
      <c r="AN57" s="1429">
        <v>0</v>
      </c>
      <c r="AO57" s="1422">
        <v>0</v>
      </c>
      <c r="AP57" s="1420">
        <v>2320375.7999999998</v>
      </c>
      <c r="AQ57" s="1430">
        <f t="shared" si="2"/>
        <v>20506202.370000001</v>
      </c>
      <c r="AR57" s="1431">
        <v>3825118.59</v>
      </c>
      <c r="AS57" s="1432">
        <v>2895012.56</v>
      </c>
      <c r="AT57" s="1422">
        <v>0</v>
      </c>
      <c r="AU57" s="1422">
        <v>0</v>
      </c>
      <c r="AV57" s="1422">
        <v>0</v>
      </c>
      <c r="AW57" s="1422">
        <v>0</v>
      </c>
      <c r="AX57" s="1422">
        <v>0</v>
      </c>
      <c r="AY57" s="1420">
        <v>2895012.56</v>
      </c>
      <c r="AZ57" s="1420">
        <v>1802327.13</v>
      </c>
      <c r="BA57" s="1423">
        <f t="shared" si="3"/>
        <v>4697339.6899999995</v>
      </c>
      <c r="BB57" s="1420">
        <f t="shared" si="4"/>
        <v>35619539.490000002</v>
      </c>
      <c r="BC57" s="1433">
        <f t="shared" si="5"/>
        <v>10430.319030746707</v>
      </c>
      <c r="BD57" s="1433">
        <f t="shared" si="6"/>
        <v>1929.3160966325036</v>
      </c>
      <c r="BE57" s="1433">
        <f t="shared" si="7"/>
        <v>0.66306588579795023</v>
      </c>
      <c r="BF57" s="1433">
        <f t="shared" si="8"/>
        <v>6004.7444714494877</v>
      </c>
      <c r="BG57" s="1433">
        <f t="shared" si="9"/>
        <v>1120.0932913616398</v>
      </c>
      <c r="BH57" s="1434">
        <f t="shared" si="10"/>
        <v>1375.5021054172767</v>
      </c>
      <c r="BI57" s="1422">
        <v>8083</v>
      </c>
    </row>
    <row r="58" spans="1:61" ht="12.75" customHeight="1" thickBot="1">
      <c r="A58" s="1418" t="s">
        <v>513</v>
      </c>
      <c r="B58" s="1418" t="s">
        <v>514</v>
      </c>
      <c r="C58" s="1419">
        <v>934</v>
      </c>
      <c r="D58" s="1420">
        <v>151.63</v>
      </c>
      <c r="E58" s="1420">
        <v>856.09</v>
      </c>
      <c r="F58" s="1421">
        <v>-0.02</v>
      </c>
      <c r="G58" s="1420">
        <v>925.32</v>
      </c>
      <c r="H58" s="1420">
        <v>935.14</v>
      </c>
      <c r="I58" s="1422">
        <v>38831631</v>
      </c>
      <c r="J58" s="1422">
        <v>25</v>
      </c>
      <c r="K58" s="1422">
        <v>25</v>
      </c>
      <c r="L58" s="1422">
        <v>0</v>
      </c>
      <c r="M58" s="1422">
        <v>0</v>
      </c>
      <c r="N58" s="1422">
        <v>11</v>
      </c>
      <c r="O58" s="1422">
        <v>36</v>
      </c>
      <c r="P58" s="1423">
        <v>6392403.3700000001</v>
      </c>
      <c r="Q58" s="1424">
        <v>1401521.29</v>
      </c>
      <c r="R58" s="1425">
        <f t="shared" si="0"/>
        <v>1401521.29</v>
      </c>
      <c r="S58" s="1436">
        <v>603.21</v>
      </c>
      <c r="T58" s="1427">
        <f t="shared" si="1"/>
        <v>603.21</v>
      </c>
      <c r="U58" s="1428">
        <v>4642375</v>
      </c>
      <c r="V58" s="1422">
        <v>10923</v>
      </c>
      <c r="W58" s="1422">
        <v>0</v>
      </c>
      <c r="X58" s="1422">
        <v>4758</v>
      </c>
      <c r="Y58" s="1422">
        <v>0</v>
      </c>
      <c r="Z58" s="1422">
        <v>0</v>
      </c>
      <c r="AA58" s="1422">
        <v>14335</v>
      </c>
      <c r="AB58" s="1422">
        <v>0</v>
      </c>
      <c r="AC58" s="1429">
        <v>0</v>
      </c>
      <c r="AD58" s="1422">
        <v>38677</v>
      </c>
      <c r="AE58" s="1420">
        <v>699.24</v>
      </c>
      <c r="AF58" s="1422">
        <v>150</v>
      </c>
      <c r="AG58" s="1422">
        <v>51194</v>
      </c>
      <c r="AH58" s="1422">
        <v>0</v>
      </c>
      <c r="AI58" s="1422">
        <v>557169</v>
      </c>
      <c r="AJ58" s="1420">
        <v>4190.9399999999996</v>
      </c>
      <c r="AK58" s="1422">
        <v>17875</v>
      </c>
      <c r="AL58" s="1420">
        <v>3512.34</v>
      </c>
      <c r="AM58" s="1422">
        <v>0</v>
      </c>
      <c r="AN58" s="1429">
        <v>0</v>
      </c>
      <c r="AO58" s="1422">
        <v>0</v>
      </c>
      <c r="AP58" s="1420">
        <v>4334489.1100000003</v>
      </c>
      <c r="AQ58" s="1430">
        <f t="shared" si="2"/>
        <v>9680347.6300000008</v>
      </c>
      <c r="AR58" s="1431">
        <v>3710188.27</v>
      </c>
      <c r="AS58" s="1432">
        <v>5113782.6900000004</v>
      </c>
      <c r="AT58" s="1422">
        <v>0</v>
      </c>
      <c r="AU58" s="1422">
        <v>4778</v>
      </c>
      <c r="AV58" s="1420">
        <v>7975.59</v>
      </c>
      <c r="AW58" s="1420">
        <v>158641.26</v>
      </c>
      <c r="AX58" s="1422">
        <v>0</v>
      </c>
      <c r="AY58" s="1420">
        <v>5285177.54</v>
      </c>
      <c r="AZ58" s="1420">
        <v>410045.86</v>
      </c>
      <c r="BA58" s="1423">
        <f t="shared" si="3"/>
        <v>5866618.25</v>
      </c>
      <c r="BB58" s="1420">
        <f t="shared" si="4"/>
        <v>20659278.649999999</v>
      </c>
      <c r="BC58" s="1433">
        <f t="shared" si="5"/>
        <v>22119.142023554603</v>
      </c>
      <c r="BD58" s="1433">
        <f t="shared" si="6"/>
        <v>1500.5581263383299</v>
      </c>
      <c r="BE58" s="1433">
        <f t="shared" si="7"/>
        <v>0.64583511777301927</v>
      </c>
      <c r="BF58" s="1433">
        <f t="shared" si="8"/>
        <v>10364.397890792292</v>
      </c>
      <c r="BG58" s="1433">
        <f t="shared" si="9"/>
        <v>3972.3643147751604</v>
      </c>
      <c r="BH58" s="1434">
        <f t="shared" si="10"/>
        <v>6281.1758565310492</v>
      </c>
      <c r="BI58" s="1422">
        <v>8299</v>
      </c>
    </row>
    <row r="59" spans="1:61" ht="12.75" customHeight="1" thickBot="1">
      <c r="A59" s="1418" t="s">
        <v>515</v>
      </c>
      <c r="B59" s="1418" t="s">
        <v>516</v>
      </c>
      <c r="C59" s="1419">
        <v>696</v>
      </c>
      <c r="D59" s="1420">
        <v>196.32</v>
      </c>
      <c r="E59" s="1420">
        <v>647.98</v>
      </c>
      <c r="F59" s="1421">
        <v>-7.0000000000000007E-2</v>
      </c>
      <c r="G59" s="1420">
        <v>692.48</v>
      </c>
      <c r="H59" s="1420">
        <v>680.23</v>
      </c>
      <c r="I59" s="1422">
        <v>34401881</v>
      </c>
      <c r="J59" s="1422">
        <v>25</v>
      </c>
      <c r="K59" s="1422">
        <v>25</v>
      </c>
      <c r="L59" s="1422">
        <v>0</v>
      </c>
      <c r="M59" s="1422">
        <v>0</v>
      </c>
      <c r="N59" s="1420">
        <v>14.1</v>
      </c>
      <c r="O59" s="1420">
        <v>39.1</v>
      </c>
      <c r="P59" s="1423">
        <v>2678705.0499999998</v>
      </c>
      <c r="Q59" s="1424">
        <v>1262598.7</v>
      </c>
      <c r="R59" s="1425">
        <f t="shared" si="0"/>
        <v>1262598.7</v>
      </c>
      <c r="S59" s="1436">
        <v>448.41</v>
      </c>
      <c r="T59" s="1427">
        <f t="shared" si="1"/>
        <v>448.41</v>
      </c>
      <c r="U59" s="1428">
        <v>3215394</v>
      </c>
      <c r="V59" s="1422">
        <v>680</v>
      </c>
      <c r="W59" s="1422">
        <v>0</v>
      </c>
      <c r="X59" s="1422">
        <v>79684</v>
      </c>
      <c r="Y59" s="1422">
        <v>0</v>
      </c>
      <c r="Z59" s="1422">
        <v>0</v>
      </c>
      <c r="AA59" s="1422">
        <v>31274</v>
      </c>
      <c r="AB59" s="1422">
        <v>0</v>
      </c>
      <c r="AC59" s="1429">
        <v>0</v>
      </c>
      <c r="AD59" s="1422">
        <v>28134</v>
      </c>
      <c r="AE59" s="1420">
        <v>5263.09</v>
      </c>
      <c r="AF59" s="1422">
        <v>982</v>
      </c>
      <c r="AG59" s="1422">
        <v>0</v>
      </c>
      <c r="AH59" s="1422">
        <v>0</v>
      </c>
      <c r="AI59" s="1422">
        <v>322068</v>
      </c>
      <c r="AJ59" s="1420">
        <v>4562.6099999999997</v>
      </c>
      <c r="AK59" s="1422">
        <v>14625</v>
      </c>
      <c r="AL59" s="1420">
        <v>6738.44</v>
      </c>
      <c r="AM59" s="1422">
        <v>0</v>
      </c>
      <c r="AN59" s="1429">
        <v>84901</v>
      </c>
      <c r="AO59" s="1422">
        <v>0</v>
      </c>
      <c r="AP59" s="1422">
        <v>78775</v>
      </c>
      <c r="AQ59" s="1430">
        <f t="shared" si="2"/>
        <v>3788180.1399999997</v>
      </c>
      <c r="AR59" s="1431">
        <v>1334283.51</v>
      </c>
      <c r="AS59" s="1432">
        <v>5170.07</v>
      </c>
      <c r="AT59" s="1422">
        <v>0</v>
      </c>
      <c r="AU59" s="1420">
        <v>5691.75</v>
      </c>
      <c r="AV59" s="1422">
        <v>0</v>
      </c>
      <c r="AW59" s="1420">
        <v>6785.45</v>
      </c>
      <c r="AX59" s="1422">
        <v>0</v>
      </c>
      <c r="AY59" s="1420">
        <v>17647.27</v>
      </c>
      <c r="AZ59" s="1420">
        <v>323001.40999999997</v>
      </c>
      <c r="BA59" s="1423">
        <f t="shared" si="3"/>
        <v>353125.88</v>
      </c>
      <c r="BB59" s="1420">
        <f t="shared" si="4"/>
        <v>6738636.6399999997</v>
      </c>
      <c r="BC59" s="1433">
        <f t="shared" si="5"/>
        <v>9681.9491954022978</v>
      </c>
      <c r="BD59" s="1433">
        <f t="shared" si="6"/>
        <v>1814.0785919540228</v>
      </c>
      <c r="BE59" s="1433">
        <f t="shared" si="7"/>
        <v>0.64426724137931035</v>
      </c>
      <c r="BF59" s="1433">
        <f t="shared" si="8"/>
        <v>5442.7875574712643</v>
      </c>
      <c r="BG59" s="1433">
        <f t="shared" si="9"/>
        <v>1917.0740086206897</v>
      </c>
      <c r="BH59" s="1434">
        <f t="shared" si="10"/>
        <v>507.36477011494253</v>
      </c>
      <c r="BI59" s="1422">
        <v>8934</v>
      </c>
    </row>
    <row r="60" spans="1:61" ht="12.75" customHeight="1" thickBot="1">
      <c r="A60" s="1418" t="s">
        <v>517</v>
      </c>
      <c r="B60" s="1418" t="s">
        <v>518</v>
      </c>
      <c r="C60" s="1419">
        <v>401</v>
      </c>
      <c r="D60" s="1420">
        <v>125.22</v>
      </c>
      <c r="E60" s="1420">
        <v>365.7</v>
      </c>
      <c r="F60" s="1421">
        <v>-0.33</v>
      </c>
      <c r="G60" s="1420">
        <v>392.55</v>
      </c>
      <c r="H60" s="1420">
        <v>402.46</v>
      </c>
      <c r="I60" s="1422">
        <v>43246128</v>
      </c>
      <c r="J60" s="1422">
        <v>25</v>
      </c>
      <c r="K60" s="1422">
        <v>25</v>
      </c>
      <c r="L60" s="1422">
        <v>0</v>
      </c>
      <c r="M60" s="1422">
        <v>0</v>
      </c>
      <c r="N60" s="1420">
        <v>11.4</v>
      </c>
      <c r="O60" s="1420">
        <v>36.4</v>
      </c>
      <c r="P60" s="1423">
        <v>1417709.63</v>
      </c>
      <c r="Q60" s="1424">
        <v>1513276.45</v>
      </c>
      <c r="R60" s="1425">
        <f t="shared" si="0"/>
        <v>1513276.45</v>
      </c>
      <c r="S60" s="1436">
        <v>262.19</v>
      </c>
      <c r="T60" s="1427">
        <f t="shared" si="1"/>
        <v>262.19</v>
      </c>
      <c r="U60" s="1428">
        <v>1297472</v>
      </c>
      <c r="V60" s="1422">
        <v>11860</v>
      </c>
      <c r="W60" s="1422">
        <v>0</v>
      </c>
      <c r="X60" s="1422">
        <v>37885</v>
      </c>
      <c r="Y60" s="1422">
        <v>0</v>
      </c>
      <c r="Z60" s="1422">
        <v>116944</v>
      </c>
      <c r="AA60" s="1422">
        <v>0</v>
      </c>
      <c r="AB60" s="1422">
        <v>0</v>
      </c>
      <c r="AC60" s="1429">
        <v>0</v>
      </c>
      <c r="AD60" s="1422">
        <v>16646</v>
      </c>
      <c r="AE60" s="1420">
        <v>4380.26</v>
      </c>
      <c r="AF60" s="1422">
        <v>962</v>
      </c>
      <c r="AG60" s="1422">
        <v>28644</v>
      </c>
      <c r="AH60" s="1422">
        <v>0</v>
      </c>
      <c r="AI60" s="1422">
        <v>237251</v>
      </c>
      <c r="AJ60" s="1420">
        <v>11008.76</v>
      </c>
      <c r="AK60" s="1420">
        <v>5687.52</v>
      </c>
      <c r="AL60" s="1420">
        <v>1585.36</v>
      </c>
      <c r="AM60" s="1422">
        <v>0</v>
      </c>
      <c r="AN60" s="1429">
        <v>0</v>
      </c>
      <c r="AO60" s="1422">
        <v>0</v>
      </c>
      <c r="AP60" s="1420">
        <v>99721.5</v>
      </c>
      <c r="AQ60" s="1430">
        <f t="shared" si="2"/>
        <v>1870047.4000000001</v>
      </c>
      <c r="AR60" s="1440">
        <v>1298886</v>
      </c>
      <c r="AS60" s="1437">
        <v>0</v>
      </c>
      <c r="AT60" s="1422">
        <v>0</v>
      </c>
      <c r="AU60" s="1420">
        <v>2182.56</v>
      </c>
      <c r="AV60" s="1422">
        <v>711</v>
      </c>
      <c r="AW60" s="1420">
        <v>8395.9</v>
      </c>
      <c r="AX60" s="1422">
        <v>0</v>
      </c>
      <c r="AY60" s="1420">
        <v>11289.46</v>
      </c>
      <c r="AZ60" s="1420">
        <v>288503.15000000002</v>
      </c>
      <c r="BA60" s="1423">
        <f t="shared" si="3"/>
        <v>311082.07</v>
      </c>
      <c r="BB60" s="1420">
        <f t="shared" si="4"/>
        <v>4993554.1100000003</v>
      </c>
      <c r="BC60" s="1433">
        <f t="shared" si="5"/>
        <v>12452.753391521197</v>
      </c>
      <c r="BD60" s="1433">
        <f t="shared" si="6"/>
        <v>3773.7567331670821</v>
      </c>
      <c r="BE60" s="1433">
        <f t="shared" si="7"/>
        <v>0.6538403990024938</v>
      </c>
      <c r="BF60" s="1433">
        <f t="shared" si="8"/>
        <v>4663.4598503740654</v>
      </c>
      <c r="BG60" s="1433">
        <f t="shared" si="9"/>
        <v>3239.1172069825438</v>
      </c>
      <c r="BH60" s="1434">
        <f t="shared" si="10"/>
        <v>775.76576059850379</v>
      </c>
      <c r="BI60" s="1422">
        <v>10798</v>
      </c>
    </row>
    <row r="61" spans="1:61" ht="12.75" customHeight="1" thickBot="1">
      <c r="A61" s="1418" t="s">
        <v>519</v>
      </c>
      <c r="B61" s="1418" t="s">
        <v>520</v>
      </c>
      <c r="C61" s="1419">
        <v>5925</v>
      </c>
      <c r="D61" s="1420">
        <v>116.11</v>
      </c>
      <c r="E61" s="1420">
        <v>5591.12</v>
      </c>
      <c r="F61" s="1421">
        <v>0.02</v>
      </c>
      <c r="G61" s="1420">
        <v>5880.08</v>
      </c>
      <c r="H61" s="1420">
        <v>5821.77</v>
      </c>
      <c r="I61" s="1422">
        <v>405182443</v>
      </c>
      <c r="J61" s="1422">
        <v>25</v>
      </c>
      <c r="K61" s="1422">
        <v>25</v>
      </c>
      <c r="L61" s="1422">
        <v>0</v>
      </c>
      <c r="M61" s="1422">
        <v>0</v>
      </c>
      <c r="N61" s="1420">
        <v>14.6</v>
      </c>
      <c r="O61" s="1420">
        <v>39.6</v>
      </c>
      <c r="P61" s="1438">
        <v>76745000</v>
      </c>
      <c r="Q61" s="1424">
        <v>15289326.560000001</v>
      </c>
      <c r="R61" s="1425">
        <f t="shared" si="0"/>
        <v>15289326.560000001</v>
      </c>
      <c r="S61" s="1436">
        <v>3865.28</v>
      </c>
      <c r="T61" s="1427">
        <f t="shared" si="1"/>
        <v>3865.28</v>
      </c>
      <c r="U61" s="1428">
        <v>25278733</v>
      </c>
      <c r="V61" s="1422">
        <v>135424</v>
      </c>
      <c r="W61" s="1422">
        <v>362208</v>
      </c>
      <c r="X61" s="1422">
        <v>0</v>
      </c>
      <c r="Y61" s="1422">
        <v>0</v>
      </c>
      <c r="Z61" s="1422">
        <v>0</v>
      </c>
      <c r="AA61" s="1422">
        <v>0</v>
      </c>
      <c r="AB61" s="1422">
        <v>0</v>
      </c>
      <c r="AC61" s="1435">
        <v>540611.25</v>
      </c>
      <c r="AD61" s="1422">
        <v>240788</v>
      </c>
      <c r="AE61" s="1420">
        <v>70984.52</v>
      </c>
      <c r="AF61" s="1422">
        <v>7219</v>
      </c>
      <c r="AG61" s="1422">
        <v>232566</v>
      </c>
      <c r="AH61" s="1422">
        <v>138882</v>
      </c>
      <c r="AI61" s="1422">
        <v>1557936</v>
      </c>
      <c r="AJ61" s="1420">
        <v>158988.48000000001</v>
      </c>
      <c r="AK61" s="1420">
        <v>92067.28</v>
      </c>
      <c r="AL61" s="1420">
        <v>27019.08</v>
      </c>
      <c r="AM61" s="1422">
        <v>0</v>
      </c>
      <c r="AN61" s="1429">
        <v>388800</v>
      </c>
      <c r="AO61" s="1422">
        <v>0</v>
      </c>
      <c r="AP61" s="1420">
        <v>6813837.4800000004</v>
      </c>
      <c r="AQ61" s="1430">
        <f t="shared" si="2"/>
        <v>35116652.840000004</v>
      </c>
      <c r="AR61" s="1431">
        <v>10189409.73</v>
      </c>
      <c r="AS61" s="1432">
        <v>3107003.22</v>
      </c>
      <c r="AT61" s="1422">
        <v>0</v>
      </c>
      <c r="AU61" s="1422">
        <v>28766</v>
      </c>
      <c r="AV61" s="1420">
        <v>4171.5</v>
      </c>
      <c r="AW61" s="1420">
        <v>43052.14</v>
      </c>
      <c r="AX61" s="1422">
        <v>0</v>
      </c>
      <c r="AY61" s="1420">
        <v>3182992.86</v>
      </c>
      <c r="AZ61" s="1420">
        <v>2420493.5299999998</v>
      </c>
      <c r="BA61" s="1423">
        <f t="shared" si="3"/>
        <v>5679476.0299999993</v>
      </c>
      <c r="BB61" s="1420">
        <f t="shared" si="4"/>
        <v>66278730.440000005</v>
      </c>
      <c r="BC61" s="1433">
        <f t="shared" si="5"/>
        <v>11186.283618565401</v>
      </c>
      <c r="BD61" s="1433">
        <f t="shared" si="6"/>
        <v>2580.4770565400845</v>
      </c>
      <c r="BE61" s="1433">
        <f t="shared" si="7"/>
        <v>0.65236793248945146</v>
      </c>
      <c r="BF61" s="1433">
        <f t="shared" si="8"/>
        <v>5926.8612388185657</v>
      </c>
      <c r="BG61" s="1433">
        <f t="shared" si="9"/>
        <v>1719.7316000000001</v>
      </c>
      <c r="BH61" s="1434">
        <f t="shared" si="10"/>
        <v>958.56135527426147</v>
      </c>
      <c r="BI61" s="1422">
        <v>8584</v>
      </c>
    </row>
    <row r="62" spans="1:61" ht="12.75" customHeight="1" thickBot="1">
      <c r="A62" s="1418" t="s">
        <v>521</v>
      </c>
      <c r="B62" s="1418" t="s">
        <v>522</v>
      </c>
      <c r="C62" s="1419">
        <v>701</v>
      </c>
      <c r="D62" s="1420">
        <v>136.44999999999999</v>
      </c>
      <c r="E62" s="1420">
        <v>670.91</v>
      </c>
      <c r="F62" s="1421">
        <v>-0.17</v>
      </c>
      <c r="G62" s="1420">
        <v>693.93</v>
      </c>
      <c r="H62" s="1420">
        <v>755.21</v>
      </c>
      <c r="I62" s="1422">
        <v>24330476</v>
      </c>
      <c r="J62" s="1422">
        <v>25</v>
      </c>
      <c r="K62" s="1422">
        <v>25</v>
      </c>
      <c r="L62" s="1422">
        <v>0</v>
      </c>
      <c r="M62" s="1422">
        <v>0</v>
      </c>
      <c r="N62" s="1420">
        <v>19.8</v>
      </c>
      <c r="O62" s="1420">
        <v>44.8</v>
      </c>
      <c r="P62" s="1423">
        <v>7956454.9699999997</v>
      </c>
      <c r="Q62" s="1424">
        <v>1059801.23</v>
      </c>
      <c r="R62" s="1425">
        <f t="shared" si="0"/>
        <v>1059801.23</v>
      </c>
      <c r="S62" s="1426">
        <v>0</v>
      </c>
      <c r="T62" s="1427">
        <f t="shared" si="1"/>
        <v>0</v>
      </c>
      <c r="U62" s="1428">
        <v>3949343</v>
      </c>
      <c r="V62" s="1422">
        <v>34582</v>
      </c>
      <c r="W62" s="1422">
        <v>0</v>
      </c>
      <c r="X62" s="1422">
        <v>69867</v>
      </c>
      <c r="Y62" s="1422">
        <v>0</v>
      </c>
      <c r="Z62" s="1422">
        <v>0</v>
      </c>
      <c r="AA62" s="1422">
        <v>29961</v>
      </c>
      <c r="AB62" s="1422">
        <v>0</v>
      </c>
      <c r="AC62" s="1429">
        <v>0</v>
      </c>
      <c r="AD62" s="1422">
        <v>31235</v>
      </c>
      <c r="AE62" s="1420">
        <v>153639.35999999999</v>
      </c>
      <c r="AF62" s="1422">
        <v>0</v>
      </c>
      <c r="AG62" s="1422">
        <v>0</v>
      </c>
      <c r="AH62" s="1422">
        <v>0</v>
      </c>
      <c r="AI62" s="1422">
        <v>1078800</v>
      </c>
      <c r="AJ62" s="1420">
        <v>17671.830000000002</v>
      </c>
      <c r="AK62" s="1420">
        <v>79916.710000000006</v>
      </c>
      <c r="AL62" s="1420">
        <v>3359.34</v>
      </c>
      <c r="AM62" s="1422">
        <v>0</v>
      </c>
      <c r="AN62" s="1429">
        <v>237307</v>
      </c>
      <c r="AO62" s="1422">
        <v>0</v>
      </c>
      <c r="AP62" s="1420">
        <v>239747.20000000001</v>
      </c>
      <c r="AQ62" s="1430">
        <f t="shared" si="2"/>
        <v>5688122.4400000004</v>
      </c>
      <c r="AR62" s="1431">
        <v>3405176.35</v>
      </c>
      <c r="AS62" s="1437">
        <v>688215</v>
      </c>
      <c r="AT62" s="1422">
        <v>0</v>
      </c>
      <c r="AU62" s="1422">
        <v>0</v>
      </c>
      <c r="AV62" s="1422">
        <v>0</v>
      </c>
      <c r="AW62" s="1422">
        <v>0</v>
      </c>
      <c r="AX62" s="1422">
        <v>0</v>
      </c>
      <c r="AY62" s="1422">
        <v>688215</v>
      </c>
      <c r="AZ62" s="1420">
        <v>2172685.2799999998</v>
      </c>
      <c r="BA62" s="1423">
        <f t="shared" si="3"/>
        <v>2860900.28</v>
      </c>
      <c r="BB62" s="1420">
        <f t="shared" si="4"/>
        <v>13014000.300000001</v>
      </c>
      <c r="BC62" s="1433">
        <f t="shared" si="5"/>
        <v>18564.907703281027</v>
      </c>
      <c r="BD62" s="1433">
        <f t="shared" si="6"/>
        <v>1511.8419828815977</v>
      </c>
      <c r="BE62" s="1433">
        <f t="shared" si="7"/>
        <v>0</v>
      </c>
      <c r="BF62" s="1433">
        <f t="shared" si="8"/>
        <v>8114.2973466476469</v>
      </c>
      <c r="BG62" s="1433">
        <f t="shared" si="9"/>
        <v>4857.5982168330956</v>
      </c>
      <c r="BH62" s="1434">
        <f t="shared" si="10"/>
        <v>4081.1701569186871</v>
      </c>
      <c r="BI62" s="1422">
        <v>13543</v>
      </c>
    </row>
    <row r="63" spans="1:61" ht="12.75" customHeight="1" thickBot="1">
      <c r="A63" s="1418" t="s">
        <v>523</v>
      </c>
      <c r="B63" s="1418" t="s">
        <v>524</v>
      </c>
      <c r="C63" s="1419">
        <v>5691</v>
      </c>
      <c r="D63" s="1420">
        <v>108.47</v>
      </c>
      <c r="E63" s="1420">
        <v>5315.78</v>
      </c>
      <c r="F63" s="1421">
        <v>-0.04</v>
      </c>
      <c r="G63" s="1420">
        <v>5660.17</v>
      </c>
      <c r="H63" s="1420">
        <v>5886.66</v>
      </c>
      <c r="I63" s="1422">
        <v>283741081</v>
      </c>
      <c r="J63" s="1422">
        <v>27</v>
      </c>
      <c r="K63" s="1422">
        <v>25</v>
      </c>
      <c r="L63" s="1422">
        <v>2</v>
      </c>
      <c r="M63" s="1422">
        <v>0</v>
      </c>
      <c r="N63" s="1422">
        <v>2</v>
      </c>
      <c r="O63" s="1422">
        <v>29</v>
      </c>
      <c r="P63" s="1438">
        <v>3285000</v>
      </c>
      <c r="Q63" s="1424">
        <v>8051799.75</v>
      </c>
      <c r="R63" s="1425">
        <f t="shared" si="0"/>
        <v>8051799.75</v>
      </c>
      <c r="S63" s="1426">
        <v>0</v>
      </c>
      <c r="T63" s="1427">
        <f t="shared" si="1"/>
        <v>0</v>
      </c>
      <c r="U63" s="1428">
        <v>28404507</v>
      </c>
      <c r="V63" s="1422">
        <v>308617</v>
      </c>
      <c r="W63" s="1422">
        <v>0</v>
      </c>
      <c r="X63" s="1422">
        <v>55622</v>
      </c>
      <c r="Y63" s="1422">
        <v>0</v>
      </c>
      <c r="Z63" s="1422">
        <v>0</v>
      </c>
      <c r="AA63" s="1422">
        <v>146136</v>
      </c>
      <c r="AB63" s="1422">
        <v>0</v>
      </c>
      <c r="AC63" s="1429">
        <v>0</v>
      </c>
      <c r="AD63" s="1422">
        <v>243472</v>
      </c>
      <c r="AE63" s="1420">
        <v>15010.43</v>
      </c>
      <c r="AF63" s="1422">
        <v>1250</v>
      </c>
      <c r="AG63" s="1422">
        <v>73012</v>
      </c>
      <c r="AH63" s="1422">
        <v>1758</v>
      </c>
      <c r="AI63" s="1422">
        <v>4679264</v>
      </c>
      <c r="AJ63" s="1420">
        <v>32107.59</v>
      </c>
      <c r="AK63" s="1422">
        <v>115375</v>
      </c>
      <c r="AL63" s="1420">
        <v>25068.44</v>
      </c>
      <c r="AM63" s="1422">
        <v>0</v>
      </c>
      <c r="AN63" s="1429">
        <v>677452</v>
      </c>
      <c r="AO63" s="1422">
        <v>0</v>
      </c>
      <c r="AP63" s="1420">
        <v>314444.90000000002</v>
      </c>
      <c r="AQ63" s="1430">
        <f t="shared" si="2"/>
        <v>34415644.359999999</v>
      </c>
      <c r="AR63" s="1431">
        <v>14724806.57</v>
      </c>
      <c r="AS63" s="1437">
        <v>0</v>
      </c>
      <c r="AT63" s="1422">
        <v>0</v>
      </c>
      <c r="AU63" s="1420">
        <v>5677.52</v>
      </c>
      <c r="AV63" s="1422">
        <v>0</v>
      </c>
      <c r="AW63" s="1420">
        <v>200136.94</v>
      </c>
      <c r="AX63" s="1422">
        <v>0</v>
      </c>
      <c r="AY63" s="1420">
        <v>205814.46</v>
      </c>
      <c r="AZ63" s="1420">
        <v>1185087.23</v>
      </c>
      <c r="BA63" s="1423">
        <f t="shared" si="3"/>
        <v>1596716.15</v>
      </c>
      <c r="BB63" s="1420">
        <f t="shared" si="4"/>
        <v>58788966.829999998</v>
      </c>
      <c r="BC63" s="1433">
        <f t="shared" si="5"/>
        <v>10330.164616060447</v>
      </c>
      <c r="BD63" s="1433">
        <f t="shared" si="6"/>
        <v>1414.8303900896151</v>
      </c>
      <c r="BE63" s="1433">
        <f t="shared" si="7"/>
        <v>0</v>
      </c>
      <c r="BF63" s="1433">
        <f t="shared" si="8"/>
        <v>6047.3808399226846</v>
      </c>
      <c r="BG63" s="1433">
        <f t="shared" si="9"/>
        <v>2587.3847425759973</v>
      </c>
      <c r="BH63" s="1434">
        <f t="shared" si="10"/>
        <v>280.56864347214901</v>
      </c>
      <c r="BI63" s="1422">
        <v>9377</v>
      </c>
    </row>
    <row r="64" spans="1:61" ht="12.75" customHeight="1" thickBot="1">
      <c r="A64" s="1418" t="s">
        <v>525</v>
      </c>
      <c r="B64" s="1418" t="s">
        <v>526</v>
      </c>
      <c r="C64" s="1419">
        <v>4266</v>
      </c>
      <c r="D64" s="1420">
        <v>311.04000000000002</v>
      </c>
      <c r="E64" s="1420">
        <v>3997.54</v>
      </c>
      <c r="F64" s="1421">
        <v>0.01</v>
      </c>
      <c r="G64" s="1420">
        <v>4230.04</v>
      </c>
      <c r="H64" s="1420">
        <v>4005.86</v>
      </c>
      <c r="I64" s="1422">
        <v>315196506</v>
      </c>
      <c r="J64" s="1422">
        <v>25</v>
      </c>
      <c r="K64" s="1422">
        <v>25</v>
      </c>
      <c r="L64" s="1422">
        <v>0</v>
      </c>
      <c r="M64" s="1422">
        <v>0</v>
      </c>
      <c r="N64" s="1420">
        <v>15.7</v>
      </c>
      <c r="O64" s="1420">
        <v>40.700000000000003</v>
      </c>
      <c r="P64" s="1423">
        <v>35695467.229999997</v>
      </c>
      <c r="Q64" s="1424">
        <v>12021647.77</v>
      </c>
      <c r="R64" s="1425">
        <f t="shared" si="0"/>
        <v>12021647.77</v>
      </c>
      <c r="S64" s="1426">
        <v>0</v>
      </c>
      <c r="T64" s="1427">
        <f t="shared" si="1"/>
        <v>0</v>
      </c>
      <c r="U64" s="1428">
        <v>18010532</v>
      </c>
      <c r="V64" s="1422">
        <v>388994</v>
      </c>
      <c r="W64" s="1422">
        <v>321673</v>
      </c>
      <c r="X64" s="1422">
        <v>0</v>
      </c>
      <c r="Y64" s="1422">
        <v>1535443</v>
      </c>
      <c r="Z64" s="1422">
        <v>9502</v>
      </c>
      <c r="AA64" s="1422">
        <v>68918</v>
      </c>
      <c r="AB64" s="1422">
        <v>0</v>
      </c>
      <c r="AC64" s="1429">
        <v>0</v>
      </c>
      <c r="AD64" s="1422">
        <v>176226</v>
      </c>
      <c r="AE64" s="1420">
        <v>194900.4</v>
      </c>
      <c r="AF64" s="1422">
        <v>0</v>
      </c>
      <c r="AG64" s="1422">
        <v>66877</v>
      </c>
      <c r="AH64" s="1422">
        <v>10548</v>
      </c>
      <c r="AI64" s="1422">
        <v>1160144</v>
      </c>
      <c r="AJ64" s="1420">
        <v>53296.67</v>
      </c>
      <c r="AK64" s="1420">
        <v>80880.95</v>
      </c>
      <c r="AL64" s="1422">
        <v>0</v>
      </c>
      <c r="AM64" s="1422">
        <v>0</v>
      </c>
      <c r="AN64" s="1429">
        <v>289566</v>
      </c>
      <c r="AO64" s="1422">
        <v>0</v>
      </c>
      <c r="AP64" s="1420">
        <v>498005.58</v>
      </c>
      <c r="AQ64" s="1430">
        <f t="shared" si="2"/>
        <v>22575940.599999998</v>
      </c>
      <c r="AR64" s="1431">
        <v>4802398.12</v>
      </c>
      <c r="AS64" s="1432">
        <v>2302668.7400000002</v>
      </c>
      <c r="AT64" s="1420">
        <v>323268.28999999998</v>
      </c>
      <c r="AU64" s="1422">
        <v>0</v>
      </c>
      <c r="AV64" s="1420">
        <v>155025.03</v>
      </c>
      <c r="AW64" s="1422">
        <v>0</v>
      </c>
      <c r="AX64" s="1422">
        <v>0</v>
      </c>
      <c r="AY64" s="1420">
        <v>2780962.06</v>
      </c>
      <c r="AZ64" s="1420">
        <v>3597611.41</v>
      </c>
      <c r="BA64" s="1423">
        <f t="shared" si="3"/>
        <v>6856866.79</v>
      </c>
      <c r="BB64" s="1420">
        <f t="shared" si="4"/>
        <v>46256853.280000001</v>
      </c>
      <c r="BC64" s="1433">
        <f t="shared" si="5"/>
        <v>10843.144228785748</v>
      </c>
      <c r="BD64" s="1433">
        <f t="shared" si="6"/>
        <v>2818.0140107829347</v>
      </c>
      <c r="BE64" s="1433">
        <f t="shared" si="7"/>
        <v>0</v>
      </c>
      <c r="BF64" s="1433">
        <f t="shared" si="8"/>
        <v>5292.062962962962</v>
      </c>
      <c r="BG64" s="1433">
        <f t="shared" si="9"/>
        <v>1125.7379559306141</v>
      </c>
      <c r="BH64" s="1434">
        <f t="shared" si="10"/>
        <v>1607.3292991092358</v>
      </c>
      <c r="BI64" s="1422">
        <v>8276</v>
      </c>
    </row>
    <row r="65" spans="1:61" ht="12.75" customHeight="1" thickBot="1">
      <c r="A65" s="1418" t="s">
        <v>527</v>
      </c>
      <c r="B65" s="1418" t="s">
        <v>528</v>
      </c>
      <c r="C65" s="1419">
        <v>628</v>
      </c>
      <c r="D65" s="1420">
        <v>292.94</v>
      </c>
      <c r="E65" s="1420">
        <v>562.99</v>
      </c>
      <c r="F65" s="1421">
        <v>-0.13</v>
      </c>
      <c r="G65" s="1420">
        <v>603.22</v>
      </c>
      <c r="H65" s="1420">
        <v>606.41</v>
      </c>
      <c r="I65" s="1422">
        <v>45146763</v>
      </c>
      <c r="J65" s="1420">
        <v>26.3</v>
      </c>
      <c r="K65" s="1422">
        <v>25</v>
      </c>
      <c r="L65" s="1420">
        <v>1.3</v>
      </c>
      <c r="M65" s="1422">
        <v>0</v>
      </c>
      <c r="N65" s="1420">
        <v>13.6</v>
      </c>
      <c r="O65" s="1420">
        <v>39.9</v>
      </c>
      <c r="P65" s="1438">
        <v>6195000</v>
      </c>
      <c r="Q65" s="1424">
        <v>1684505.29</v>
      </c>
      <c r="R65" s="1425">
        <f t="shared" si="0"/>
        <v>1684505.29</v>
      </c>
      <c r="S65" s="1436">
        <v>212.29</v>
      </c>
      <c r="T65" s="1427">
        <f t="shared" si="1"/>
        <v>212.29</v>
      </c>
      <c r="U65" s="1428">
        <v>2504420</v>
      </c>
      <c r="V65" s="1422">
        <v>32842</v>
      </c>
      <c r="W65" s="1422">
        <v>39184</v>
      </c>
      <c r="X65" s="1422">
        <v>0</v>
      </c>
      <c r="Y65" s="1422">
        <v>0</v>
      </c>
      <c r="Z65" s="1422">
        <v>0</v>
      </c>
      <c r="AA65" s="1422">
        <v>0</v>
      </c>
      <c r="AB65" s="1422">
        <v>0</v>
      </c>
      <c r="AC65" s="1429">
        <v>0</v>
      </c>
      <c r="AD65" s="1422">
        <v>25081</v>
      </c>
      <c r="AE65" s="1420">
        <v>327139.57</v>
      </c>
      <c r="AF65" s="1422">
        <v>860</v>
      </c>
      <c r="AG65" s="1422">
        <v>0</v>
      </c>
      <c r="AH65" s="1422">
        <v>0</v>
      </c>
      <c r="AI65" s="1422">
        <v>431520</v>
      </c>
      <c r="AJ65" s="1420">
        <v>18750.8</v>
      </c>
      <c r="AK65" s="1422">
        <v>0</v>
      </c>
      <c r="AL65" s="1420">
        <v>2782.6</v>
      </c>
      <c r="AM65" s="1422">
        <v>0</v>
      </c>
      <c r="AN65" s="1429">
        <v>0</v>
      </c>
      <c r="AO65" s="1422">
        <v>0</v>
      </c>
      <c r="AP65" s="1422">
        <v>198017</v>
      </c>
      <c r="AQ65" s="1430">
        <f t="shared" si="2"/>
        <v>3580596.9699999997</v>
      </c>
      <c r="AR65" s="1431">
        <v>1502845.45</v>
      </c>
      <c r="AS65" s="1437">
        <v>0</v>
      </c>
      <c r="AT65" s="1422">
        <v>0</v>
      </c>
      <c r="AU65" s="1420">
        <v>7443.35</v>
      </c>
      <c r="AV65" s="1420">
        <v>144807.32999999999</v>
      </c>
      <c r="AW65" s="1422">
        <v>0</v>
      </c>
      <c r="AX65" s="1420">
        <v>17118.03</v>
      </c>
      <c r="AY65" s="1420">
        <v>169368.71</v>
      </c>
      <c r="AZ65" s="1420">
        <v>355767.16</v>
      </c>
      <c r="BA65" s="1423">
        <f t="shared" si="3"/>
        <v>694504.58</v>
      </c>
      <c r="BB65" s="1420">
        <f t="shared" si="4"/>
        <v>7462664.5800000001</v>
      </c>
      <c r="BC65" s="1433">
        <f t="shared" si="5"/>
        <v>11883.223853503185</v>
      </c>
      <c r="BD65" s="1433">
        <f t="shared" si="6"/>
        <v>2682.3332643312101</v>
      </c>
      <c r="BE65" s="1433">
        <f t="shared" si="7"/>
        <v>0.33804140127388532</v>
      </c>
      <c r="BF65" s="1433">
        <f t="shared" si="8"/>
        <v>5701.5875318471335</v>
      </c>
      <c r="BG65" s="1433">
        <f t="shared" si="9"/>
        <v>2393.0660031847133</v>
      </c>
      <c r="BH65" s="1434">
        <f t="shared" si="10"/>
        <v>1105.8990127388533</v>
      </c>
      <c r="BI65" s="1422">
        <v>10320</v>
      </c>
    </row>
    <row r="66" spans="1:61" ht="12.75" customHeight="1" thickBot="1">
      <c r="A66" s="1418" t="s">
        <v>529</v>
      </c>
      <c r="B66" s="1418" t="s">
        <v>530</v>
      </c>
      <c r="C66" s="1419">
        <v>2873</v>
      </c>
      <c r="D66" s="1420">
        <v>337.93</v>
      </c>
      <c r="E66" s="1420">
        <v>2719.44</v>
      </c>
      <c r="F66" s="1421">
        <v>-0.06</v>
      </c>
      <c r="G66" s="1420">
        <v>2852.39</v>
      </c>
      <c r="H66" s="1420">
        <v>2837.54</v>
      </c>
      <c r="I66" s="1422">
        <v>160861050</v>
      </c>
      <c r="J66" s="1422">
        <v>25</v>
      </c>
      <c r="K66" s="1422">
        <v>25</v>
      </c>
      <c r="L66" s="1422">
        <v>0</v>
      </c>
      <c r="M66" s="1422">
        <v>0</v>
      </c>
      <c r="N66" s="1422">
        <v>10</v>
      </c>
      <c r="O66" s="1422">
        <v>35</v>
      </c>
      <c r="P66" s="1423">
        <v>4440869.1500000004</v>
      </c>
      <c r="Q66" s="1424">
        <v>5160253.54</v>
      </c>
      <c r="R66" s="1425">
        <f t="shared" si="0"/>
        <v>5160253.54</v>
      </c>
      <c r="S66" s="1436">
        <v>1087.4100000000001</v>
      </c>
      <c r="T66" s="1427">
        <f t="shared" si="1"/>
        <v>1087.4100000000001</v>
      </c>
      <c r="U66" s="1428">
        <v>13130137</v>
      </c>
      <c r="V66" s="1422">
        <v>59552</v>
      </c>
      <c r="W66" s="1422">
        <v>0</v>
      </c>
      <c r="X66" s="1422">
        <v>212190</v>
      </c>
      <c r="Y66" s="1422">
        <v>0</v>
      </c>
      <c r="Z66" s="1422">
        <v>0</v>
      </c>
      <c r="AA66" s="1422">
        <v>117515</v>
      </c>
      <c r="AB66" s="1422">
        <v>0</v>
      </c>
      <c r="AC66" s="1429">
        <v>0</v>
      </c>
      <c r="AD66" s="1422">
        <v>117361</v>
      </c>
      <c r="AE66" s="1420">
        <v>3968.3</v>
      </c>
      <c r="AF66" s="1422">
        <v>2382</v>
      </c>
      <c r="AG66" s="1422">
        <v>76181</v>
      </c>
      <c r="AH66" s="1422">
        <v>879</v>
      </c>
      <c r="AI66" s="1422">
        <v>806992</v>
      </c>
      <c r="AJ66" s="1420">
        <v>23258.400000000001</v>
      </c>
      <c r="AK66" s="1420">
        <v>15167.12</v>
      </c>
      <c r="AL66" s="1420">
        <v>11141.88</v>
      </c>
      <c r="AM66" s="1422">
        <v>0</v>
      </c>
      <c r="AN66" s="1429">
        <v>0</v>
      </c>
      <c r="AO66" s="1422">
        <v>0</v>
      </c>
      <c r="AP66" s="1422">
        <v>211568</v>
      </c>
      <c r="AQ66" s="1430">
        <f t="shared" si="2"/>
        <v>14788292.700000001</v>
      </c>
      <c r="AR66" s="1431">
        <v>4701620.99</v>
      </c>
      <c r="AS66" s="1437">
        <v>0</v>
      </c>
      <c r="AT66" s="1422">
        <v>0</v>
      </c>
      <c r="AU66" s="1422">
        <v>0</v>
      </c>
      <c r="AV66" s="1422">
        <v>0</v>
      </c>
      <c r="AW66" s="1422">
        <v>0</v>
      </c>
      <c r="AX66" s="1422">
        <v>0</v>
      </c>
      <c r="AY66" s="1422">
        <v>0</v>
      </c>
      <c r="AZ66" s="1420">
        <v>937506.93</v>
      </c>
      <c r="BA66" s="1423">
        <f t="shared" si="3"/>
        <v>937506.93</v>
      </c>
      <c r="BB66" s="1420">
        <f t="shared" si="4"/>
        <v>25588761.57</v>
      </c>
      <c r="BC66" s="1433">
        <f t="shared" si="5"/>
        <v>8906.634726766446</v>
      </c>
      <c r="BD66" s="1433">
        <f t="shared" si="6"/>
        <v>1796.1202714932126</v>
      </c>
      <c r="BE66" s="1433">
        <f t="shared" si="7"/>
        <v>0.37849286460146192</v>
      </c>
      <c r="BF66" s="1433">
        <f t="shared" si="8"/>
        <v>5147.3347372084936</v>
      </c>
      <c r="BG66" s="1433">
        <f t="shared" si="9"/>
        <v>1636.4848555516883</v>
      </c>
      <c r="BH66" s="1434">
        <f t="shared" si="10"/>
        <v>326.31636964845109</v>
      </c>
      <c r="BI66" s="1422">
        <v>8799</v>
      </c>
    </row>
    <row r="67" spans="1:61" ht="12.75" customHeight="1" thickBot="1">
      <c r="A67" s="1418" t="s">
        <v>531</v>
      </c>
      <c r="B67" s="1418" t="s">
        <v>532</v>
      </c>
      <c r="C67" s="1419">
        <v>949</v>
      </c>
      <c r="D67" s="1420">
        <v>220.87</v>
      </c>
      <c r="E67" s="1420">
        <v>889.17</v>
      </c>
      <c r="F67" s="1421">
        <v>-0.17</v>
      </c>
      <c r="G67" s="1420">
        <v>935.74</v>
      </c>
      <c r="H67" s="1420">
        <v>981.63</v>
      </c>
      <c r="I67" s="1422">
        <v>52278710</v>
      </c>
      <c r="J67" s="1422">
        <v>25</v>
      </c>
      <c r="K67" s="1422">
        <v>25</v>
      </c>
      <c r="L67" s="1422">
        <v>0</v>
      </c>
      <c r="M67" s="1422">
        <v>0</v>
      </c>
      <c r="N67" s="1420">
        <v>8.5</v>
      </c>
      <c r="O67" s="1420">
        <v>33.5</v>
      </c>
      <c r="P67" s="1423">
        <v>7464490.7800000003</v>
      </c>
      <c r="Q67" s="1424">
        <v>1565994.39</v>
      </c>
      <c r="R67" s="1425">
        <f t="shared" si="0"/>
        <v>1565994.39</v>
      </c>
      <c r="S67" s="1426">
        <v>0</v>
      </c>
      <c r="T67" s="1427">
        <f t="shared" si="1"/>
        <v>0</v>
      </c>
      <c r="U67" s="1428">
        <v>4651907</v>
      </c>
      <c r="V67" s="1422">
        <v>95797</v>
      </c>
      <c r="W67" s="1422">
        <v>0</v>
      </c>
      <c r="X67" s="1422">
        <v>82033</v>
      </c>
      <c r="Y67" s="1422">
        <v>0</v>
      </c>
      <c r="Z67" s="1422">
        <v>0</v>
      </c>
      <c r="AA67" s="1422">
        <v>21387</v>
      </c>
      <c r="AB67" s="1422">
        <v>0</v>
      </c>
      <c r="AC67" s="1429">
        <v>0</v>
      </c>
      <c r="AD67" s="1422">
        <v>40600</v>
      </c>
      <c r="AE67" s="1420">
        <v>19938.439999999999</v>
      </c>
      <c r="AF67" s="1422">
        <v>1300</v>
      </c>
      <c r="AG67" s="1422">
        <v>10401</v>
      </c>
      <c r="AH67" s="1422">
        <v>2930</v>
      </c>
      <c r="AI67" s="1422">
        <v>314960</v>
      </c>
      <c r="AJ67" s="1420">
        <v>1880025.26</v>
      </c>
      <c r="AK67" s="1420">
        <v>129897.96</v>
      </c>
      <c r="AL67" s="1420">
        <v>2995.73</v>
      </c>
      <c r="AM67" s="1422">
        <v>0</v>
      </c>
      <c r="AN67" s="1429">
        <v>0</v>
      </c>
      <c r="AO67" s="1422">
        <v>0</v>
      </c>
      <c r="AP67" s="1422">
        <v>130589</v>
      </c>
      <c r="AQ67" s="1430">
        <f t="shared" si="2"/>
        <v>7384761.3900000006</v>
      </c>
      <c r="AR67" s="1431">
        <v>1917113.64</v>
      </c>
      <c r="AS67" s="1437">
        <v>0</v>
      </c>
      <c r="AT67" s="1422">
        <v>0</v>
      </c>
      <c r="AU67" s="1422">
        <v>0</v>
      </c>
      <c r="AV67" s="1422">
        <v>4095</v>
      </c>
      <c r="AW67" s="1422">
        <v>0</v>
      </c>
      <c r="AX67" s="1422">
        <v>0</v>
      </c>
      <c r="AY67" s="1422">
        <v>4095</v>
      </c>
      <c r="AZ67" s="1420">
        <v>307288.78999999998</v>
      </c>
      <c r="BA67" s="1423">
        <f t="shared" si="3"/>
        <v>315478.78999999998</v>
      </c>
      <c r="BB67" s="1420">
        <f t="shared" si="4"/>
        <v>11183348.210000001</v>
      </c>
      <c r="BC67" s="1433">
        <f t="shared" si="5"/>
        <v>11784.350063224449</v>
      </c>
      <c r="BD67" s="1433">
        <f t="shared" si="6"/>
        <v>1650.1521496311907</v>
      </c>
      <c r="BE67" s="1433">
        <f t="shared" si="7"/>
        <v>0</v>
      </c>
      <c r="BF67" s="1433">
        <f t="shared" si="8"/>
        <v>7781.6242255005272</v>
      </c>
      <c r="BG67" s="1433">
        <f t="shared" si="9"/>
        <v>2020.1408219178081</v>
      </c>
      <c r="BH67" s="1434">
        <f t="shared" si="10"/>
        <v>332.43286617492095</v>
      </c>
      <c r="BI67" s="1422">
        <v>10575</v>
      </c>
    </row>
    <row r="68" spans="1:61" ht="12.75" customHeight="1" thickBot="1">
      <c r="A68" s="1418" t="s">
        <v>533</v>
      </c>
      <c r="B68" s="1418" t="s">
        <v>534</v>
      </c>
      <c r="C68" s="1419">
        <v>1459</v>
      </c>
      <c r="D68" s="1420">
        <v>366.46</v>
      </c>
      <c r="E68" s="1420">
        <v>1383.33</v>
      </c>
      <c r="F68" s="1421">
        <v>-0.15</v>
      </c>
      <c r="G68" s="1420">
        <v>1458.83</v>
      </c>
      <c r="H68" s="1420">
        <v>1496.13</v>
      </c>
      <c r="I68" s="1422">
        <v>86360112</v>
      </c>
      <c r="J68" s="1422">
        <v>25</v>
      </c>
      <c r="K68" s="1422">
        <v>25</v>
      </c>
      <c r="L68" s="1422">
        <v>0</v>
      </c>
      <c r="M68" s="1422">
        <v>0</v>
      </c>
      <c r="N68" s="1422">
        <v>14</v>
      </c>
      <c r="O68" s="1422">
        <v>39</v>
      </c>
      <c r="P68" s="1423">
        <v>12974574.029999999</v>
      </c>
      <c r="Q68" s="1424">
        <v>3079271.41</v>
      </c>
      <c r="R68" s="1425">
        <f t="shared" si="0"/>
        <v>3079271.41</v>
      </c>
      <c r="S68" s="1426">
        <v>2500</v>
      </c>
      <c r="T68" s="1427">
        <f t="shared" si="1"/>
        <v>2500</v>
      </c>
      <c r="U68" s="1428">
        <v>6787964</v>
      </c>
      <c r="V68" s="1422">
        <v>175849</v>
      </c>
      <c r="W68" s="1422">
        <v>0</v>
      </c>
      <c r="X68" s="1422">
        <v>255466</v>
      </c>
      <c r="Y68" s="1422">
        <v>0</v>
      </c>
      <c r="Z68" s="1422">
        <v>0</v>
      </c>
      <c r="AA68" s="1422">
        <v>37857</v>
      </c>
      <c r="AB68" s="1422">
        <v>0</v>
      </c>
      <c r="AC68" s="1435">
        <v>190076.79999999999</v>
      </c>
      <c r="AD68" s="1422">
        <v>61880</v>
      </c>
      <c r="AE68" s="1420">
        <v>29225.16</v>
      </c>
      <c r="AF68" s="1422">
        <v>900</v>
      </c>
      <c r="AG68" s="1422">
        <v>108035</v>
      </c>
      <c r="AH68" s="1422">
        <v>20510</v>
      </c>
      <c r="AI68" s="1422">
        <v>1185440</v>
      </c>
      <c r="AJ68" s="1420">
        <v>65853.759999999995</v>
      </c>
      <c r="AK68" s="1420">
        <v>3923.6</v>
      </c>
      <c r="AL68" s="1420">
        <v>5649.77</v>
      </c>
      <c r="AM68" s="1422">
        <v>0</v>
      </c>
      <c r="AN68" s="1429">
        <v>72900</v>
      </c>
      <c r="AO68" s="1422">
        <v>0</v>
      </c>
      <c r="AP68" s="1420">
        <v>877821.87</v>
      </c>
      <c r="AQ68" s="1430">
        <f t="shared" si="2"/>
        <v>9616375.1599999983</v>
      </c>
      <c r="AR68" s="1431">
        <v>4589476.1100000003</v>
      </c>
      <c r="AS68" s="1437">
        <v>0</v>
      </c>
      <c r="AT68" s="1422">
        <v>0</v>
      </c>
      <c r="AU68" s="1420">
        <v>14335.51</v>
      </c>
      <c r="AV68" s="1422">
        <v>0</v>
      </c>
      <c r="AW68" s="1422">
        <v>13650</v>
      </c>
      <c r="AX68" s="1422">
        <v>0</v>
      </c>
      <c r="AY68" s="1420">
        <v>27985.51</v>
      </c>
      <c r="AZ68" s="1420">
        <v>629562.24</v>
      </c>
      <c r="BA68" s="1423">
        <f t="shared" si="3"/>
        <v>685533.26</v>
      </c>
      <c r="BB68" s="1420">
        <f t="shared" si="4"/>
        <v>17973155.939999998</v>
      </c>
      <c r="BC68" s="1433">
        <f t="shared" si="5"/>
        <v>12318.818327621657</v>
      </c>
      <c r="BD68" s="1433">
        <f t="shared" si="6"/>
        <v>2110.5355791638108</v>
      </c>
      <c r="BE68" s="1433">
        <f t="shared" si="7"/>
        <v>1.7135023989033584</v>
      </c>
      <c r="BF68" s="1433">
        <f t="shared" si="8"/>
        <v>6591.0727621658662</v>
      </c>
      <c r="BG68" s="1433">
        <f t="shared" si="9"/>
        <v>3145.6313296778617</v>
      </c>
      <c r="BH68" s="1434">
        <f t="shared" si="10"/>
        <v>469.86515421521591</v>
      </c>
      <c r="BI68" s="1422">
        <v>10397</v>
      </c>
    </row>
    <row r="69" spans="1:61" ht="12.75" customHeight="1" thickBot="1">
      <c r="A69" s="1418" t="s">
        <v>535</v>
      </c>
      <c r="B69" s="1418" t="s">
        <v>536</v>
      </c>
      <c r="C69" s="1419">
        <v>1129</v>
      </c>
      <c r="D69" s="1420">
        <v>526.13</v>
      </c>
      <c r="E69" s="1420">
        <v>1078.31</v>
      </c>
      <c r="F69" s="1421">
        <v>-0.14000000000000001</v>
      </c>
      <c r="G69" s="1420">
        <v>1120.6199999999999</v>
      </c>
      <c r="H69" s="1420">
        <v>1156.8800000000001</v>
      </c>
      <c r="I69" s="1422">
        <v>117733324</v>
      </c>
      <c r="J69" s="1422">
        <v>31</v>
      </c>
      <c r="K69" s="1422">
        <v>25</v>
      </c>
      <c r="L69" s="1422">
        <v>6</v>
      </c>
      <c r="M69" s="1422">
        <v>0</v>
      </c>
      <c r="N69" s="1420">
        <v>9.4600000000000009</v>
      </c>
      <c r="O69" s="1420">
        <v>40.46</v>
      </c>
      <c r="P69" s="1423">
        <v>6439539.3099999996</v>
      </c>
      <c r="Q69" s="1424">
        <v>4182121.61</v>
      </c>
      <c r="R69" s="1425">
        <f t="shared" si="0"/>
        <v>4182121.61</v>
      </c>
      <c r="S69" s="1426">
        <v>0</v>
      </c>
      <c r="T69" s="1427">
        <f t="shared" si="1"/>
        <v>0</v>
      </c>
      <c r="U69" s="1428">
        <v>4058571</v>
      </c>
      <c r="V69" s="1422">
        <v>70889</v>
      </c>
      <c r="W69" s="1422">
        <v>0</v>
      </c>
      <c r="X69" s="1422">
        <v>22737</v>
      </c>
      <c r="Y69" s="1422">
        <v>0</v>
      </c>
      <c r="Z69" s="1422">
        <v>0</v>
      </c>
      <c r="AA69" s="1422">
        <v>73624</v>
      </c>
      <c r="AB69" s="1422">
        <v>0</v>
      </c>
      <c r="AC69" s="1429">
        <v>0</v>
      </c>
      <c r="AD69" s="1422">
        <v>47849</v>
      </c>
      <c r="AE69" s="1420">
        <v>27899.98</v>
      </c>
      <c r="AF69" s="1422">
        <v>1257</v>
      </c>
      <c r="AG69" s="1422">
        <v>19096</v>
      </c>
      <c r="AH69" s="1422">
        <v>4102</v>
      </c>
      <c r="AI69" s="1422">
        <v>882880</v>
      </c>
      <c r="AJ69" s="1420">
        <v>45216.78</v>
      </c>
      <c r="AK69" s="1420">
        <v>10833.56</v>
      </c>
      <c r="AL69" s="1420">
        <v>4905.8999999999996</v>
      </c>
      <c r="AM69" s="1422">
        <v>0</v>
      </c>
      <c r="AN69" s="1429">
        <v>290136</v>
      </c>
      <c r="AO69" s="1422">
        <v>0</v>
      </c>
      <c r="AP69" s="1422">
        <v>30447</v>
      </c>
      <c r="AQ69" s="1430">
        <f t="shared" si="2"/>
        <v>5300308.2200000007</v>
      </c>
      <c r="AR69" s="1431">
        <v>3859436.63</v>
      </c>
      <c r="AS69" s="1437">
        <v>0</v>
      </c>
      <c r="AT69" s="1422">
        <v>0</v>
      </c>
      <c r="AU69" s="1422">
        <v>0</v>
      </c>
      <c r="AV69" s="1422">
        <v>0</v>
      </c>
      <c r="AW69" s="1422">
        <v>0</v>
      </c>
      <c r="AX69" s="1422">
        <v>0</v>
      </c>
      <c r="AY69" s="1422">
        <v>0</v>
      </c>
      <c r="AZ69" s="1420">
        <v>473221.52</v>
      </c>
      <c r="BA69" s="1423">
        <f t="shared" si="3"/>
        <v>473221.52</v>
      </c>
      <c r="BB69" s="1420">
        <f t="shared" si="4"/>
        <v>13815087.98</v>
      </c>
      <c r="BC69" s="1433">
        <f t="shared" si="5"/>
        <v>12236.570398582817</v>
      </c>
      <c r="BD69" s="1433">
        <f t="shared" si="6"/>
        <v>3704.2706908768819</v>
      </c>
      <c r="BE69" s="1433">
        <f t="shared" si="7"/>
        <v>0</v>
      </c>
      <c r="BF69" s="1433">
        <f t="shared" si="8"/>
        <v>4694.6928432240929</v>
      </c>
      <c r="BG69" s="1433">
        <f t="shared" si="9"/>
        <v>3418.455828166519</v>
      </c>
      <c r="BH69" s="1434">
        <f t="shared" si="10"/>
        <v>419.15103631532332</v>
      </c>
      <c r="BI69" s="1422">
        <v>9404</v>
      </c>
    </row>
    <row r="70" spans="1:61" ht="12.75" customHeight="1" thickBot="1">
      <c r="A70" s="1418" t="s">
        <v>537</v>
      </c>
      <c r="B70" s="1418" t="s">
        <v>538</v>
      </c>
      <c r="C70" s="1419">
        <v>972</v>
      </c>
      <c r="D70" s="1420">
        <v>563.51</v>
      </c>
      <c r="E70" s="1420">
        <v>913.47</v>
      </c>
      <c r="F70" s="1421">
        <v>-7.0000000000000007E-2</v>
      </c>
      <c r="G70" s="1420">
        <v>969.89</v>
      </c>
      <c r="H70" s="1420">
        <v>981.84</v>
      </c>
      <c r="I70" s="1422">
        <v>61014556</v>
      </c>
      <c r="J70" s="1422">
        <v>25</v>
      </c>
      <c r="K70" s="1422">
        <v>25</v>
      </c>
      <c r="L70" s="1422">
        <v>0</v>
      </c>
      <c r="M70" s="1422">
        <v>0</v>
      </c>
      <c r="N70" s="1420">
        <v>10.6</v>
      </c>
      <c r="O70" s="1420">
        <v>35.6</v>
      </c>
      <c r="P70" s="1438">
        <v>7190000</v>
      </c>
      <c r="Q70" s="1424">
        <v>1979715.66</v>
      </c>
      <c r="R70" s="1425">
        <f t="shared" ref="R70:R133" si="11">Q70</f>
        <v>1979715.66</v>
      </c>
      <c r="S70" s="1436">
        <v>4513.97</v>
      </c>
      <c r="T70" s="1427">
        <f t="shared" ref="T70:T133" si="12">S70</f>
        <v>4513.97</v>
      </c>
      <c r="U70" s="1428">
        <v>4470911</v>
      </c>
      <c r="V70" s="1422">
        <v>56981</v>
      </c>
      <c r="W70" s="1422">
        <v>0</v>
      </c>
      <c r="X70" s="1422">
        <v>0</v>
      </c>
      <c r="Y70" s="1422">
        <v>0</v>
      </c>
      <c r="Z70" s="1422">
        <v>0</v>
      </c>
      <c r="AA70" s="1422">
        <v>0</v>
      </c>
      <c r="AB70" s="1422">
        <v>0</v>
      </c>
      <c r="AC70" s="1429">
        <v>0</v>
      </c>
      <c r="AD70" s="1422">
        <v>40609</v>
      </c>
      <c r="AE70" s="1420">
        <v>11687.96</v>
      </c>
      <c r="AF70" s="1422">
        <v>200</v>
      </c>
      <c r="AG70" s="1422">
        <v>39208</v>
      </c>
      <c r="AH70" s="1422">
        <v>13478</v>
      </c>
      <c r="AI70" s="1422">
        <v>704320</v>
      </c>
      <c r="AJ70" s="1420">
        <v>4022.25</v>
      </c>
      <c r="AK70" s="1420">
        <v>45771.040000000001</v>
      </c>
      <c r="AL70" s="1420">
        <v>3413.37</v>
      </c>
      <c r="AM70" s="1422">
        <v>0</v>
      </c>
      <c r="AN70" s="1429">
        <v>291600</v>
      </c>
      <c r="AO70" s="1422">
        <v>0</v>
      </c>
      <c r="AP70" s="1420">
        <v>517440.76</v>
      </c>
      <c r="AQ70" s="1430">
        <f t="shared" ref="AQ70:AQ133" si="13">SUM(U70:AP70)-(AC70+AN70)</f>
        <v>5908042.3799999999</v>
      </c>
      <c r="AR70" s="1440">
        <v>2286173</v>
      </c>
      <c r="AS70" s="1432">
        <v>1840945.56</v>
      </c>
      <c r="AT70" s="1422">
        <v>0</v>
      </c>
      <c r="AU70" s="1422">
        <v>0</v>
      </c>
      <c r="AV70" s="1422">
        <v>300</v>
      </c>
      <c r="AW70" s="1422">
        <v>0</v>
      </c>
      <c r="AX70" s="1422">
        <v>0</v>
      </c>
      <c r="AY70" s="1420">
        <v>1841245.56</v>
      </c>
      <c r="AZ70" s="1420">
        <v>438455.43</v>
      </c>
      <c r="BA70" s="1423">
        <f t="shared" ref="BA70:BA133" si="14">SUM(AT70:AZ70)</f>
        <v>2280000.9900000002</v>
      </c>
      <c r="BB70" s="1420">
        <f t="shared" ref="BB70:BB133" si="15">SUM(BA70,AR70,AQ70,T70,R70)</f>
        <v>12458446.000000002</v>
      </c>
      <c r="BC70" s="1433">
        <f t="shared" ref="BC70:BC133" si="16">BB70/C70</f>
        <v>12817.331275720166</v>
      </c>
      <c r="BD70" s="1433">
        <f t="shared" ref="BD70:BD133" si="17">R70/C70</f>
        <v>2036.7445061728395</v>
      </c>
      <c r="BE70" s="1433">
        <f t="shared" ref="BE70:BE133" si="18">T70/C70</f>
        <v>4.6440020576131689</v>
      </c>
      <c r="BF70" s="1433">
        <f t="shared" ref="BF70:BF133" si="19">AQ70/C70</f>
        <v>6078.2329012345681</v>
      </c>
      <c r="BG70" s="1433">
        <f t="shared" ref="BG70:BG133" si="20">AR70/C70</f>
        <v>2352.0298353909466</v>
      </c>
      <c r="BH70" s="1434">
        <f t="shared" ref="BH70:BH133" si="21">BA70/C70</f>
        <v>2345.6800308641978</v>
      </c>
      <c r="BI70" s="1422">
        <v>10267</v>
      </c>
    </row>
    <row r="71" spans="1:61" ht="12.75" customHeight="1" thickBot="1">
      <c r="A71" s="1418" t="s">
        <v>539</v>
      </c>
      <c r="B71" s="1418" t="s">
        <v>540</v>
      </c>
      <c r="C71" s="1419">
        <v>2089</v>
      </c>
      <c r="D71" s="1420">
        <v>94.99</v>
      </c>
      <c r="E71" s="1420">
        <v>2002.14</v>
      </c>
      <c r="F71" s="1421">
        <v>-0.04</v>
      </c>
      <c r="G71" s="1420">
        <v>2079.7800000000002</v>
      </c>
      <c r="H71" s="1420">
        <v>2077.85</v>
      </c>
      <c r="I71" s="1422">
        <v>116492243</v>
      </c>
      <c r="J71" s="1422">
        <v>25</v>
      </c>
      <c r="K71" s="1422">
        <v>25</v>
      </c>
      <c r="L71" s="1422">
        <v>0</v>
      </c>
      <c r="M71" s="1422">
        <v>0</v>
      </c>
      <c r="N71" s="1420">
        <v>14.9</v>
      </c>
      <c r="O71" s="1420">
        <v>39.9</v>
      </c>
      <c r="P71" s="1438">
        <v>9960000</v>
      </c>
      <c r="Q71" s="1424">
        <v>4300395.92</v>
      </c>
      <c r="R71" s="1425">
        <f t="shared" si="11"/>
        <v>4300395.92</v>
      </c>
      <c r="S71" s="1436">
        <v>9263.9699999999993</v>
      </c>
      <c r="T71" s="1427">
        <f t="shared" si="12"/>
        <v>9263.9699999999993</v>
      </c>
      <c r="U71" s="1428">
        <v>9743002</v>
      </c>
      <c r="V71" s="1422">
        <v>80599</v>
      </c>
      <c r="W71" s="1422">
        <v>0</v>
      </c>
      <c r="X71" s="1422">
        <v>94501</v>
      </c>
      <c r="Y71" s="1422">
        <v>0</v>
      </c>
      <c r="Z71" s="1422">
        <v>0</v>
      </c>
      <c r="AA71" s="1422">
        <v>5192</v>
      </c>
      <c r="AB71" s="1422">
        <v>0</v>
      </c>
      <c r="AC71" s="1435">
        <v>208504.74</v>
      </c>
      <c r="AD71" s="1422">
        <v>85940</v>
      </c>
      <c r="AE71" s="1420">
        <v>23973.200000000001</v>
      </c>
      <c r="AF71" s="1422">
        <v>850</v>
      </c>
      <c r="AG71" s="1422">
        <v>156547</v>
      </c>
      <c r="AH71" s="1422">
        <v>3223</v>
      </c>
      <c r="AI71" s="1422">
        <v>531216</v>
      </c>
      <c r="AJ71" s="1420">
        <v>282527.34000000003</v>
      </c>
      <c r="AK71" s="1420">
        <v>559364.17000000004</v>
      </c>
      <c r="AL71" s="1420">
        <v>6776.98</v>
      </c>
      <c r="AM71" s="1422">
        <v>0</v>
      </c>
      <c r="AN71" s="1435">
        <v>196074.72</v>
      </c>
      <c r="AO71" s="1422">
        <v>0</v>
      </c>
      <c r="AP71" s="1420">
        <v>334476.18</v>
      </c>
      <c r="AQ71" s="1430">
        <f t="shared" si="13"/>
        <v>11908187.870000001</v>
      </c>
      <c r="AR71" s="1431">
        <v>4204529.0199999996</v>
      </c>
      <c r="AS71" s="1432">
        <v>-451505.04</v>
      </c>
      <c r="AT71" s="1422">
        <v>0</v>
      </c>
      <c r="AU71" s="1420">
        <v>18248.169999999998</v>
      </c>
      <c r="AV71" s="1422">
        <v>0</v>
      </c>
      <c r="AW71" s="1422">
        <v>0</v>
      </c>
      <c r="AX71" s="1422">
        <v>0</v>
      </c>
      <c r="AY71" s="1420">
        <v>-433256.87</v>
      </c>
      <c r="AZ71" s="1420">
        <v>1336199.48</v>
      </c>
      <c r="BA71" s="1423">
        <f t="shared" si="14"/>
        <v>921190.78</v>
      </c>
      <c r="BB71" s="1420">
        <f t="shared" si="15"/>
        <v>21343567.560000002</v>
      </c>
      <c r="BC71" s="1433">
        <f t="shared" si="16"/>
        <v>10217.121857348015</v>
      </c>
      <c r="BD71" s="1433">
        <f t="shared" si="17"/>
        <v>2058.5906749640976</v>
      </c>
      <c r="BE71" s="1433">
        <f t="shared" si="18"/>
        <v>4.4346433700335082</v>
      </c>
      <c r="BF71" s="1433">
        <f t="shared" si="19"/>
        <v>5700.4250215414077</v>
      </c>
      <c r="BG71" s="1433">
        <f t="shared" si="20"/>
        <v>2012.6993872666346</v>
      </c>
      <c r="BH71" s="1434">
        <f t="shared" si="21"/>
        <v>440.97213020584013</v>
      </c>
      <c r="BI71" s="1422">
        <v>9115</v>
      </c>
    </row>
    <row r="72" spans="1:61" ht="12.75" customHeight="1" thickBot="1">
      <c r="A72" s="1418" t="s">
        <v>541</v>
      </c>
      <c r="B72" s="1418" t="s">
        <v>542</v>
      </c>
      <c r="C72" s="1419">
        <v>9256</v>
      </c>
      <c r="D72" s="1420">
        <v>125.33</v>
      </c>
      <c r="E72" s="1420">
        <v>8809.35</v>
      </c>
      <c r="F72" s="1421">
        <v>0.09</v>
      </c>
      <c r="G72" s="1420">
        <v>9207.42</v>
      </c>
      <c r="H72" s="1420">
        <v>9053.8700000000008</v>
      </c>
      <c r="I72" s="1422">
        <v>995462472</v>
      </c>
      <c r="J72" s="1422">
        <v>25</v>
      </c>
      <c r="K72" s="1422">
        <v>25</v>
      </c>
      <c r="L72" s="1422">
        <v>0</v>
      </c>
      <c r="M72" s="1422">
        <v>0</v>
      </c>
      <c r="N72" s="1420">
        <v>13.1</v>
      </c>
      <c r="O72" s="1420">
        <v>38.1</v>
      </c>
      <c r="P72" s="1423">
        <v>126294365.09999999</v>
      </c>
      <c r="Q72" s="1424">
        <v>33412125.620000001</v>
      </c>
      <c r="R72" s="1425">
        <f t="shared" si="11"/>
        <v>33412125.620000001</v>
      </c>
      <c r="S72" s="1436">
        <v>49649.71</v>
      </c>
      <c r="T72" s="1427">
        <f t="shared" si="12"/>
        <v>49649.71</v>
      </c>
      <c r="U72" s="1428">
        <v>30826448</v>
      </c>
      <c r="V72" s="1422">
        <v>294236</v>
      </c>
      <c r="W72" s="1422">
        <v>954615</v>
      </c>
      <c r="X72" s="1422">
        <v>0</v>
      </c>
      <c r="Y72" s="1422">
        <v>0</v>
      </c>
      <c r="Z72" s="1422">
        <v>0</v>
      </c>
      <c r="AA72" s="1422">
        <v>0</v>
      </c>
      <c r="AB72" s="1422">
        <v>0</v>
      </c>
      <c r="AC72" s="1435">
        <v>702312.3</v>
      </c>
      <c r="AD72" s="1422">
        <v>374468</v>
      </c>
      <c r="AE72" s="1420">
        <v>23310.43</v>
      </c>
      <c r="AF72" s="1422">
        <v>20323</v>
      </c>
      <c r="AG72" s="1422">
        <v>264745</v>
      </c>
      <c r="AH72" s="1422">
        <v>98741</v>
      </c>
      <c r="AI72" s="1422">
        <v>1895712</v>
      </c>
      <c r="AJ72" s="1420">
        <v>559059.88</v>
      </c>
      <c r="AK72" s="1420">
        <v>1790279.31</v>
      </c>
      <c r="AL72" s="1420">
        <v>27606.13</v>
      </c>
      <c r="AM72" s="1422">
        <v>0</v>
      </c>
      <c r="AN72" s="1429">
        <v>874800</v>
      </c>
      <c r="AO72" s="1422">
        <v>0</v>
      </c>
      <c r="AP72" s="1422">
        <v>257068</v>
      </c>
      <c r="AQ72" s="1430">
        <f t="shared" si="13"/>
        <v>37386611.750000015</v>
      </c>
      <c r="AR72" s="1431">
        <v>11439931.23</v>
      </c>
      <c r="AS72" s="1432">
        <v>38702405.100000001</v>
      </c>
      <c r="AT72" s="1422">
        <v>0</v>
      </c>
      <c r="AU72" s="1422">
        <v>102297</v>
      </c>
      <c r="AV72" s="1420">
        <v>827091.85</v>
      </c>
      <c r="AW72" s="1420">
        <v>7394.09</v>
      </c>
      <c r="AX72" s="1422">
        <v>0</v>
      </c>
      <c r="AY72" s="1420">
        <v>39639188.039999999</v>
      </c>
      <c r="AZ72" s="1420">
        <v>4901840.12</v>
      </c>
      <c r="BA72" s="1423">
        <f t="shared" si="14"/>
        <v>45477811.099999994</v>
      </c>
      <c r="BB72" s="1420">
        <f t="shared" si="15"/>
        <v>127766129.41000001</v>
      </c>
      <c r="BC72" s="1433">
        <f t="shared" si="16"/>
        <v>13803.600843777011</v>
      </c>
      <c r="BD72" s="1433">
        <f t="shared" si="17"/>
        <v>3609.7802095937773</v>
      </c>
      <c r="BE72" s="1433">
        <f t="shared" si="18"/>
        <v>5.3640568280034575</v>
      </c>
      <c r="BF72" s="1433">
        <f t="shared" si="19"/>
        <v>4039.1758589023352</v>
      </c>
      <c r="BG72" s="1433">
        <f t="shared" si="20"/>
        <v>1235.9476264044945</v>
      </c>
      <c r="BH72" s="1434">
        <f t="shared" si="21"/>
        <v>4913.3330920484004</v>
      </c>
      <c r="BI72" s="1422">
        <v>8470</v>
      </c>
    </row>
    <row r="73" spans="1:61" ht="12.75" customHeight="1" thickBot="1">
      <c r="A73" s="1418" t="s">
        <v>543</v>
      </c>
      <c r="B73" s="1418" t="s">
        <v>544</v>
      </c>
      <c r="C73" s="1419">
        <v>3087</v>
      </c>
      <c r="D73" s="1420">
        <v>141.11000000000001</v>
      </c>
      <c r="E73" s="1420">
        <v>2910.82</v>
      </c>
      <c r="F73" s="1421">
        <v>0.19</v>
      </c>
      <c r="G73" s="1420">
        <v>3076.17</v>
      </c>
      <c r="H73" s="1420">
        <v>3044.17</v>
      </c>
      <c r="I73" s="1422">
        <v>194955687</v>
      </c>
      <c r="J73" s="1422">
        <v>25</v>
      </c>
      <c r="K73" s="1422">
        <v>25</v>
      </c>
      <c r="L73" s="1422">
        <v>0</v>
      </c>
      <c r="M73" s="1422">
        <v>0</v>
      </c>
      <c r="N73" s="1422">
        <v>13</v>
      </c>
      <c r="O73" s="1422">
        <v>38</v>
      </c>
      <c r="P73" s="1423">
        <v>28968720.670000002</v>
      </c>
      <c r="Q73" s="1424">
        <v>6648823.3700000001</v>
      </c>
      <c r="R73" s="1425">
        <f t="shared" si="11"/>
        <v>6648823.3700000001</v>
      </c>
      <c r="S73" s="1436">
        <v>16709.240000000002</v>
      </c>
      <c r="T73" s="1427">
        <f t="shared" si="12"/>
        <v>16709.240000000002</v>
      </c>
      <c r="U73" s="1428">
        <v>13984742</v>
      </c>
      <c r="V73" s="1422">
        <v>45785</v>
      </c>
      <c r="W73" s="1422">
        <v>192450</v>
      </c>
      <c r="X73" s="1422">
        <v>0</v>
      </c>
      <c r="Y73" s="1422">
        <v>0</v>
      </c>
      <c r="Z73" s="1422">
        <v>0</v>
      </c>
      <c r="AA73" s="1422">
        <v>56023</v>
      </c>
      <c r="AB73" s="1422">
        <v>0</v>
      </c>
      <c r="AC73" s="1429">
        <v>0</v>
      </c>
      <c r="AD73" s="1422">
        <v>125907</v>
      </c>
      <c r="AE73" s="1420">
        <v>6726.62</v>
      </c>
      <c r="AF73" s="1422">
        <v>8672</v>
      </c>
      <c r="AG73" s="1422">
        <v>63180</v>
      </c>
      <c r="AH73" s="1422">
        <v>11134</v>
      </c>
      <c r="AI73" s="1422">
        <v>597290</v>
      </c>
      <c r="AJ73" s="1420">
        <v>405050.47</v>
      </c>
      <c r="AK73" s="1420">
        <v>20041.759999999998</v>
      </c>
      <c r="AL73" s="1420">
        <v>9927.14</v>
      </c>
      <c r="AM73" s="1422">
        <v>0</v>
      </c>
      <c r="AN73" s="1429">
        <v>622350</v>
      </c>
      <c r="AO73" s="1422">
        <v>0</v>
      </c>
      <c r="AP73" s="1420">
        <v>1482835.23</v>
      </c>
      <c r="AQ73" s="1430">
        <f t="shared" si="13"/>
        <v>17009764.219999999</v>
      </c>
      <c r="AR73" s="1431">
        <v>2935281.42</v>
      </c>
      <c r="AS73" s="1432">
        <v>3037200.88</v>
      </c>
      <c r="AT73" s="1422">
        <v>0</v>
      </c>
      <c r="AU73" s="1422">
        <v>0</v>
      </c>
      <c r="AV73" s="1422">
        <v>0</v>
      </c>
      <c r="AW73" s="1422">
        <v>0</v>
      </c>
      <c r="AX73" s="1422">
        <v>0</v>
      </c>
      <c r="AY73" s="1420">
        <v>3037200.88</v>
      </c>
      <c r="AZ73" s="1420">
        <v>1361332.29</v>
      </c>
      <c r="BA73" s="1423">
        <f t="shared" si="14"/>
        <v>4398533.17</v>
      </c>
      <c r="BB73" s="1420">
        <f t="shared" si="15"/>
        <v>31009111.419999998</v>
      </c>
      <c r="BC73" s="1433">
        <f t="shared" si="16"/>
        <v>10045.063628117914</v>
      </c>
      <c r="BD73" s="1433">
        <f t="shared" si="17"/>
        <v>2153.8138548752836</v>
      </c>
      <c r="BE73" s="1433">
        <f t="shared" si="18"/>
        <v>5.4127761580822806</v>
      </c>
      <c r="BF73" s="1433">
        <f t="shared" si="19"/>
        <v>5510.1277032717844</v>
      </c>
      <c r="BG73" s="1433">
        <f t="shared" si="20"/>
        <v>950.85241982507284</v>
      </c>
      <c r="BH73" s="1434">
        <f t="shared" si="21"/>
        <v>1424.8568739876903</v>
      </c>
      <c r="BI73" s="1422">
        <v>7588</v>
      </c>
    </row>
    <row r="74" spans="1:61" ht="12.75" customHeight="1" thickBot="1">
      <c r="A74" s="1418" t="s">
        <v>545</v>
      </c>
      <c r="B74" s="1418" t="s">
        <v>546</v>
      </c>
      <c r="C74" s="1419">
        <v>449</v>
      </c>
      <c r="D74" s="1420">
        <v>46.69</v>
      </c>
      <c r="E74" s="1420">
        <v>403.32</v>
      </c>
      <c r="F74" s="1421">
        <v>0.01</v>
      </c>
      <c r="G74" s="1420">
        <v>433.19</v>
      </c>
      <c r="H74" s="1420">
        <v>458.04</v>
      </c>
      <c r="I74" s="1422">
        <v>40710769</v>
      </c>
      <c r="J74" s="1422">
        <v>25</v>
      </c>
      <c r="K74" s="1422">
        <v>25</v>
      </c>
      <c r="L74" s="1422">
        <v>0</v>
      </c>
      <c r="M74" s="1422">
        <v>0</v>
      </c>
      <c r="N74" s="1420">
        <v>14.6</v>
      </c>
      <c r="O74" s="1420">
        <v>39.6</v>
      </c>
      <c r="P74" s="1438">
        <v>2810000</v>
      </c>
      <c r="Q74" s="1424">
        <v>1346168.91</v>
      </c>
      <c r="R74" s="1425">
        <f t="shared" si="11"/>
        <v>1346168.91</v>
      </c>
      <c r="S74" s="1426">
        <v>0</v>
      </c>
      <c r="T74" s="1427">
        <f t="shared" si="12"/>
        <v>0</v>
      </c>
      <c r="U74" s="1428">
        <v>1961429</v>
      </c>
      <c r="V74" s="1422">
        <v>4119</v>
      </c>
      <c r="W74" s="1422">
        <v>0</v>
      </c>
      <c r="X74" s="1422">
        <v>0</v>
      </c>
      <c r="Y74" s="1422">
        <v>0</v>
      </c>
      <c r="Z74" s="1422">
        <v>0</v>
      </c>
      <c r="AA74" s="1422">
        <v>19205</v>
      </c>
      <c r="AB74" s="1422">
        <v>0</v>
      </c>
      <c r="AC74" s="1429">
        <v>0</v>
      </c>
      <c r="AD74" s="1422">
        <v>18945</v>
      </c>
      <c r="AE74" s="1420">
        <v>1126.6199999999999</v>
      </c>
      <c r="AF74" s="1422">
        <v>150</v>
      </c>
      <c r="AG74" s="1422">
        <v>35592</v>
      </c>
      <c r="AH74" s="1422">
        <v>0</v>
      </c>
      <c r="AI74" s="1422">
        <v>147808</v>
      </c>
      <c r="AJ74" s="1420">
        <v>1876.42</v>
      </c>
      <c r="AK74" s="1420">
        <v>9208.56</v>
      </c>
      <c r="AL74" s="1420">
        <v>1590.57</v>
      </c>
      <c r="AM74" s="1422">
        <v>0</v>
      </c>
      <c r="AN74" s="1429">
        <v>72318</v>
      </c>
      <c r="AO74" s="1422">
        <v>0</v>
      </c>
      <c r="AP74" s="1420">
        <v>45864.87</v>
      </c>
      <c r="AQ74" s="1430">
        <f t="shared" si="13"/>
        <v>2246915.04</v>
      </c>
      <c r="AR74" s="1431">
        <v>687819.18</v>
      </c>
      <c r="AS74" s="1432">
        <v>8298.44</v>
      </c>
      <c r="AT74" s="1422">
        <v>0</v>
      </c>
      <c r="AU74" s="1422">
        <v>0</v>
      </c>
      <c r="AV74" s="1422">
        <v>2000</v>
      </c>
      <c r="AW74" s="1420">
        <v>6748.8</v>
      </c>
      <c r="AX74" s="1422">
        <v>0</v>
      </c>
      <c r="AY74" s="1420">
        <v>17047.240000000002</v>
      </c>
      <c r="AZ74" s="1420">
        <v>224992.38</v>
      </c>
      <c r="BA74" s="1423">
        <f t="shared" si="14"/>
        <v>250788.42</v>
      </c>
      <c r="BB74" s="1420">
        <f t="shared" si="15"/>
        <v>4531691.55</v>
      </c>
      <c r="BC74" s="1433">
        <f t="shared" si="16"/>
        <v>10092.854231625835</v>
      </c>
      <c r="BD74" s="1433">
        <f t="shared" si="17"/>
        <v>2998.1490200445432</v>
      </c>
      <c r="BE74" s="1433">
        <f t="shared" si="18"/>
        <v>0</v>
      </c>
      <c r="BF74" s="1433">
        <f t="shared" si="19"/>
        <v>5004.265122494432</v>
      </c>
      <c r="BG74" s="1433">
        <f t="shared" si="20"/>
        <v>1531.8912694877506</v>
      </c>
      <c r="BH74" s="1434">
        <f t="shared" si="21"/>
        <v>558.54881959910915</v>
      </c>
      <c r="BI74" s="1422">
        <v>9900</v>
      </c>
    </row>
    <row r="75" spans="1:61" ht="12.75" customHeight="1" thickBot="1">
      <c r="A75" s="1418" t="s">
        <v>547</v>
      </c>
      <c r="B75" s="1418" t="s">
        <v>548</v>
      </c>
      <c r="C75" s="1419">
        <v>1054</v>
      </c>
      <c r="D75" s="1420">
        <v>83.87</v>
      </c>
      <c r="E75" s="1420">
        <v>984.31</v>
      </c>
      <c r="F75" s="1421">
        <v>0.1</v>
      </c>
      <c r="G75" s="1420">
        <v>1058.0999999999999</v>
      </c>
      <c r="H75" s="1420">
        <v>1021.21</v>
      </c>
      <c r="I75" s="1422">
        <v>66306966</v>
      </c>
      <c r="J75" s="1422">
        <v>25</v>
      </c>
      <c r="K75" s="1422">
        <v>25</v>
      </c>
      <c r="L75" s="1422">
        <v>0</v>
      </c>
      <c r="M75" s="1422">
        <v>0</v>
      </c>
      <c r="N75" s="1420">
        <v>15.5</v>
      </c>
      <c r="O75" s="1420">
        <v>40.5</v>
      </c>
      <c r="P75" s="1423">
        <v>10445280.779999999</v>
      </c>
      <c r="Q75" s="1424">
        <v>2509643.9900000002</v>
      </c>
      <c r="R75" s="1425">
        <f t="shared" si="11"/>
        <v>2509643.9900000002</v>
      </c>
      <c r="S75" s="1436">
        <v>5768.93</v>
      </c>
      <c r="T75" s="1427">
        <f t="shared" si="12"/>
        <v>5768.93</v>
      </c>
      <c r="U75" s="1428">
        <v>4602791</v>
      </c>
      <c r="V75" s="1422">
        <v>0</v>
      </c>
      <c r="W75" s="1422">
        <v>222008</v>
      </c>
      <c r="X75" s="1422">
        <v>0</v>
      </c>
      <c r="Y75" s="1422">
        <v>0</v>
      </c>
      <c r="Z75" s="1422">
        <v>0</v>
      </c>
      <c r="AA75" s="1422">
        <v>2069</v>
      </c>
      <c r="AB75" s="1422">
        <v>0</v>
      </c>
      <c r="AC75" s="1429">
        <v>0</v>
      </c>
      <c r="AD75" s="1422">
        <v>42237</v>
      </c>
      <c r="AE75" s="1420">
        <v>9175.3700000000008</v>
      </c>
      <c r="AF75" s="1422">
        <v>785</v>
      </c>
      <c r="AG75" s="1422">
        <v>37664</v>
      </c>
      <c r="AH75" s="1422">
        <v>0</v>
      </c>
      <c r="AI75" s="1422">
        <v>269328</v>
      </c>
      <c r="AJ75" s="1420">
        <v>89498.12</v>
      </c>
      <c r="AK75" s="1420">
        <v>7041.76</v>
      </c>
      <c r="AL75" s="1420">
        <v>3157.59</v>
      </c>
      <c r="AM75" s="1422">
        <v>0</v>
      </c>
      <c r="AN75" s="1429">
        <v>145800</v>
      </c>
      <c r="AO75" s="1422">
        <v>0</v>
      </c>
      <c r="AP75" s="1420">
        <v>713286.66</v>
      </c>
      <c r="AQ75" s="1430">
        <f t="shared" si="13"/>
        <v>5999041.5</v>
      </c>
      <c r="AR75" s="1431">
        <v>1221331.1399999999</v>
      </c>
      <c r="AS75" s="1432">
        <v>3538552.23</v>
      </c>
      <c r="AT75" s="1422">
        <v>0</v>
      </c>
      <c r="AU75" s="1420">
        <v>477.81</v>
      </c>
      <c r="AV75" s="1422">
        <v>0</v>
      </c>
      <c r="AW75" s="1422">
        <v>0</v>
      </c>
      <c r="AX75" s="1422">
        <v>0</v>
      </c>
      <c r="AY75" s="1420">
        <v>3539030.04</v>
      </c>
      <c r="AZ75" s="1422">
        <v>606391</v>
      </c>
      <c r="BA75" s="1423">
        <f t="shared" si="14"/>
        <v>4145898.85</v>
      </c>
      <c r="BB75" s="1420">
        <f t="shared" si="15"/>
        <v>13881684.41</v>
      </c>
      <c r="BC75" s="1433">
        <f t="shared" si="16"/>
        <v>13170.478567362428</v>
      </c>
      <c r="BD75" s="1433">
        <f t="shared" si="17"/>
        <v>2381.0664041745731</v>
      </c>
      <c r="BE75" s="1433">
        <f t="shared" si="18"/>
        <v>5.4733681214421255</v>
      </c>
      <c r="BF75" s="1433">
        <f t="shared" si="19"/>
        <v>5691.6902277039844</v>
      </c>
      <c r="BG75" s="1433">
        <f t="shared" si="20"/>
        <v>1158.7581973434535</v>
      </c>
      <c r="BH75" s="1434">
        <f t="shared" si="21"/>
        <v>3933.4903700189752</v>
      </c>
      <c r="BI75" s="1422">
        <v>7759</v>
      </c>
    </row>
    <row r="76" spans="1:61" ht="12.75" customHeight="1" thickBot="1">
      <c r="A76" s="1418" t="s">
        <v>549</v>
      </c>
      <c r="B76" s="1418" t="s">
        <v>550</v>
      </c>
      <c r="C76" s="1419">
        <v>475</v>
      </c>
      <c r="D76" s="1420">
        <v>106.78</v>
      </c>
      <c r="E76" s="1420">
        <v>458.77</v>
      </c>
      <c r="F76" s="1421">
        <v>0.02</v>
      </c>
      <c r="G76" s="1420">
        <v>478.11</v>
      </c>
      <c r="H76" s="1420">
        <v>498.87</v>
      </c>
      <c r="I76" s="1422">
        <v>32880360</v>
      </c>
      <c r="J76" s="1420">
        <v>25.49</v>
      </c>
      <c r="K76" s="1422">
        <v>25</v>
      </c>
      <c r="L76" s="1420">
        <v>0.49</v>
      </c>
      <c r="M76" s="1422">
        <v>0</v>
      </c>
      <c r="N76" s="1420">
        <v>16.010000000000002</v>
      </c>
      <c r="O76" s="1420">
        <v>41.5</v>
      </c>
      <c r="P76" s="1438">
        <v>3795000</v>
      </c>
      <c r="Q76" s="1424">
        <v>1024510.23</v>
      </c>
      <c r="R76" s="1425">
        <f t="shared" si="11"/>
        <v>1024510.23</v>
      </c>
      <c r="S76" s="1436">
        <v>2601.9899999999998</v>
      </c>
      <c r="T76" s="1427">
        <f t="shared" si="12"/>
        <v>2601.9899999999998</v>
      </c>
      <c r="U76" s="1428">
        <v>2374762</v>
      </c>
      <c r="V76" s="1422">
        <v>20349</v>
      </c>
      <c r="W76" s="1422">
        <v>0</v>
      </c>
      <c r="X76" s="1422">
        <v>6987</v>
      </c>
      <c r="Y76" s="1422">
        <v>0</v>
      </c>
      <c r="Z76" s="1422">
        <v>0</v>
      </c>
      <c r="AA76" s="1422">
        <v>28416</v>
      </c>
      <c r="AB76" s="1422">
        <v>0</v>
      </c>
      <c r="AC76" s="1429">
        <v>0</v>
      </c>
      <c r="AD76" s="1422">
        <v>20633</v>
      </c>
      <c r="AE76" s="1420">
        <v>4726.62</v>
      </c>
      <c r="AF76" s="1422">
        <v>300</v>
      </c>
      <c r="AG76" s="1422">
        <v>46318</v>
      </c>
      <c r="AH76" s="1422">
        <v>0</v>
      </c>
      <c r="AI76" s="1422">
        <v>147808</v>
      </c>
      <c r="AJ76" s="1420">
        <v>2043.69</v>
      </c>
      <c r="AK76" s="1420">
        <v>5417.12</v>
      </c>
      <c r="AL76" s="1420">
        <v>1926.29</v>
      </c>
      <c r="AM76" s="1422">
        <v>0</v>
      </c>
      <c r="AN76" s="1429">
        <v>97200</v>
      </c>
      <c r="AO76" s="1422">
        <v>0</v>
      </c>
      <c r="AP76" s="1422">
        <v>24236</v>
      </c>
      <c r="AQ76" s="1430">
        <f t="shared" si="13"/>
        <v>2683922.7200000002</v>
      </c>
      <c r="AR76" s="1431">
        <v>637506.43000000005</v>
      </c>
      <c r="AS76" s="1432">
        <v>100.08</v>
      </c>
      <c r="AT76" s="1422">
        <v>0</v>
      </c>
      <c r="AU76" s="1422">
        <v>0</v>
      </c>
      <c r="AV76" s="1422">
        <v>0</v>
      </c>
      <c r="AW76" s="1420">
        <v>8742.23</v>
      </c>
      <c r="AX76" s="1422">
        <v>0</v>
      </c>
      <c r="AY76" s="1420">
        <v>8842.31</v>
      </c>
      <c r="AZ76" s="1420">
        <v>298334.17</v>
      </c>
      <c r="BA76" s="1423">
        <f t="shared" si="14"/>
        <v>315918.70999999996</v>
      </c>
      <c r="BB76" s="1420">
        <f t="shared" si="15"/>
        <v>4664460.08</v>
      </c>
      <c r="BC76" s="1433">
        <f t="shared" si="16"/>
        <v>9819.9159578947365</v>
      </c>
      <c r="BD76" s="1433">
        <f t="shared" si="17"/>
        <v>2156.8636421052629</v>
      </c>
      <c r="BE76" s="1433">
        <f t="shared" si="18"/>
        <v>5.4778736842105262</v>
      </c>
      <c r="BF76" s="1433">
        <f t="shared" si="19"/>
        <v>5650.363621052632</v>
      </c>
      <c r="BG76" s="1433">
        <f t="shared" si="20"/>
        <v>1342.1188000000002</v>
      </c>
      <c r="BH76" s="1434">
        <f t="shared" si="21"/>
        <v>665.09202105263148</v>
      </c>
      <c r="BI76" s="1422">
        <v>8354</v>
      </c>
    </row>
    <row r="77" spans="1:61" ht="12.75" customHeight="1" thickBot="1">
      <c r="A77" s="1418" t="s">
        <v>551</v>
      </c>
      <c r="B77" s="1418" t="s">
        <v>552</v>
      </c>
      <c r="C77" s="1419">
        <v>3056</v>
      </c>
      <c r="D77" s="1420">
        <v>109.07</v>
      </c>
      <c r="E77" s="1420">
        <v>2903.73</v>
      </c>
      <c r="F77" s="1421">
        <v>0.1</v>
      </c>
      <c r="G77" s="1420">
        <v>3062.09</v>
      </c>
      <c r="H77" s="1420">
        <v>2975.62</v>
      </c>
      <c r="I77" s="1422">
        <v>148521453</v>
      </c>
      <c r="J77" s="1422">
        <v>25</v>
      </c>
      <c r="K77" s="1422">
        <v>25</v>
      </c>
      <c r="L77" s="1422">
        <v>0</v>
      </c>
      <c r="M77" s="1422">
        <v>0</v>
      </c>
      <c r="N77" s="1420">
        <v>13.9</v>
      </c>
      <c r="O77" s="1420">
        <v>38.9</v>
      </c>
      <c r="P77" s="1423">
        <v>15710845.439999999</v>
      </c>
      <c r="Q77" s="1424">
        <v>5181811.45</v>
      </c>
      <c r="R77" s="1425">
        <f t="shared" si="11"/>
        <v>5181811.45</v>
      </c>
      <c r="S77" s="1436">
        <v>18968.21</v>
      </c>
      <c r="T77" s="1427">
        <f t="shared" si="12"/>
        <v>18968.21</v>
      </c>
      <c r="U77" s="1428">
        <v>14616371</v>
      </c>
      <c r="V77" s="1422">
        <v>38602</v>
      </c>
      <c r="W77" s="1422">
        <v>593961</v>
      </c>
      <c r="X77" s="1422">
        <v>0</v>
      </c>
      <c r="Y77" s="1422">
        <v>0</v>
      </c>
      <c r="Z77" s="1422">
        <v>0</v>
      </c>
      <c r="AA77" s="1422">
        <v>173014</v>
      </c>
      <c r="AB77" s="1422">
        <v>0</v>
      </c>
      <c r="AC77" s="1435">
        <v>37425.01</v>
      </c>
      <c r="AD77" s="1422">
        <v>123072</v>
      </c>
      <c r="AE77" s="1420">
        <v>18130.28</v>
      </c>
      <c r="AF77" s="1422">
        <v>2903</v>
      </c>
      <c r="AG77" s="1422">
        <v>89061</v>
      </c>
      <c r="AH77" s="1422">
        <v>9083</v>
      </c>
      <c r="AI77" s="1422">
        <v>577840</v>
      </c>
      <c r="AJ77" s="1420">
        <v>169582.91</v>
      </c>
      <c r="AK77" s="1420">
        <v>107250.64</v>
      </c>
      <c r="AL77" s="1420">
        <v>11581.46</v>
      </c>
      <c r="AM77" s="1422">
        <v>0</v>
      </c>
      <c r="AN77" s="1429">
        <v>438600</v>
      </c>
      <c r="AO77" s="1422">
        <v>0</v>
      </c>
      <c r="AP77" s="1422">
        <v>310940</v>
      </c>
      <c r="AQ77" s="1430">
        <f t="shared" si="13"/>
        <v>16841392.289999999</v>
      </c>
      <c r="AR77" s="1431">
        <v>3408340.62</v>
      </c>
      <c r="AS77" s="1437">
        <v>113000</v>
      </c>
      <c r="AT77" s="1422">
        <v>0</v>
      </c>
      <c r="AU77" s="1422">
        <v>0</v>
      </c>
      <c r="AV77" s="1422">
        <v>0</v>
      </c>
      <c r="AW77" s="1420">
        <v>31766.74</v>
      </c>
      <c r="AX77" s="1422">
        <v>0</v>
      </c>
      <c r="AY77" s="1420">
        <v>144766.74</v>
      </c>
      <c r="AZ77" s="1422">
        <v>1933452</v>
      </c>
      <c r="BA77" s="1423">
        <f t="shared" si="14"/>
        <v>2109985.48</v>
      </c>
      <c r="BB77" s="1420">
        <f t="shared" si="15"/>
        <v>27560498.050000001</v>
      </c>
      <c r="BC77" s="1433">
        <f t="shared" si="16"/>
        <v>9018.4875818062828</v>
      </c>
      <c r="BD77" s="1433">
        <f t="shared" si="17"/>
        <v>1695.6189299738221</v>
      </c>
      <c r="BE77" s="1433">
        <f t="shared" si="18"/>
        <v>6.2068750000000001</v>
      </c>
      <c r="BF77" s="1433">
        <f t="shared" si="19"/>
        <v>5510.9267964659684</v>
      </c>
      <c r="BG77" s="1433">
        <f t="shared" si="20"/>
        <v>1115.2947054973822</v>
      </c>
      <c r="BH77" s="1434">
        <f t="shared" si="21"/>
        <v>690.44027486910989</v>
      </c>
      <c r="BI77" s="1422">
        <v>7664</v>
      </c>
    </row>
    <row r="78" spans="1:61" ht="12.75" customHeight="1" thickBot="1">
      <c r="A78" s="1418" t="s">
        <v>553</v>
      </c>
      <c r="B78" s="1418" t="s">
        <v>554</v>
      </c>
      <c r="C78" s="1419">
        <v>879</v>
      </c>
      <c r="D78" s="1420">
        <v>109.79</v>
      </c>
      <c r="E78" s="1420">
        <v>845.71</v>
      </c>
      <c r="F78" s="1421">
        <v>-0.02</v>
      </c>
      <c r="G78" s="1420">
        <v>871.66</v>
      </c>
      <c r="H78" s="1420">
        <v>866.21</v>
      </c>
      <c r="I78" s="1422">
        <v>49795284</v>
      </c>
      <c r="J78" s="1422">
        <v>25</v>
      </c>
      <c r="K78" s="1422">
        <v>25</v>
      </c>
      <c r="L78" s="1422">
        <v>0</v>
      </c>
      <c r="M78" s="1422">
        <v>0</v>
      </c>
      <c r="N78" s="1420">
        <v>12.5</v>
      </c>
      <c r="O78" s="1420">
        <v>37.5</v>
      </c>
      <c r="P78" s="1438">
        <v>7605000</v>
      </c>
      <c r="Q78" s="1424">
        <v>1748000.75</v>
      </c>
      <c r="R78" s="1425">
        <f t="shared" si="11"/>
        <v>1748000.75</v>
      </c>
      <c r="S78" s="1426">
        <v>0</v>
      </c>
      <c r="T78" s="1427">
        <f t="shared" si="12"/>
        <v>0</v>
      </c>
      <c r="U78" s="1428">
        <v>3968584</v>
      </c>
      <c r="V78" s="1422">
        <v>40603</v>
      </c>
      <c r="W78" s="1422">
        <v>0</v>
      </c>
      <c r="X78" s="1422">
        <v>89743</v>
      </c>
      <c r="Y78" s="1422">
        <v>0</v>
      </c>
      <c r="Z78" s="1422">
        <v>0</v>
      </c>
      <c r="AA78" s="1422">
        <v>0</v>
      </c>
      <c r="AB78" s="1422">
        <v>0</v>
      </c>
      <c r="AC78" s="1429">
        <v>0</v>
      </c>
      <c r="AD78" s="1422">
        <v>35826</v>
      </c>
      <c r="AE78" s="1420">
        <v>1376.71</v>
      </c>
      <c r="AF78" s="1422">
        <v>250</v>
      </c>
      <c r="AG78" s="1422">
        <v>8857</v>
      </c>
      <c r="AH78" s="1422">
        <v>0</v>
      </c>
      <c r="AI78" s="1422">
        <v>166656</v>
      </c>
      <c r="AJ78" s="1420">
        <v>3548.55</v>
      </c>
      <c r="AK78" s="1422">
        <v>142425</v>
      </c>
      <c r="AL78" s="1420">
        <v>2927.56</v>
      </c>
      <c r="AM78" s="1422">
        <v>0</v>
      </c>
      <c r="AN78" s="1429">
        <v>97200</v>
      </c>
      <c r="AO78" s="1422">
        <v>0</v>
      </c>
      <c r="AP78" s="1420">
        <v>515606.91</v>
      </c>
      <c r="AQ78" s="1430">
        <f t="shared" si="13"/>
        <v>4976403.7299999995</v>
      </c>
      <c r="AR78" s="1431">
        <v>927967.33</v>
      </c>
      <c r="AS78" s="1432">
        <v>4118.42</v>
      </c>
      <c r="AT78" s="1422">
        <v>0</v>
      </c>
      <c r="AU78" s="1422">
        <v>0</v>
      </c>
      <c r="AV78" s="1422">
        <v>0</v>
      </c>
      <c r="AW78" s="1422">
        <v>0</v>
      </c>
      <c r="AX78" s="1420">
        <v>191237.21</v>
      </c>
      <c r="AY78" s="1420">
        <v>195355.63</v>
      </c>
      <c r="AZ78" s="1420">
        <v>347108.29</v>
      </c>
      <c r="BA78" s="1423">
        <f t="shared" si="14"/>
        <v>733701.12999999989</v>
      </c>
      <c r="BB78" s="1420">
        <f t="shared" si="15"/>
        <v>8386072.9399999995</v>
      </c>
      <c r="BC78" s="1433">
        <f t="shared" si="16"/>
        <v>9540.4697838452776</v>
      </c>
      <c r="BD78" s="1433">
        <f t="shared" si="17"/>
        <v>1988.6242889647326</v>
      </c>
      <c r="BE78" s="1433">
        <f t="shared" si="18"/>
        <v>0</v>
      </c>
      <c r="BF78" s="1433">
        <f t="shared" si="19"/>
        <v>5661.4376905574509</v>
      </c>
      <c r="BG78" s="1433">
        <f t="shared" si="20"/>
        <v>1055.7079977246872</v>
      </c>
      <c r="BH78" s="1434">
        <f t="shared" si="21"/>
        <v>834.69980659840712</v>
      </c>
      <c r="BI78" s="1422">
        <v>7829</v>
      </c>
    </row>
    <row r="79" spans="1:61" ht="12.75" customHeight="1" thickBot="1">
      <c r="A79" s="1418" t="s">
        <v>555</v>
      </c>
      <c r="B79" s="1418" t="s">
        <v>556</v>
      </c>
      <c r="C79" s="1419">
        <v>485</v>
      </c>
      <c r="D79" s="1420">
        <v>143.62</v>
      </c>
      <c r="E79" s="1420">
        <v>445.45</v>
      </c>
      <c r="F79" s="1421">
        <v>-0.14000000000000001</v>
      </c>
      <c r="G79" s="1420">
        <v>473.41</v>
      </c>
      <c r="H79" s="1420">
        <v>499.22</v>
      </c>
      <c r="I79" s="1422">
        <v>45808844</v>
      </c>
      <c r="J79" s="1422">
        <v>25</v>
      </c>
      <c r="K79" s="1422">
        <v>25</v>
      </c>
      <c r="L79" s="1422">
        <v>0</v>
      </c>
      <c r="M79" s="1422">
        <v>0</v>
      </c>
      <c r="N79" s="1420">
        <v>11.1</v>
      </c>
      <c r="O79" s="1420">
        <v>36.1</v>
      </c>
      <c r="P79" s="1438">
        <v>4685000</v>
      </c>
      <c r="Q79" s="1424">
        <v>1719386.88</v>
      </c>
      <c r="R79" s="1425">
        <f t="shared" si="11"/>
        <v>1719386.88</v>
      </c>
      <c r="S79" s="1426">
        <v>0</v>
      </c>
      <c r="T79" s="1427">
        <f t="shared" si="12"/>
        <v>0</v>
      </c>
      <c r="U79" s="1428">
        <v>1737225</v>
      </c>
      <c r="V79" s="1422">
        <v>44393</v>
      </c>
      <c r="W79" s="1422">
        <v>0</v>
      </c>
      <c r="X79" s="1422">
        <v>97512</v>
      </c>
      <c r="Y79" s="1422">
        <v>0</v>
      </c>
      <c r="Z79" s="1422">
        <v>0</v>
      </c>
      <c r="AA79" s="1422">
        <v>0</v>
      </c>
      <c r="AB79" s="1422">
        <v>0</v>
      </c>
      <c r="AC79" s="1429">
        <v>0</v>
      </c>
      <c r="AD79" s="1422">
        <v>20648</v>
      </c>
      <c r="AE79" s="1420">
        <v>3956.06</v>
      </c>
      <c r="AF79" s="1422">
        <v>1350</v>
      </c>
      <c r="AG79" s="1422">
        <v>10117</v>
      </c>
      <c r="AH79" s="1422">
        <v>2344</v>
      </c>
      <c r="AI79" s="1422">
        <v>134416</v>
      </c>
      <c r="AJ79" s="1420">
        <v>7471.68</v>
      </c>
      <c r="AK79" s="1422">
        <v>6500</v>
      </c>
      <c r="AL79" s="1420">
        <v>1990.17</v>
      </c>
      <c r="AM79" s="1422">
        <v>0</v>
      </c>
      <c r="AN79" s="1435">
        <v>94867.199999999997</v>
      </c>
      <c r="AO79" s="1422">
        <v>0</v>
      </c>
      <c r="AP79" s="1420">
        <v>23124.39</v>
      </c>
      <c r="AQ79" s="1430">
        <f t="shared" si="13"/>
        <v>2091047.3</v>
      </c>
      <c r="AR79" s="1431">
        <v>1188999.3799999999</v>
      </c>
      <c r="AS79" s="1432">
        <v>516029.89</v>
      </c>
      <c r="AT79" s="1422">
        <v>0</v>
      </c>
      <c r="AU79" s="1422">
        <v>0</v>
      </c>
      <c r="AV79" s="1422">
        <v>0</v>
      </c>
      <c r="AW79" s="1422">
        <v>0</v>
      </c>
      <c r="AX79" s="1422">
        <v>0</v>
      </c>
      <c r="AY79" s="1420">
        <v>516029.89</v>
      </c>
      <c r="AZ79" s="1420">
        <v>168789.4</v>
      </c>
      <c r="BA79" s="1423">
        <f t="shared" si="14"/>
        <v>684819.29</v>
      </c>
      <c r="BB79" s="1420">
        <f t="shared" si="15"/>
        <v>5684252.8499999996</v>
      </c>
      <c r="BC79" s="1433">
        <f t="shared" si="16"/>
        <v>11720.108969072164</v>
      </c>
      <c r="BD79" s="1433">
        <f t="shared" si="17"/>
        <v>3545.127587628866</v>
      </c>
      <c r="BE79" s="1433">
        <f t="shared" si="18"/>
        <v>0</v>
      </c>
      <c r="BF79" s="1433">
        <f t="shared" si="19"/>
        <v>4311.4377319587629</v>
      </c>
      <c r="BG79" s="1433">
        <f t="shared" si="20"/>
        <v>2451.5451134020618</v>
      </c>
      <c r="BH79" s="1434">
        <f t="shared" si="21"/>
        <v>1411.9985360824744</v>
      </c>
      <c r="BI79" s="1422">
        <v>9027</v>
      </c>
    </row>
    <row r="80" spans="1:61" ht="12.75" customHeight="1" thickBot="1">
      <c r="A80" s="1418" t="s">
        <v>557</v>
      </c>
      <c r="B80" s="1418" t="s">
        <v>558</v>
      </c>
      <c r="C80" s="1419">
        <v>1838</v>
      </c>
      <c r="D80" s="1420">
        <v>329.58</v>
      </c>
      <c r="E80" s="1420">
        <v>1698.91</v>
      </c>
      <c r="F80" s="1421">
        <v>-0.02</v>
      </c>
      <c r="G80" s="1420">
        <v>1810.05</v>
      </c>
      <c r="H80" s="1420">
        <v>1843.92</v>
      </c>
      <c r="I80" s="1422">
        <v>146498193</v>
      </c>
      <c r="J80" s="1422">
        <v>25</v>
      </c>
      <c r="K80" s="1422">
        <v>25</v>
      </c>
      <c r="L80" s="1422">
        <v>0</v>
      </c>
      <c r="M80" s="1422">
        <v>0</v>
      </c>
      <c r="N80" s="1422">
        <v>8</v>
      </c>
      <c r="O80" s="1422">
        <v>33</v>
      </c>
      <c r="P80" s="1423">
        <v>5924275.5499999998</v>
      </c>
      <c r="Q80" s="1424">
        <v>4666293.83</v>
      </c>
      <c r="R80" s="1425">
        <f t="shared" si="11"/>
        <v>4666293.83</v>
      </c>
      <c r="S80" s="1426">
        <v>0</v>
      </c>
      <c r="T80" s="1427">
        <f t="shared" si="12"/>
        <v>0</v>
      </c>
      <c r="U80" s="1428">
        <v>7289667</v>
      </c>
      <c r="V80" s="1422">
        <v>121016</v>
      </c>
      <c r="W80" s="1422">
        <v>0</v>
      </c>
      <c r="X80" s="1422">
        <v>8854</v>
      </c>
      <c r="Y80" s="1422">
        <v>0</v>
      </c>
      <c r="Z80" s="1422">
        <v>0</v>
      </c>
      <c r="AA80" s="1422">
        <v>0</v>
      </c>
      <c r="AB80" s="1422">
        <v>174693</v>
      </c>
      <c r="AC80" s="1429">
        <v>0</v>
      </c>
      <c r="AD80" s="1422">
        <v>76265</v>
      </c>
      <c r="AE80" s="1420">
        <v>6363.46</v>
      </c>
      <c r="AF80" s="1422">
        <v>400</v>
      </c>
      <c r="AG80" s="1422">
        <v>195837</v>
      </c>
      <c r="AH80" s="1422">
        <v>0</v>
      </c>
      <c r="AI80" s="1422">
        <v>485584</v>
      </c>
      <c r="AJ80" s="1420">
        <v>7553.86</v>
      </c>
      <c r="AK80" s="1422">
        <v>16250</v>
      </c>
      <c r="AL80" s="1420">
        <v>6299.23</v>
      </c>
      <c r="AM80" s="1422">
        <v>0</v>
      </c>
      <c r="AN80" s="1429">
        <v>0</v>
      </c>
      <c r="AO80" s="1422">
        <v>0</v>
      </c>
      <c r="AP80" s="1420">
        <v>217195.51999999999</v>
      </c>
      <c r="AQ80" s="1430">
        <f t="shared" si="13"/>
        <v>8605978.0700000003</v>
      </c>
      <c r="AR80" s="1431">
        <v>3370144.55</v>
      </c>
      <c r="AS80" s="1432">
        <v>461.21</v>
      </c>
      <c r="AT80" s="1422">
        <v>0</v>
      </c>
      <c r="AU80" s="1420">
        <v>69421.03</v>
      </c>
      <c r="AV80" s="1420">
        <v>2664.5</v>
      </c>
      <c r="AW80" s="1420">
        <v>6243.75</v>
      </c>
      <c r="AX80" s="1422">
        <v>0</v>
      </c>
      <c r="AY80" s="1420">
        <v>78790.490000000005</v>
      </c>
      <c r="AZ80" s="1420">
        <v>670216.67000000004</v>
      </c>
      <c r="BA80" s="1423">
        <f t="shared" si="14"/>
        <v>827336.44000000006</v>
      </c>
      <c r="BB80" s="1420">
        <f t="shared" si="15"/>
        <v>17469752.890000001</v>
      </c>
      <c r="BC80" s="1433">
        <f t="shared" si="16"/>
        <v>9504.7621817192612</v>
      </c>
      <c r="BD80" s="1433">
        <f t="shared" si="17"/>
        <v>2538.7888084874862</v>
      </c>
      <c r="BE80" s="1433">
        <f t="shared" si="18"/>
        <v>0</v>
      </c>
      <c r="BF80" s="1433">
        <f t="shared" si="19"/>
        <v>4682.2513982589771</v>
      </c>
      <c r="BG80" s="1433">
        <f t="shared" si="20"/>
        <v>1833.5933351468987</v>
      </c>
      <c r="BH80" s="1434">
        <f t="shared" si="21"/>
        <v>450.12863982589772</v>
      </c>
      <c r="BI80" s="1422">
        <v>8959</v>
      </c>
    </row>
    <row r="81" spans="1:61" ht="12.75" customHeight="1" thickBot="1">
      <c r="A81" s="1418" t="s">
        <v>559</v>
      </c>
      <c r="B81" s="1418" t="s">
        <v>560</v>
      </c>
      <c r="C81" s="1419">
        <v>472</v>
      </c>
      <c r="D81" s="1420">
        <v>226.52</v>
      </c>
      <c r="E81" s="1420">
        <v>444.49</v>
      </c>
      <c r="F81" s="1421">
        <v>0.02</v>
      </c>
      <c r="G81" s="1420">
        <v>469.53</v>
      </c>
      <c r="H81" s="1420">
        <v>396.29</v>
      </c>
      <c r="I81" s="1422">
        <v>34275570</v>
      </c>
      <c r="J81" s="1422">
        <v>30</v>
      </c>
      <c r="K81" s="1422">
        <v>25</v>
      </c>
      <c r="L81" s="1422">
        <v>5</v>
      </c>
      <c r="M81" s="1422">
        <v>0</v>
      </c>
      <c r="N81" s="1422">
        <v>5</v>
      </c>
      <c r="O81" s="1422">
        <v>35</v>
      </c>
      <c r="P81" s="1423">
        <v>997516.80000000005</v>
      </c>
      <c r="Q81" s="1424">
        <v>964930.81</v>
      </c>
      <c r="R81" s="1425">
        <f t="shared" si="11"/>
        <v>964930.81</v>
      </c>
      <c r="S81" s="1436">
        <v>12.02</v>
      </c>
      <c r="T81" s="1427">
        <f t="shared" si="12"/>
        <v>12.02</v>
      </c>
      <c r="U81" s="1428">
        <v>2078225</v>
      </c>
      <c r="V81" s="1422">
        <v>41278</v>
      </c>
      <c r="W81" s="1422">
        <v>74618</v>
      </c>
      <c r="X81" s="1422">
        <v>0</v>
      </c>
      <c r="Y81" s="1422">
        <v>341846</v>
      </c>
      <c r="Z81" s="1422">
        <v>28050</v>
      </c>
      <c r="AA81" s="1422">
        <v>0</v>
      </c>
      <c r="AB81" s="1422">
        <v>4876</v>
      </c>
      <c r="AC81" s="1429">
        <v>0</v>
      </c>
      <c r="AD81" s="1422">
        <v>18912</v>
      </c>
      <c r="AE81" s="1422">
        <v>0</v>
      </c>
      <c r="AF81" s="1422">
        <v>200</v>
      </c>
      <c r="AG81" s="1422">
        <v>27296</v>
      </c>
      <c r="AH81" s="1422">
        <v>0</v>
      </c>
      <c r="AI81" s="1422">
        <v>147875</v>
      </c>
      <c r="AJ81" s="1420">
        <v>76971.399999999994</v>
      </c>
      <c r="AK81" s="1422">
        <v>0</v>
      </c>
      <c r="AL81" s="1420">
        <v>1733.23</v>
      </c>
      <c r="AM81" s="1422">
        <v>0</v>
      </c>
      <c r="AN81" s="1429">
        <v>127736</v>
      </c>
      <c r="AO81" s="1422">
        <v>0</v>
      </c>
      <c r="AP81" s="1422">
        <v>32300</v>
      </c>
      <c r="AQ81" s="1430">
        <f t="shared" si="13"/>
        <v>2874180.63</v>
      </c>
      <c r="AR81" s="1431">
        <v>839382.83</v>
      </c>
      <c r="AS81" s="1437">
        <v>0</v>
      </c>
      <c r="AT81" s="1422">
        <v>0</v>
      </c>
      <c r="AU81" s="1422">
        <v>0</v>
      </c>
      <c r="AV81" s="1422">
        <v>0</v>
      </c>
      <c r="AW81" s="1422">
        <v>0</v>
      </c>
      <c r="AX81" s="1422">
        <v>0</v>
      </c>
      <c r="AY81" s="1422">
        <v>0</v>
      </c>
      <c r="AZ81" s="1420">
        <v>231959.19</v>
      </c>
      <c r="BA81" s="1423">
        <f t="shared" si="14"/>
        <v>231959.19</v>
      </c>
      <c r="BB81" s="1420">
        <f t="shared" si="15"/>
        <v>4910465.4800000004</v>
      </c>
      <c r="BC81" s="1433">
        <f t="shared" si="16"/>
        <v>10403.528559322034</v>
      </c>
      <c r="BD81" s="1433">
        <f t="shared" si="17"/>
        <v>2044.3449364406781</v>
      </c>
      <c r="BE81" s="1433">
        <f t="shared" si="18"/>
        <v>2.5466101694915252E-2</v>
      </c>
      <c r="BF81" s="1433">
        <f t="shared" si="19"/>
        <v>6089.3657415254238</v>
      </c>
      <c r="BG81" s="1433">
        <f t="shared" si="20"/>
        <v>1778.3534533898305</v>
      </c>
      <c r="BH81" s="1434">
        <f t="shared" si="21"/>
        <v>491.43896186440679</v>
      </c>
      <c r="BI81" s="1422">
        <v>8207</v>
      </c>
    </row>
    <row r="82" spans="1:61" ht="12.75" customHeight="1" thickBot="1">
      <c r="A82" s="1418" t="s">
        <v>561</v>
      </c>
      <c r="B82" s="1418" t="s">
        <v>562</v>
      </c>
      <c r="C82" s="1419">
        <v>727</v>
      </c>
      <c r="D82" s="1420">
        <v>226.86</v>
      </c>
      <c r="E82" s="1420">
        <v>694.79</v>
      </c>
      <c r="F82" s="1421">
        <v>-0.01</v>
      </c>
      <c r="G82" s="1420">
        <v>728.42</v>
      </c>
      <c r="H82" s="1420">
        <v>737.22</v>
      </c>
      <c r="I82" s="1422">
        <v>41747303</v>
      </c>
      <c r="J82" s="1422">
        <v>25</v>
      </c>
      <c r="K82" s="1422">
        <v>25</v>
      </c>
      <c r="L82" s="1422">
        <v>0</v>
      </c>
      <c r="M82" s="1422">
        <v>0</v>
      </c>
      <c r="N82" s="1420">
        <v>6.5</v>
      </c>
      <c r="O82" s="1420">
        <v>31.5</v>
      </c>
      <c r="P82" s="1438">
        <v>630000</v>
      </c>
      <c r="Q82" s="1424">
        <v>1216904.42</v>
      </c>
      <c r="R82" s="1425">
        <f t="shared" si="11"/>
        <v>1216904.42</v>
      </c>
      <c r="S82" s="1436">
        <v>15.54</v>
      </c>
      <c r="T82" s="1427">
        <f t="shared" si="12"/>
        <v>15.54</v>
      </c>
      <c r="U82" s="1428">
        <v>3436983</v>
      </c>
      <c r="V82" s="1422">
        <v>42721</v>
      </c>
      <c r="W82" s="1422">
        <v>0</v>
      </c>
      <c r="X82" s="1422">
        <v>0</v>
      </c>
      <c r="Y82" s="1422">
        <v>0</v>
      </c>
      <c r="Z82" s="1422">
        <v>0</v>
      </c>
      <c r="AA82" s="1422">
        <v>1670</v>
      </c>
      <c r="AB82" s="1422">
        <v>0</v>
      </c>
      <c r="AC82" s="1429">
        <v>0</v>
      </c>
      <c r="AD82" s="1422">
        <v>30491</v>
      </c>
      <c r="AE82" s="1420">
        <v>7134.29</v>
      </c>
      <c r="AF82" s="1422">
        <v>150</v>
      </c>
      <c r="AG82" s="1422">
        <v>17471</v>
      </c>
      <c r="AH82" s="1422">
        <v>0</v>
      </c>
      <c r="AI82" s="1422">
        <v>227664</v>
      </c>
      <c r="AJ82" s="1420">
        <v>31369.79</v>
      </c>
      <c r="AK82" s="1422">
        <v>0</v>
      </c>
      <c r="AL82" s="1420">
        <v>3145.07</v>
      </c>
      <c r="AM82" s="1422">
        <v>0</v>
      </c>
      <c r="AN82" s="1429">
        <v>0</v>
      </c>
      <c r="AO82" s="1422">
        <v>0</v>
      </c>
      <c r="AP82" s="1422">
        <v>45962</v>
      </c>
      <c r="AQ82" s="1430">
        <f t="shared" si="13"/>
        <v>3844761.15</v>
      </c>
      <c r="AR82" s="1431">
        <v>1049726.21</v>
      </c>
      <c r="AS82" s="1432">
        <v>1618.48</v>
      </c>
      <c r="AT82" s="1422">
        <v>0</v>
      </c>
      <c r="AU82" s="1422">
        <v>0</v>
      </c>
      <c r="AV82" s="1420">
        <v>2481.5</v>
      </c>
      <c r="AW82" s="1420">
        <v>2191.2800000000002</v>
      </c>
      <c r="AX82" s="1422">
        <v>0</v>
      </c>
      <c r="AY82" s="1420">
        <v>6291.26</v>
      </c>
      <c r="AZ82" s="1420">
        <v>362918.76</v>
      </c>
      <c r="BA82" s="1423">
        <f t="shared" si="14"/>
        <v>373882.8</v>
      </c>
      <c r="BB82" s="1420">
        <f t="shared" si="15"/>
        <v>6485290.1200000001</v>
      </c>
      <c r="BC82" s="1433">
        <f t="shared" si="16"/>
        <v>8920.6191471801922</v>
      </c>
      <c r="BD82" s="1433">
        <f t="shared" si="17"/>
        <v>1673.871279229711</v>
      </c>
      <c r="BE82" s="1433">
        <f t="shared" si="18"/>
        <v>2.137551581843191E-2</v>
      </c>
      <c r="BF82" s="1433">
        <f t="shared" si="19"/>
        <v>5288.5297799174687</v>
      </c>
      <c r="BG82" s="1433">
        <f t="shared" si="20"/>
        <v>1443.9150068775791</v>
      </c>
      <c r="BH82" s="1434">
        <f t="shared" si="21"/>
        <v>514.28170563961487</v>
      </c>
      <c r="BI82" s="1422">
        <v>8152</v>
      </c>
    </row>
    <row r="83" spans="1:61" ht="12.75" customHeight="1" thickBot="1">
      <c r="A83" s="1418" t="s">
        <v>563</v>
      </c>
      <c r="B83" s="1418" t="s">
        <v>564</v>
      </c>
      <c r="C83" s="1419">
        <v>419</v>
      </c>
      <c r="D83" s="1420">
        <v>236.37</v>
      </c>
      <c r="E83" s="1420">
        <v>391.76</v>
      </c>
      <c r="F83" s="1421">
        <v>0.01</v>
      </c>
      <c r="G83" s="1420">
        <v>410.1</v>
      </c>
      <c r="H83" s="1420">
        <v>414.54</v>
      </c>
      <c r="I83" s="1422">
        <v>34590129</v>
      </c>
      <c r="J83" s="1422">
        <v>25</v>
      </c>
      <c r="K83" s="1422">
        <v>25</v>
      </c>
      <c r="L83" s="1422">
        <v>0</v>
      </c>
      <c r="M83" s="1422">
        <v>0</v>
      </c>
      <c r="N83" s="1420">
        <v>15.62</v>
      </c>
      <c r="O83" s="1420">
        <v>40.619999999999997</v>
      </c>
      <c r="P83" s="1438">
        <v>4045000</v>
      </c>
      <c r="Q83" s="1424">
        <v>1269364.1299999999</v>
      </c>
      <c r="R83" s="1425">
        <f t="shared" si="11"/>
        <v>1269364.1299999999</v>
      </c>
      <c r="S83" s="1436">
        <v>12.01</v>
      </c>
      <c r="T83" s="1427">
        <f t="shared" si="12"/>
        <v>12.01</v>
      </c>
      <c r="U83" s="1428">
        <v>1678355</v>
      </c>
      <c r="V83" s="1422">
        <v>45507</v>
      </c>
      <c r="W83" s="1422">
        <v>68306</v>
      </c>
      <c r="X83" s="1422">
        <v>0</v>
      </c>
      <c r="Y83" s="1422">
        <v>0</v>
      </c>
      <c r="Z83" s="1422">
        <v>0</v>
      </c>
      <c r="AA83" s="1422">
        <v>0</v>
      </c>
      <c r="AB83" s="1422">
        <v>11198</v>
      </c>
      <c r="AC83" s="1429">
        <v>0</v>
      </c>
      <c r="AD83" s="1422">
        <v>17145</v>
      </c>
      <c r="AE83" s="1420">
        <v>129973.6</v>
      </c>
      <c r="AF83" s="1422">
        <v>150</v>
      </c>
      <c r="AG83" s="1422">
        <v>15521</v>
      </c>
      <c r="AH83" s="1422">
        <v>879</v>
      </c>
      <c r="AI83" s="1422">
        <v>115568</v>
      </c>
      <c r="AJ83" s="1420">
        <v>1920.2</v>
      </c>
      <c r="AK83" s="1422">
        <v>0</v>
      </c>
      <c r="AL83" s="1420">
        <v>1668.78</v>
      </c>
      <c r="AM83" s="1422">
        <v>0</v>
      </c>
      <c r="AN83" s="1429">
        <v>0</v>
      </c>
      <c r="AO83" s="1422">
        <v>0</v>
      </c>
      <c r="AP83" s="1420">
        <v>729389.26</v>
      </c>
      <c r="AQ83" s="1430">
        <f t="shared" si="13"/>
        <v>2815580.84</v>
      </c>
      <c r="AR83" s="1431">
        <v>640146.59</v>
      </c>
      <c r="AS83" s="1432">
        <v>1148.5</v>
      </c>
      <c r="AT83" s="1422">
        <v>0</v>
      </c>
      <c r="AU83" s="1422">
        <v>0</v>
      </c>
      <c r="AV83" s="1422">
        <v>2195</v>
      </c>
      <c r="AW83" s="1420">
        <v>1394.19</v>
      </c>
      <c r="AX83" s="1422">
        <v>0</v>
      </c>
      <c r="AY83" s="1420">
        <v>4737.6899999999996</v>
      </c>
      <c r="AZ83" s="1420">
        <v>219954.48</v>
      </c>
      <c r="BA83" s="1423">
        <f t="shared" si="14"/>
        <v>228281.36000000002</v>
      </c>
      <c r="BB83" s="1420">
        <f t="shared" si="15"/>
        <v>4953384.93</v>
      </c>
      <c r="BC83" s="1433">
        <f t="shared" si="16"/>
        <v>11821.921073985679</v>
      </c>
      <c r="BD83" s="1433">
        <f t="shared" si="17"/>
        <v>3029.5086634844865</v>
      </c>
      <c r="BE83" s="1433">
        <f t="shared" si="18"/>
        <v>2.8663484486873506E-2</v>
      </c>
      <c r="BF83" s="1433">
        <f t="shared" si="19"/>
        <v>6719.7633412887826</v>
      </c>
      <c r="BG83" s="1433">
        <f t="shared" si="20"/>
        <v>1527.7961575178997</v>
      </c>
      <c r="BH83" s="1434">
        <f t="shared" si="21"/>
        <v>544.82424821002394</v>
      </c>
      <c r="BI83" s="1422">
        <v>9132</v>
      </c>
    </row>
    <row r="84" spans="1:61" ht="12.75" customHeight="1" thickBot="1">
      <c r="A84" s="1418" t="s">
        <v>565</v>
      </c>
      <c r="B84" s="1418" t="s">
        <v>566</v>
      </c>
      <c r="C84" s="1419">
        <v>640</v>
      </c>
      <c r="D84" s="1420">
        <v>31.58</v>
      </c>
      <c r="E84" s="1420">
        <v>600.9</v>
      </c>
      <c r="F84" s="1421">
        <v>-0.08</v>
      </c>
      <c r="G84" s="1420">
        <v>622.15</v>
      </c>
      <c r="H84" s="1420">
        <v>676.04</v>
      </c>
      <c r="I84" s="1422">
        <v>38902378</v>
      </c>
      <c r="J84" s="1422">
        <v>25</v>
      </c>
      <c r="K84" s="1422">
        <v>25</v>
      </c>
      <c r="L84" s="1422">
        <v>0</v>
      </c>
      <c r="M84" s="1422">
        <v>0</v>
      </c>
      <c r="N84" s="1420">
        <v>14.5</v>
      </c>
      <c r="O84" s="1420">
        <v>39.5</v>
      </c>
      <c r="P84" s="1423">
        <v>5522256.8099999996</v>
      </c>
      <c r="Q84" s="1424">
        <v>1364581.32</v>
      </c>
      <c r="R84" s="1425">
        <f t="shared" si="11"/>
        <v>1364581.32</v>
      </c>
      <c r="S84" s="1436">
        <v>72.459999999999994</v>
      </c>
      <c r="T84" s="1427">
        <f t="shared" si="12"/>
        <v>72.459999999999994</v>
      </c>
      <c r="U84" s="1428">
        <v>3127513</v>
      </c>
      <c r="V84" s="1422">
        <v>66139</v>
      </c>
      <c r="W84" s="1422">
        <v>0</v>
      </c>
      <c r="X84" s="1422">
        <v>0</v>
      </c>
      <c r="Y84" s="1422">
        <v>0</v>
      </c>
      <c r="Z84" s="1422">
        <v>0</v>
      </c>
      <c r="AA84" s="1422">
        <v>21238</v>
      </c>
      <c r="AB84" s="1422">
        <v>1147</v>
      </c>
      <c r="AC84" s="1429">
        <v>0</v>
      </c>
      <c r="AD84" s="1422">
        <v>27961</v>
      </c>
      <c r="AE84" s="1420">
        <v>7560.11</v>
      </c>
      <c r="AF84" s="1422">
        <v>982</v>
      </c>
      <c r="AG84" s="1422">
        <v>0</v>
      </c>
      <c r="AH84" s="1422">
        <v>1465</v>
      </c>
      <c r="AI84" s="1422">
        <v>213280</v>
      </c>
      <c r="AJ84" s="1420">
        <v>2769.53</v>
      </c>
      <c r="AK84" s="1420">
        <v>24556.62</v>
      </c>
      <c r="AL84" s="1420">
        <v>2528.11</v>
      </c>
      <c r="AM84" s="1422">
        <v>0</v>
      </c>
      <c r="AN84" s="1429">
        <v>0</v>
      </c>
      <c r="AO84" s="1422">
        <v>0</v>
      </c>
      <c r="AP84" s="1420">
        <v>163063.10999999999</v>
      </c>
      <c r="AQ84" s="1430">
        <f t="shared" si="13"/>
        <v>3660202.4799999995</v>
      </c>
      <c r="AR84" s="1431">
        <v>1037290.44</v>
      </c>
      <c r="AS84" s="1437">
        <v>200900</v>
      </c>
      <c r="AT84" s="1422">
        <v>0</v>
      </c>
      <c r="AU84" s="1422">
        <v>0</v>
      </c>
      <c r="AV84" s="1422">
        <v>0</v>
      </c>
      <c r="AW84" s="1422">
        <v>0</v>
      </c>
      <c r="AX84" s="1420">
        <v>517.07000000000005</v>
      </c>
      <c r="AY84" s="1420">
        <v>201417.07</v>
      </c>
      <c r="AZ84" s="1420">
        <v>304773.58</v>
      </c>
      <c r="BA84" s="1423">
        <f t="shared" si="14"/>
        <v>506707.72000000003</v>
      </c>
      <c r="BB84" s="1420">
        <f t="shared" si="15"/>
        <v>6568854.4199999999</v>
      </c>
      <c r="BC84" s="1433">
        <f t="shared" si="16"/>
        <v>10263.835031250001</v>
      </c>
      <c r="BD84" s="1433">
        <f t="shared" si="17"/>
        <v>2132.1583125000002</v>
      </c>
      <c r="BE84" s="1433">
        <f t="shared" si="18"/>
        <v>0.11321874999999999</v>
      </c>
      <c r="BF84" s="1433">
        <f t="shared" si="19"/>
        <v>5719.0663749999994</v>
      </c>
      <c r="BG84" s="1433">
        <f t="shared" si="20"/>
        <v>1620.7663124999999</v>
      </c>
      <c r="BH84" s="1434">
        <f t="shared" si="21"/>
        <v>791.73081250000007</v>
      </c>
      <c r="BI84" s="1422">
        <v>9115</v>
      </c>
    </row>
    <row r="85" spans="1:61" ht="12.75" customHeight="1" thickBot="1">
      <c r="A85" s="1418" t="s">
        <v>567</v>
      </c>
      <c r="B85" s="1418" t="s">
        <v>395</v>
      </c>
      <c r="C85" s="1419">
        <v>1213</v>
      </c>
      <c r="D85" s="1420">
        <v>185.29</v>
      </c>
      <c r="E85" s="1420">
        <v>1134.43</v>
      </c>
      <c r="F85" s="1421">
        <v>0.08</v>
      </c>
      <c r="G85" s="1420">
        <v>1211.83</v>
      </c>
      <c r="H85" s="1420">
        <v>1219.8499999999999</v>
      </c>
      <c r="I85" s="1422">
        <v>366418778</v>
      </c>
      <c r="J85" s="1420">
        <v>27.05</v>
      </c>
      <c r="K85" s="1422">
        <v>25</v>
      </c>
      <c r="L85" s="1420">
        <v>2.0499999999999998</v>
      </c>
      <c r="M85" s="1422">
        <v>0</v>
      </c>
      <c r="N85" s="1420">
        <v>7.75</v>
      </c>
      <c r="O85" s="1420">
        <v>34.799999999999997</v>
      </c>
      <c r="P85" s="1438">
        <v>13495000</v>
      </c>
      <c r="Q85" s="1424">
        <v>11493587.619999999</v>
      </c>
      <c r="R85" s="1425">
        <f t="shared" si="11"/>
        <v>11493587.619999999</v>
      </c>
      <c r="S85" s="1436">
        <v>129.69999999999999</v>
      </c>
      <c r="T85" s="1427">
        <f t="shared" si="12"/>
        <v>129.69999999999999</v>
      </c>
      <c r="U85" s="1428">
        <v>0</v>
      </c>
      <c r="V85" s="1422">
        <v>0</v>
      </c>
      <c r="W85" s="1422">
        <v>19260</v>
      </c>
      <c r="X85" s="1422">
        <v>0</v>
      </c>
      <c r="Y85" s="1422">
        <v>0</v>
      </c>
      <c r="Z85" s="1422">
        <v>0</v>
      </c>
      <c r="AA85" s="1422">
        <v>0</v>
      </c>
      <c r="AB85" s="1422">
        <v>0</v>
      </c>
      <c r="AC85" s="1429">
        <v>0</v>
      </c>
      <c r="AD85" s="1422">
        <v>50453</v>
      </c>
      <c r="AE85" s="1420">
        <v>4787.8500000000004</v>
      </c>
      <c r="AF85" s="1422">
        <v>300</v>
      </c>
      <c r="AG85" s="1422">
        <v>76831</v>
      </c>
      <c r="AH85" s="1422">
        <v>11134</v>
      </c>
      <c r="AI85" s="1420">
        <v>287555.71000000002</v>
      </c>
      <c r="AJ85" s="1420">
        <v>79317.240000000005</v>
      </c>
      <c r="AK85" s="1420">
        <v>29791.759999999998</v>
      </c>
      <c r="AL85" s="1420">
        <v>3658.57</v>
      </c>
      <c r="AM85" s="1422">
        <v>0</v>
      </c>
      <c r="AN85" s="1429">
        <v>0</v>
      </c>
      <c r="AO85" s="1422">
        <v>0</v>
      </c>
      <c r="AP85" s="1422">
        <v>0</v>
      </c>
      <c r="AQ85" s="1430">
        <f t="shared" si="13"/>
        <v>563089.13</v>
      </c>
      <c r="AR85" s="1431">
        <v>2634924.02</v>
      </c>
      <c r="AS85" s="1432">
        <v>1765921.81</v>
      </c>
      <c r="AT85" s="1422">
        <v>0</v>
      </c>
      <c r="AU85" s="1422">
        <v>0</v>
      </c>
      <c r="AV85" s="1422">
        <v>0</v>
      </c>
      <c r="AW85" s="1422">
        <v>0</v>
      </c>
      <c r="AX85" s="1422">
        <v>0</v>
      </c>
      <c r="AY85" s="1420">
        <v>1765921.81</v>
      </c>
      <c r="AZ85" s="1420">
        <v>478940.21</v>
      </c>
      <c r="BA85" s="1423">
        <f t="shared" si="14"/>
        <v>2244862.02</v>
      </c>
      <c r="BB85" s="1420">
        <f t="shared" si="15"/>
        <v>16936592.489999998</v>
      </c>
      <c r="BC85" s="1433">
        <f t="shared" si="16"/>
        <v>13962.565943940641</v>
      </c>
      <c r="BD85" s="1433">
        <f t="shared" si="17"/>
        <v>9475.3401648804611</v>
      </c>
      <c r="BE85" s="1433">
        <f t="shared" si="18"/>
        <v>0.10692497938994228</v>
      </c>
      <c r="BF85" s="1433">
        <f t="shared" si="19"/>
        <v>464.21197856553999</v>
      </c>
      <c r="BG85" s="1433">
        <f t="shared" si="20"/>
        <v>2172.2374443528442</v>
      </c>
      <c r="BH85" s="1434">
        <f t="shared" si="21"/>
        <v>1850.6694311624074</v>
      </c>
      <c r="BI85" s="1422">
        <v>10919</v>
      </c>
    </row>
    <row r="86" spans="1:61" ht="12.75" customHeight="1" thickBot="1">
      <c r="A86" s="1418" t="s">
        <v>396</v>
      </c>
      <c r="B86" s="1418" t="s">
        <v>397</v>
      </c>
      <c r="C86" s="1419">
        <v>3658</v>
      </c>
      <c r="D86" s="1420">
        <v>34.92</v>
      </c>
      <c r="E86" s="1420">
        <v>3437.6</v>
      </c>
      <c r="F86" s="1421">
        <v>0</v>
      </c>
      <c r="G86" s="1420">
        <v>3632.89</v>
      </c>
      <c r="H86" s="1420">
        <v>3535.57</v>
      </c>
      <c r="I86" s="1422">
        <v>538380820</v>
      </c>
      <c r="J86" s="1422">
        <v>25</v>
      </c>
      <c r="K86" s="1422">
        <v>25</v>
      </c>
      <c r="L86" s="1422">
        <v>0</v>
      </c>
      <c r="M86" s="1420">
        <v>1.9</v>
      </c>
      <c r="N86" s="1420">
        <v>10.8</v>
      </c>
      <c r="O86" s="1420">
        <v>37.700000000000003</v>
      </c>
      <c r="P86" s="1438">
        <v>23360000</v>
      </c>
      <c r="Q86" s="1424">
        <v>18670572.989999998</v>
      </c>
      <c r="R86" s="1425">
        <f t="shared" si="11"/>
        <v>18670572.989999998</v>
      </c>
      <c r="S86" s="1436">
        <v>495.41</v>
      </c>
      <c r="T86" s="1427">
        <f t="shared" si="12"/>
        <v>495.41</v>
      </c>
      <c r="U86" s="1428">
        <v>8866636</v>
      </c>
      <c r="V86" s="1422">
        <v>392763</v>
      </c>
      <c r="W86" s="1422">
        <v>589908</v>
      </c>
      <c r="X86" s="1422">
        <v>0</v>
      </c>
      <c r="Y86" s="1422">
        <v>0</v>
      </c>
      <c r="Z86" s="1422">
        <v>0</v>
      </c>
      <c r="AA86" s="1422">
        <v>0</v>
      </c>
      <c r="AB86" s="1422">
        <v>0</v>
      </c>
      <c r="AC86" s="1429">
        <v>0</v>
      </c>
      <c r="AD86" s="1422">
        <v>146231</v>
      </c>
      <c r="AE86" s="1420">
        <v>56808.83</v>
      </c>
      <c r="AF86" s="1422">
        <v>2262</v>
      </c>
      <c r="AG86" s="1422">
        <v>697211</v>
      </c>
      <c r="AH86" s="1422">
        <v>79989</v>
      </c>
      <c r="AI86" s="1422">
        <v>2760736</v>
      </c>
      <c r="AJ86" s="1420">
        <v>278444.93</v>
      </c>
      <c r="AK86" s="1420">
        <v>142463.57</v>
      </c>
      <c r="AL86" s="1420">
        <v>14062.16</v>
      </c>
      <c r="AM86" s="1422">
        <v>0</v>
      </c>
      <c r="AN86" s="1429">
        <v>290890</v>
      </c>
      <c r="AO86" s="1422">
        <v>0</v>
      </c>
      <c r="AP86" s="1420">
        <v>61782.8</v>
      </c>
      <c r="AQ86" s="1430">
        <f t="shared" si="13"/>
        <v>14089298.290000001</v>
      </c>
      <c r="AR86" s="1431">
        <v>11783703.73</v>
      </c>
      <c r="AS86" s="1437">
        <v>0</v>
      </c>
      <c r="AT86" s="1422">
        <v>0</v>
      </c>
      <c r="AU86" s="1422">
        <v>0</v>
      </c>
      <c r="AV86" s="1422">
        <v>0</v>
      </c>
      <c r="AW86" s="1420">
        <v>232940.16</v>
      </c>
      <c r="AX86" s="1422">
        <v>0</v>
      </c>
      <c r="AY86" s="1420">
        <v>232940.16</v>
      </c>
      <c r="AZ86" s="1420">
        <v>2239994.48</v>
      </c>
      <c r="BA86" s="1423">
        <f t="shared" si="14"/>
        <v>2705874.8</v>
      </c>
      <c r="BB86" s="1420">
        <f t="shared" si="15"/>
        <v>47249945.219999999</v>
      </c>
      <c r="BC86" s="1433">
        <f t="shared" si="16"/>
        <v>12916.879502460361</v>
      </c>
      <c r="BD86" s="1433">
        <f t="shared" si="17"/>
        <v>5104.0385429196276</v>
      </c>
      <c r="BE86" s="1433">
        <f t="shared" si="18"/>
        <v>0.13543193001640241</v>
      </c>
      <c r="BF86" s="1433">
        <f t="shared" si="19"/>
        <v>3851.6397731000548</v>
      </c>
      <c r="BG86" s="1433">
        <f t="shared" si="20"/>
        <v>3221.3514844177148</v>
      </c>
      <c r="BH86" s="1434">
        <f t="shared" si="21"/>
        <v>739.71427009294689</v>
      </c>
      <c r="BI86" s="1422">
        <v>12838</v>
      </c>
    </row>
    <row r="87" spans="1:61" ht="12.75" customHeight="1" thickBot="1">
      <c r="A87" s="1418" t="s">
        <v>398</v>
      </c>
      <c r="B87" s="1418" t="s">
        <v>399</v>
      </c>
      <c r="C87" s="1419">
        <v>890</v>
      </c>
      <c r="D87" s="1420">
        <v>201.53</v>
      </c>
      <c r="E87" s="1420">
        <v>861.25</v>
      </c>
      <c r="F87" s="1421">
        <v>0.05</v>
      </c>
      <c r="G87" s="1420">
        <v>884.11</v>
      </c>
      <c r="H87" s="1420">
        <v>917.97</v>
      </c>
      <c r="I87" s="1422">
        <v>127860947</v>
      </c>
      <c r="J87" s="1420">
        <v>29.7</v>
      </c>
      <c r="K87" s="1422">
        <v>25</v>
      </c>
      <c r="L87" s="1420">
        <v>4.7</v>
      </c>
      <c r="M87" s="1422">
        <v>0</v>
      </c>
      <c r="N87" s="1422">
        <v>9</v>
      </c>
      <c r="O87" s="1420">
        <v>38.700000000000003</v>
      </c>
      <c r="P87" s="1423">
        <v>15189328.119999999</v>
      </c>
      <c r="Q87" s="1424">
        <v>4326652.47</v>
      </c>
      <c r="R87" s="1425">
        <f t="shared" si="11"/>
        <v>4326652.47</v>
      </c>
      <c r="S87" s="1436">
        <v>95.08</v>
      </c>
      <c r="T87" s="1427">
        <f t="shared" si="12"/>
        <v>95.08</v>
      </c>
      <c r="U87" s="1428">
        <v>2330330</v>
      </c>
      <c r="V87" s="1422">
        <v>107590</v>
      </c>
      <c r="W87" s="1422">
        <v>0</v>
      </c>
      <c r="X87" s="1422">
        <v>0</v>
      </c>
      <c r="Y87" s="1422">
        <v>0</v>
      </c>
      <c r="Z87" s="1422">
        <v>0</v>
      </c>
      <c r="AA87" s="1422">
        <v>0</v>
      </c>
      <c r="AB87" s="1422">
        <v>0</v>
      </c>
      <c r="AC87" s="1429">
        <v>0</v>
      </c>
      <c r="AD87" s="1422">
        <v>37967</v>
      </c>
      <c r="AE87" s="1420">
        <v>4459.17</v>
      </c>
      <c r="AF87" s="1422">
        <v>400</v>
      </c>
      <c r="AG87" s="1422">
        <v>70737</v>
      </c>
      <c r="AH87" s="1422">
        <v>0</v>
      </c>
      <c r="AI87" s="1422">
        <v>276272</v>
      </c>
      <c r="AJ87" s="1420">
        <v>3760.59</v>
      </c>
      <c r="AK87" s="1420">
        <v>21125.32</v>
      </c>
      <c r="AL87" s="1420">
        <v>3248.15</v>
      </c>
      <c r="AM87" s="1422">
        <v>0</v>
      </c>
      <c r="AN87" s="1429">
        <v>0</v>
      </c>
      <c r="AO87" s="1422">
        <v>0</v>
      </c>
      <c r="AP87" s="1422">
        <v>0</v>
      </c>
      <c r="AQ87" s="1430">
        <f t="shared" si="13"/>
        <v>2855889.2299999995</v>
      </c>
      <c r="AR87" s="1431">
        <v>1614760.71</v>
      </c>
      <c r="AS87" s="1437">
        <v>5096000</v>
      </c>
      <c r="AT87" s="1422">
        <v>0</v>
      </c>
      <c r="AU87" s="1422">
        <v>0</v>
      </c>
      <c r="AV87" s="1422">
        <v>0</v>
      </c>
      <c r="AW87" s="1420">
        <v>15385.96</v>
      </c>
      <c r="AX87" s="1422">
        <v>0</v>
      </c>
      <c r="AY87" s="1420">
        <v>5111385.96</v>
      </c>
      <c r="AZ87" s="1420">
        <v>428575.75</v>
      </c>
      <c r="BA87" s="1423">
        <f t="shared" si="14"/>
        <v>5555347.6699999999</v>
      </c>
      <c r="BB87" s="1420">
        <f t="shared" si="15"/>
        <v>14352745.16</v>
      </c>
      <c r="BC87" s="1433">
        <f t="shared" si="16"/>
        <v>16126.679955056179</v>
      </c>
      <c r="BD87" s="1433">
        <f t="shared" si="17"/>
        <v>4861.407269662921</v>
      </c>
      <c r="BE87" s="1433">
        <f t="shared" si="18"/>
        <v>0.1068314606741573</v>
      </c>
      <c r="BF87" s="1433">
        <f t="shared" si="19"/>
        <v>3208.8643033707858</v>
      </c>
      <c r="BG87" s="1433">
        <f t="shared" si="20"/>
        <v>1814.3378764044944</v>
      </c>
      <c r="BH87" s="1434">
        <f t="shared" si="21"/>
        <v>6241.9636741573031</v>
      </c>
      <c r="BI87" s="1422">
        <v>9049</v>
      </c>
    </row>
    <row r="88" spans="1:61" ht="12.75" customHeight="1" thickBot="1">
      <c r="A88" s="1418" t="s">
        <v>400</v>
      </c>
      <c r="B88" s="1418" t="s">
        <v>401</v>
      </c>
      <c r="C88" s="1419">
        <v>4128</v>
      </c>
      <c r="D88" s="1420">
        <v>168.3</v>
      </c>
      <c r="E88" s="1420">
        <v>3906.09</v>
      </c>
      <c r="F88" s="1421">
        <v>0.08</v>
      </c>
      <c r="G88" s="1420">
        <v>4136.92</v>
      </c>
      <c r="H88" s="1420">
        <v>3980.24</v>
      </c>
      <c r="I88" s="1422">
        <v>356300954</v>
      </c>
      <c r="J88" s="1422">
        <v>25</v>
      </c>
      <c r="K88" s="1422">
        <v>25</v>
      </c>
      <c r="L88" s="1422">
        <v>0</v>
      </c>
      <c r="M88" s="1422">
        <v>0</v>
      </c>
      <c r="N88" s="1420">
        <v>11.7</v>
      </c>
      <c r="O88" s="1420">
        <v>36.700000000000003</v>
      </c>
      <c r="P88" s="1438">
        <v>28990000</v>
      </c>
      <c r="Q88" s="1424">
        <v>11182421.98</v>
      </c>
      <c r="R88" s="1425">
        <f t="shared" si="11"/>
        <v>11182421.98</v>
      </c>
      <c r="S88" s="1436">
        <v>422.53</v>
      </c>
      <c r="T88" s="1427">
        <f t="shared" si="12"/>
        <v>422.53</v>
      </c>
      <c r="U88" s="1428">
        <v>15549190</v>
      </c>
      <c r="V88" s="1422">
        <v>336325</v>
      </c>
      <c r="W88" s="1422">
        <v>1100471</v>
      </c>
      <c r="X88" s="1422">
        <v>0</v>
      </c>
      <c r="Y88" s="1422">
        <v>0</v>
      </c>
      <c r="Z88" s="1422">
        <v>0</v>
      </c>
      <c r="AA88" s="1422">
        <v>0</v>
      </c>
      <c r="AB88" s="1422">
        <v>0</v>
      </c>
      <c r="AC88" s="1429">
        <v>0</v>
      </c>
      <c r="AD88" s="1422">
        <v>164623</v>
      </c>
      <c r="AE88" s="1420">
        <v>2808.29</v>
      </c>
      <c r="AF88" s="1422">
        <v>6750</v>
      </c>
      <c r="AG88" s="1422">
        <v>0</v>
      </c>
      <c r="AH88" s="1422">
        <v>60944</v>
      </c>
      <c r="AI88" s="1422">
        <v>1046560</v>
      </c>
      <c r="AJ88" s="1420">
        <v>24448.63</v>
      </c>
      <c r="AK88" s="1420">
        <v>133557.20000000001</v>
      </c>
      <c r="AL88" s="1420">
        <v>14829.38</v>
      </c>
      <c r="AM88" s="1422">
        <v>0</v>
      </c>
      <c r="AN88" s="1429">
        <v>0</v>
      </c>
      <c r="AO88" s="1422">
        <v>0</v>
      </c>
      <c r="AP88" s="1420">
        <v>581147.03</v>
      </c>
      <c r="AQ88" s="1430">
        <f t="shared" si="13"/>
        <v>19021653.529999997</v>
      </c>
      <c r="AR88" s="1431">
        <v>4938837.16</v>
      </c>
      <c r="AS88" s="1437">
        <v>1151500</v>
      </c>
      <c r="AT88" s="1422">
        <v>0</v>
      </c>
      <c r="AU88" s="1422">
        <v>0</v>
      </c>
      <c r="AV88" s="1422">
        <v>0</v>
      </c>
      <c r="AW88" s="1420">
        <v>42165.19</v>
      </c>
      <c r="AX88" s="1422">
        <v>0</v>
      </c>
      <c r="AY88" s="1420">
        <v>1193665.19</v>
      </c>
      <c r="AZ88" s="1420">
        <v>1996156.84</v>
      </c>
      <c r="BA88" s="1423">
        <f t="shared" si="14"/>
        <v>3231987.2199999997</v>
      </c>
      <c r="BB88" s="1420">
        <f t="shared" si="15"/>
        <v>38375322.420000002</v>
      </c>
      <c r="BC88" s="1433">
        <f t="shared" si="16"/>
        <v>9296.3474854651158</v>
      </c>
      <c r="BD88" s="1433">
        <f t="shared" si="17"/>
        <v>2708.9200532945738</v>
      </c>
      <c r="BE88" s="1433">
        <f t="shared" si="18"/>
        <v>0.10235707364341085</v>
      </c>
      <c r="BF88" s="1433">
        <f t="shared" si="19"/>
        <v>4607.9587039728676</v>
      </c>
      <c r="BG88" s="1433">
        <f t="shared" si="20"/>
        <v>1196.4237306201551</v>
      </c>
      <c r="BH88" s="1434">
        <f t="shared" si="21"/>
        <v>782.94264050387585</v>
      </c>
      <c r="BI88" s="1422">
        <v>8108</v>
      </c>
    </row>
    <row r="89" spans="1:61" ht="12.75" customHeight="1" thickBot="1">
      <c r="A89" s="1418" t="s">
        <v>402</v>
      </c>
      <c r="B89" s="1418" t="s">
        <v>403</v>
      </c>
      <c r="C89" s="1419">
        <v>3037</v>
      </c>
      <c r="D89" s="1420">
        <v>62.23</v>
      </c>
      <c r="E89" s="1420">
        <v>2839.73</v>
      </c>
      <c r="F89" s="1421">
        <v>0.13</v>
      </c>
      <c r="G89" s="1420">
        <v>2996.76</v>
      </c>
      <c r="H89" s="1420">
        <v>3004.79</v>
      </c>
      <c r="I89" s="1422">
        <v>389554640</v>
      </c>
      <c r="J89" s="1422">
        <v>25</v>
      </c>
      <c r="K89" s="1422">
        <v>25</v>
      </c>
      <c r="L89" s="1422">
        <v>0</v>
      </c>
      <c r="M89" s="1422">
        <v>0</v>
      </c>
      <c r="N89" s="1420">
        <v>12.7</v>
      </c>
      <c r="O89" s="1420">
        <v>37.700000000000003</v>
      </c>
      <c r="P89" s="1438">
        <v>26040000</v>
      </c>
      <c r="Q89" s="1424">
        <v>13020745.41</v>
      </c>
      <c r="R89" s="1425">
        <f t="shared" si="11"/>
        <v>13020745.41</v>
      </c>
      <c r="S89" s="1436">
        <v>314.54000000000002</v>
      </c>
      <c r="T89" s="1427">
        <f t="shared" si="12"/>
        <v>314.54000000000002</v>
      </c>
      <c r="U89" s="1428">
        <v>8935168</v>
      </c>
      <c r="V89" s="1422">
        <v>284494</v>
      </c>
      <c r="W89" s="1422">
        <v>89426</v>
      </c>
      <c r="X89" s="1422">
        <v>0</v>
      </c>
      <c r="Y89" s="1422">
        <v>0</v>
      </c>
      <c r="Z89" s="1422">
        <v>0</v>
      </c>
      <c r="AA89" s="1422">
        <v>0</v>
      </c>
      <c r="AB89" s="1422">
        <v>0</v>
      </c>
      <c r="AC89" s="1429">
        <v>0</v>
      </c>
      <c r="AD89" s="1422">
        <v>124278</v>
      </c>
      <c r="AE89" s="1420">
        <v>1941.04</v>
      </c>
      <c r="AF89" s="1422">
        <v>2000</v>
      </c>
      <c r="AG89" s="1422">
        <v>140783</v>
      </c>
      <c r="AH89" s="1422">
        <v>31644</v>
      </c>
      <c r="AI89" s="1422">
        <v>582529</v>
      </c>
      <c r="AJ89" s="1422">
        <v>12654</v>
      </c>
      <c r="AK89" s="1420">
        <v>211412.43</v>
      </c>
      <c r="AL89" s="1420">
        <v>8148.72</v>
      </c>
      <c r="AM89" s="1422">
        <v>0</v>
      </c>
      <c r="AN89" s="1429">
        <v>310846</v>
      </c>
      <c r="AO89" s="1422">
        <v>0</v>
      </c>
      <c r="AP89" s="1422">
        <v>17370</v>
      </c>
      <c r="AQ89" s="1430">
        <f t="shared" si="13"/>
        <v>10441848.189999999</v>
      </c>
      <c r="AR89" s="1431">
        <v>3007554.73</v>
      </c>
      <c r="AS89" s="1432">
        <v>11532287.6</v>
      </c>
      <c r="AT89" s="1422">
        <v>0</v>
      </c>
      <c r="AU89" s="1422">
        <v>0</v>
      </c>
      <c r="AV89" s="1422">
        <v>0</v>
      </c>
      <c r="AW89" s="1422">
        <v>0</v>
      </c>
      <c r="AX89" s="1422">
        <v>0</v>
      </c>
      <c r="AY89" s="1420">
        <v>11532287.6</v>
      </c>
      <c r="AZ89" s="1420">
        <v>1428293.34</v>
      </c>
      <c r="BA89" s="1423">
        <f t="shared" si="14"/>
        <v>12960580.939999999</v>
      </c>
      <c r="BB89" s="1420">
        <f t="shared" si="15"/>
        <v>39431043.810000002</v>
      </c>
      <c r="BC89" s="1433">
        <f t="shared" si="16"/>
        <v>12983.55081000988</v>
      </c>
      <c r="BD89" s="1433">
        <f t="shared" si="17"/>
        <v>4287.3708956206783</v>
      </c>
      <c r="BE89" s="1433">
        <f t="shared" si="18"/>
        <v>0.10356931182087586</v>
      </c>
      <c r="BF89" s="1433">
        <f t="shared" si="19"/>
        <v>3438.2114553836022</v>
      </c>
      <c r="BG89" s="1433">
        <f t="shared" si="20"/>
        <v>990.30448798156078</v>
      </c>
      <c r="BH89" s="1434">
        <f t="shared" si="21"/>
        <v>4267.5604017122159</v>
      </c>
      <c r="BI89" s="1422">
        <v>8453</v>
      </c>
    </row>
    <row r="90" spans="1:61" ht="12.75" customHeight="1" thickBot="1">
      <c r="A90" s="1418" t="s">
        <v>404</v>
      </c>
      <c r="B90" s="1418" t="s">
        <v>405</v>
      </c>
      <c r="C90" s="1419">
        <v>603</v>
      </c>
      <c r="D90" s="1420">
        <v>103.76</v>
      </c>
      <c r="E90" s="1420">
        <v>558.53</v>
      </c>
      <c r="F90" s="1421">
        <v>-0.05</v>
      </c>
      <c r="G90" s="1420">
        <v>596.76</v>
      </c>
      <c r="H90" s="1420">
        <v>609.1</v>
      </c>
      <c r="I90" s="1422">
        <v>47456537</v>
      </c>
      <c r="J90" s="1422">
        <v>25</v>
      </c>
      <c r="K90" s="1422">
        <v>25</v>
      </c>
      <c r="L90" s="1422">
        <v>0</v>
      </c>
      <c r="M90" s="1422">
        <v>0</v>
      </c>
      <c r="N90" s="1420">
        <v>12.9</v>
      </c>
      <c r="O90" s="1420">
        <v>37.9</v>
      </c>
      <c r="P90" s="1423">
        <v>3997316.33</v>
      </c>
      <c r="Q90" s="1424">
        <v>1606148.08</v>
      </c>
      <c r="R90" s="1425">
        <f t="shared" si="11"/>
        <v>1606148.08</v>
      </c>
      <c r="S90" s="1436">
        <v>64.08</v>
      </c>
      <c r="T90" s="1427">
        <f t="shared" si="12"/>
        <v>64.08</v>
      </c>
      <c r="U90" s="1428">
        <v>2549717</v>
      </c>
      <c r="V90" s="1422">
        <v>37323</v>
      </c>
      <c r="W90" s="1422">
        <v>23206</v>
      </c>
      <c r="X90" s="1422">
        <v>0</v>
      </c>
      <c r="Y90" s="1422">
        <v>0</v>
      </c>
      <c r="Z90" s="1422">
        <v>0</v>
      </c>
      <c r="AA90" s="1422">
        <v>0</v>
      </c>
      <c r="AB90" s="1422">
        <v>0</v>
      </c>
      <c r="AC90" s="1429">
        <v>0</v>
      </c>
      <c r="AD90" s="1422">
        <v>25192</v>
      </c>
      <c r="AE90" s="1420">
        <v>1384.16</v>
      </c>
      <c r="AF90" s="1422">
        <v>0</v>
      </c>
      <c r="AG90" s="1422">
        <v>0</v>
      </c>
      <c r="AH90" s="1422">
        <v>0</v>
      </c>
      <c r="AI90" s="1422">
        <v>466240</v>
      </c>
      <c r="AJ90" s="1420">
        <v>2495.27</v>
      </c>
      <c r="AK90" s="1420">
        <v>18958.560000000001</v>
      </c>
      <c r="AL90" s="1420">
        <v>2354.4499999999998</v>
      </c>
      <c r="AM90" s="1422">
        <v>0</v>
      </c>
      <c r="AN90" s="1429">
        <v>0</v>
      </c>
      <c r="AO90" s="1422">
        <v>0</v>
      </c>
      <c r="AP90" s="1420">
        <v>73415.08</v>
      </c>
      <c r="AQ90" s="1430">
        <f t="shared" si="13"/>
        <v>3200285.5200000005</v>
      </c>
      <c r="AR90" s="1431">
        <v>988414.95</v>
      </c>
      <c r="AS90" s="1437">
        <v>14800</v>
      </c>
      <c r="AT90" s="1422">
        <v>0</v>
      </c>
      <c r="AU90" s="1422">
        <v>0</v>
      </c>
      <c r="AV90" s="1422">
        <v>0</v>
      </c>
      <c r="AW90" s="1422">
        <v>25500</v>
      </c>
      <c r="AX90" s="1422">
        <v>0</v>
      </c>
      <c r="AY90" s="1422">
        <v>40300</v>
      </c>
      <c r="AZ90" s="1420">
        <v>183198.09</v>
      </c>
      <c r="BA90" s="1423">
        <f t="shared" si="14"/>
        <v>248998.09</v>
      </c>
      <c r="BB90" s="1420">
        <f t="shared" si="15"/>
        <v>6043910.7200000007</v>
      </c>
      <c r="BC90" s="1433">
        <f t="shared" si="16"/>
        <v>10023.069187396353</v>
      </c>
      <c r="BD90" s="1433">
        <f t="shared" si="17"/>
        <v>2663.5954892205641</v>
      </c>
      <c r="BE90" s="1433">
        <f t="shared" si="18"/>
        <v>0.10626865671641791</v>
      </c>
      <c r="BF90" s="1433">
        <f t="shared" si="19"/>
        <v>5307.272835820896</v>
      </c>
      <c r="BG90" s="1433">
        <f t="shared" si="20"/>
        <v>1639.1624378109452</v>
      </c>
      <c r="BH90" s="1434">
        <f t="shared" si="21"/>
        <v>412.93215588723052</v>
      </c>
      <c r="BI90" s="1422">
        <v>9199</v>
      </c>
    </row>
    <row r="91" spans="1:61" ht="12.75" customHeight="1" thickBot="1">
      <c r="A91" s="1418" t="s">
        <v>406</v>
      </c>
      <c r="B91" s="1418" t="s">
        <v>407</v>
      </c>
      <c r="C91" s="1419">
        <v>532</v>
      </c>
      <c r="D91" s="1420">
        <v>56.32</v>
      </c>
      <c r="E91" s="1420">
        <v>503.82</v>
      </c>
      <c r="F91" s="1421">
        <v>0</v>
      </c>
      <c r="G91" s="1420">
        <v>531.66999999999996</v>
      </c>
      <c r="H91" s="1420">
        <v>538.45000000000005</v>
      </c>
      <c r="I91" s="1422">
        <v>11391000</v>
      </c>
      <c r="J91" s="1422">
        <v>25</v>
      </c>
      <c r="K91" s="1422">
        <v>25</v>
      </c>
      <c r="L91" s="1422">
        <v>0</v>
      </c>
      <c r="M91" s="1422">
        <v>0</v>
      </c>
      <c r="N91" s="1420">
        <v>21.7</v>
      </c>
      <c r="O91" s="1420">
        <v>46.7</v>
      </c>
      <c r="P91" s="1438">
        <v>2758320</v>
      </c>
      <c r="Q91" s="1424">
        <v>490116.19</v>
      </c>
      <c r="R91" s="1425">
        <f t="shared" si="11"/>
        <v>490116.19</v>
      </c>
      <c r="S91" s="1436">
        <v>40.25</v>
      </c>
      <c r="T91" s="1427">
        <f t="shared" si="12"/>
        <v>40.25</v>
      </c>
      <c r="U91" s="1428">
        <v>2971805</v>
      </c>
      <c r="V91" s="1422">
        <v>5508</v>
      </c>
      <c r="W91" s="1422">
        <v>0</v>
      </c>
      <c r="X91" s="1422">
        <v>77125</v>
      </c>
      <c r="Y91" s="1422">
        <v>0</v>
      </c>
      <c r="Z91" s="1422">
        <v>0</v>
      </c>
      <c r="AA91" s="1422">
        <v>0</v>
      </c>
      <c r="AB91" s="1422">
        <v>0</v>
      </c>
      <c r="AC91" s="1429">
        <v>0</v>
      </c>
      <c r="AD91" s="1422">
        <v>22270</v>
      </c>
      <c r="AE91" s="1422">
        <v>1600</v>
      </c>
      <c r="AF91" s="1422">
        <v>1000</v>
      </c>
      <c r="AG91" s="1422">
        <v>2560</v>
      </c>
      <c r="AH91" s="1422">
        <v>0</v>
      </c>
      <c r="AI91" s="1422">
        <v>160704</v>
      </c>
      <c r="AJ91" s="1420">
        <v>2205.84</v>
      </c>
      <c r="AK91" s="1420">
        <v>22984.74</v>
      </c>
      <c r="AL91" s="1420">
        <v>1873.3</v>
      </c>
      <c r="AM91" s="1422">
        <v>0</v>
      </c>
      <c r="AN91" s="1429">
        <v>0</v>
      </c>
      <c r="AO91" s="1422">
        <v>0</v>
      </c>
      <c r="AP91" s="1420">
        <v>173617.96</v>
      </c>
      <c r="AQ91" s="1430">
        <f t="shared" si="13"/>
        <v>3443253.84</v>
      </c>
      <c r="AR91" s="1431">
        <v>447874.96</v>
      </c>
      <c r="AS91" s="1432">
        <v>7076.35</v>
      </c>
      <c r="AT91" s="1422">
        <v>0</v>
      </c>
      <c r="AU91" s="1422">
        <v>0</v>
      </c>
      <c r="AV91" s="1422">
        <v>0</v>
      </c>
      <c r="AW91" s="1422">
        <v>0</v>
      </c>
      <c r="AX91" s="1422">
        <v>0</v>
      </c>
      <c r="AY91" s="1420">
        <v>7076.35</v>
      </c>
      <c r="AZ91" s="1420">
        <v>387071.37</v>
      </c>
      <c r="BA91" s="1423">
        <f t="shared" si="14"/>
        <v>394147.72</v>
      </c>
      <c r="BB91" s="1420">
        <f t="shared" si="15"/>
        <v>4775432.96</v>
      </c>
      <c r="BC91" s="1433">
        <f t="shared" si="16"/>
        <v>8976.3777443609015</v>
      </c>
      <c r="BD91" s="1433">
        <f t="shared" si="17"/>
        <v>921.27103383458643</v>
      </c>
      <c r="BE91" s="1433">
        <f t="shared" si="18"/>
        <v>7.5657894736842105E-2</v>
      </c>
      <c r="BF91" s="1433">
        <f t="shared" si="19"/>
        <v>6472.2816541353377</v>
      </c>
      <c r="BG91" s="1433">
        <f t="shared" si="20"/>
        <v>841.8702255639098</v>
      </c>
      <c r="BH91" s="1434">
        <f t="shared" si="21"/>
        <v>740.87917293233079</v>
      </c>
      <c r="BI91" s="1422">
        <v>8030</v>
      </c>
    </row>
    <row r="92" spans="1:61" ht="12.75" customHeight="1" thickBot="1">
      <c r="A92" s="1418" t="s">
        <v>408</v>
      </c>
      <c r="B92" s="1418" t="s">
        <v>409</v>
      </c>
      <c r="C92" s="1419">
        <v>4173</v>
      </c>
      <c r="D92" s="1420">
        <v>626.1</v>
      </c>
      <c r="E92" s="1420">
        <v>3900.16</v>
      </c>
      <c r="F92" s="1421">
        <v>-0.04</v>
      </c>
      <c r="G92" s="1420">
        <v>4134.9399999999996</v>
      </c>
      <c r="H92" s="1420">
        <v>4106.34</v>
      </c>
      <c r="I92" s="1422">
        <v>266192603</v>
      </c>
      <c r="J92" s="1422">
        <v>25</v>
      </c>
      <c r="K92" s="1422">
        <v>25</v>
      </c>
      <c r="L92" s="1422">
        <v>0</v>
      </c>
      <c r="M92" s="1422">
        <v>0</v>
      </c>
      <c r="N92" s="1420">
        <v>7.2</v>
      </c>
      <c r="O92" s="1420">
        <v>32.200000000000003</v>
      </c>
      <c r="P92" s="1423">
        <v>21873670.91</v>
      </c>
      <c r="Q92" s="1424">
        <v>8449159.1899999995</v>
      </c>
      <c r="R92" s="1425">
        <f t="shared" si="11"/>
        <v>8449159.1899999995</v>
      </c>
      <c r="S92" s="1426">
        <v>0</v>
      </c>
      <c r="T92" s="1427">
        <f t="shared" si="12"/>
        <v>0</v>
      </c>
      <c r="U92" s="1428">
        <v>18453726</v>
      </c>
      <c r="V92" s="1422">
        <v>179037</v>
      </c>
      <c r="W92" s="1422">
        <v>177754</v>
      </c>
      <c r="X92" s="1422">
        <v>0</v>
      </c>
      <c r="Y92" s="1422">
        <v>0</v>
      </c>
      <c r="Z92" s="1422">
        <v>0</v>
      </c>
      <c r="AA92" s="1422">
        <v>1626</v>
      </c>
      <c r="AB92" s="1422">
        <v>0</v>
      </c>
      <c r="AC92" s="1429">
        <v>0</v>
      </c>
      <c r="AD92" s="1422">
        <v>169838</v>
      </c>
      <c r="AE92" s="1420">
        <v>16138.92</v>
      </c>
      <c r="AF92" s="1420">
        <v>5094.12</v>
      </c>
      <c r="AG92" s="1422">
        <v>219118</v>
      </c>
      <c r="AH92" s="1422">
        <v>29593</v>
      </c>
      <c r="AI92" s="1422">
        <v>891808</v>
      </c>
      <c r="AJ92" s="1420">
        <v>35450.050000000003</v>
      </c>
      <c r="AK92" s="1420">
        <v>33122.720000000001</v>
      </c>
      <c r="AL92" s="1420">
        <v>14268.48</v>
      </c>
      <c r="AM92" s="1422">
        <v>0</v>
      </c>
      <c r="AN92" s="1429">
        <v>389600</v>
      </c>
      <c r="AO92" s="1422">
        <v>0</v>
      </c>
      <c r="AP92" s="1420">
        <v>2054680.71</v>
      </c>
      <c r="AQ92" s="1430">
        <f t="shared" si="13"/>
        <v>22281255.000000004</v>
      </c>
      <c r="AR92" s="1431">
        <v>5133555.54</v>
      </c>
      <c r="AS92" s="1437">
        <v>5000000</v>
      </c>
      <c r="AT92" s="1422">
        <v>0</v>
      </c>
      <c r="AU92" s="1420">
        <v>18898.509999999998</v>
      </c>
      <c r="AV92" s="1422">
        <v>0</v>
      </c>
      <c r="AW92" s="1420">
        <v>16583.75</v>
      </c>
      <c r="AX92" s="1422">
        <v>0</v>
      </c>
      <c r="AY92" s="1420">
        <v>5035482.26</v>
      </c>
      <c r="AZ92" s="1420">
        <v>1524798.86</v>
      </c>
      <c r="BA92" s="1423">
        <f t="shared" si="14"/>
        <v>6595763.3799999999</v>
      </c>
      <c r="BB92" s="1420">
        <f t="shared" si="15"/>
        <v>42459733.109999999</v>
      </c>
      <c r="BC92" s="1433">
        <f t="shared" si="16"/>
        <v>10174.870143781452</v>
      </c>
      <c r="BD92" s="1433">
        <f t="shared" si="17"/>
        <v>2024.720630242032</v>
      </c>
      <c r="BE92" s="1433">
        <f t="shared" si="18"/>
        <v>0</v>
      </c>
      <c r="BF92" s="1433">
        <f t="shared" si="19"/>
        <v>5339.3853342918774</v>
      </c>
      <c r="BG92" s="1433">
        <f t="shared" si="20"/>
        <v>1230.1834507548526</v>
      </c>
      <c r="BH92" s="1434">
        <f t="shared" si="21"/>
        <v>1580.5807284926912</v>
      </c>
      <c r="BI92" s="1422">
        <v>7691</v>
      </c>
    </row>
    <row r="93" spans="1:61" ht="12.75" customHeight="1" thickBot="1">
      <c r="A93" s="1418" t="s">
        <v>410</v>
      </c>
      <c r="B93" s="1418" t="s">
        <v>411</v>
      </c>
      <c r="C93" s="1419">
        <v>715</v>
      </c>
      <c r="D93" s="1420">
        <v>122.13</v>
      </c>
      <c r="E93" s="1420">
        <v>679.88</v>
      </c>
      <c r="F93" s="1421">
        <v>-0.05</v>
      </c>
      <c r="G93" s="1420">
        <v>724.84</v>
      </c>
      <c r="H93" s="1420">
        <v>723.96</v>
      </c>
      <c r="I93" s="1422">
        <v>41628385</v>
      </c>
      <c r="J93" s="1422">
        <v>25</v>
      </c>
      <c r="K93" s="1422">
        <v>25</v>
      </c>
      <c r="L93" s="1422">
        <v>0</v>
      </c>
      <c r="M93" s="1422">
        <v>0</v>
      </c>
      <c r="N93" s="1420">
        <v>4.0999999999999996</v>
      </c>
      <c r="O93" s="1420">
        <v>29.1</v>
      </c>
      <c r="P93" s="1423">
        <v>1438070.2</v>
      </c>
      <c r="Q93" s="1424">
        <v>1200822.8999999999</v>
      </c>
      <c r="R93" s="1425">
        <f t="shared" si="11"/>
        <v>1200822.8999999999</v>
      </c>
      <c r="S93" s="1436">
        <v>101.28</v>
      </c>
      <c r="T93" s="1427">
        <f t="shared" si="12"/>
        <v>101.28</v>
      </c>
      <c r="U93" s="1428">
        <v>3302255</v>
      </c>
      <c r="V93" s="1422">
        <v>22816</v>
      </c>
      <c r="W93" s="1422">
        <v>13657</v>
      </c>
      <c r="X93" s="1422">
        <v>0</v>
      </c>
      <c r="Y93" s="1422">
        <v>0</v>
      </c>
      <c r="Z93" s="1422">
        <v>0</v>
      </c>
      <c r="AA93" s="1422">
        <v>3899</v>
      </c>
      <c r="AB93" s="1422">
        <v>0</v>
      </c>
      <c r="AC93" s="1429">
        <v>0</v>
      </c>
      <c r="AD93" s="1422">
        <v>29943</v>
      </c>
      <c r="AE93" s="1422">
        <v>4000</v>
      </c>
      <c r="AF93" s="1422">
        <v>300</v>
      </c>
      <c r="AG93" s="1422">
        <v>15521</v>
      </c>
      <c r="AH93" s="1422">
        <v>0</v>
      </c>
      <c r="AI93" s="1422">
        <v>233120</v>
      </c>
      <c r="AJ93" s="1420">
        <v>2965.82</v>
      </c>
      <c r="AK93" s="1422">
        <v>0</v>
      </c>
      <c r="AL93" s="1420">
        <v>3159.75</v>
      </c>
      <c r="AM93" s="1422">
        <v>0</v>
      </c>
      <c r="AN93" s="1429">
        <v>139580</v>
      </c>
      <c r="AO93" s="1422">
        <v>0</v>
      </c>
      <c r="AP93" s="1420">
        <v>16301.18</v>
      </c>
      <c r="AQ93" s="1430">
        <f t="shared" si="13"/>
        <v>3647937.75</v>
      </c>
      <c r="AR93" s="1431">
        <v>1995836.06</v>
      </c>
      <c r="AS93" s="1437">
        <v>0</v>
      </c>
      <c r="AT93" s="1422">
        <v>0</v>
      </c>
      <c r="AU93" s="1422">
        <v>0</v>
      </c>
      <c r="AV93" s="1420">
        <v>1787.8</v>
      </c>
      <c r="AW93" s="1422">
        <v>0</v>
      </c>
      <c r="AX93" s="1422">
        <v>0</v>
      </c>
      <c r="AY93" s="1420">
        <v>1787.8</v>
      </c>
      <c r="AZ93" s="1420">
        <v>513370.89</v>
      </c>
      <c r="BA93" s="1423">
        <f t="shared" si="14"/>
        <v>516946.49</v>
      </c>
      <c r="BB93" s="1420">
        <f t="shared" si="15"/>
        <v>7361644.4800000004</v>
      </c>
      <c r="BC93" s="1433">
        <f t="shared" si="16"/>
        <v>10296.006265734266</v>
      </c>
      <c r="BD93" s="1433">
        <f t="shared" si="17"/>
        <v>1679.4725874125872</v>
      </c>
      <c r="BE93" s="1433">
        <f t="shared" si="18"/>
        <v>0.14165034965034964</v>
      </c>
      <c r="BF93" s="1433">
        <f t="shared" si="19"/>
        <v>5102.0108391608392</v>
      </c>
      <c r="BG93" s="1433">
        <f t="shared" si="20"/>
        <v>2791.3791048951048</v>
      </c>
      <c r="BH93" s="1434">
        <f t="shared" si="21"/>
        <v>723.00208391608385</v>
      </c>
      <c r="BI93" s="1422">
        <v>8817</v>
      </c>
    </row>
    <row r="94" spans="1:61" ht="12.75" customHeight="1" thickBot="1">
      <c r="A94" s="1418" t="s">
        <v>412</v>
      </c>
      <c r="B94" s="1418" t="s">
        <v>413</v>
      </c>
      <c r="C94" s="1419">
        <v>3432</v>
      </c>
      <c r="D94" s="1420">
        <v>346.14</v>
      </c>
      <c r="E94" s="1420">
        <v>3228.72</v>
      </c>
      <c r="F94" s="1421">
        <v>0</v>
      </c>
      <c r="G94" s="1420">
        <v>3415.69</v>
      </c>
      <c r="H94" s="1420">
        <v>3343.93</v>
      </c>
      <c r="I94" s="1422">
        <v>234706623</v>
      </c>
      <c r="J94" s="1422">
        <v>25</v>
      </c>
      <c r="K94" s="1422">
        <v>25</v>
      </c>
      <c r="L94" s="1422">
        <v>0</v>
      </c>
      <c r="M94" s="1422">
        <v>0</v>
      </c>
      <c r="N94" s="1420">
        <v>12.49</v>
      </c>
      <c r="O94" s="1420">
        <v>37.49</v>
      </c>
      <c r="P94" s="1438">
        <v>34091600</v>
      </c>
      <c r="Q94" s="1424">
        <v>7763870.2000000002</v>
      </c>
      <c r="R94" s="1425">
        <f t="shared" si="11"/>
        <v>7763870.2000000002</v>
      </c>
      <c r="S94" s="1436">
        <v>473.17</v>
      </c>
      <c r="T94" s="1427">
        <f t="shared" si="12"/>
        <v>473.17</v>
      </c>
      <c r="U94" s="1428">
        <v>14863154</v>
      </c>
      <c r="V94" s="1422">
        <v>196213</v>
      </c>
      <c r="W94" s="1422">
        <v>562217</v>
      </c>
      <c r="X94" s="1422">
        <v>0</v>
      </c>
      <c r="Y94" s="1422">
        <v>0</v>
      </c>
      <c r="Z94" s="1422">
        <v>0</v>
      </c>
      <c r="AA94" s="1422">
        <v>15945</v>
      </c>
      <c r="AB94" s="1422">
        <v>40908</v>
      </c>
      <c r="AC94" s="1429">
        <v>0</v>
      </c>
      <c r="AD94" s="1422">
        <v>138305</v>
      </c>
      <c r="AE94" s="1420">
        <v>12571.59</v>
      </c>
      <c r="AF94" s="1422">
        <v>6300</v>
      </c>
      <c r="AG94" s="1422">
        <v>99340</v>
      </c>
      <c r="AH94" s="1422">
        <v>11427</v>
      </c>
      <c r="AI94" s="1422">
        <v>857088</v>
      </c>
      <c r="AJ94" s="1420">
        <v>246763.63</v>
      </c>
      <c r="AK94" s="1422">
        <v>30875</v>
      </c>
      <c r="AL94" s="1420">
        <v>12280.14</v>
      </c>
      <c r="AM94" s="1422">
        <v>0</v>
      </c>
      <c r="AN94" s="1429">
        <v>680400</v>
      </c>
      <c r="AO94" s="1422">
        <v>0</v>
      </c>
      <c r="AP94" s="1420">
        <v>6102753.7699999996</v>
      </c>
      <c r="AQ94" s="1430">
        <f t="shared" si="13"/>
        <v>23196141.129999999</v>
      </c>
      <c r="AR94" s="1431">
        <v>4611202.5999999996</v>
      </c>
      <c r="AS94" s="1432">
        <v>5273986.93</v>
      </c>
      <c r="AT94" s="1422">
        <v>0</v>
      </c>
      <c r="AU94" s="1422">
        <v>0</v>
      </c>
      <c r="AV94" s="1420">
        <v>128080.25</v>
      </c>
      <c r="AW94" s="1420">
        <v>254537.27</v>
      </c>
      <c r="AX94" s="1422">
        <v>0</v>
      </c>
      <c r="AY94" s="1420">
        <v>5656604.4500000002</v>
      </c>
      <c r="AZ94" s="1420">
        <v>1651839.32</v>
      </c>
      <c r="BA94" s="1423">
        <f t="shared" si="14"/>
        <v>7691061.290000001</v>
      </c>
      <c r="BB94" s="1420">
        <f t="shared" si="15"/>
        <v>43262748.390000001</v>
      </c>
      <c r="BC94" s="1433">
        <f t="shared" si="16"/>
        <v>12605.695917832169</v>
      </c>
      <c r="BD94" s="1433">
        <f t="shared" si="17"/>
        <v>2262.1999417249417</v>
      </c>
      <c r="BE94" s="1433">
        <f t="shared" si="18"/>
        <v>0.13787004662004662</v>
      </c>
      <c r="BF94" s="1433">
        <f t="shared" si="19"/>
        <v>6758.7823805361304</v>
      </c>
      <c r="BG94" s="1433">
        <f t="shared" si="20"/>
        <v>1343.5905011655011</v>
      </c>
      <c r="BH94" s="1434">
        <f t="shared" si="21"/>
        <v>2240.9852243589748</v>
      </c>
      <c r="BI94" s="1422">
        <v>8186</v>
      </c>
    </row>
    <row r="95" spans="1:61" ht="12.75" customHeight="1" thickBot="1">
      <c r="A95" s="1418" t="s">
        <v>414</v>
      </c>
      <c r="B95" s="1418" t="s">
        <v>415</v>
      </c>
      <c r="C95" s="1419">
        <v>2919</v>
      </c>
      <c r="D95" s="1420">
        <v>120.18</v>
      </c>
      <c r="E95" s="1420">
        <v>2697.55</v>
      </c>
      <c r="F95" s="1421">
        <v>0.04</v>
      </c>
      <c r="G95" s="1420">
        <v>2882.52</v>
      </c>
      <c r="H95" s="1420">
        <v>2829.49</v>
      </c>
      <c r="I95" s="1422">
        <v>213350590</v>
      </c>
      <c r="J95" s="1422">
        <v>25</v>
      </c>
      <c r="K95" s="1422">
        <v>25</v>
      </c>
      <c r="L95" s="1422">
        <v>0</v>
      </c>
      <c r="M95" s="1422">
        <v>0</v>
      </c>
      <c r="N95" s="1420">
        <v>7.67</v>
      </c>
      <c r="O95" s="1420">
        <v>32.67</v>
      </c>
      <c r="P95" s="1438">
        <v>29591500</v>
      </c>
      <c r="Q95" s="1424">
        <v>6504849.5199999996</v>
      </c>
      <c r="R95" s="1425">
        <f t="shared" si="11"/>
        <v>6504849.5199999996</v>
      </c>
      <c r="S95" s="1436">
        <v>400.35</v>
      </c>
      <c r="T95" s="1427">
        <f t="shared" si="12"/>
        <v>400.35</v>
      </c>
      <c r="U95" s="1428">
        <v>12003146</v>
      </c>
      <c r="V95" s="1422">
        <v>151143</v>
      </c>
      <c r="W95" s="1422">
        <v>330874</v>
      </c>
      <c r="X95" s="1422">
        <v>0</v>
      </c>
      <c r="Y95" s="1422">
        <v>0</v>
      </c>
      <c r="Z95" s="1422">
        <v>0</v>
      </c>
      <c r="AA95" s="1422">
        <v>0</v>
      </c>
      <c r="AB95" s="1422">
        <v>58141</v>
      </c>
      <c r="AC95" s="1429">
        <v>0</v>
      </c>
      <c r="AD95" s="1422">
        <v>117028</v>
      </c>
      <c r="AE95" s="1420">
        <v>35815.68</v>
      </c>
      <c r="AF95" s="1422">
        <v>1450</v>
      </c>
      <c r="AG95" s="1422">
        <v>13286</v>
      </c>
      <c r="AH95" s="1422">
        <v>16408</v>
      </c>
      <c r="AI95" s="1422">
        <v>893296</v>
      </c>
      <c r="AJ95" s="1420">
        <v>96048.4</v>
      </c>
      <c r="AK95" s="1420">
        <v>70607.839999999997</v>
      </c>
      <c r="AL95" s="1420">
        <v>11427.49</v>
      </c>
      <c r="AM95" s="1422">
        <v>0</v>
      </c>
      <c r="AN95" s="1435">
        <v>679528.13</v>
      </c>
      <c r="AO95" s="1422">
        <v>0</v>
      </c>
      <c r="AP95" s="1420">
        <v>304622.40999999997</v>
      </c>
      <c r="AQ95" s="1430">
        <f t="shared" si="13"/>
        <v>14103293.82</v>
      </c>
      <c r="AR95" s="1431">
        <v>5958189.4500000002</v>
      </c>
      <c r="AS95" s="1432">
        <v>13931504.6</v>
      </c>
      <c r="AT95" s="1422">
        <v>0</v>
      </c>
      <c r="AU95" s="1420">
        <v>37431.86</v>
      </c>
      <c r="AV95" s="1420">
        <v>7189.28</v>
      </c>
      <c r="AW95" s="1422">
        <v>0</v>
      </c>
      <c r="AX95" s="1422">
        <v>0</v>
      </c>
      <c r="AY95" s="1420">
        <v>13976125.74</v>
      </c>
      <c r="AZ95" s="1420">
        <v>1031946.49</v>
      </c>
      <c r="BA95" s="1423">
        <f t="shared" si="14"/>
        <v>15052693.370000001</v>
      </c>
      <c r="BB95" s="1420">
        <f t="shared" si="15"/>
        <v>41619426.510000005</v>
      </c>
      <c r="BC95" s="1433">
        <f t="shared" si="16"/>
        <v>14258.111171634124</v>
      </c>
      <c r="BD95" s="1433">
        <f t="shared" si="17"/>
        <v>2228.451360054813</v>
      </c>
      <c r="BE95" s="1433">
        <f t="shared" si="18"/>
        <v>0.13715313463514903</v>
      </c>
      <c r="BF95" s="1433">
        <f t="shared" si="19"/>
        <v>4831.5497841726619</v>
      </c>
      <c r="BG95" s="1433">
        <f t="shared" si="20"/>
        <v>2041.1748715313465</v>
      </c>
      <c r="BH95" s="1434">
        <f t="shared" si="21"/>
        <v>5156.7980027406647</v>
      </c>
      <c r="BI95" s="1422">
        <v>8473</v>
      </c>
    </row>
    <row r="96" spans="1:61" ht="12.75" customHeight="1" thickBot="1">
      <c r="A96" s="1418" t="s">
        <v>416</v>
      </c>
      <c r="B96" s="1418" t="s">
        <v>417</v>
      </c>
      <c r="C96" s="1419">
        <v>556</v>
      </c>
      <c r="D96" s="1420">
        <v>232.27</v>
      </c>
      <c r="E96" s="1420">
        <v>515.61</v>
      </c>
      <c r="F96" s="1421">
        <v>-0.26</v>
      </c>
      <c r="G96" s="1420">
        <v>552.66999999999996</v>
      </c>
      <c r="H96" s="1420">
        <v>623.29999999999995</v>
      </c>
      <c r="I96" s="1422">
        <v>28632375</v>
      </c>
      <c r="J96" s="1422">
        <v>25</v>
      </c>
      <c r="K96" s="1422">
        <v>25</v>
      </c>
      <c r="L96" s="1422">
        <v>0</v>
      </c>
      <c r="M96" s="1422">
        <v>0</v>
      </c>
      <c r="N96" s="1420">
        <v>6.3</v>
      </c>
      <c r="O96" s="1420">
        <v>31.3</v>
      </c>
      <c r="P96" s="1423">
        <v>1183807.42</v>
      </c>
      <c r="Q96" s="1424">
        <v>841897.83</v>
      </c>
      <c r="R96" s="1425">
        <f t="shared" si="11"/>
        <v>841897.83</v>
      </c>
      <c r="S96" s="1426">
        <v>0</v>
      </c>
      <c r="T96" s="1427">
        <f t="shared" si="12"/>
        <v>0</v>
      </c>
      <c r="U96" s="1428">
        <v>3072955</v>
      </c>
      <c r="V96" s="1422">
        <v>11943</v>
      </c>
      <c r="W96" s="1422">
        <v>0</v>
      </c>
      <c r="X96" s="1422">
        <v>53273</v>
      </c>
      <c r="Y96" s="1422">
        <v>0</v>
      </c>
      <c r="Z96" s="1422">
        <v>64320</v>
      </c>
      <c r="AA96" s="1422">
        <v>4181</v>
      </c>
      <c r="AB96" s="1422">
        <v>0</v>
      </c>
      <c r="AC96" s="1429">
        <v>0</v>
      </c>
      <c r="AD96" s="1422">
        <v>25780</v>
      </c>
      <c r="AE96" s="1420">
        <v>116102.66</v>
      </c>
      <c r="AF96" s="1422">
        <v>0</v>
      </c>
      <c r="AG96" s="1422">
        <v>0</v>
      </c>
      <c r="AH96" s="1422">
        <v>16701</v>
      </c>
      <c r="AI96" s="1422">
        <v>506912</v>
      </c>
      <c r="AJ96" s="1420">
        <v>18398.580000000002</v>
      </c>
      <c r="AK96" s="1422">
        <v>0</v>
      </c>
      <c r="AL96" s="1420">
        <v>2161.58</v>
      </c>
      <c r="AM96" s="1422">
        <v>0</v>
      </c>
      <c r="AN96" s="1429">
        <v>70178</v>
      </c>
      <c r="AO96" s="1422">
        <v>0</v>
      </c>
      <c r="AP96" s="1420">
        <v>49001.05</v>
      </c>
      <c r="AQ96" s="1430">
        <f t="shared" si="13"/>
        <v>3941728.87</v>
      </c>
      <c r="AR96" s="1431">
        <v>913615.55</v>
      </c>
      <c r="AS96" s="1437">
        <v>0</v>
      </c>
      <c r="AT96" s="1422">
        <v>0</v>
      </c>
      <c r="AU96" s="1422">
        <v>0</v>
      </c>
      <c r="AV96" s="1422">
        <v>0</v>
      </c>
      <c r="AW96" s="1422">
        <v>0</v>
      </c>
      <c r="AX96" s="1422">
        <v>0</v>
      </c>
      <c r="AY96" s="1422">
        <v>0</v>
      </c>
      <c r="AZ96" s="1420">
        <v>284998.53000000003</v>
      </c>
      <c r="BA96" s="1423">
        <f t="shared" si="14"/>
        <v>284998.53000000003</v>
      </c>
      <c r="BB96" s="1420">
        <f t="shared" si="15"/>
        <v>5982240.7800000003</v>
      </c>
      <c r="BC96" s="1433">
        <f t="shared" si="16"/>
        <v>10759.425863309352</v>
      </c>
      <c r="BD96" s="1433">
        <f t="shared" si="17"/>
        <v>1514.2047302158273</v>
      </c>
      <c r="BE96" s="1433">
        <f t="shared" si="18"/>
        <v>0</v>
      </c>
      <c r="BF96" s="1433">
        <f t="shared" si="19"/>
        <v>7089.4404136690646</v>
      </c>
      <c r="BG96" s="1433">
        <f t="shared" si="20"/>
        <v>1643.1934352517987</v>
      </c>
      <c r="BH96" s="1434">
        <f t="shared" si="21"/>
        <v>512.58728417266195</v>
      </c>
      <c r="BI96" s="1422">
        <v>9918</v>
      </c>
    </row>
    <row r="97" spans="1:61" ht="12.75" customHeight="1" thickBot="1">
      <c r="A97" s="1418" t="s">
        <v>418</v>
      </c>
      <c r="B97" s="1418" t="s">
        <v>419</v>
      </c>
      <c r="C97" s="1419">
        <v>2493</v>
      </c>
      <c r="D97" s="1420">
        <v>284.60000000000002</v>
      </c>
      <c r="E97" s="1420">
        <v>2465.79</v>
      </c>
      <c r="F97" s="1421">
        <v>-0.04</v>
      </c>
      <c r="G97" s="1420">
        <v>2486.4</v>
      </c>
      <c r="H97" s="1420">
        <v>2540.37</v>
      </c>
      <c r="I97" s="1422">
        <v>171840821</v>
      </c>
      <c r="J97" s="1422">
        <v>25</v>
      </c>
      <c r="K97" s="1422">
        <v>25</v>
      </c>
      <c r="L97" s="1422">
        <v>0</v>
      </c>
      <c r="M97" s="1422">
        <v>0</v>
      </c>
      <c r="N97" s="1420">
        <v>9.6999999999999993</v>
      </c>
      <c r="O97" s="1420">
        <v>34.700000000000003</v>
      </c>
      <c r="P97" s="1438">
        <v>11330000</v>
      </c>
      <c r="Q97" s="1424">
        <v>5651390.3600000003</v>
      </c>
      <c r="R97" s="1425">
        <f t="shared" si="11"/>
        <v>5651390.3600000003</v>
      </c>
      <c r="S97" s="1426">
        <v>0</v>
      </c>
      <c r="T97" s="1427">
        <f t="shared" si="12"/>
        <v>0</v>
      </c>
      <c r="U97" s="1428">
        <v>10867748</v>
      </c>
      <c r="V97" s="1422">
        <v>135923</v>
      </c>
      <c r="W97" s="1422">
        <v>0</v>
      </c>
      <c r="X97" s="1422">
        <v>0</v>
      </c>
      <c r="Y97" s="1422">
        <v>0</v>
      </c>
      <c r="Z97" s="1422">
        <v>0</v>
      </c>
      <c r="AA97" s="1422">
        <v>0</v>
      </c>
      <c r="AB97" s="1422">
        <v>0</v>
      </c>
      <c r="AC97" s="1435">
        <v>183762.75</v>
      </c>
      <c r="AD97" s="1422">
        <v>105070</v>
      </c>
      <c r="AE97" s="1420">
        <v>18966.810000000001</v>
      </c>
      <c r="AF97" s="1422">
        <v>300</v>
      </c>
      <c r="AG97" s="1422">
        <v>83901</v>
      </c>
      <c r="AH97" s="1422">
        <v>111926</v>
      </c>
      <c r="AI97" s="1422">
        <v>1966144</v>
      </c>
      <c r="AJ97" s="1420">
        <v>63364.75</v>
      </c>
      <c r="AK97" s="1422">
        <v>0</v>
      </c>
      <c r="AL97" s="1420">
        <v>9739.26</v>
      </c>
      <c r="AM97" s="1422">
        <v>0</v>
      </c>
      <c r="AN97" s="1429">
        <v>680400</v>
      </c>
      <c r="AO97" s="1422">
        <v>0</v>
      </c>
      <c r="AP97" s="1420">
        <v>202028.93</v>
      </c>
      <c r="AQ97" s="1430">
        <f t="shared" si="13"/>
        <v>13565111.75</v>
      </c>
      <c r="AR97" s="1431">
        <v>5525230.5800000001</v>
      </c>
      <c r="AS97" s="1437">
        <v>0</v>
      </c>
      <c r="AT97" s="1422">
        <v>0</v>
      </c>
      <c r="AU97" s="1420">
        <v>51647.24</v>
      </c>
      <c r="AV97" s="1420">
        <v>956.4</v>
      </c>
      <c r="AW97" s="1420">
        <v>55730.13</v>
      </c>
      <c r="AX97" s="1422">
        <v>0</v>
      </c>
      <c r="AY97" s="1420">
        <v>108333.77</v>
      </c>
      <c r="AZ97" s="1420">
        <v>1121747.76</v>
      </c>
      <c r="BA97" s="1423">
        <f t="shared" si="14"/>
        <v>1338415.3</v>
      </c>
      <c r="BB97" s="1420">
        <f t="shared" si="15"/>
        <v>26080147.989999998</v>
      </c>
      <c r="BC97" s="1433">
        <f t="shared" si="16"/>
        <v>10461.350978740473</v>
      </c>
      <c r="BD97" s="1433">
        <f t="shared" si="17"/>
        <v>2266.9034737264342</v>
      </c>
      <c r="BE97" s="1433">
        <f t="shared" si="18"/>
        <v>0</v>
      </c>
      <c r="BF97" s="1433">
        <f t="shared" si="19"/>
        <v>5441.2802847974326</v>
      </c>
      <c r="BG97" s="1433">
        <f t="shared" si="20"/>
        <v>2216.2978660248696</v>
      </c>
      <c r="BH97" s="1434">
        <f t="shared" si="21"/>
        <v>536.86935419173687</v>
      </c>
      <c r="BI97" s="1422">
        <v>9394</v>
      </c>
    </row>
    <row r="98" spans="1:61" ht="12.75" customHeight="1" thickBot="1">
      <c r="A98" s="1418" t="s">
        <v>420</v>
      </c>
      <c r="B98" s="1418" t="s">
        <v>421</v>
      </c>
      <c r="C98" s="1419">
        <v>511</v>
      </c>
      <c r="D98" s="1420">
        <v>71.66</v>
      </c>
      <c r="E98" s="1420">
        <v>491.59</v>
      </c>
      <c r="F98" s="1421">
        <v>-0.02</v>
      </c>
      <c r="G98" s="1420">
        <v>507.12</v>
      </c>
      <c r="H98" s="1420">
        <v>469.34</v>
      </c>
      <c r="I98" s="1422">
        <v>12581385</v>
      </c>
      <c r="J98" s="1422">
        <v>25</v>
      </c>
      <c r="K98" s="1422">
        <v>25</v>
      </c>
      <c r="L98" s="1422">
        <v>0</v>
      </c>
      <c r="M98" s="1422">
        <v>0</v>
      </c>
      <c r="N98" s="1420">
        <v>16.8</v>
      </c>
      <c r="O98" s="1420">
        <v>41.8</v>
      </c>
      <c r="P98" s="1423">
        <v>3529366.99</v>
      </c>
      <c r="Q98" s="1424">
        <v>543975.27</v>
      </c>
      <c r="R98" s="1425">
        <f t="shared" si="11"/>
        <v>543975.27</v>
      </c>
      <c r="S98" s="1426">
        <v>0</v>
      </c>
      <c r="T98" s="1427">
        <f t="shared" si="12"/>
        <v>0</v>
      </c>
      <c r="U98" s="1428">
        <v>2523647</v>
      </c>
      <c r="V98" s="1422">
        <v>8451</v>
      </c>
      <c r="W98" s="1422">
        <v>226465</v>
      </c>
      <c r="X98" s="1422">
        <v>0</v>
      </c>
      <c r="Y98" s="1422">
        <v>0</v>
      </c>
      <c r="Z98" s="1422">
        <v>0</v>
      </c>
      <c r="AA98" s="1422">
        <v>26736</v>
      </c>
      <c r="AB98" s="1422">
        <v>0</v>
      </c>
      <c r="AC98" s="1429">
        <v>0</v>
      </c>
      <c r="AD98" s="1422">
        <v>19412</v>
      </c>
      <c r="AE98" s="1420">
        <v>8291.61</v>
      </c>
      <c r="AF98" s="1422">
        <v>100</v>
      </c>
      <c r="AG98" s="1422">
        <v>0</v>
      </c>
      <c r="AH98" s="1422">
        <v>2051</v>
      </c>
      <c r="AI98" s="1422">
        <v>119040</v>
      </c>
      <c r="AJ98" s="1420">
        <v>1922.73</v>
      </c>
      <c r="AK98" s="1422">
        <v>0</v>
      </c>
      <c r="AL98" s="1420">
        <v>1720.5</v>
      </c>
      <c r="AM98" s="1422">
        <v>0</v>
      </c>
      <c r="AN98" s="1429">
        <v>0</v>
      </c>
      <c r="AO98" s="1422">
        <v>0</v>
      </c>
      <c r="AP98" s="1420">
        <v>754908.02</v>
      </c>
      <c r="AQ98" s="1430">
        <f t="shared" si="13"/>
        <v>3692744.86</v>
      </c>
      <c r="AR98" s="1431">
        <v>572165.72</v>
      </c>
      <c r="AS98" s="1432">
        <v>9802.48</v>
      </c>
      <c r="AT98" s="1422">
        <v>0</v>
      </c>
      <c r="AU98" s="1422">
        <v>0</v>
      </c>
      <c r="AV98" s="1422">
        <v>0</v>
      </c>
      <c r="AW98" s="1422">
        <v>0</v>
      </c>
      <c r="AX98" s="1422">
        <v>0</v>
      </c>
      <c r="AY98" s="1420">
        <v>9802.48</v>
      </c>
      <c r="AZ98" s="1420">
        <v>287867.40999999997</v>
      </c>
      <c r="BA98" s="1423">
        <f t="shared" si="14"/>
        <v>297669.88999999996</v>
      </c>
      <c r="BB98" s="1420">
        <f t="shared" si="15"/>
        <v>5106555.74</v>
      </c>
      <c r="BC98" s="1433">
        <f t="shared" si="16"/>
        <v>9993.2597651663418</v>
      </c>
      <c r="BD98" s="1433">
        <f t="shared" si="17"/>
        <v>1064.5308610567515</v>
      </c>
      <c r="BE98" s="1433">
        <f t="shared" si="18"/>
        <v>0</v>
      </c>
      <c r="BF98" s="1433">
        <f t="shared" si="19"/>
        <v>7226.5065753424651</v>
      </c>
      <c r="BG98" s="1433">
        <f t="shared" si="20"/>
        <v>1119.6980821917807</v>
      </c>
      <c r="BH98" s="1434">
        <f t="shared" si="21"/>
        <v>582.52424657534243</v>
      </c>
      <c r="BI98" s="1422">
        <v>7459</v>
      </c>
    </row>
    <row r="99" spans="1:61" ht="12.75" customHeight="1" thickBot="1">
      <c r="A99" s="1418" t="s">
        <v>422</v>
      </c>
      <c r="B99" s="1418" t="s">
        <v>423</v>
      </c>
      <c r="C99" s="1419">
        <v>961</v>
      </c>
      <c r="D99" s="1420">
        <v>178.97</v>
      </c>
      <c r="E99" s="1420">
        <v>925.36</v>
      </c>
      <c r="F99" s="1421">
        <v>-0.05</v>
      </c>
      <c r="G99" s="1420">
        <v>977.81</v>
      </c>
      <c r="H99" s="1420">
        <v>978.31</v>
      </c>
      <c r="I99" s="1422">
        <v>55487791</v>
      </c>
      <c r="J99" s="1422">
        <v>25</v>
      </c>
      <c r="K99" s="1422">
        <v>25</v>
      </c>
      <c r="L99" s="1422">
        <v>0</v>
      </c>
      <c r="M99" s="1422">
        <v>0</v>
      </c>
      <c r="N99" s="1422">
        <v>16</v>
      </c>
      <c r="O99" s="1422">
        <v>41</v>
      </c>
      <c r="P99" s="1438">
        <v>8010000</v>
      </c>
      <c r="Q99" s="1424">
        <v>2143320.56</v>
      </c>
      <c r="R99" s="1425">
        <f t="shared" si="11"/>
        <v>2143320.56</v>
      </c>
      <c r="S99" s="1436">
        <v>4066.75</v>
      </c>
      <c r="T99" s="1427">
        <f t="shared" si="12"/>
        <v>4066.75</v>
      </c>
      <c r="U99" s="1428">
        <v>4590846</v>
      </c>
      <c r="V99" s="1422">
        <v>17164</v>
      </c>
      <c r="W99" s="1422">
        <v>21014</v>
      </c>
      <c r="X99" s="1422">
        <v>0</v>
      </c>
      <c r="Y99" s="1422">
        <v>0</v>
      </c>
      <c r="Z99" s="1422">
        <v>0</v>
      </c>
      <c r="AA99" s="1422">
        <v>8793</v>
      </c>
      <c r="AB99" s="1422">
        <v>0</v>
      </c>
      <c r="AC99" s="1429">
        <v>0</v>
      </c>
      <c r="AD99" s="1422">
        <v>40463</v>
      </c>
      <c r="AE99" s="1420">
        <v>1437.23</v>
      </c>
      <c r="AF99" s="1422">
        <v>400</v>
      </c>
      <c r="AG99" s="1422">
        <v>38273</v>
      </c>
      <c r="AH99" s="1422">
        <v>10255</v>
      </c>
      <c r="AI99" s="1422">
        <v>293632</v>
      </c>
      <c r="AJ99" s="1420">
        <v>28968.15</v>
      </c>
      <c r="AK99" s="1420">
        <v>17333.560000000001</v>
      </c>
      <c r="AL99" s="1420">
        <v>3822.76</v>
      </c>
      <c r="AM99" s="1422">
        <v>0</v>
      </c>
      <c r="AN99" s="1429">
        <v>0</v>
      </c>
      <c r="AO99" s="1422">
        <v>0</v>
      </c>
      <c r="AP99" s="1420">
        <v>590597.13</v>
      </c>
      <c r="AQ99" s="1430">
        <f t="shared" si="13"/>
        <v>5662998.8300000001</v>
      </c>
      <c r="AR99" s="1431">
        <v>1595972.53</v>
      </c>
      <c r="AS99" s="1432">
        <v>4492.33</v>
      </c>
      <c r="AT99" s="1422">
        <v>0</v>
      </c>
      <c r="AU99" s="1422">
        <v>0</v>
      </c>
      <c r="AV99" s="1422">
        <v>0</v>
      </c>
      <c r="AW99" s="1422">
        <v>0</v>
      </c>
      <c r="AX99" s="1422">
        <v>0</v>
      </c>
      <c r="AY99" s="1420">
        <v>4492.33</v>
      </c>
      <c r="AZ99" s="1420">
        <v>460416.68</v>
      </c>
      <c r="BA99" s="1423">
        <f t="shared" si="14"/>
        <v>464909.01</v>
      </c>
      <c r="BB99" s="1420">
        <f t="shared" si="15"/>
        <v>9871267.6799999997</v>
      </c>
      <c r="BC99" s="1433">
        <f t="shared" si="16"/>
        <v>10271.870634755463</v>
      </c>
      <c r="BD99" s="1433">
        <f t="shared" si="17"/>
        <v>2230.3023517169618</v>
      </c>
      <c r="BE99" s="1433">
        <f t="shared" si="18"/>
        <v>4.2317898022892821</v>
      </c>
      <c r="BF99" s="1433">
        <f t="shared" si="19"/>
        <v>5892.818761706556</v>
      </c>
      <c r="BG99" s="1433">
        <f t="shared" si="20"/>
        <v>1660.7414464099895</v>
      </c>
      <c r="BH99" s="1434">
        <f t="shared" si="21"/>
        <v>483.77628511966702</v>
      </c>
      <c r="BI99" s="1422">
        <v>9297</v>
      </c>
    </row>
    <row r="100" spans="1:61" ht="12.75" customHeight="1" thickBot="1">
      <c r="A100" s="1418" t="s">
        <v>424</v>
      </c>
      <c r="B100" s="1418" t="s">
        <v>425</v>
      </c>
      <c r="C100" s="1419">
        <v>943</v>
      </c>
      <c r="D100" s="1420">
        <v>75.44</v>
      </c>
      <c r="E100" s="1420">
        <v>867.56</v>
      </c>
      <c r="F100" s="1421">
        <v>-0.1</v>
      </c>
      <c r="G100" s="1420">
        <v>932.81</v>
      </c>
      <c r="H100" s="1420">
        <v>978.72</v>
      </c>
      <c r="I100" s="1422">
        <v>45674885</v>
      </c>
      <c r="J100" s="1422">
        <v>25</v>
      </c>
      <c r="K100" s="1422">
        <v>25</v>
      </c>
      <c r="L100" s="1422">
        <v>0</v>
      </c>
      <c r="M100" s="1422">
        <v>0</v>
      </c>
      <c r="N100" s="1420">
        <v>13.2</v>
      </c>
      <c r="O100" s="1420">
        <v>38.200000000000003</v>
      </c>
      <c r="P100" s="1423">
        <v>5434047.7599999998</v>
      </c>
      <c r="Q100" s="1424">
        <v>1675104.97</v>
      </c>
      <c r="R100" s="1425">
        <f t="shared" si="11"/>
        <v>1675104.97</v>
      </c>
      <c r="S100" s="1436">
        <v>3981.59</v>
      </c>
      <c r="T100" s="1427">
        <f t="shared" si="12"/>
        <v>3981.59</v>
      </c>
      <c r="U100" s="1428">
        <v>4800303</v>
      </c>
      <c r="V100" s="1422">
        <v>12536</v>
      </c>
      <c r="W100" s="1422">
        <v>0</v>
      </c>
      <c r="X100" s="1422">
        <v>30115</v>
      </c>
      <c r="Y100" s="1422">
        <v>0</v>
      </c>
      <c r="Z100" s="1422">
        <v>0</v>
      </c>
      <c r="AA100" s="1422">
        <v>35064</v>
      </c>
      <c r="AB100" s="1422">
        <v>0</v>
      </c>
      <c r="AC100" s="1429">
        <v>0</v>
      </c>
      <c r="AD100" s="1422">
        <v>40480</v>
      </c>
      <c r="AE100" s="1422">
        <v>0</v>
      </c>
      <c r="AF100" s="1422">
        <v>1052</v>
      </c>
      <c r="AG100" s="1422">
        <v>23078</v>
      </c>
      <c r="AH100" s="1422">
        <v>586</v>
      </c>
      <c r="AI100" s="1422">
        <v>256928</v>
      </c>
      <c r="AJ100" s="1420">
        <v>26512.639999999999</v>
      </c>
      <c r="AK100" s="1420">
        <v>75833.56</v>
      </c>
      <c r="AL100" s="1420">
        <v>3100.28</v>
      </c>
      <c r="AM100" s="1422">
        <v>0</v>
      </c>
      <c r="AN100" s="1429">
        <v>122375</v>
      </c>
      <c r="AO100" s="1422">
        <v>0</v>
      </c>
      <c r="AP100" s="1422">
        <v>112646</v>
      </c>
      <c r="AQ100" s="1430">
        <f t="shared" si="13"/>
        <v>5418234.4799999995</v>
      </c>
      <c r="AR100" s="1431">
        <v>1469120.79</v>
      </c>
      <c r="AS100" s="1437">
        <v>450800</v>
      </c>
      <c r="AT100" s="1422">
        <v>0</v>
      </c>
      <c r="AU100" s="1422">
        <v>0</v>
      </c>
      <c r="AV100" s="1422">
        <v>0</v>
      </c>
      <c r="AW100" s="1422">
        <v>0</v>
      </c>
      <c r="AX100" s="1422">
        <v>0</v>
      </c>
      <c r="AY100" s="1422">
        <v>450800</v>
      </c>
      <c r="AZ100" s="1420">
        <v>687443.56</v>
      </c>
      <c r="BA100" s="1423">
        <f t="shared" si="14"/>
        <v>1138243.56</v>
      </c>
      <c r="BB100" s="1420">
        <f t="shared" si="15"/>
        <v>9704685.3900000006</v>
      </c>
      <c r="BC100" s="1433">
        <f t="shared" si="16"/>
        <v>10291.288854718983</v>
      </c>
      <c r="BD100" s="1433">
        <f t="shared" si="17"/>
        <v>1776.3573382820784</v>
      </c>
      <c r="BE100" s="1433">
        <f t="shared" si="18"/>
        <v>4.2222587486744434</v>
      </c>
      <c r="BF100" s="1433">
        <f t="shared" si="19"/>
        <v>5745.7417603393424</v>
      </c>
      <c r="BG100" s="1433">
        <f t="shared" si="20"/>
        <v>1557.9223647932131</v>
      </c>
      <c r="BH100" s="1434">
        <f t="shared" si="21"/>
        <v>1207.0451325556735</v>
      </c>
      <c r="BI100" s="1422">
        <v>9041</v>
      </c>
    </row>
    <row r="101" spans="1:61" ht="12.75" customHeight="1" thickBot="1">
      <c r="A101" s="1418" t="s">
        <v>426</v>
      </c>
      <c r="B101" s="1418" t="s">
        <v>427</v>
      </c>
      <c r="C101" s="1419">
        <v>655</v>
      </c>
      <c r="D101" s="1420">
        <v>49.3</v>
      </c>
      <c r="E101" s="1420">
        <v>622.04</v>
      </c>
      <c r="F101" s="1421">
        <v>-0.15</v>
      </c>
      <c r="G101" s="1420">
        <v>655.35</v>
      </c>
      <c r="H101" s="1420">
        <v>686.83</v>
      </c>
      <c r="I101" s="1422">
        <v>62716367</v>
      </c>
      <c r="J101" s="1422">
        <v>25</v>
      </c>
      <c r="K101" s="1422">
        <v>25</v>
      </c>
      <c r="L101" s="1422">
        <v>0</v>
      </c>
      <c r="M101" s="1422">
        <v>0</v>
      </c>
      <c r="N101" s="1420">
        <v>14.18</v>
      </c>
      <c r="O101" s="1420">
        <v>39.18</v>
      </c>
      <c r="P101" s="1438">
        <v>5795000</v>
      </c>
      <c r="Q101" s="1424">
        <v>2314816.5499999998</v>
      </c>
      <c r="R101" s="1425">
        <f t="shared" si="11"/>
        <v>2314816.5499999998</v>
      </c>
      <c r="S101" s="1436">
        <v>2788.38</v>
      </c>
      <c r="T101" s="1427">
        <f t="shared" si="12"/>
        <v>2788.38</v>
      </c>
      <c r="U101" s="1428">
        <v>2596137</v>
      </c>
      <c r="V101" s="1422">
        <v>31479</v>
      </c>
      <c r="W101" s="1422">
        <v>0</v>
      </c>
      <c r="X101" s="1422">
        <v>150786</v>
      </c>
      <c r="Y101" s="1422">
        <v>0</v>
      </c>
      <c r="Z101" s="1422">
        <v>0</v>
      </c>
      <c r="AA101" s="1422">
        <v>0</v>
      </c>
      <c r="AB101" s="1422">
        <v>40554</v>
      </c>
      <c r="AC101" s="1429">
        <v>0</v>
      </c>
      <c r="AD101" s="1422">
        <v>28407</v>
      </c>
      <c r="AE101" s="1420">
        <v>2789.32</v>
      </c>
      <c r="AF101" s="1422">
        <v>0</v>
      </c>
      <c r="AG101" s="1422">
        <v>0</v>
      </c>
      <c r="AH101" s="1422">
        <v>0</v>
      </c>
      <c r="AI101" s="1422">
        <v>163680</v>
      </c>
      <c r="AJ101" s="1420">
        <v>2813.67</v>
      </c>
      <c r="AK101" s="1420">
        <v>29250.32</v>
      </c>
      <c r="AL101" s="1420">
        <v>2344.4</v>
      </c>
      <c r="AM101" s="1422">
        <v>0</v>
      </c>
      <c r="AN101" s="1429">
        <v>0</v>
      </c>
      <c r="AO101" s="1422">
        <v>0</v>
      </c>
      <c r="AP101" s="1422">
        <v>25260</v>
      </c>
      <c r="AQ101" s="1430">
        <f t="shared" si="13"/>
        <v>3073500.7099999995</v>
      </c>
      <c r="AR101" s="1431">
        <v>1028731.59</v>
      </c>
      <c r="AS101" s="1437">
        <v>0</v>
      </c>
      <c r="AT101" s="1422">
        <v>0</v>
      </c>
      <c r="AU101" s="1422">
        <v>0</v>
      </c>
      <c r="AV101" s="1420">
        <v>2105.5</v>
      </c>
      <c r="AW101" s="1420">
        <v>27716.97</v>
      </c>
      <c r="AX101" s="1422">
        <v>0</v>
      </c>
      <c r="AY101" s="1420">
        <v>29822.47</v>
      </c>
      <c r="AZ101" s="1420">
        <v>727083.06</v>
      </c>
      <c r="BA101" s="1423">
        <f t="shared" si="14"/>
        <v>786728</v>
      </c>
      <c r="BB101" s="1420">
        <f t="shared" si="15"/>
        <v>7206565.2299999986</v>
      </c>
      <c r="BC101" s="1433">
        <f t="shared" si="16"/>
        <v>11002.389664122134</v>
      </c>
      <c r="BD101" s="1433">
        <f t="shared" si="17"/>
        <v>3534.0710687022897</v>
      </c>
      <c r="BE101" s="1433">
        <f t="shared" si="18"/>
        <v>4.2570687022900762</v>
      </c>
      <c r="BF101" s="1433">
        <f t="shared" si="19"/>
        <v>4692.3674961832057</v>
      </c>
      <c r="BG101" s="1433">
        <f t="shared" si="20"/>
        <v>1570.5825801526717</v>
      </c>
      <c r="BH101" s="1434">
        <f t="shared" si="21"/>
        <v>1201.1114503816793</v>
      </c>
      <c r="BI101" s="1422">
        <v>9599</v>
      </c>
    </row>
    <row r="102" spans="1:61" ht="12.75" customHeight="1" thickBot="1">
      <c r="A102" s="1418" t="s">
        <v>428</v>
      </c>
      <c r="B102" s="1418" t="s">
        <v>429</v>
      </c>
      <c r="C102" s="1419">
        <v>2123</v>
      </c>
      <c r="D102" s="1420">
        <v>457.32</v>
      </c>
      <c r="E102" s="1420">
        <v>2019.57</v>
      </c>
      <c r="F102" s="1421">
        <v>-0.03</v>
      </c>
      <c r="G102" s="1420">
        <v>2107.77</v>
      </c>
      <c r="H102" s="1420">
        <v>2134.91</v>
      </c>
      <c r="I102" s="1422">
        <v>182909161</v>
      </c>
      <c r="J102" s="1422">
        <v>25</v>
      </c>
      <c r="K102" s="1422">
        <v>25</v>
      </c>
      <c r="L102" s="1422">
        <v>0</v>
      </c>
      <c r="M102" s="1422">
        <v>0</v>
      </c>
      <c r="N102" s="1420">
        <v>12.65</v>
      </c>
      <c r="O102" s="1420">
        <v>37.65</v>
      </c>
      <c r="P102" s="1423">
        <v>12623549.42</v>
      </c>
      <c r="Q102" s="1424">
        <v>6504312.2199999997</v>
      </c>
      <c r="R102" s="1425">
        <f t="shared" si="11"/>
        <v>6504312.2199999997</v>
      </c>
      <c r="S102" s="1436">
        <v>8987.15</v>
      </c>
      <c r="T102" s="1427">
        <f t="shared" si="12"/>
        <v>8987.15</v>
      </c>
      <c r="U102" s="1428">
        <v>8460179</v>
      </c>
      <c r="V102" s="1422">
        <v>83485</v>
      </c>
      <c r="W102" s="1422">
        <v>24211</v>
      </c>
      <c r="X102" s="1422">
        <v>0</v>
      </c>
      <c r="Y102" s="1422">
        <v>0</v>
      </c>
      <c r="Z102" s="1422">
        <v>0</v>
      </c>
      <c r="AA102" s="1422">
        <v>0</v>
      </c>
      <c r="AB102" s="1422">
        <v>0</v>
      </c>
      <c r="AC102" s="1429">
        <v>0</v>
      </c>
      <c r="AD102" s="1422">
        <v>88300</v>
      </c>
      <c r="AE102" s="1420">
        <v>6163.63</v>
      </c>
      <c r="AF102" s="1422">
        <v>1250</v>
      </c>
      <c r="AG102" s="1422">
        <v>184095</v>
      </c>
      <c r="AH102" s="1422">
        <v>12599</v>
      </c>
      <c r="AI102" s="1422">
        <v>719200</v>
      </c>
      <c r="AJ102" s="1420">
        <v>101671.67</v>
      </c>
      <c r="AK102" s="1420">
        <v>133427.31</v>
      </c>
      <c r="AL102" s="1420">
        <v>7335.73</v>
      </c>
      <c r="AM102" s="1422">
        <v>50000</v>
      </c>
      <c r="AN102" s="1429">
        <v>0</v>
      </c>
      <c r="AO102" s="1422">
        <v>0</v>
      </c>
      <c r="AP102" s="1422">
        <v>109653</v>
      </c>
      <c r="AQ102" s="1430">
        <f t="shared" si="13"/>
        <v>9981570.3400000017</v>
      </c>
      <c r="AR102" s="1431">
        <v>3140043.07</v>
      </c>
      <c r="AS102" s="1432">
        <v>3407057.32</v>
      </c>
      <c r="AT102" s="1422">
        <v>0</v>
      </c>
      <c r="AU102" s="1422">
        <v>0</v>
      </c>
      <c r="AV102" s="1422">
        <v>0</v>
      </c>
      <c r="AW102" s="1422">
        <v>0</v>
      </c>
      <c r="AX102" s="1422">
        <v>0</v>
      </c>
      <c r="AY102" s="1420">
        <v>3407057.32</v>
      </c>
      <c r="AZ102" s="1420">
        <v>1021909.2</v>
      </c>
      <c r="BA102" s="1423">
        <f t="shared" si="14"/>
        <v>4428966.5199999996</v>
      </c>
      <c r="BB102" s="1420">
        <f t="shared" si="15"/>
        <v>24063879.299999997</v>
      </c>
      <c r="BC102" s="1433">
        <f t="shared" si="16"/>
        <v>11334.846585021194</v>
      </c>
      <c r="BD102" s="1433">
        <f t="shared" si="17"/>
        <v>3063.7363259538388</v>
      </c>
      <c r="BE102" s="1433">
        <f t="shared" si="18"/>
        <v>4.2332312764955251</v>
      </c>
      <c r="BF102" s="1433">
        <f t="shared" si="19"/>
        <v>4701.6346396608578</v>
      </c>
      <c r="BG102" s="1433">
        <f t="shared" si="20"/>
        <v>1479.0593829486575</v>
      </c>
      <c r="BH102" s="1434">
        <f t="shared" si="21"/>
        <v>2086.1830051813467</v>
      </c>
      <c r="BI102" s="1422">
        <v>8962</v>
      </c>
    </row>
    <row r="103" spans="1:61" ht="12.75" customHeight="1" thickBot="1">
      <c r="A103" s="1418" t="s">
        <v>430</v>
      </c>
      <c r="B103" s="1418" t="s">
        <v>431</v>
      </c>
      <c r="C103" s="1419">
        <v>452</v>
      </c>
      <c r="D103" s="1420">
        <v>73.08</v>
      </c>
      <c r="E103" s="1420">
        <v>438.75</v>
      </c>
      <c r="F103" s="1421">
        <v>0.12</v>
      </c>
      <c r="G103" s="1420">
        <v>455.04</v>
      </c>
      <c r="H103" s="1420">
        <v>474.03</v>
      </c>
      <c r="I103" s="1422">
        <v>21556823</v>
      </c>
      <c r="J103" s="1422">
        <v>25</v>
      </c>
      <c r="K103" s="1422">
        <v>25</v>
      </c>
      <c r="L103" s="1422">
        <v>0</v>
      </c>
      <c r="M103" s="1422">
        <v>0</v>
      </c>
      <c r="N103" s="1420">
        <v>15.8</v>
      </c>
      <c r="O103" s="1420">
        <v>40.799999999999997</v>
      </c>
      <c r="P103" s="1438">
        <v>3940000</v>
      </c>
      <c r="Q103" s="1424">
        <v>758357.5</v>
      </c>
      <c r="R103" s="1425">
        <f t="shared" si="11"/>
        <v>758357.5</v>
      </c>
      <c r="S103" s="1436">
        <v>2008.68</v>
      </c>
      <c r="T103" s="1427">
        <f t="shared" si="12"/>
        <v>2008.68</v>
      </c>
      <c r="U103" s="1428">
        <v>2343687</v>
      </c>
      <c r="V103" s="1422">
        <v>3406</v>
      </c>
      <c r="W103" s="1422">
        <v>0</v>
      </c>
      <c r="X103" s="1422">
        <v>29814</v>
      </c>
      <c r="Y103" s="1422">
        <v>0</v>
      </c>
      <c r="Z103" s="1422">
        <v>0</v>
      </c>
      <c r="AA103" s="1422">
        <v>0</v>
      </c>
      <c r="AB103" s="1422">
        <v>1190</v>
      </c>
      <c r="AC103" s="1429">
        <v>0</v>
      </c>
      <c r="AD103" s="1422">
        <v>19606</v>
      </c>
      <c r="AE103" s="1422">
        <v>0</v>
      </c>
      <c r="AF103" s="1422">
        <v>2100</v>
      </c>
      <c r="AG103" s="1422">
        <v>0</v>
      </c>
      <c r="AH103" s="1422">
        <v>0</v>
      </c>
      <c r="AI103" s="1422">
        <v>105152</v>
      </c>
      <c r="AJ103" s="1420">
        <v>1941.93</v>
      </c>
      <c r="AK103" s="1420">
        <v>9749.51</v>
      </c>
      <c r="AL103" s="1420">
        <v>1678.1</v>
      </c>
      <c r="AM103" s="1422">
        <v>0</v>
      </c>
      <c r="AN103" s="1429">
        <v>97200</v>
      </c>
      <c r="AO103" s="1422">
        <v>0</v>
      </c>
      <c r="AP103" s="1420">
        <v>620952.35</v>
      </c>
      <c r="AQ103" s="1430">
        <f t="shared" si="13"/>
        <v>3139276.89</v>
      </c>
      <c r="AR103" s="1431">
        <v>559383.12</v>
      </c>
      <c r="AS103" s="1432">
        <v>21379.85</v>
      </c>
      <c r="AT103" s="1422">
        <v>0</v>
      </c>
      <c r="AU103" s="1422">
        <v>0</v>
      </c>
      <c r="AV103" s="1422">
        <v>0</v>
      </c>
      <c r="AW103" s="1420">
        <v>5875.87</v>
      </c>
      <c r="AX103" s="1422">
        <v>0</v>
      </c>
      <c r="AY103" s="1420">
        <v>27255.72</v>
      </c>
      <c r="AZ103" s="1420">
        <v>343241.35</v>
      </c>
      <c r="BA103" s="1423">
        <f t="shared" si="14"/>
        <v>376372.94</v>
      </c>
      <c r="BB103" s="1420">
        <f t="shared" si="15"/>
        <v>4835399.1300000008</v>
      </c>
      <c r="BC103" s="1433">
        <f t="shared" si="16"/>
        <v>10697.78568584071</v>
      </c>
      <c r="BD103" s="1433">
        <f t="shared" si="17"/>
        <v>1677.7820796460178</v>
      </c>
      <c r="BE103" s="1433">
        <f t="shared" si="18"/>
        <v>4.4439823008849562</v>
      </c>
      <c r="BF103" s="1433">
        <f t="shared" si="19"/>
        <v>6945.3028539823008</v>
      </c>
      <c r="BG103" s="1433">
        <f t="shared" si="20"/>
        <v>1237.5732743362832</v>
      </c>
      <c r="BH103" s="1434">
        <f t="shared" si="21"/>
        <v>832.68349557522129</v>
      </c>
      <c r="BI103" s="1422">
        <v>8293</v>
      </c>
    </row>
    <row r="104" spans="1:61" ht="12.75" customHeight="1" thickBot="1">
      <c r="A104" s="1418" t="s">
        <v>432</v>
      </c>
      <c r="B104" s="1418" t="s">
        <v>433</v>
      </c>
      <c r="C104" s="1419">
        <v>550</v>
      </c>
      <c r="D104" s="1420">
        <v>227.68</v>
      </c>
      <c r="E104" s="1420">
        <v>514.19000000000005</v>
      </c>
      <c r="F104" s="1421">
        <v>-0.01</v>
      </c>
      <c r="G104" s="1420">
        <v>543.46</v>
      </c>
      <c r="H104" s="1420">
        <v>513.5</v>
      </c>
      <c r="I104" s="1422">
        <v>36102616</v>
      </c>
      <c r="J104" s="1422">
        <v>32</v>
      </c>
      <c r="K104" s="1422">
        <v>25</v>
      </c>
      <c r="L104" s="1422">
        <v>7</v>
      </c>
      <c r="M104" s="1422">
        <v>0</v>
      </c>
      <c r="N104" s="1422">
        <v>11</v>
      </c>
      <c r="O104" s="1422">
        <v>43</v>
      </c>
      <c r="P104" s="1438">
        <v>3223920</v>
      </c>
      <c r="Q104" s="1424">
        <v>1432205.55</v>
      </c>
      <c r="R104" s="1425">
        <f t="shared" si="11"/>
        <v>1432205.55</v>
      </c>
      <c r="S104" s="1426">
        <v>0</v>
      </c>
      <c r="T104" s="1427">
        <f t="shared" si="12"/>
        <v>0</v>
      </c>
      <c r="U104" s="1428">
        <v>2225096</v>
      </c>
      <c r="V104" s="1422">
        <v>32188</v>
      </c>
      <c r="W104" s="1422">
        <v>180344</v>
      </c>
      <c r="X104" s="1422">
        <v>0</v>
      </c>
      <c r="Y104" s="1422">
        <v>0</v>
      </c>
      <c r="Z104" s="1422">
        <v>0</v>
      </c>
      <c r="AA104" s="1422">
        <v>0</v>
      </c>
      <c r="AB104" s="1422">
        <v>0</v>
      </c>
      <c r="AC104" s="1429">
        <v>0</v>
      </c>
      <c r="AD104" s="1422">
        <v>21238</v>
      </c>
      <c r="AE104" s="1422">
        <v>0</v>
      </c>
      <c r="AF104" s="1422">
        <v>200</v>
      </c>
      <c r="AG104" s="1422">
        <v>813</v>
      </c>
      <c r="AH104" s="1422">
        <v>5567</v>
      </c>
      <c r="AI104" s="1422">
        <v>150288</v>
      </c>
      <c r="AJ104" s="1420">
        <v>25567.45</v>
      </c>
      <c r="AK104" s="1422">
        <v>3250</v>
      </c>
      <c r="AL104" s="1420">
        <v>2285.48</v>
      </c>
      <c r="AM104" s="1422">
        <v>0</v>
      </c>
      <c r="AN104" s="1429">
        <v>0</v>
      </c>
      <c r="AO104" s="1422">
        <v>0</v>
      </c>
      <c r="AP104" s="1420">
        <v>163634.14000000001</v>
      </c>
      <c r="AQ104" s="1430">
        <f t="shared" si="13"/>
        <v>2810471.0700000003</v>
      </c>
      <c r="AR104" s="1431">
        <v>883265.57</v>
      </c>
      <c r="AS104" s="1437">
        <v>0</v>
      </c>
      <c r="AT104" s="1422">
        <v>0</v>
      </c>
      <c r="AU104" s="1422">
        <v>0</v>
      </c>
      <c r="AV104" s="1422">
        <v>500</v>
      </c>
      <c r="AW104" s="1422">
        <v>0</v>
      </c>
      <c r="AX104" s="1422">
        <v>0</v>
      </c>
      <c r="AY104" s="1422">
        <v>500</v>
      </c>
      <c r="AZ104" s="1420">
        <v>372336.3</v>
      </c>
      <c r="BA104" s="1423">
        <f t="shared" si="14"/>
        <v>373336.3</v>
      </c>
      <c r="BB104" s="1420">
        <f t="shared" si="15"/>
        <v>5499278.4900000002</v>
      </c>
      <c r="BC104" s="1433">
        <f t="shared" si="16"/>
        <v>9998.6881636363632</v>
      </c>
      <c r="BD104" s="1433">
        <f t="shared" si="17"/>
        <v>2604.0100909090911</v>
      </c>
      <c r="BE104" s="1433">
        <f t="shared" si="18"/>
        <v>0</v>
      </c>
      <c r="BF104" s="1433">
        <f t="shared" si="19"/>
        <v>5109.9474000000009</v>
      </c>
      <c r="BG104" s="1433">
        <f t="shared" si="20"/>
        <v>1605.9373999999998</v>
      </c>
      <c r="BH104" s="1434">
        <f t="shared" si="21"/>
        <v>678.79327272727267</v>
      </c>
      <c r="BI104" s="1422">
        <v>8884</v>
      </c>
    </row>
    <row r="105" spans="1:61" ht="12.75" customHeight="1" thickBot="1">
      <c r="A105" s="1418" t="s">
        <v>434</v>
      </c>
      <c r="B105" s="1418" t="s">
        <v>435</v>
      </c>
      <c r="C105" s="1419">
        <v>482</v>
      </c>
      <c r="D105" s="1420">
        <v>263.51</v>
      </c>
      <c r="E105" s="1420">
        <v>467.78</v>
      </c>
      <c r="F105" s="1421">
        <v>-0.21</v>
      </c>
      <c r="G105" s="1420">
        <v>478.73</v>
      </c>
      <c r="H105" s="1420">
        <v>498.78</v>
      </c>
      <c r="I105" s="1422">
        <v>57839673</v>
      </c>
      <c r="J105" s="1422">
        <v>25</v>
      </c>
      <c r="K105" s="1422">
        <v>25</v>
      </c>
      <c r="L105" s="1422">
        <v>0</v>
      </c>
      <c r="M105" s="1422">
        <v>0</v>
      </c>
      <c r="N105" s="1422">
        <v>9</v>
      </c>
      <c r="O105" s="1422">
        <v>34</v>
      </c>
      <c r="P105" s="1423">
        <v>3489442.65</v>
      </c>
      <c r="Q105" s="1424">
        <v>1634618.03</v>
      </c>
      <c r="R105" s="1425">
        <f t="shared" si="11"/>
        <v>1634618.03</v>
      </c>
      <c r="S105" s="1426">
        <v>0</v>
      </c>
      <c r="T105" s="1427">
        <f t="shared" si="12"/>
        <v>0</v>
      </c>
      <c r="U105" s="1428">
        <v>1825580</v>
      </c>
      <c r="V105" s="1422">
        <v>51269</v>
      </c>
      <c r="W105" s="1422">
        <v>0</v>
      </c>
      <c r="X105" s="1422">
        <v>0</v>
      </c>
      <c r="Y105" s="1422">
        <v>0</v>
      </c>
      <c r="Z105" s="1422">
        <v>205014</v>
      </c>
      <c r="AA105" s="1422">
        <v>26875</v>
      </c>
      <c r="AB105" s="1422">
        <v>0</v>
      </c>
      <c r="AC105" s="1429">
        <v>0</v>
      </c>
      <c r="AD105" s="1422">
        <v>20630</v>
      </c>
      <c r="AE105" s="1420">
        <v>297204.96999999997</v>
      </c>
      <c r="AF105" s="1422">
        <v>50</v>
      </c>
      <c r="AG105" s="1422">
        <v>0</v>
      </c>
      <c r="AH105" s="1422">
        <v>1465</v>
      </c>
      <c r="AI105" s="1422">
        <v>436480</v>
      </c>
      <c r="AJ105" s="1420">
        <v>5891.34</v>
      </c>
      <c r="AK105" s="1422">
        <v>0</v>
      </c>
      <c r="AL105" s="1420">
        <v>2331.0100000000002</v>
      </c>
      <c r="AM105" s="1422">
        <v>0</v>
      </c>
      <c r="AN105" s="1429">
        <v>230633</v>
      </c>
      <c r="AO105" s="1422">
        <v>0</v>
      </c>
      <c r="AP105" s="1420">
        <v>18569.099999999999</v>
      </c>
      <c r="AQ105" s="1430">
        <f t="shared" si="13"/>
        <v>2891359.4199999995</v>
      </c>
      <c r="AR105" s="1431">
        <v>1257644.93</v>
      </c>
      <c r="AS105" s="1432">
        <v>1002425.6</v>
      </c>
      <c r="AT105" s="1422">
        <v>0</v>
      </c>
      <c r="AU105" s="1422">
        <v>0</v>
      </c>
      <c r="AV105" s="1422">
        <v>500</v>
      </c>
      <c r="AW105" s="1420">
        <v>10290.73</v>
      </c>
      <c r="AX105" s="1422">
        <v>0</v>
      </c>
      <c r="AY105" s="1420">
        <v>1013216.33</v>
      </c>
      <c r="AZ105" s="1420">
        <v>297956.86</v>
      </c>
      <c r="BA105" s="1423">
        <f t="shared" si="14"/>
        <v>1321963.92</v>
      </c>
      <c r="BB105" s="1420">
        <f t="shared" si="15"/>
        <v>7105586.2999999998</v>
      </c>
      <c r="BC105" s="1433">
        <f t="shared" si="16"/>
        <v>14741.880290456431</v>
      </c>
      <c r="BD105" s="1433">
        <f t="shared" si="17"/>
        <v>3391.3237136929461</v>
      </c>
      <c r="BE105" s="1433">
        <f t="shared" si="18"/>
        <v>0</v>
      </c>
      <c r="BF105" s="1433">
        <f t="shared" si="19"/>
        <v>5998.6709958506217</v>
      </c>
      <c r="BG105" s="1433">
        <f t="shared" si="20"/>
        <v>2609.221846473029</v>
      </c>
      <c r="BH105" s="1434">
        <f t="shared" si="21"/>
        <v>2742.6637344398337</v>
      </c>
      <c r="BI105" s="1422">
        <v>11097</v>
      </c>
    </row>
    <row r="106" spans="1:61" ht="12.75" customHeight="1" thickBot="1">
      <c r="A106" s="1418" t="s">
        <v>436</v>
      </c>
      <c r="B106" s="1418" t="s">
        <v>437</v>
      </c>
      <c r="C106" s="1419">
        <v>1951</v>
      </c>
      <c r="D106" s="1420">
        <v>237.09</v>
      </c>
      <c r="E106" s="1420">
        <v>1864.65</v>
      </c>
      <c r="F106" s="1421">
        <v>0.06</v>
      </c>
      <c r="G106" s="1420">
        <v>1938.51</v>
      </c>
      <c r="H106" s="1420">
        <v>1902.16</v>
      </c>
      <c r="I106" s="1422">
        <v>126391513</v>
      </c>
      <c r="J106" s="1422">
        <v>25</v>
      </c>
      <c r="K106" s="1422">
        <v>25</v>
      </c>
      <c r="L106" s="1422">
        <v>0</v>
      </c>
      <c r="M106" s="1422">
        <v>0</v>
      </c>
      <c r="N106" s="1420">
        <v>6.7</v>
      </c>
      <c r="O106" s="1420">
        <v>31.7</v>
      </c>
      <c r="P106" s="1423">
        <v>3122788.9</v>
      </c>
      <c r="Q106" s="1424">
        <v>3897846.31</v>
      </c>
      <c r="R106" s="1425">
        <f t="shared" si="11"/>
        <v>3897846.31</v>
      </c>
      <c r="S106" s="1426">
        <v>0</v>
      </c>
      <c r="T106" s="1427">
        <f t="shared" si="12"/>
        <v>0</v>
      </c>
      <c r="U106" s="1428">
        <v>8396051</v>
      </c>
      <c r="V106" s="1422">
        <v>99508</v>
      </c>
      <c r="W106" s="1422">
        <v>264362</v>
      </c>
      <c r="X106" s="1422">
        <v>0</v>
      </c>
      <c r="Y106" s="1422">
        <v>0</v>
      </c>
      <c r="Z106" s="1422">
        <v>0</v>
      </c>
      <c r="AA106" s="1422">
        <v>0</v>
      </c>
      <c r="AB106" s="1422">
        <v>0</v>
      </c>
      <c r="AC106" s="1429">
        <v>0</v>
      </c>
      <c r="AD106" s="1422">
        <v>78673</v>
      </c>
      <c r="AE106" s="1420">
        <v>2338.4</v>
      </c>
      <c r="AF106" s="1422">
        <v>50</v>
      </c>
      <c r="AG106" s="1422">
        <v>137329</v>
      </c>
      <c r="AH106" s="1422">
        <v>64460</v>
      </c>
      <c r="AI106" s="1422">
        <v>615536</v>
      </c>
      <c r="AJ106" s="1420">
        <v>103302.39999999999</v>
      </c>
      <c r="AK106" s="1420">
        <v>51458.559999999998</v>
      </c>
      <c r="AL106" s="1420">
        <v>8271.7199999999993</v>
      </c>
      <c r="AM106" s="1422">
        <v>0</v>
      </c>
      <c r="AN106" s="1429">
        <v>0</v>
      </c>
      <c r="AO106" s="1422">
        <v>0</v>
      </c>
      <c r="AP106" s="1422">
        <v>108296</v>
      </c>
      <c r="AQ106" s="1430">
        <f t="shared" si="13"/>
        <v>9929636.0800000019</v>
      </c>
      <c r="AR106" s="1431">
        <v>2920225.06</v>
      </c>
      <c r="AS106" s="1437">
        <v>258600</v>
      </c>
      <c r="AT106" s="1422">
        <v>0</v>
      </c>
      <c r="AU106" s="1420">
        <v>6663.94</v>
      </c>
      <c r="AV106" s="1422">
        <v>0</v>
      </c>
      <c r="AW106" s="1422">
        <v>0</v>
      </c>
      <c r="AX106" s="1422">
        <v>0</v>
      </c>
      <c r="AY106" s="1420">
        <v>265263.94</v>
      </c>
      <c r="AZ106" s="1420">
        <v>836140.74</v>
      </c>
      <c r="BA106" s="1423">
        <f t="shared" si="14"/>
        <v>1108068.6200000001</v>
      </c>
      <c r="BB106" s="1420">
        <f t="shared" si="15"/>
        <v>17855776.07</v>
      </c>
      <c r="BC106" s="1433">
        <f t="shared" si="16"/>
        <v>9152.1148487954888</v>
      </c>
      <c r="BD106" s="1433">
        <f t="shared" si="17"/>
        <v>1997.8709943618658</v>
      </c>
      <c r="BE106" s="1433">
        <f t="shared" si="18"/>
        <v>0</v>
      </c>
      <c r="BF106" s="1433">
        <f t="shared" si="19"/>
        <v>5089.5110609943631</v>
      </c>
      <c r="BG106" s="1433">
        <f t="shared" si="20"/>
        <v>1496.7837314197848</v>
      </c>
      <c r="BH106" s="1434">
        <f t="shared" si="21"/>
        <v>567.9490620194772</v>
      </c>
      <c r="BI106" s="1422">
        <v>8268</v>
      </c>
    </row>
    <row r="107" spans="1:61" ht="12.75" customHeight="1" thickBot="1">
      <c r="A107" s="1418" t="s">
        <v>438</v>
      </c>
      <c r="B107" s="1418" t="s">
        <v>439</v>
      </c>
      <c r="C107" s="1419">
        <v>2964</v>
      </c>
      <c r="D107" s="1420">
        <v>218.67</v>
      </c>
      <c r="E107" s="1420">
        <v>2787.38</v>
      </c>
      <c r="F107" s="1421">
        <v>0.02</v>
      </c>
      <c r="G107" s="1420">
        <v>2943.02</v>
      </c>
      <c r="H107" s="1420">
        <v>2869.51</v>
      </c>
      <c r="I107" s="1422">
        <v>240921103</v>
      </c>
      <c r="J107" s="1420">
        <v>28.9</v>
      </c>
      <c r="K107" s="1422">
        <v>25</v>
      </c>
      <c r="L107" s="1420">
        <v>3.9</v>
      </c>
      <c r="M107" s="1422">
        <v>0</v>
      </c>
      <c r="N107" s="1420">
        <v>9.85</v>
      </c>
      <c r="O107" s="1420">
        <v>38.75</v>
      </c>
      <c r="P107" s="1438">
        <v>24995000</v>
      </c>
      <c r="Q107" s="1424">
        <v>8768382.8000000007</v>
      </c>
      <c r="R107" s="1425">
        <f t="shared" si="11"/>
        <v>8768382.8000000007</v>
      </c>
      <c r="S107" s="1436">
        <v>3332.33</v>
      </c>
      <c r="T107" s="1427">
        <f t="shared" si="12"/>
        <v>3332.33</v>
      </c>
      <c r="U107" s="1428">
        <v>11667007</v>
      </c>
      <c r="V107" s="1422">
        <v>49463</v>
      </c>
      <c r="W107" s="1422">
        <v>449120</v>
      </c>
      <c r="X107" s="1422">
        <v>0</v>
      </c>
      <c r="Y107" s="1422">
        <v>697617</v>
      </c>
      <c r="Z107" s="1422">
        <v>0</v>
      </c>
      <c r="AA107" s="1422">
        <v>18008</v>
      </c>
      <c r="AB107" s="1422">
        <v>0</v>
      </c>
      <c r="AC107" s="1429">
        <v>0</v>
      </c>
      <c r="AD107" s="1422">
        <v>118683</v>
      </c>
      <c r="AE107" s="1420">
        <v>22138.69</v>
      </c>
      <c r="AF107" s="1422">
        <v>2450</v>
      </c>
      <c r="AG107" s="1422">
        <v>172231</v>
      </c>
      <c r="AH107" s="1422">
        <v>87607</v>
      </c>
      <c r="AI107" s="1422">
        <v>799056</v>
      </c>
      <c r="AJ107" s="1420">
        <v>962375.71</v>
      </c>
      <c r="AK107" s="1422">
        <v>4550</v>
      </c>
      <c r="AL107" s="1420">
        <v>11136.27</v>
      </c>
      <c r="AM107" s="1422">
        <v>0</v>
      </c>
      <c r="AN107" s="1429">
        <v>840362</v>
      </c>
      <c r="AO107" s="1422">
        <v>0</v>
      </c>
      <c r="AP107" s="1422">
        <v>161837</v>
      </c>
      <c r="AQ107" s="1430">
        <f t="shared" si="13"/>
        <v>15223279.669999998</v>
      </c>
      <c r="AR107" s="1431">
        <v>5495958.2000000002</v>
      </c>
      <c r="AS107" s="1432">
        <v>4914577.13</v>
      </c>
      <c r="AT107" s="1422">
        <v>0</v>
      </c>
      <c r="AU107" s="1422">
        <v>0</v>
      </c>
      <c r="AV107" s="1422">
        <v>0</v>
      </c>
      <c r="AW107" s="1420">
        <v>3885.04</v>
      </c>
      <c r="AX107" s="1422">
        <v>0</v>
      </c>
      <c r="AY107" s="1420">
        <v>4918462.17</v>
      </c>
      <c r="AZ107" s="1420">
        <v>2063287.25</v>
      </c>
      <c r="BA107" s="1423">
        <f t="shared" si="14"/>
        <v>6985634.46</v>
      </c>
      <c r="BB107" s="1420">
        <f t="shared" si="15"/>
        <v>36476587.459999993</v>
      </c>
      <c r="BC107" s="1433">
        <f t="shared" si="16"/>
        <v>12306.540978407555</v>
      </c>
      <c r="BD107" s="1433">
        <f t="shared" si="17"/>
        <v>2958.2937921727398</v>
      </c>
      <c r="BE107" s="1433">
        <f t="shared" si="18"/>
        <v>1.1242678812415654</v>
      </c>
      <c r="BF107" s="1433">
        <f t="shared" si="19"/>
        <v>5136.0592678812409</v>
      </c>
      <c r="BG107" s="1433">
        <f t="shared" si="20"/>
        <v>1854.2369095816464</v>
      </c>
      <c r="BH107" s="1434">
        <f t="shared" si="21"/>
        <v>2356.8267408906881</v>
      </c>
      <c r="BI107" s="1422">
        <v>9043</v>
      </c>
    </row>
    <row r="108" spans="1:61" ht="12.75" customHeight="1" thickBot="1">
      <c r="A108" s="1418" t="s">
        <v>440</v>
      </c>
      <c r="B108" s="1418" t="s">
        <v>441</v>
      </c>
      <c r="C108" s="1419">
        <v>1512</v>
      </c>
      <c r="D108" s="1420">
        <v>52.27</v>
      </c>
      <c r="E108" s="1420">
        <v>1445.79</v>
      </c>
      <c r="F108" s="1421">
        <v>0.09</v>
      </c>
      <c r="G108" s="1420">
        <v>1513.93</v>
      </c>
      <c r="H108" s="1420">
        <v>1507.61</v>
      </c>
      <c r="I108" s="1422">
        <v>52712627</v>
      </c>
      <c r="J108" s="1422">
        <v>25</v>
      </c>
      <c r="K108" s="1422">
        <v>25</v>
      </c>
      <c r="L108" s="1422">
        <v>0</v>
      </c>
      <c r="M108" s="1422">
        <v>0</v>
      </c>
      <c r="N108" s="1420">
        <v>15.2</v>
      </c>
      <c r="O108" s="1420">
        <v>40.200000000000003</v>
      </c>
      <c r="P108" s="1423">
        <v>8283512.3300000001</v>
      </c>
      <c r="Q108" s="1424">
        <v>1944084.91</v>
      </c>
      <c r="R108" s="1425">
        <f t="shared" si="11"/>
        <v>1944084.91</v>
      </c>
      <c r="S108" s="1436">
        <v>1647.13</v>
      </c>
      <c r="T108" s="1427">
        <f t="shared" si="12"/>
        <v>1647.13</v>
      </c>
      <c r="U108" s="1428">
        <v>7871450</v>
      </c>
      <c r="V108" s="1422">
        <v>0</v>
      </c>
      <c r="W108" s="1422">
        <v>45955</v>
      </c>
      <c r="X108" s="1422">
        <v>0</v>
      </c>
      <c r="Y108" s="1422">
        <v>0</v>
      </c>
      <c r="Z108" s="1422">
        <v>0</v>
      </c>
      <c r="AA108" s="1422">
        <v>99156</v>
      </c>
      <c r="AB108" s="1422">
        <v>0</v>
      </c>
      <c r="AC108" s="1429">
        <v>4732</v>
      </c>
      <c r="AD108" s="1422">
        <v>62355</v>
      </c>
      <c r="AE108" s="1420">
        <v>7448.92</v>
      </c>
      <c r="AF108" s="1422">
        <v>2204</v>
      </c>
      <c r="AG108" s="1422">
        <v>22997</v>
      </c>
      <c r="AH108" s="1422">
        <v>8497</v>
      </c>
      <c r="AI108" s="1422">
        <v>461280</v>
      </c>
      <c r="AJ108" s="1420">
        <v>248006.63</v>
      </c>
      <c r="AK108" s="1420">
        <v>3611.98</v>
      </c>
      <c r="AL108" s="1420">
        <v>5873.26</v>
      </c>
      <c r="AM108" s="1422">
        <v>0</v>
      </c>
      <c r="AN108" s="1429">
        <v>513250</v>
      </c>
      <c r="AO108" s="1422">
        <v>0</v>
      </c>
      <c r="AP108" s="1420">
        <v>565906.19999999995</v>
      </c>
      <c r="AQ108" s="1430">
        <f t="shared" si="13"/>
        <v>9404740.9900000002</v>
      </c>
      <c r="AR108" s="1431">
        <v>2705822.74</v>
      </c>
      <c r="AS108" s="1432">
        <v>2009340.5</v>
      </c>
      <c r="AT108" s="1422">
        <v>0</v>
      </c>
      <c r="AU108" s="1420">
        <v>3617.07</v>
      </c>
      <c r="AV108" s="1420">
        <v>3211.58</v>
      </c>
      <c r="AW108" s="1422">
        <v>0</v>
      </c>
      <c r="AX108" s="1422">
        <v>0</v>
      </c>
      <c r="AY108" s="1420">
        <v>2016169.15</v>
      </c>
      <c r="AZ108" s="1420">
        <v>898487.37</v>
      </c>
      <c r="BA108" s="1423">
        <f t="shared" si="14"/>
        <v>2921485.17</v>
      </c>
      <c r="BB108" s="1420">
        <f t="shared" si="15"/>
        <v>16977780.940000001</v>
      </c>
      <c r="BC108" s="1433">
        <f t="shared" si="16"/>
        <v>11228.691097883599</v>
      </c>
      <c r="BD108" s="1433">
        <f t="shared" si="17"/>
        <v>1285.770443121693</v>
      </c>
      <c r="BE108" s="1433">
        <f t="shared" si="18"/>
        <v>1.0893716931216932</v>
      </c>
      <c r="BF108" s="1433">
        <f t="shared" si="19"/>
        <v>6220.0667923280425</v>
      </c>
      <c r="BG108" s="1433">
        <f t="shared" si="20"/>
        <v>1789.5653042328045</v>
      </c>
      <c r="BH108" s="1434">
        <f t="shared" si="21"/>
        <v>1932.1991865079365</v>
      </c>
      <c r="BI108" s="1422">
        <v>8404</v>
      </c>
    </row>
    <row r="109" spans="1:61" ht="12.75" customHeight="1" thickBot="1">
      <c r="A109" s="1418" t="s">
        <v>442</v>
      </c>
      <c r="B109" s="1418" t="s">
        <v>443</v>
      </c>
      <c r="C109" s="1419">
        <v>522</v>
      </c>
      <c r="D109" s="1420">
        <v>166.38</v>
      </c>
      <c r="E109" s="1420">
        <v>499.66</v>
      </c>
      <c r="F109" s="1421">
        <v>-7.0000000000000007E-2</v>
      </c>
      <c r="G109" s="1420">
        <v>520.54999999999995</v>
      </c>
      <c r="H109" s="1420">
        <v>514.75</v>
      </c>
      <c r="I109" s="1422">
        <v>49693644</v>
      </c>
      <c r="J109" s="1420">
        <v>33.39</v>
      </c>
      <c r="K109" s="1422">
        <v>25</v>
      </c>
      <c r="L109" s="1420">
        <v>8.39</v>
      </c>
      <c r="M109" s="1422">
        <v>0</v>
      </c>
      <c r="N109" s="1420">
        <v>5.41</v>
      </c>
      <c r="O109" s="1420">
        <v>38.799999999999997</v>
      </c>
      <c r="P109" s="1423">
        <v>1123785.78</v>
      </c>
      <c r="Q109" s="1424">
        <v>1592050.52</v>
      </c>
      <c r="R109" s="1425">
        <f t="shared" si="11"/>
        <v>1592050.52</v>
      </c>
      <c r="S109" s="1436">
        <v>618.54999999999995</v>
      </c>
      <c r="T109" s="1427">
        <f t="shared" si="12"/>
        <v>618.54999999999995</v>
      </c>
      <c r="U109" s="1428">
        <v>2161700</v>
      </c>
      <c r="V109" s="1422">
        <v>39475</v>
      </c>
      <c r="W109" s="1422">
        <v>38291</v>
      </c>
      <c r="X109" s="1422">
        <v>0</v>
      </c>
      <c r="Y109" s="1422">
        <v>0</v>
      </c>
      <c r="Z109" s="1422">
        <v>0</v>
      </c>
      <c r="AA109" s="1422">
        <v>13361</v>
      </c>
      <c r="AB109" s="1422">
        <v>0</v>
      </c>
      <c r="AC109" s="1429">
        <v>0</v>
      </c>
      <c r="AD109" s="1422">
        <v>21290</v>
      </c>
      <c r="AE109" s="1422">
        <v>3600</v>
      </c>
      <c r="AF109" s="1422">
        <v>0</v>
      </c>
      <c r="AG109" s="1422">
        <v>37623</v>
      </c>
      <c r="AH109" s="1422">
        <v>0</v>
      </c>
      <c r="AI109" s="1422">
        <v>164672</v>
      </c>
      <c r="AJ109" s="1420">
        <v>82470.11</v>
      </c>
      <c r="AK109" s="1420">
        <v>7854.28</v>
      </c>
      <c r="AL109" s="1420">
        <v>8576.4699999999993</v>
      </c>
      <c r="AM109" s="1422">
        <v>0</v>
      </c>
      <c r="AN109" s="1429">
        <v>303000</v>
      </c>
      <c r="AO109" s="1422">
        <v>0</v>
      </c>
      <c r="AP109" s="1420">
        <v>18789.080000000002</v>
      </c>
      <c r="AQ109" s="1430">
        <f t="shared" si="13"/>
        <v>2597701.94</v>
      </c>
      <c r="AR109" s="1431">
        <v>852348.72</v>
      </c>
      <c r="AS109" s="1437">
        <v>0</v>
      </c>
      <c r="AT109" s="1422">
        <v>0</v>
      </c>
      <c r="AU109" s="1422">
        <v>0</v>
      </c>
      <c r="AV109" s="1422">
        <v>0</v>
      </c>
      <c r="AW109" s="1422">
        <v>0</v>
      </c>
      <c r="AX109" s="1422">
        <v>0</v>
      </c>
      <c r="AY109" s="1422">
        <v>0</v>
      </c>
      <c r="AZ109" s="1420">
        <v>259280.95</v>
      </c>
      <c r="BA109" s="1423">
        <f t="shared" si="14"/>
        <v>259280.95</v>
      </c>
      <c r="BB109" s="1420">
        <f t="shared" si="15"/>
        <v>5302000.68</v>
      </c>
      <c r="BC109" s="1433">
        <f t="shared" si="16"/>
        <v>10157.089425287355</v>
      </c>
      <c r="BD109" s="1433">
        <f t="shared" si="17"/>
        <v>3049.9052107279695</v>
      </c>
      <c r="BE109" s="1433">
        <f t="shared" si="18"/>
        <v>1.1849616858237546</v>
      </c>
      <c r="BF109" s="1433">
        <f t="shared" si="19"/>
        <v>4976.440498084291</v>
      </c>
      <c r="BG109" s="1433">
        <f t="shared" si="20"/>
        <v>1632.8519540229884</v>
      </c>
      <c r="BH109" s="1434">
        <f t="shared" si="21"/>
        <v>496.70680076628355</v>
      </c>
      <c r="BI109" s="1422">
        <v>8374</v>
      </c>
    </row>
    <row r="110" spans="1:61" ht="12.75" customHeight="1" thickBot="1">
      <c r="A110" s="1418" t="s">
        <v>444</v>
      </c>
      <c r="B110" s="1418" t="s">
        <v>445</v>
      </c>
      <c r="C110" s="1419">
        <v>833</v>
      </c>
      <c r="D110" s="1420">
        <v>270.54000000000002</v>
      </c>
      <c r="E110" s="1420">
        <v>784.16</v>
      </c>
      <c r="F110" s="1421">
        <v>7.0000000000000007E-2</v>
      </c>
      <c r="G110" s="1420">
        <v>828.93</v>
      </c>
      <c r="H110" s="1420">
        <v>831.65</v>
      </c>
      <c r="I110" s="1422">
        <v>141616799</v>
      </c>
      <c r="J110" s="1420">
        <v>34.9</v>
      </c>
      <c r="K110" s="1422">
        <v>25</v>
      </c>
      <c r="L110" s="1420">
        <v>9.9</v>
      </c>
      <c r="M110" s="1422">
        <v>0</v>
      </c>
      <c r="N110" s="1420">
        <v>3.3</v>
      </c>
      <c r="O110" s="1420">
        <v>38.200000000000003</v>
      </c>
      <c r="P110" s="1423">
        <v>3327486.84</v>
      </c>
      <c r="Q110" s="1424">
        <v>5275596.5599999996</v>
      </c>
      <c r="R110" s="1425">
        <f t="shared" si="11"/>
        <v>5275596.5599999996</v>
      </c>
      <c r="S110" s="1436">
        <v>922.77</v>
      </c>
      <c r="T110" s="1427">
        <f t="shared" si="12"/>
        <v>922.77</v>
      </c>
      <c r="U110" s="1428">
        <v>1602132</v>
      </c>
      <c r="V110" s="1422">
        <v>36155</v>
      </c>
      <c r="W110" s="1422">
        <v>72848</v>
      </c>
      <c r="X110" s="1422">
        <v>0</v>
      </c>
      <c r="Y110" s="1422">
        <v>0</v>
      </c>
      <c r="Z110" s="1422">
        <v>32848</v>
      </c>
      <c r="AA110" s="1422">
        <v>17965</v>
      </c>
      <c r="AB110" s="1422">
        <v>0</v>
      </c>
      <c r="AC110" s="1429">
        <v>0</v>
      </c>
      <c r="AD110" s="1422">
        <v>34397</v>
      </c>
      <c r="AE110" s="1420">
        <v>28564.29</v>
      </c>
      <c r="AF110" s="1422">
        <v>150</v>
      </c>
      <c r="AG110" s="1422">
        <v>9832</v>
      </c>
      <c r="AH110" s="1422">
        <v>0</v>
      </c>
      <c r="AI110" s="1422">
        <v>240064</v>
      </c>
      <c r="AJ110" s="1420">
        <v>182498.72</v>
      </c>
      <c r="AK110" s="1422">
        <v>0</v>
      </c>
      <c r="AL110" s="1420">
        <v>3235.85</v>
      </c>
      <c r="AM110" s="1422">
        <v>0</v>
      </c>
      <c r="AN110" s="1429">
        <v>391040</v>
      </c>
      <c r="AO110" s="1422">
        <v>0</v>
      </c>
      <c r="AP110" s="1422">
        <v>36450</v>
      </c>
      <c r="AQ110" s="1430">
        <f t="shared" si="13"/>
        <v>2297139.8600000003</v>
      </c>
      <c r="AR110" s="1431">
        <v>1361221.1</v>
      </c>
      <c r="AS110" s="1437">
        <v>478700</v>
      </c>
      <c r="AT110" s="1422">
        <v>0</v>
      </c>
      <c r="AU110" s="1422">
        <v>0</v>
      </c>
      <c r="AV110" s="1422">
        <v>1000</v>
      </c>
      <c r="AW110" s="1422">
        <v>14620</v>
      </c>
      <c r="AX110" s="1422">
        <v>0</v>
      </c>
      <c r="AY110" s="1422">
        <v>494320</v>
      </c>
      <c r="AZ110" s="1420">
        <v>681759.37</v>
      </c>
      <c r="BA110" s="1423">
        <f t="shared" si="14"/>
        <v>1191699.3700000001</v>
      </c>
      <c r="BB110" s="1420">
        <f t="shared" si="15"/>
        <v>10126579.66</v>
      </c>
      <c r="BC110" s="1433">
        <f t="shared" si="16"/>
        <v>12156.758295318128</v>
      </c>
      <c r="BD110" s="1433">
        <f t="shared" si="17"/>
        <v>6333.2491716686673</v>
      </c>
      <c r="BE110" s="1433">
        <f t="shared" si="18"/>
        <v>1.107767106842737</v>
      </c>
      <c r="BF110" s="1433">
        <f t="shared" si="19"/>
        <v>2757.6709003601445</v>
      </c>
      <c r="BG110" s="1433">
        <f t="shared" si="20"/>
        <v>1634.1189675870348</v>
      </c>
      <c r="BH110" s="1434">
        <f t="shared" si="21"/>
        <v>1430.6114885954382</v>
      </c>
      <c r="BI110" s="1422">
        <v>10423</v>
      </c>
    </row>
    <row r="111" spans="1:61" ht="12.75" customHeight="1" thickBot="1">
      <c r="A111" s="1418" t="s">
        <v>446</v>
      </c>
      <c r="B111" s="1418" t="s">
        <v>447</v>
      </c>
      <c r="C111" s="1419">
        <v>418</v>
      </c>
      <c r="D111" s="1420">
        <v>192.65</v>
      </c>
      <c r="E111" s="1420">
        <v>394.84</v>
      </c>
      <c r="F111" s="1421">
        <v>-0.13</v>
      </c>
      <c r="G111" s="1420">
        <v>419.37</v>
      </c>
      <c r="H111" s="1420">
        <v>407.59</v>
      </c>
      <c r="I111" s="1422">
        <v>30336500</v>
      </c>
      <c r="J111" s="1422">
        <v>25</v>
      </c>
      <c r="K111" s="1422">
        <v>25</v>
      </c>
      <c r="L111" s="1422">
        <v>0</v>
      </c>
      <c r="M111" s="1422">
        <v>0</v>
      </c>
      <c r="N111" s="1420">
        <v>17.3</v>
      </c>
      <c r="O111" s="1420">
        <v>42.3</v>
      </c>
      <c r="P111" s="1423">
        <v>3914044.17</v>
      </c>
      <c r="Q111" s="1424">
        <v>1151685.44</v>
      </c>
      <c r="R111" s="1425">
        <f t="shared" si="11"/>
        <v>1151685.44</v>
      </c>
      <c r="S111" s="1436">
        <v>1211.55</v>
      </c>
      <c r="T111" s="1427">
        <f t="shared" si="12"/>
        <v>1211.55</v>
      </c>
      <c r="U111" s="1428">
        <v>1710510</v>
      </c>
      <c r="V111" s="1422">
        <v>33779</v>
      </c>
      <c r="W111" s="1422">
        <v>70906</v>
      </c>
      <c r="X111" s="1422">
        <v>0</v>
      </c>
      <c r="Y111" s="1422">
        <v>0</v>
      </c>
      <c r="Z111" s="1422">
        <v>0</v>
      </c>
      <c r="AA111" s="1422">
        <v>0</v>
      </c>
      <c r="AB111" s="1422">
        <v>0</v>
      </c>
      <c r="AC111" s="1429">
        <v>0</v>
      </c>
      <c r="AD111" s="1422">
        <v>16858</v>
      </c>
      <c r="AE111" s="1422">
        <v>5200</v>
      </c>
      <c r="AF111" s="1422">
        <v>500</v>
      </c>
      <c r="AG111" s="1422">
        <v>4510</v>
      </c>
      <c r="AH111" s="1422">
        <v>0</v>
      </c>
      <c r="AI111" s="1422">
        <v>118048</v>
      </c>
      <c r="AJ111" s="1420">
        <v>1669.76</v>
      </c>
      <c r="AK111" s="1422">
        <v>0</v>
      </c>
      <c r="AL111" s="1420">
        <v>1605.05</v>
      </c>
      <c r="AM111" s="1422">
        <v>0</v>
      </c>
      <c r="AN111" s="1429">
        <v>0</v>
      </c>
      <c r="AO111" s="1422">
        <v>0</v>
      </c>
      <c r="AP111" s="1422">
        <v>41597</v>
      </c>
      <c r="AQ111" s="1430">
        <f t="shared" si="13"/>
        <v>2005182.81</v>
      </c>
      <c r="AR111" s="1431">
        <v>1202673.2</v>
      </c>
      <c r="AS111" s="1437">
        <v>0</v>
      </c>
      <c r="AT111" s="1422">
        <v>0</v>
      </c>
      <c r="AU111" s="1422">
        <v>0</v>
      </c>
      <c r="AV111" s="1422">
        <v>0</v>
      </c>
      <c r="AW111" s="1420">
        <v>8359.7199999999993</v>
      </c>
      <c r="AX111" s="1422">
        <v>0</v>
      </c>
      <c r="AY111" s="1420">
        <v>8359.7199999999993</v>
      </c>
      <c r="AZ111" s="1420">
        <v>317119.28999999998</v>
      </c>
      <c r="BA111" s="1423">
        <f t="shared" si="14"/>
        <v>333838.73</v>
      </c>
      <c r="BB111" s="1420">
        <f t="shared" si="15"/>
        <v>4694591.7300000004</v>
      </c>
      <c r="BC111" s="1433">
        <f t="shared" si="16"/>
        <v>11231.080693779906</v>
      </c>
      <c r="BD111" s="1433">
        <f t="shared" si="17"/>
        <v>2755.2283253588516</v>
      </c>
      <c r="BE111" s="1433">
        <f t="shared" si="18"/>
        <v>2.8984449760765547</v>
      </c>
      <c r="BF111" s="1433">
        <f t="shared" si="19"/>
        <v>4797.0880622009572</v>
      </c>
      <c r="BG111" s="1433">
        <f t="shared" si="20"/>
        <v>2877.2086124401912</v>
      </c>
      <c r="BH111" s="1434">
        <f t="shared" si="21"/>
        <v>798.65724880382766</v>
      </c>
      <c r="BI111" s="1422">
        <v>9766</v>
      </c>
    </row>
    <row r="112" spans="1:61" ht="12.75" customHeight="1" thickBot="1">
      <c r="A112" s="1418" t="s">
        <v>448</v>
      </c>
      <c r="B112" s="1418" t="s">
        <v>449</v>
      </c>
      <c r="C112" s="1419">
        <v>919</v>
      </c>
      <c r="D112" s="1420">
        <v>257.55</v>
      </c>
      <c r="E112" s="1420">
        <v>868.55</v>
      </c>
      <c r="F112" s="1421">
        <v>0.05</v>
      </c>
      <c r="G112" s="1420">
        <v>907.44</v>
      </c>
      <c r="H112" s="1420">
        <v>905.58</v>
      </c>
      <c r="I112" s="1422">
        <v>64308002</v>
      </c>
      <c r="J112" s="1420">
        <v>25.12</v>
      </c>
      <c r="K112" s="1422">
        <v>25</v>
      </c>
      <c r="L112" s="1420">
        <v>0.12</v>
      </c>
      <c r="M112" s="1422">
        <v>0</v>
      </c>
      <c r="N112" s="1420">
        <v>13.1</v>
      </c>
      <c r="O112" s="1420">
        <v>38.22</v>
      </c>
      <c r="P112" s="1438">
        <v>6985000</v>
      </c>
      <c r="Q112" s="1424">
        <v>2196386.42</v>
      </c>
      <c r="R112" s="1425">
        <f t="shared" si="11"/>
        <v>2196386.42</v>
      </c>
      <c r="S112" s="1426">
        <v>0</v>
      </c>
      <c r="T112" s="1427">
        <f t="shared" si="12"/>
        <v>0</v>
      </c>
      <c r="U112" s="1428">
        <v>3932899</v>
      </c>
      <c r="V112" s="1422">
        <v>92855</v>
      </c>
      <c r="W112" s="1422">
        <v>56923</v>
      </c>
      <c r="X112" s="1422">
        <v>0</v>
      </c>
      <c r="Y112" s="1422">
        <v>0</v>
      </c>
      <c r="Z112" s="1422">
        <v>134362</v>
      </c>
      <c r="AA112" s="1422">
        <v>0</v>
      </c>
      <c r="AB112" s="1420">
        <v>44818.66</v>
      </c>
      <c r="AC112" s="1429">
        <v>0</v>
      </c>
      <c r="AD112" s="1422">
        <v>37455</v>
      </c>
      <c r="AE112" s="1422">
        <v>387456</v>
      </c>
      <c r="AF112" s="1422">
        <v>2600</v>
      </c>
      <c r="AG112" s="1422">
        <v>17552</v>
      </c>
      <c r="AH112" s="1422">
        <v>0</v>
      </c>
      <c r="AI112" s="1422">
        <v>263872</v>
      </c>
      <c r="AJ112" s="1420">
        <v>73304.39</v>
      </c>
      <c r="AK112" s="1420">
        <v>29858.959999999999</v>
      </c>
      <c r="AL112" s="1420">
        <v>3548.46</v>
      </c>
      <c r="AM112" s="1422">
        <v>0</v>
      </c>
      <c r="AN112" s="1429">
        <v>97700</v>
      </c>
      <c r="AO112" s="1422">
        <v>0</v>
      </c>
      <c r="AP112" s="1422">
        <v>31074</v>
      </c>
      <c r="AQ112" s="1430">
        <f t="shared" si="13"/>
        <v>5108578.47</v>
      </c>
      <c r="AR112" s="1431">
        <v>1412196.89</v>
      </c>
      <c r="AS112" s="1432">
        <v>123189.14</v>
      </c>
      <c r="AT112" s="1422">
        <v>0</v>
      </c>
      <c r="AU112" s="1422">
        <v>0</v>
      </c>
      <c r="AV112" s="1422">
        <v>0</v>
      </c>
      <c r="AW112" s="1422">
        <v>0</v>
      </c>
      <c r="AX112" s="1422">
        <v>0</v>
      </c>
      <c r="AY112" s="1420">
        <v>123189.14</v>
      </c>
      <c r="AZ112" s="1420">
        <v>405663.8</v>
      </c>
      <c r="BA112" s="1423">
        <f t="shared" si="14"/>
        <v>528852.93999999994</v>
      </c>
      <c r="BB112" s="1420">
        <f t="shared" si="15"/>
        <v>9246014.7199999988</v>
      </c>
      <c r="BC112" s="1433">
        <f t="shared" si="16"/>
        <v>10060.951817192599</v>
      </c>
      <c r="BD112" s="1433">
        <f t="shared" si="17"/>
        <v>2389.9743416757342</v>
      </c>
      <c r="BE112" s="1433">
        <f t="shared" si="18"/>
        <v>0</v>
      </c>
      <c r="BF112" s="1433">
        <f t="shared" si="19"/>
        <v>5558.8449075081608</v>
      </c>
      <c r="BG112" s="1433">
        <f t="shared" si="20"/>
        <v>1536.6669096844396</v>
      </c>
      <c r="BH112" s="1434">
        <f t="shared" si="21"/>
        <v>575.46565832426541</v>
      </c>
      <c r="BI112" s="1422">
        <v>7910</v>
      </c>
    </row>
    <row r="113" spans="1:61" ht="12.75" customHeight="1" thickBot="1">
      <c r="A113" s="1418" t="s">
        <v>450</v>
      </c>
      <c r="B113" s="1418" t="s">
        <v>451</v>
      </c>
      <c r="C113" s="1419">
        <v>510</v>
      </c>
      <c r="D113" s="1420">
        <v>180.17</v>
      </c>
      <c r="E113" s="1420">
        <v>479.01</v>
      </c>
      <c r="F113" s="1421">
        <v>-0.05</v>
      </c>
      <c r="G113" s="1422">
        <v>512</v>
      </c>
      <c r="H113" s="1420">
        <v>517.44000000000005</v>
      </c>
      <c r="I113" s="1422">
        <v>51230561</v>
      </c>
      <c r="J113" s="1422">
        <v>25</v>
      </c>
      <c r="K113" s="1422">
        <v>25</v>
      </c>
      <c r="L113" s="1422">
        <v>0</v>
      </c>
      <c r="M113" s="1422">
        <v>0</v>
      </c>
      <c r="N113" s="1422">
        <v>11</v>
      </c>
      <c r="O113" s="1422">
        <v>36</v>
      </c>
      <c r="P113" s="1423">
        <v>3887296.18</v>
      </c>
      <c r="Q113" s="1424">
        <v>1655806.61</v>
      </c>
      <c r="R113" s="1425">
        <f t="shared" si="11"/>
        <v>1655806.61</v>
      </c>
      <c r="S113" s="1426">
        <v>0</v>
      </c>
      <c r="T113" s="1427">
        <f t="shared" si="12"/>
        <v>0</v>
      </c>
      <c r="U113" s="1428">
        <v>1900034</v>
      </c>
      <c r="V113" s="1422">
        <v>78148</v>
      </c>
      <c r="W113" s="1422">
        <v>60725</v>
      </c>
      <c r="X113" s="1422">
        <v>0</v>
      </c>
      <c r="Y113" s="1422">
        <v>0</v>
      </c>
      <c r="Z113" s="1422">
        <v>0</v>
      </c>
      <c r="AA113" s="1422">
        <v>0</v>
      </c>
      <c r="AB113" s="1422">
        <v>0</v>
      </c>
      <c r="AC113" s="1429">
        <v>0</v>
      </c>
      <c r="AD113" s="1422">
        <v>21401</v>
      </c>
      <c r="AE113" s="1420">
        <v>3523.68</v>
      </c>
      <c r="AF113" s="1422">
        <v>100</v>
      </c>
      <c r="AG113" s="1422">
        <v>62448</v>
      </c>
      <c r="AH113" s="1422">
        <v>0</v>
      </c>
      <c r="AI113" s="1422">
        <v>387872</v>
      </c>
      <c r="AJ113" s="1420">
        <v>95568.12</v>
      </c>
      <c r="AK113" s="1422">
        <v>0</v>
      </c>
      <c r="AL113" s="1420">
        <v>2361.21</v>
      </c>
      <c r="AM113" s="1422">
        <v>0</v>
      </c>
      <c r="AN113" s="1429">
        <v>145800</v>
      </c>
      <c r="AO113" s="1422">
        <v>0</v>
      </c>
      <c r="AP113" s="1420">
        <v>37595.83</v>
      </c>
      <c r="AQ113" s="1430">
        <f t="shared" si="13"/>
        <v>2649776.84</v>
      </c>
      <c r="AR113" s="1431">
        <v>1152954.07</v>
      </c>
      <c r="AS113" s="1432">
        <v>760070.09</v>
      </c>
      <c r="AT113" s="1422">
        <v>0</v>
      </c>
      <c r="AU113" s="1420">
        <v>3238.2</v>
      </c>
      <c r="AV113" s="1422">
        <v>0</v>
      </c>
      <c r="AW113" s="1422">
        <v>0</v>
      </c>
      <c r="AX113" s="1422">
        <v>0</v>
      </c>
      <c r="AY113" s="1420">
        <v>763308.29</v>
      </c>
      <c r="AZ113" s="1420">
        <v>331884.78999999998</v>
      </c>
      <c r="BA113" s="1423">
        <f t="shared" si="14"/>
        <v>1098431.28</v>
      </c>
      <c r="BB113" s="1420">
        <f t="shared" si="15"/>
        <v>6556968.7999999998</v>
      </c>
      <c r="BC113" s="1433">
        <f t="shared" si="16"/>
        <v>12856.80156862745</v>
      </c>
      <c r="BD113" s="1433">
        <f t="shared" si="17"/>
        <v>3246.6796274509807</v>
      </c>
      <c r="BE113" s="1433">
        <f t="shared" si="18"/>
        <v>0</v>
      </c>
      <c r="BF113" s="1433">
        <f t="shared" si="19"/>
        <v>5195.6408627450974</v>
      </c>
      <c r="BG113" s="1433">
        <f t="shared" si="20"/>
        <v>2260.6942549019609</v>
      </c>
      <c r="BH113" s="1434">
        <f t="shared" si="21"/>
        <v>2153.7868235294118</v>
      </c>
      <c r="BI113" s="1422">
        <v>9982</v>
      </c>
    </row>
    <row r="114" spans="1:61" ht="12.75" customHeight="1" thickBot="1">
      <c r="A114" s="1418" t="s">
        <v>452</v>
      </c>
      <c r="B114" s="1418" t="s">
        <v>453</v>
      </c>
      <c r="C114" s="1419">
        <v>1440</v>
      </c>
      <c r="D114" s="1420">
        <v>339.15</v>
      </c>
      <c r="E114" s="1420">
        <v>1326.26</v>
      </c>
      <c r="F114" s="1421">
        <v>-0.11</v>
      </c>
      <c r="G114" s="1420">
        <v>1419.42</v>
      </c>
      <c r="H114" s="1420">
        <v>1415.2</v>
      </c>
      <c r="I114" s="1422">
        <v>125817299</v>
      </c>
      <c r="J114" s="1422">
        <v>25</v>
      </c>
      <c r="K114" s="1422">
        <v>25</v>
      </c>
      <c r="L114" s="1422">
        <v>0</v>
      </c>
      <c r="M114" s="1422">
        <v>0</v>
      </c>
      <c r="N114" s="1422">
        <v>12</v>
      </c>
      <c r="O114" s="1422">
        <v>37</v>
      </c>
      <c r="P114" s="1423">
        <v>9291549.8100000005</v>
      </c>
      <c r="Q114" s="1424">
        <v>4338949.41</v>
      </c>
      <c r="R114" s="1425">
        <f t="shared" si="11"/>
        <v>4338949.41</v>
      </c>
      <c r="S114" s="1426">
        <v>0</v>
      </c>
      <c r="T114" s="1427">
        <f t="shared" si="12"/>
        <v>0</v>
      </c>
      <c r="U114" s="1428">
        <v>5539600</v>
      </c>
      <c r="V114" s="1422">
        <v>86930</v>
      </c>
      <c r="W114" s="1422">
        <v>0</v>
      </c>
      <c r="X114" s="1422">
        <v>168554</v>
      </c>
      <c r="Y114" s="1422">
        <v>0</v>
      </c>
      <c r="Z114" s="1422">
        <v>0</v>
      </c>
      <c r="AA114" s="1422">
        <v>0</v>
      </c>
      <c r="AB114" s="1422">
        <v>750</v>
      </c>
      <c r="AC114" s="1429">
        <v>0</v>
      </c>
      <c r="AD114" s="1422">
        <v>58533</v>
      </c>
      <c r="AE114" s="1420">
        <v>36460.58</v>
      </c>
      <c r="AF114" s="1422">
        <v>1100</v>
      </c>
      <c r="AG114" s="1422">
        <v>51803</v>
      </c>
      <c r="AH114" s="1422">
        <v>10841</v>
      </c>
      <c r="AI114" s="1422">
        <v>1039616</v>
      </c>
      <c r="AJ114" s="1420">
        <v>128046.57</v>
      </c>
      <c r="AK114" s="1422">
        <v>3800</v>
      </c>
      <c r="AL114" s="1420">
        <v>6311.35</v>
      </c>
      <c r="AM114" s="1422">
        <v>0</v>
      </c>
      <c r="AN114" s="1429">
        <v>495720</v>
      </c>
      <c r="AO114" s="1422">
        <v>0</v>
      </c>
      <c r="AP114" s="1420">
        <v>71222.77</v>
      </c>
      <c r="AQ114" s="1430">
        <f t="shared" si="13"/>
        <v>7203568.2699999996</v>
      </c>
      <c r="AR114" s="1431">
        <v>3883591.29</v>
      </c>
      <c r="AS114" s="1437">
        <v>0</v>
      </c>
      <c r="AT114" s="1422">
        <v>0</v>
      </c>
      <c r="AU114" s="1420">
        <v>23951.27</v>
      </c>
      <c r="AV114" s="1422">
        <v>0</v>
      </c>
      <c r="AW114" s="1422">
        <v>0</v>
      </c>
      <c r="AX114" s="1422">
        <v>0</v>
      </c>
      <c r="AY114" s="1420">
        <v>23951.27</v>
      </c>
      <c r="AZ114" s="1420">
        <v>570397.4</v>
      </c>
      <c r="BA114" s="1423">
        <f t="shared" si="14"/>
        <v>618299.94000000006</v>
      </c>
      <c r="BB114" s="1420">
        <f t="shared" si="15"/>
        <v>16044408.91</v>
      </c>
      <c r="BC114" s="1433">
        <f t="shared" si="16"/>
        <v>11141.950631944444</v>
      </c>
      <c r="BD114" s="1433">
        <f t="shared" si="17"/>
        <v>3013.1593124999999</v>
      </c>
      <c r="BE114" s="1433">
        <f t="shared" si="18"/>
        <v>0</v>
      </c>
      <c r="BF114" s="1433">
        <f t="shared" si="19"/>
        <v>5002.4779652777779</v>
      </c>
      <c r="BG114" s="1433">
        <f t="shared" si="20"/>
        <v>2696.9383958333333</v>
      </c>
      <c r="BH114" s="1434">
        <f t="shared" si="21"/>
        <v>429.37495833333338</v>
      </c>
      <c r="BI114" s="1422">
        <v>9881</v>
      </c>
    </row>
    <row r="115" spans="1:61" ht="12.75" customHeight="1" thickBot="1">
      <c r="A115" s="1418" t="s">
        <v>454</v>
      </c>
      <c r="B115" s="1418" t="s">
        <v>455</v>
      </c>
      <c r="C115" s="1419">
        <v>826</v>
      </c>
      <c r="D115" s="1420">
        <v>254.66</v>
      </c>
      <c r="E115" s="1420">
        <v>769.9</v>
      </c>
      <c r="F115" s="1421">
        <v>-0.05</v>
      </c>
      <c r="G115" s="1420">
        <v>813.32</v>
      </c>
      <c r="H115" s="1420">
        <v>803.87</v>
      </c>
      <c r="I115" s="1422">
        <v>50619433</v>
      </c>
      <c r="J115" s="1422">
        <v>25</v>
      </c>
      <c r="K115" s="1422">
        <v>25</v>
      </c>
      <c r="L115" s="1422">
        <v>0</v>
      </c>
      <c r="M115" s="1422">
        <v>0</v>
      </c>
      <c r="N115" s="1422">
        <v>8</v>
      </c>
      <c r="O115" s="1422">
        <v>33</v>
      </c>
      <c r="P115" s="1438">
        <v>5070000</v>
      </c>
      <c r="Q115" s="1424">
        <v>1531061.68</v>
      </c>
      <c r="R115" s="1425">
        <f t="shared" si="11"/>
        <v>1531061.68</v>
      </c>
      <c r="S115" s="1426">
        <v>0</v>
      </c>
      <c r="T115" s="1427">
        <f t="shared" si="12"/>
        <v>0</v>
      </c>
      <c r="U115" s="1428">
        <v>3630267</v>
      </c>
      <c r="V115" s="1422">
        <v>58311</v>
      </c>
      <c r="W115" s="1422">
        <v>60396</v>
      </c>
      <c r="X115" s="1422">
        <v>0</v>
      </c>
      <c r="Y115" s="1422">
        <v>0</v>
      </c>
      <c r="Z115" s="1422">
        <v>77274</v>
      </c>
      <c r="AA115" s="1422">
        <v>0</v>
      </c>
      <c r="AB115" s="1422">
        <v>0</v>
      </c>
      <c r="AC115" s="1429">
        <v>0</v>
      </c>
      <c r="AD115" s="1422">
        <v>33248</v>
      </c>
      <c r="AE115" s="1420">
        <v>4825.3100000000004</v>
      </c>
      <c r="AF115" s="1422">
        <v>0</v>
      </c>
      <c r="AG115" s="1422">
        <v>47862</v>
      </c>
      <c r="AH115" s="1422">
        <v>586</v>
      </c>
      <c r="AI115" s="1422">
        <v>269824</v>
      </c>
      <c r="AJ115" s="1420">
        <v>3293.21</v>
      </c>
      <c r="AK115" s="1420">
        <v>50386.22</v>
      </c>
      <c r="AL115" s="1420">
        <v>3424.37</v>
      </c>
      <c r="AM115" s="1422">
        <v>0</v>
      </c>
      <c r="AN115" s="1429">
        <v>291114</v>
      </c>
      <c r="AO115" s="1422">
        <v>0</v>
      </c>
      <c r="AP115" s="1422">
        <v>66902</v>
      </c>
      <c r="AQ115" s="1430">
        <f t="shared" si="13"/>
        <v>4306599.1100000003</v>
      </c>
      <c r="AR115" s="1431">
        <v>1561574.92</v>
      </c>
      <c r="AS115" s="1437">
        <v>0</v>
      </c>
      <c r="AT115" s="1422">
        <v>0</v>
      </c>
      <c r="AU115" s="1422">
        <v>0</v>
      </c>
      <c r="AV115" s="1420">
        <v>100221.38</v>
      </c>
      <c r="AW115" s="1422">
        <v>0</v>
      </c>
      <c r="AX115" s="1422">
        <v>0</v>
      </c>
      <c r="AY115" s="1420">
        <v>100221.38</v>
      </c>
      <c r="AZ115" s="1420">
        <v>411302.99</v>
      </c>
      <c r="BA115" s="1423">
        <f t="shared" si="14"/>
        <v>611745.75</v>
      </c>
      <c r="BB115" s="1420">
        <f t="shared" si="15"/>
        <v>8010981.46</v>
      </c>
      <c r="BC115" s="1433">
        <f t="shared" si="16"/>
        <v>9698.5247699757874</v>
      </c>
      <c r="BD115" s="1433">
        <f t="shared" si="17"/>
        <v>1853.5855690072638</v>
      </c>
      <c r="BE115" s="1433">
        <f t="shared" si="18"/>
        <v>0</v>
      </c>
      <c r="BF115" s="1433">
        <f t="shared" si="19"/>
        <v>5213.8003753026642</v>
      </c>
      <c r="BG115" s="1433">
        <f t="shared" si="20"/>
        <v>1890.5265375302663</v>
      </c>
      <c r="BH115" s="1434">
        <f t="shared" si="21"/>
        <v>740.61228813559319</v>
      </c>
      <c r="BI115" s="1422">
        <v>8364</v>
      </c>
    </row>
    <row r="116" spans="1:61" ht="12.75" customHeight="1" thickBot="1">
      <c r="A116" s="1418" t="s">
        <v>456</v>
      </c>
      <c r="B116" s="1418" t="s">
        <v>457</v>
      </c>
      <c r="C116" s="1419">
        <v>1525</v>
      </c>
      <c r="D116" s="1420">
        <v>414.07</v>
      </c>
      <c r="E116" s="1420">
        <v>1425.52</v>
      </c>
      <c r="F116" s="1421">
        <v>-0.21</v>
      </c>
      <c r="G116" s="1420">
        <v>1522.96</v>
      </c>
      <c r="H116" s="1420">
        <v>1598.98</v>
      </c>
      <c r="I116" s="1422">
        <v>95080989</v>
      </c>
      <c r="J116" s="1422">
        <v>25</v>
      </c>
      <c r="K116" s="1422">
        <v>25</v>
      </c>
      <c r="L116" s="1422">
        <v>0</v>
      </c>
      <c r="M116" s="1422">
        <v>0</v>
      </c>
      <c r="N116" s="1420">
        <v>15.8</v>
      </c>
      <c r="O116" s="1420">
        <v>40.799999999999997</v>
      </c>
      <c r="P116" s="1423">
        <v>14563707.949999999</v>
      </c>
      <c r="Q116" s="1424">
        <v>3714784.11</v>
      </c>
      <c r="R116" s="1425">
        <f t="shared" si="11"/>
        <v>3714784.11</v>
      </c>
      <c r="S116" s="1436">
        <v>93.37</v>
      </c>
      <c r="T116" s="1427">
        <f t="shared" si="12"/>
        <v>93.37</v>
      </c>
      <c r="U116" s="1428">
        <v>7304918</v>
      </c>
      <c r="V116" s="1422">
        <v>45043</v>
      </c>
      <c r="W116" s="1422">
        <v>0</v>
      </c>
      <c r="X116" s="1422">
        <v>413328</v>
      </c>
      <c r="Y116" s="1422">
        <v>0</v>
      </c>
      <c r="Z116" s="1422">
        <v>0</v>
      </c>
      <c r="AA116" s="1422">
        <v>53137</v>
      </c>
      <c r="AB116" s="1422">
        <v>0</v>
      </c>
      <c r="AC116" s="1429">
        <v>0</v>
      </c>
      <c r="AD116" s="1422">
        <v>66134</v>
      </c>
      <c r="AE116" s="1420">
        <v>8492.64</v>
      </c>
      <c r="AF116" s="1422">
        <v>50</v>
      </c>
      <c r="AG116" s="1422">
        <v>0</v>
      </c>
      <c r="AH116" s="1422">
        <v>0</v>
      </c>
      <c r="AI116" s="1422">
        <v>2202240</v>
      </c>
      <c r="AJ116" s="1420">
        <v>6550.41</v>
      </c>
      <c r="AK116" s="1420">
        <v>78812.52</v>
      </c>
      <c r="AL116" s="1420">
        <v>6212.47</v>
      </c>
      <c r="AM116" s="1422">
        <v>0</v>
      </c>
      <c r="AN116" s="1435">
        <v>607544.37</v>
      </c>
      <c r="AO116" s="1422">
        <v>0</v>
      </c>
      <c r="AP116" s="1420">
        <v>1302107.93</v>
      </c>
      <c r="AQ116" s="1430">
        <f t="shared" si="13"/>
        <v>11487025.970000001</v>
      </c>
      <c r="AR116" s="1431">
        <v>4047142.63</v>
      </c>
      <c r="AS116" s="1437">
        <v>0</v>
      </c>
      <c r="AT116" s="1422">
        <v>0</v>
      </c>
      <c r="AU116" s="1422">
        <v>0</v>
      </c>
      <c r="AV116" s="1422">
        <v>0</v>
      </c>
      <c r="AW116" s="1422">
        <v>0</v>
      </c>
      <c r="AX116" s="1422">
        <v>0</v>
      </c>
      <c r="AY116" s="1422">
        <v>0</v>
      </c>
      <c r="AZ116" s="1420">
        <v>248122.46</v>
      </c>
      <c r="BA116" s="1423">
        <f t="shared" si="14"/>
        <v>248122.46</v>
      </c>
      <c r="BB116" s="1420">
        <f t="shared" si="15"/>
        <v>19497168.539999999</v>
      </c>
      <c r="BC116" s="1433">
        <f t="shared" si="16"/>
        <v>12785.028550819672</v>
      </c>
      <c r="BD116" s="1433">
        <f t="shared" si="17"/>
        <v>2435.9240065573767</v>
      </c>
      <c r="BE116" s="1433">
        <f t="shared" si="18"/>
        <v>6.1226229508196721E-2</v>
      </c>
      <c r="BF116" s="1433">
        <f t="shared" si="19"/>
        <v>7532.4760459016397</v>
      </c>
      <c r="BG116" s="1433">
        <f t="shared" si="20"/>
        <v>2653.8640196721312</v>
      </c>
      <c r="BH116" s="1434">
        <f t="shared" si="21"/>
        <v>162.7032524590164</v>
      </c>
      <c r="BI116" s="1422">
        <v>12141</v>
      </c>
    </row>
    <row r="117" spans="1:61" ht="12.75" customHeight="1" thickBot="1">
      <c r="A117" s="1418" t="s">
        <v>458</v>
      </c>
      <c r="B117" s="1418" t="s">
        <v>459</v>
      </c>
      <c r="C117" s="1419">
        <v>4744</v>
      </c>
      <c r="D117" s="1420">
        <v>183.31</v>
      </c>
      <c r="E117" s="1420">
        <v>4413.5600000000004</v>
      </c>
      <c r="F117" s="1421">
        <v>-0.13</v>
      </c>
      <c r="G117" s="1420">
        <v>4727.2</v>
      </c>
      <c r="H117" s="1420">
        <v>4809.57</v>
      </c>
      <c r="I117" s="1422">
        <v>352463781</v>
      </c>
      <c r="J117" s="1422">
        <v>25</v>
      </c>
      <c r="K117" s="1422">
        <v>25</v>
      </c>
      <c r="L117" s="1422">
        <v>0</v>
      </c>
      <c r="M117" s="1422">
        <v>2</v>
      </c>
      <c r="N117" s="1420">
        <v>14.7</v>
      </c>
      <c r="O117" s="1420">
        <v>41.7</v>
      </c>
      <c r="P117" s="1438">
        <v>36915000</v>
      </c>
      <c r="Q117" s="1424">
        <v>13606889.58</v>
      </c>
      <c r="R117" s="1425">
        <f t="shared" si="11"/>
        <v>13606889.58</v>
      </c>
      <c r="S117" s="1436">
        <v>283.74</v>
      </c>
      <c r="T117" s="1427">
        <f t="shared" si="12"/>
        <v>283.74</v>
      </c>
      <c r="U117" s="1428">
        <v>20673040</v>
      </c>
      <c r="V117" s="1422">
        <v>268558</v>
      </c>
      <c r="W117" s="1422">
        <v>0</v>
      </c>
      <c r="X117" s="1422">
        <v>301180</v>
      </c>
      <c r="Y117" s="1422">
        <v>0</v>
      </c>
      <c r="Z117" s="1422">
        <v>0</v>
      </c>
      <c r="AA117" s="1422">
        <v>0</v>
      </c>
      <c r="AB117" s="1420">
        <v>8082.13</v>
      </c>
      <c r="AC117" s="1429">
        <v>0</v>
      </c>
      <c r="AD117" s="1422">
        <v>198924</v>
      </c>
      <c r="AE117" s="1420">
        <v>128260.38</v>
      </c>
      <c r="AF117" s="1422">
        <v>600</v>
      </c>
      <c r="AG117" s="1422">
        <v>145008</v>
      </c>
      <c r="AH117" s="1422">
        <v>7032</v>
      </c>
      <c r="AI117" s="1422">
        <v>3732896</v>
      </c>
      <c r="AJ117" s="1420">
        <v>543707.04</v>
      </c>
      <c r="AK117" s="1420">
        <v>95687.52</v>
      </c>
      <c r="AL117" s="1420">
        <v>17169.43</v>
      </c>
      <c r="AM117" s="1422">
        <v>0</v>
      </c>
      <c r="AN117" s="1429">
        <v>388800</v>
      </c>
      <c r="AO117" s="1422">
        <v>0</v>
      </c>
      <c r="AP117" s="1420">
        <v>233549.96</v>
      </c>
      <c r="AQ117" s="1430">
        <f t="shared" si="13"/>
        <v>26353694.459999997</v>
      </c>
      <c r="AR117" s="1431">
        <v>13527685.51</v>
      </c>
      <c r="AS117" s="1432">
        <v>23628.6</v>
      </c>
      <c r="AT117" s="1422">
        <v>0</v>
      </c>
      <c r="AU117" s="1422">
        <v>118000</v>
      </c>
      <c r="AV117" s="1422">
        <v>0</v>
      </c>
      <c r="AW117" s="1420">
        <v>31080.34</v>
      </c>
      <c r="AX117" s="1422">
        <v>0</v>
      </c>
      <c r="AY117" s="1420">
        <v>172708.94</v>
      </c>
      <c r="AZ117" s="1420">
        <v>1006188.3</v>
      </c>
      <c r="BA117" s="1423">
        <f t="shared" si="14"/>
        <v>1327977.58</v>
      </c>
      <c r="BB117" s="1420">
        <f t="shared" si="15"/>
        <v>54816530.869999997</v>
      </c>
      <c r="BC117" s="1433">
        <f t="shared" si="16"/>
        <v>11554.917974283304</v>
      </c>
      <c r="BD117" s="1433">
        <f t="shared" si="17"/>
        <v>2868.2313617200675</v>
      </c>
      <c r="BE117" s="1433">
        <f t="shared" si="18"/>
        <v>5.9810286677908941E-2</v>
      </c>
      <c r="BF117" s="1433">
        <f t="shared" si="19"/>
        <v>5555.163250421585</v>
      </c>
      <c r="BG117" s="1433">
        <f t="shared" si="20"/>
        <v>2851.535731450253</v>
      </c>
      <c r="BH117" s="1434">
        <f t="shared" si="21"/>
        <v>279.92782040472179</v>
      </c>
      <c r="BI117" s="1422">
        <v>11683</v>
      </c>
    </row>
    <row r="118" spans="1:61" ht="12.75" customHeight="1" thickBot="1">
      <c r="A118" s="1418" t="s">
        <v>460</v>
      </c>
      <c r="B118" s="1418" t="s">
        <v>461</v>
      </c>
      <c r="C118" s="1419">
        <v>3114</v>
      </c>
      <c r="D118" s="1420">
        <v>116.48</v>
      </c>
      <c r="E118" s="1420">
        <v>2915.5</v>
      </c>
      <c r="F118" s="1421">
        <v>-0.08</v>
      </c>
      <c r="G118" s="1420">
        <v>3092.07</v>
      </c>
      <c r="H118" s="1420">
        <v>3056.64</v>
      </c>
      <c r="I118" s="1422">
        <v>107371912</v>
      </c>
      <c r="J118" s="1420">
        <v>26.1</v>
      </c>
      <c r="K118" s="1422">
        <v>25</v>
      </c>
      <c r="L118" s="1420">
        <v>1.1000000000000001</v>
      </c>
      <c r="M118" s="1422">
        <v>0</v>
      </c>
      <c r="N118" s="1420">
        <v>5.7</v>
      </c>
      <c r="O118" s="1420">
        <v>31.8</v>
      </c>
      <c r="P118" s="1438">
        <v>2280000</v>
      </c>
      <c r="Q118" s="1424">
        <v>3183005.43</v>
      </c>
      <c r="R118" s="1425">
        <f t="shared" si="11"/>
        <v>3183005.43</v>
      </c>
      <c r="S118" s="1436">
        <v>155.86000000000001</v>
      </c>
      <c r="T118" s="1427">
        <f t="shared" si="12"/>
        <v>155.86000000000001</v>
      </c>
      <c r="U118" s="1428">
        <v>15870797</v>
      </c>
      <c r="V118" s="1422">
        <v>76461</v>
      </c>
      <c r="W118" s="1422">
        <v>221390</v>
      </c>
      <c r="X118" s="1422">
        <v>0</v>
      </c>
      <c r="Y118" s="1422">
        <v>0</v>
      </c>
      <c r="Z118" s="1422">
        <v>0</v>
      </c>
      <c r="AA118" s="1422">
        <v>235434</v>
      </c>
      <c r="AB118" s="1422">
        <v>0</v>
      </c>
      <c r="AC118" s="1435">
        <v>913877.01</v>
      </c>
      <c r="AD118" s="1422">
        <v>126423</v>
      </c>
      <c r="AE118" s="1422">
        <v>19000</v>
      </c>
      <c r="AF118" s="1422">
        <v>900</v>
      </c>
      <c r="AG118" s="1422">
        <v>26328</v>
      </c>
      <c r="AH118" s="1422">
        <v>0</v>
      </c>
      <c r="AI118" s="1422">
        <v>998944</v>
      </c>
      <c r="AJ118" s="1420">
        <v>12521.92</v>
      </c>
      <c r="AK118" s="1420">
        <v>187687.52</v>
      </c>
      <c r="AL118" s="1420">
        <v>10211.129999999999</v>
      </c>
      <c r="AM118" s="1422">
        <v>0</v>
      </c>
      <c r="AN118" s="1429">
        <v>0</v>
      </c>
      <c r="AO118" s="1422">
        <v>0</v>
      </c>
      <c r="AP118" s="1420">
        <v>1528632.27</v>
      </c>
      <c r="AQ118" s="1430">
        <f t="shared" si="13"/>
        <v>19314729.84</v>
      </c>
      <c r="AR118" s="1431">
        <v>4934401.6399999997</v>
      </c>
      <c r="AS118" s="1437">
        <v>0</v>
      </c>
      <c r="AT118" s="1422">
        <v>0</v>
      </c>
      <c r="AU118" s="1422">
        <v>4710</v>
      </c>
      <c r="AV118" s="1422">
        <v>2400</v>
      </c>
      <c r="AW118" s="1422">
        <v>0</v>
      </c>
      <c r="AX118" s="1422">
        <v>0</v>
      </c>
      <c r="AY118" s="1422">
        <v>7110</v>
      </c>
      <c r="AZ118" s="1420">
        <v>506801.13</v>
      </c>
      <c r="BA118" s="1423">
        <f t="shared" si="14"/>
        <v>521021.13</v>
      </c>
      <c r="BB118" s="1420">
        <f t="shared" si="15"/>
        <v>27953313.899999999</v>
      </c>
      <c r="BC118" s="1433">
        <f t="shared" si="16"/>
        <v>8976.6582851637759</v>
      </c>
      <c r="BD118" s="1433">
        <f t="shared" si="17"/>
        <v>1022.1597398843932</v>
      </c>
      <c r="BE118" s="1433">
        <f t="shared" si="18"/>
        <v>5.0051380860629421E-2</v>
      </c>
      <c r="BF118" s="1433">
        <f t="shared" si="19"/>
        <v>6202.5465125240844</v>
      </c>
      <c r="BG118" s="1433">
        <f t="shared" si="20"/>
        <v>1584.5862684649967</v>
      </c>
      <c r="BH118" s="1434">
        <f t="shared" si="21"/>
        <v>167.31571290944123</v>
      </c>
      <c r="BI118" s="1422">
        <v>8358</v>
      </c>
    </row>
    <row r="119" spans="1:61" ht="12.75" customHeight="1" thickBot="1">
      <c r="A119" s="1418" t="s">
        <v>462</v>
      </c>
      <c r="B119" s="1418" t="s">
        <v>463</v>
      </c>
      <c r="C119" s="1419">
        <v>3034</v>
      </c>
      <c r="D119" s="1420">
        <v>105.3</v>
      </c>
      <c r="E119" s="1420">
        <v>2894.26</v>
      </c>
      <c r="F119" s="1421">
        <v>-0.02</v>
      </c>
      <c r="G119" s="1420">
        <v>2999.96</v>
      </c>
      <c r="H119" s="1420">
        <v>3010.09</v>
      </c>
      <c r="I119" s="1422">
        <v>252552274</v>
      </c>
      <c r="J119" s="1422">
        <v>25</v>
      </c>
      <c r="K119" s="1422">
        <v>25</v>
      </c>
      <c r="L119" s="1422">
        <v>0</v>
      </c>
      <c r="M119" s="1422">
        <v>0</v>
      </c>
      <c r="N119" s="1420">
        <v>14.2</v>
      </c>
      <c r="O119" s="1420">
        <v>39.200000000000003</v>
      </c>
      <c r="P119" s="1438">
        <v>24165000</v>
      </c>
      <c r="Q119" s="1424">
        <v>9114896.1600000001</v>
      </c>
      <c r="R119" s="1425">
        <f t="shared" si="11"/>
        <v>9114896.1600000001</v>
      </c>
      <c r="S119" s="1436">
        <v>152.62</v>
      </c>
      <c r="T119" s="1427">
        <f t="shared" si="12"/>
        <v>152.62</v>
      </c>
      <c r="U119" s="1428">
        <v>12128068</v>
      </c>
      <c r="V119" s="1422">
        <v>210989</v>
      </c>
      <c r="W119" s="1422">
        <v>0</v>
      </c>
      <c r="X119" s="1422">
        <v>220382</v>
      </c>
      <c r="Y119" s="1422">
        <v>0</v>
      </c>
      <c r="Z119" s="1422">
        <v>0</v>
      </c>
      <c r="AA119" s="1422">
        <v>0</v>
      </c>
      <c r="AB119" s="1422">
        <v>0</v>
      </c>
      <c r="AC119" s="1429">
        <v>0</v>
      </c>
      <c r="AD119" s="1422">
        <v>124497</v>
      </c>
      <c r="AE119" s="1420">
        <v>9943.56</v>
      </c>
      <c r="AF119" s="1422">
        <v>1000</v>
      </c>
      <c r="AG119" s="1422">
        <v>14017</v>
      </c>
      <c r="AH119" s="1422">
        <v>6446</v>
      </c>
      <c r="AI119" s="1422">
        <v>537168</v>
      </c>
      <c r="AJ119" s="1420">
        <v>21136.71</v>
      </c>
      <c r="AK119" s="1422">
        <v>24375</v>
      </c>
      <c r="AL119" s="1420">
        <v>9783.76</v>
      </c>
      <c r="AM119" s="1422">
        <v>0</v>
      </c>
      <c r="AN119" s="1429">
        <v>0</v>
      </c>
      <c r="AO119" s="1422">
        <v>0</v>
      </c>
      <c r="AP119" s="1420">
        <v>1359796.43</v>
      </c>
      <c r="AQ119" s="1430">
        <f t="shared" si="13"/>
        <v>14667602.460000001</v>
      </c>
      <c r="AR119" s="1431">
        <v>3546726.74</v>
      </c>
      <c r="AS119" s="1437">
        <v>0</v>
      </c>
      <c r="AT119" s="1422">
        <v>0</v>
      </c>
      <c r="AU119" s="1422">
        <v>0</v>
      </c>
      <c r="AV119" s="1422">
        <v>1500</v>
      </c>
      <c r="AW119" s="1420">
        <v>35375.82</v>
      </c>
      <c r="AX119" s="1420">
        <v>194648.27</v>
      </c>
      <c r="AY119" s="1420">
        <v>231524.09</v>
      </c>
      <c r="AZ119" s="1420">
        <v>890939.33</v>
      </c>
      <c r="BA119" s="1423">
        <f t="shared" si="14"/>
        <v>1353987.51</v>
      </c>
      <c r="BB119" s="1420">
        <f t="shared" si="15"/>
        <v>28683365.490000002</v>
      </c>
      <c r="BC119" s="1433">
        <f t="shared" si="16"/>
        <v>9453.9767600527357</v>
      </c>
      <c r="BD119" s="1433">
        <f t="shared" si="17"/>
        <v>3004.2505471324985</v>
      </c>
      <c r="BE119" s="1433">
        <f t="shared" si="18"/>
        <v>5.0303230059327624E-2</v>
      </c>
      <c r="BF119" s="1433">
        <f t="shared" si="19"/>
        <v>4834.4108305866848</v>
      </c>
      <c r="BG119" s="1433">
        <f t="shared" si="20"/>
        <v>1168.9936519446276</v>
      </c>
      <c r="BH119" s="1434">
        <f t="shared" si="21"/>
        <v>446.27142715886617</v>
      </c>
      <c r="BI119" s="1422">
        <v>8059</v>
      </c>
    </row>
    <row r="120" spans="1:61" ht="12.75" customHeight="1" thickBot="1">
      <c r="A120" s="1418" t="s">
        <v>464</v>
      </c>
      <c r="B120" s="1418" t="s">
        <v>465</v>
      </c>
      <c r="C120" s="1419">
        <v>2515</v>
      </c>
      <c r="D120" s="1420">
        <v>116.11</v>
      </c>
      <c r="E120" s="1420">
        <v>2363.65</v>
      </c>
      <c r="F120" s="1421">
        <v>0.06</v>
      </c>
      <c r="G120" s="1420">
        <v>2484.38</v>
      </c>
      <c r="H120" s="1420">
        <v>2516.81</v>
      </c>
      <c r="I120" s="1422">
        <v>147781428</v>
      </c>
      <c r="J120" s="1422">
        <v>25</v>
      </c>
      <c r="K120" s="1422">
        <v>25</v>
      </c>
      <c r="L120" s="1422">
        <v>0</v>
      </c>
      <c r="M120" s="1422">
        <v>0</v>
      </c>
      <c r="N120" s="1420">
        <v>9.5</v>
      </c>
      <c r="O120" s="1420">
        <v>34.5</v>
      </c>
      <c r="P120" s="1438">
        <v>13020000</v>
      </c>
      <c r="Q120" s="1424">
        <v>5324707.72</v>
      </c>
      <c r="R120" s="1425">
        <f t="shared" si="11"/>
        <v>5324707.72</v>
      </c>
      <c r="S120" s="1426">
        <v>0</v>
      </c>
      <c r="T120" s="1427">
        <f t="shared" si="12"/>
        <v>0</v>
      </c>
      <c r="U120" s="1428">
        <v>11456350</v>
      </c>
      <c r="V120" s="1422">
        <v>108341</v>
      </c>
      <c r="W120" s="1422">
        <v>0</v>
      </c>
      <c r="X120" s="1422">
        <v>106637</v>
      </c>
      <c r="Y120" s="1422">
        <v>0</v>
      </c>
      <c r="Z120" s="1422">
        <v>0</v>
      </c>
      <c r="AA120" s="1422">
        <v>0</v>
      </c>
      <c r="AB120" s="1422">
        <v>0</v>
      </c>
      <c r="AC120" s="1435">
        <v>142843.79999999999</v>
      </c>
      <c r="AD120" s="1422">
        <v>104095</v>
      </c>
      <c r="AE120" s="1420">
        <v>6178.62</v>
      </c>
      <c r="AF120" s="1422">
        <v>1700</v>
      </c>
      <c r="AG120" s="1422">
        <v>203841</v>
      </c>
      <c r="AH120" s="1422">
        <v>96690</v>
      </c>
      <c r="AI120" s="1422">
        <v>833776</v>
      </c>
      <c r="AJ120" s="1420">
        <v>44760.46</v>
      </c>
      <c r="AK120" s="1420">
        <v>51952.67</v>
      </c>
      <c r="AL120" s="1420">
        <v>9468.73</v>
      </c>
      <c r="AM120" s="1422">
        <v>0</v>
      </c>
      <c r="AN120" s="1429">
        <v>0</v>
      </c>
      <c r="AO120" s="1422">
        <v>0</v>
      </c>
      <c r="AP120" s="1420">
        <v>492541.81</v>
      </c>
      <c r="AQ120" s="1430">
        <f t="shared" si="13"/>
        <v>13516332.290000001</v>
      </c>
      <c r="AR120" s="1431">
        <v>4573385.1900000004</v>
      </c>
      <c r="AS120" s="1437">
        <v>987690</v>
      </c>
      <c r="AT120" s="1422">
        <v>0</v>
      </c>
      <c r="AU120" s="1422">
        <v>21249</v>
      </c>
      <c r="AV120" s="1422">
        <v>0</v>
      </c>
      <c r="AW120" s="1422">
        <v>0</v>
      </c>
      <c r="AX120" s="1422">
        <v>0</v>
      </c>
      <c r="AY120" s="1422">
        <v>1008939</v>
      </c>
      <c r="AZ120" s="1420">
        <v>820466.85</v>
      </c>
      <c r="BA120" s="1423">
        <f t="shared" si="14"/>
        <v>1850654.85</v>
      </c>
      <c r="BB120" s="1420">
        <f t="shared" si="15"/>
        <v>25265080.050000001</v>
      </c>
      <c r="BC120" s="1433">
        <f t="shared" si="16"/>
        <v>10045.757475149107</v>
      </c>
      <c r="BD120" s="1433">
        <f t="shared" si="17"/>
        <v>2117.1800079522864</v>
      </c>
      <c r="BE120" s="1433">
        <f t="shared" si="18"/>
        <v>0</v>
      </c>
      <c r="BF120" s="1433">
        <f t="shared" si="19"/>
        <v>5374.2871928429431</v>
      </c>
      <c r="BG120" s="1433">
        <f t="shared" si="20"/>
        <v>1818.4434155069584</v>
      </c>
      <c r="BH120" s="1434">
        <f t="shared" si="21"/>
        <v>735.84685884691851</v>
      </c>
      <c r="BI120" s="1422">
        <v>8751</v>
      </c>
    </row>
    <row r="121" spans="1:61" ht="12.75" customHeight="1" thickBot="1">
      <c r="A121" s="1418" t="s">
        <v>466</v>
      </c>
      <c r="B121" s="1418" t="s">
        <v>467</v>
      </c>
      <c r="C121" s="1419">
        <v>1066</v>
      </c>
      <c r="D121" s="1420">
        <v>309.23</v>
      </c>
      <c r="E121" s="1420">
        <v>1003.72</v>
      </c>
      <c r="F121" s="1421">
        <v>-0.04</v>
      </c>
      <c r="G121" s="1420">
        <v>1067.0999999999999</v>
      </c>
      <c r="H121" s="1420">
        <v>1083.74</v>
      </c>
      <c r="I121" s="1422">
        <v>60983982</v>
      </c>
      <c r="J121" s="1422">
        <v>25</v>
      </c>
      <c r="K121" s="1422">
        <v>25</v>
      </c>
      <c r="L121" s="1422">
        <v>0</v>
      </c>
      <c r="M121" s="1422">
        <v>0</v>
      </c>
      <c r="N121" s="1420">
        <v>10.33</v>
      </c>
      <c r="O121" s="1420">
        <v>35.33</v>
      </c>
      <c r="P121" s="1423">
        <v>5029648.83</v>
      </c>
      <c r="Q121" s="1424">
        <v>2049464.62</v>
      </c>
      <c r="R121" s="1425">
        <f t="shared" si="11"/>
        <v>2049464.62</v>
      </c>
      <c r="S121" s="1426">
        <v>0</v>
      </c>
      <c r="T121" s="1427">
        <f t="shared" si="12"/>
        <v>0</v>
      </c>
      <c r="U121" s="1428">
        <v>4796875</v>
      </c>
      <c r="V121" s="1422">
        <v>85876</v>
      </c>
      <c r="W121" s="1422">
        <v>0</v>
      </c>
      <c r="X121" s="1422">
        <v>89231</v>
      </c>
      <c r="Y121" s="1422">
        <v>0</v>
      </c>
      <c r="Z121" s="1422">
        <v>0</v>
      </c>
      <c r="AA121" s="1422">
        <v>37528</v>
      </c>
      <c r="AB121" s="1422">
        <v>0</v>
      </c>
      <c r="AC121" s="1429">
        <v>0</v>
      </c>
      <c r="AD121" s="1422">
        <v>44823</v>
      </c>
      <c r="AE121" s="1422">
        <v>3800</v>
      </c>
      <c r="AF121" s="1422">
        <v>600</v>
      </c>
      <c r="AG121" s="1422">
        <v>37664</v>
      </c>
      <c r="AH121" s="1422">
        <v>1758</v>
      </c>
      <c r="AI121" s="1422">
        <v>327856</v>
      </c>
      <c r="AJ121" s="1420">
        <v>4439.7</v>
      </c>
      <c r="AK121" s="1420">
        <v>5417.12</v>
      </c>
      <c r="AL121" s="1420">
        <v>4267.32</v>
      </c>
      <c r="AM121" s="1422">
        <v>0</v>
      </c>
      <c r="AN121" s="1429">
        <v>160520</v>
      </c>
      <c r="AO121" s="1422">
        <v>0</v>
      </c>
      <c r="AP121" s="1420">
        <v>82058.16</v>
      </c>
      <c r="AQ121" s="1430">
        <f t="shared" si="13"/>
        <v>5522193.3000000007</v>
      </c>
      <c r="AR121" s="1431">
        <v>1942862.44</v>
      </c>
      <c r="AS121" s="1437">
        <v>377300</v>
      </c>
      <c r="AT121" s="1422">
        <v>0</v>
      </c>
      <c r="AU121" s="1422">
        <v>0</v>
      </c>
      <c r="AV121" s="1422">
        <v>0</v>
      </c>
      <c r="AW121" s="1422">
        <v>0</v>
      </c>
      <c r="AX121" s="1422">
        <v>0</v>
      </c>
      <c r="AY121" s="1422">
        <v>377300</v>
      </c>
      <c r="AZ121" s="1420">
        <v>417889.49</v>
      </c>
      <c r="BA121" s="1423">
        <f t="shared" si="14"/>
        <v>795189.49</v>
      </c>
      <c r="BB121" s="1420">
        <f t="shared" si="15"/>
        <v>10309709.850000001</v>
      </c>
      <c r="BC121" s="1433">
        <f t="shared" si="16"/>
        <v>9671.397607879926</v>
      </c>
      <c r="BD121" s="1433">
        <f t="shared" si="17"/>
        <v>1922.5746904315199</v>
      </c>
      <c r="BE121" s="1433">
        <f t="shared" si="18"/>
        <v>0</v>
      </c>
      <c r="BF121" s="1433">
        <f t="shared" si="19"/>
        <v>5180.2939024390253</v>
      </c>
      <c r="BG121" s="1433">
        <f t="shared" si="20"/>
        <v>1822.572645403377</v>
      </c>
      <c r="BH121" s="1434">
        <f t="shared" si="21"/>
        <v>745.9563696060037</v>
      </c>
      <c r="BI121" s="1422">
        <v>8522</v>
      </c>
    </row>
    <row r="122" spans="1:61" ht="12.75" customHeight="1" thickBot="1">
      <c r="A122" s="1418" t="s">
        <v>468</v>
      </c>
      <c r="B122" s="1418" t="s">
        <v>469</v>
      </c>
      <c r="C122" s="1419">
        <v>609</v>
      </c>
      <c r="D122" s="1420">
        <v>88.25</v>
      </c>
      <c r="E122" s="1420">
        <v>570.45000000000005</v>
      </c>
      <c r="F122" s="1421">
        <v>0.01</v>
      </c>
      <c r="G122" s="1420">
        <v>608.03</v>
      </c>
      <c r="H122" s="1420">
        <v>616.05999999999995</v>
      </c>
      <c r="I122" s="1422">
        <v>27491068</v>
      </c>
      <c r="J122" s="1422">
        <v>25</v>
      </c>
      <c r="K122" s="1422">
        <v>25</v>
      </c>
      <c r="L122" s="1422">
        <v>0</v>
      </c>
      <c r="M122" s="1422">
        <v>0</v>
      </c>
      <c r="N122" s="1422">
        <v>12</v>
      </c>
      <c r="O122" s="1422">
        <v>37</v>
      </c>
      <c r="P122" s="1423">
        <v>4646418.9800000004</v>
      </c>
      <c r="Q122" s="1424">
        <v>988889.15</v>
      </c>
      <c r="R122" s="1425">
        <f t="shared" si="11"/>
        <v>988889.15</v>
      </c>
      <c r="S122" s="1426">
        <v>0</v>
      </c>
      <c r="T122" s="1427">
        <f t="shared" si="12"/>
        <v>0</v>
      </c>
      <c r="U122" s="1428">
        <v>3007510</v>
      </c>
      <c r="V122" s="1422">
        <v>50990</v>
      </c>
      <c r="W122" s="1422">
        <v>59478</v>
      </c>
      <c r="X122" s="1422">
        <v>0</v>
      </c>
      <c r="Y122" s="1422">
        <v>0</v>
      </c>
      <c r="Z122" s="1422">
        <v>0</v>
      </c>
      <c r="AA122" s="1422">
        <v>21870</v>
      </c>
      <c r="AB122" s="1422">
        <v>0</v>
      </c>
      <c r="AC122" s="1429">
        <v>0</v>
      </c>
      <c r="AD122" s="1422">
        <v>25480</v>
      </c>
      <c r="AE122" s="1420">
        <v>1392.96</v>
      </c>
      <c r="AF122" s="1422">
        <v>0</v>
      </c>
      <c r="AG122" s="1422">
        <v>75816</v>
      </c>
      <c r="AH122" s="1422">
        <v>3516</v>
      </c>
      <c r="AI122" s="1422">
        <v>461280</v>
      </c>
      <c r="AJ122" s="1420">
        <v>2523.79</v>
      </c>
      <c r="AK122" s="1422">
        <v>0</v>
      </c>
      <c r="AL122" s="1420">
        <v>2714.64</v>
      </c>
      <c r="AM122" s="1422">
        <v>0</v>
      </c>
      <c r="AN122" s="1429">
        <v>0</v>
      </c>
      <c r="AO122" s="1422">
        <v>0</v>
      </c>
      <c r="AP122" s="1422">
        <v>908760</v>
      </c>
      <c r="AQ122" s="1430">
        <f t="shared" si="13"/>
        <v>4621331.3900000006</v>
      </c>
      <c r="AR122" s="1431">
        <v>1894934.43</v>
      </c>
      <c r="AS122" s="1437">
        <v>0</v>
      </c>
      <c r="AT122" s="1422">
        <v>0</v>
      </c>
      <c r="AU122" s="1420">
        <v>384.72</v>
      </c>
      <c r="AV122" s="1422">
        <v>0</v>
      </c>
      <c r="AW122" s="1422">
        <v>0</v>
      </c>
      <c r="AX122" s="1422">
        <v>0</v>
      </c>
      <c r="AY122" s="1420">
        <v>384.72</v>
      </c>
      <c r="AZ122" s="1420">
        <v>283222.23</v>
      </c>
      <c r="BA122" s="1423">
        <f t="shared" si="14"/>
        <v>283991.67</v>
      </c>
      <c r="BB122" s="1420">
        <f t="shared" si="15"/>
        <v>7789146.6400000006</v>
      </c>
      <c r="BC122" s="1433">
        <f t="shared" si="16"/>
        <v>12790.060164203613</v>
      </c>
      <c r="BD122" s="1433">
        <f t="shared" si="17"/>
        <v>1623.7917077175698</v>
      </c>
      <c r="BE122" s="1433">
        <f t="shared" si="18"/>
        <v>0</v>
      </c>
      <c r="BF122" s="1433">
        <f t="shared" si="19"/>
        <v>7588.3930870279155</v>
      </c>
      <c r="BG122" s="1433">
        <f t="shared" si="20"/>
        <v>3111.5507881773397</v>
      </c>
      <c r="BH122" s="1434">
        <f t="shared" si="21"/>
        <v>466.32458128078815</v>
      </c>
      <c r="BI122" s="1422">
        <v>9491</v>
      </c>
    </row>
    <row r="123" spans="1:61" ht="12.75" customHeight="1" thickBot="1">
      <c r="A123" s="1418" t="s">
        <v>470</v>
      </c>
      <c r="B123" s="1418" t="s">
        <v>471</v>
      </c>
      <c r="C123" s="1419">
        <v>390</v>
      </c>
      <c r="D123" s="1420">
        <v>256.04000000000002</v>
      </c>
      <c r="E123" s="1420">
        <v>358.65</v>
      </c>
      <c r="F123" s="1421">
        <v>-0.02</v>
      </c>
      <c r="G123" s="1420">
        <v>378.63</v>
      </c>
      <c r="H123" s="1422">
        <v>412</v>
      </c>
      <c r="I123" s="1422">
        <v>29885682</v>
      </c>
      <c r="J123" s="1422">
        <v>29</v>
      </c>
      <c r="K123" s="1422">
        <v>25</v>
      </c>
      <c r="L123" s="1422">
        <v>4</v>
      </c>
      <c r="M123" s="1422">
        <v>0</v>
      </c>
      <c r="N123" s="1422">
        <v>3</v>
      </c>
      <c r="O123" s="1422">
        <v>32</v>
      </c>
      <c r="P123" s="1438">
        <v>1971624</v>
      </c>
      <c r="Q123" s="1424">
        <v>866792.69</v>
      </c>
      <c r="R123" s="1425">
        <f t="shared" si="11"/>
        <v>866792.69</v>
      </c>
      <c r="S123" s="1436">
        <v>78535.360000000001</v>
      </c>
      <c r="T123" s="1427">
        <f t="shared" si="12"/>
        <v>78535.360000000001</v>
      </c>
      <c r="U123" s="1428">
        <v>1633324</v>
      </c>
      <c r="V123" s="1422">
        <v>101131</v>
      </c>
      <c r="W123" s="1422">
        <v>0</v>
      </c>
      <c r="X123" s="1422">
        <v>0</v>
      </c>
      <c r="Y123" s="1422">
        <v>0</v>
      </c>
      <c r="Z123" s="1422">
        <v>0</v>
      </c>
      <c r="AA123" s="1422">
        <v>0</v>
      </c>
      <c r="AB123" s="1422">
        <v>0</v>
      </c>
      <c r="AC123" s="1429">
        <v>0</v>
      </c>
      <c r="AD123" s="1422">
        <v>17040</v>
      </c>
      <c r="AE123" s="1420">
        <v>197121.99</v>
      </c>
      <c r="AF123" s="1422">
        <v>200</v>
      </c>
      <c r="AG123" s="1422">
        <v>9223</v>
      </c>
      <c r="AH123" s="1422">
        <v>0</v>
      </c>
      <c r="AI123" s="1422">
        <v>313472</v>
      </c>
      <c r="AJ123" s="1420">
        <v>2723.82</v>
      </c>
      <c r="AK123" s="1422">
        <v>0</v>
      </c>
      <c r="AL123" s="1420">
        <v>1741.86</v>
      </c>
      <c r="AM123" s="1422">
        <v>0</v>
      </c>
      <c r="AN123" s="1429">
        <v>0</v>
      </c>
      <c r="AO123" s="1422">
        <v>0</v>
      </c>
      <c r="AP123" s="1420">
        <v>13501.69</v>
      </c>
      <c r="AQ123" s="1430">
        <f t="shared" si="13"/>
        <v>2289479.36</v>
      </c>
      <c r="AR123" s="1431">
        <v>860901.51</v>
      </c>
      <c r="AS123" s="1432">
        <v>918239.7</v>
      </c>
      <c r="AT123" s="1422">
        <v>0</v>
      </c>
      <c r="AU123" s="1422">
        <v>2737</v>
      </c>
      <c r="AV123" s="1422">
        <v>0</v>
      </c>
      <c r="AW123" s="1422">
        <v>0</v>
      </c>
      <c r="AX123" s="1422">
        <v>0</v>
      </c>
      <c r="AY123" s="1420">
        <v>920976.7</v>
      </c>
      <c r="AZ123" s="1420">
        <v>222686.68</v>
      </c>
      <c r="BA123" s="1423">
        <f t="shared" si="14"/>
        <v>1146400.3799999999</v>
      </c>
      <c r="BB123" s="1420">
        <f t="shared" si="15"/>
        <v>5242109.3000000007</v>
      </c>
      <c r="BC123" s="1433">
        <f t="shared" si="16"/>
        <v>13441.305897435899</v>
      </c>
      <c r="BD123" s="1433">
        <f t="shared" si="17"/>
        <v>2222.5453589743588</v>
      </c>
      <c r="BE123" s="1433">
        <f t="shared" si="18"/>
        <v>201.37271794871796</v>
      </c>
      <c r="BF123" s="1433">
        <f t="shared" si="19"/>
        <v>5870.4598974358969</v>
      </c>
      <c r="BG123" s="1433">
        <f t="shared" si="20"/>
        <v>2207.4397692307693</v>
      </c>
      <c r="BH123" s="1434">
        <f t="shared" si="21"/>
        <v>2939.4881538461536</v>
      </c>
      <c r="BI123" s="1422">
        <v>9214</v>
      </c>
    </row>
    <row r="124" spans="1:61" ht="12.75" customHeight="1" thickBot="1">
      <c r="A124" s="1418" t="s">
        <v>472</v>
      </c>
      <c r="B124" s="1418" t="s">
        <v>473</v>
      </c>
      <c r="C124" s="1419">
        <v>763</v>
      </c>
      <c r="D124" s="1420">
        <v>388.65</v>
      </c>
      <c r="E124" s="1420">
        <v>701.77</v>
      </c>
      <c r="F124" s="1421">
        <v>-0.2</v>
      </c>
      <c r="G124" s="1420">
        <v>747.26</v>
      </c>
      <c r="H124" s="1420">
        <v>792.85</v>
      </c>
      <c r="I124" s="1422">
        <v>66377341</v>
      </c>
      <c r="J124" s="1420">
        <v>26.7</v>
      </c>
      <c r="K124" s="1422">
        <v>25</v>
      </c>
      <c r="L124" s="1420">
        <v>1.7</v>
      </c>
      <c r="M124" s="1422">
        <v>0</v>
      </c>
      <c r="N124" s="1420">
        <v>6.1</v>
      </c>
      <c r="O124" s="1420">
        <v>32.799999999999997</v>
      </c>
      <c r="P124" s="1438">
        <v>3460200</v>
      </c>
      <c r="Q124" s="1424">
        <v>2009352.08</v>
      </c>
      <c r="R124" s="1425">
        <f t="shared" si="11"/>
        <v>2009352.08</v>
      </c>
      <c r="S124" s="1436">
        <v>156931.03</v>
      </c>
      <c r="T124" s="1427">
        <f t="shared" si="12"/>
        <v>156931.03</v>
      </c>
      <c r="U124" s="1428">
        <v>3040017</v>
      </c>
      <c r="V124" s="1422">
        <v>100233</v>
      </c>
      <c r="W124" s="1422">
        <v>0</v>
      </c>
      <c r="X124" s="1422">
        <v>0</v>
      </c>
      <c r="Y124" s="1422">
        <v>0</v>
      </c>
      <c r="Z124" s="1422">
        <v>0</v>
      </c>
      <c r="AA124" s="1422">
        <v>0</v>
      </c>
      <c r="AB124" s="1422">
        <v>0</v>
      </c>
      <c r="AC124" s="1429">
        <v>0</v>
      </c>
      <c r="AD124" s="1422">
        <v>32792</v>
      </c>
      <c r="AE124" s="1420">
        <v>175641.4</v>
      </c>
      <c r="AF124" s="1422">
        <v>0</v>
      </c>
      <c r="AG124" s="1422">
        <v>30635</v>
      </c>
      <c r="AH124" s="1422">
        <v>0</v>
      </c>
      <c r="AI124" s="1422">
        <v>649760</v>
      </c>
      <c r="AJ124" s="1420">
        <v>27384.639999999999</v>
      </c>
      <c r="AK124" s="1422">
        <v>0</v>
      </c>
      <c r="AL124" s="1420">
        <v>3033.58</v>
      </c>
      <c r="AM124" s="1422">
        <v>0</v>
      </c>
      <c r="AN124" s="1429">
        <v>0</v>
      </c>
      <c r="AO124" s="1422">
        <v>0</v>
      </c>
      <c r="AP124" s="1422">
        <v>28665</v>
      </c>
      <c r="AQ124" s="1430">
        <f t="shared" si="13"/>
        <v>4088161.62</v>
      </c>
      <c r="AR124" s="1431">
        <v>2183420.73</v>
      </c>
      <c r="AS124" s="1432">
        <v>2295875.69</v>
      </c>
      <c r="AT124" s="1422">
        <v>0</v>
      </c>
      <c r="AU124" s="1420">
        <v>32363.47</v>
      </c>
      <c r="AV124" s="1422">
        <v>4386</v>
      </c>
      <c r="AW124" s="1422">
        <v>0</v>
      </c>
      <c r="AX124" s="1422">
        <v>0</v>
      </c>
      <c r="AY124" s="1420">
        <v>2332625.16</v>
      </c>
      <c r="AZ124" s="1420">
        <v>340527.68</v>
      </c>
      <c r="BA124" s="1423">
        <f t="shared" si="14"/>
        <v>2709902.3100000005</v>
      </c>
      <c r="BB124" s="1420">
        <f t="shared" si="15"/>
        <v>11147767.77</v>
      </c>
      <c r="BC124" s="1433">
        <f t="shared" si="16"/>
        <v>14610.442686762777</v>
      </c>
      <c r="BD124" s="1433">
        <f t="shared" si="17"/>
        <v>2633.4889646133684</v>
      </c>
      <c r="BE124" s="1433">
        <f t="shared" si="18"/>
        <v>205.67631716906945</v>
      </c>
      <c r="BF124" s="1433">
        <f t="shared" si="19"/>
        <v>5358.0099868938405</v>
      </c>
      <c r="BG124" s="1433">
        <f t="shared" si="20"/>
        <v>2861.6261205766709</v>
      </c>
      <c r="BH124" s="1434">
        <f t="shared" si="21"/>
        <v>3551.6412975098301</v>
      </c>
      <c r="BI124" s="1422">
        <v>11053</v>
      </c>
    </row>
    <row r="125" spans="1:61" ht="12.75" customHeight="1" thickBot="1">
      <c r="A125" s="1418" t="s">
        <v>474</v>
      </c>
      <c r="B125" s="1418" t="s">
        <v>475</v>
      </c>
      <c r="C125" s="1419">
        <v>952</v>
      </c>
      <c r="D125" s="1420">
        <v>125.2</v>
      </c>
      <c r="E125" s="1420">
        <v>900.29</v>
      </c>
      <c r="F125" s="1421">
        <v>0.01</v>
      </c>
      <c r="G125" s="1420">
        <v>945.68</v>
      </c>
      <c r="H125" s="1420">
        <v>995.46</v>
      </c>
      <c r="I125" s="1422">
        <v>38032915</v>
      </c>
      <c r="J125" s="1422">
        <v>25</v>
      </c>
      <c r="K125" s="1422">
        <v>25</v>
      </c>
      <c r="L125" s="1422">
        <v>0</v>
      </c>
      <c r="M125" s="1422">
        <v>0</v>
      </c>
      <c r="N125" s="1422">
        <v>9</v>
      </c>
      <c r="O125" s="1422">
        <v>34</v>
      </c>
      <c r="P125" s="1438">
        <v>5339625</v>
      </c>
      <c r="Q125" s="1424">
        <v>1109401.06</v>
      </c>
      <c r="R125" s="1425">
        <f t="shared" si="11"/>
        <v>1109401.06</v>
      </c>
      <c r="S125" s="1436">
        <v>1769.86</v>
      </c>
      <c r="T125" s="1427">
        <f t="shared" si="12"/>
        <v>1769.86</v>
      </c>
      <c r="U125" s="1428">
        <v>5113276</v>
      </c>
      <c r="V125" s="1422">
        <v>75260</v>
      </c>
      <c r="W125" s="1422">
        <v>0</v>
      </c>
      <c r="X125" s="1422">
        <v>0</v>
      </c>
      <c r="Y125" s="1422">
        <v>0</v>
      </c>
      <c r="Z125" s="1422">
        <v>0</v>
      </c>
      <c r="AA125" s="1422">
        <v>64479</v>
      </c>
      <c r="AB125" s="1422">
        <v>0</v>
      </c>
      <c r="AC125" s="1429">
        <v>0</v>
      </c>
      <c r="AD125" s="1422">
        <v>41172</v>
      </c>
      <c r="AE125" s="1420">
        <v>6786.71</v>
      </c>
      <c r="AF125" s="1422">
        <v>100</v>
      </c>
      <c r="AG125" s="1422">
        <v>44856</v>
      </c>
      <c r="AH125" s="1422">
        <v>0</v>
      </c>
      <c r="AI125" s="1422">
        <v>735072</v>
      </c>
      <c r="AJ125" s="1420">
        <v>7873.82</v>
      </c>
      <c r="AK125" s="1422">
        <v>6500</v>
      </c>
      <c r="AL125" s="1420">
        <v>4185.8</v>
      </c>
      <c r="AM125" s="1422">
        <v>0</v>
      </c>
      <c r="AN125" s="1429">
        <v>243000</v>
      </c>
      <c r="AO125" s="1422">
        <v>0</v>
      </c>
      <c r="AP125" s="1422">
        <v>55051</v>
      </c>
      <c r="AQ125" s="1430">
        <f t="shared" si="13"/>
        <v>6154612.3300000001</v>
      </c>
      <c r="AR125" s="1431">
        <v>1589484.24</v>
      </c>
      <c r="AS125" s="1432">
        <v>3682506.61</v>
      </c>
      <c r="AT125" s="1422">
        <v>0</v>
      </c>
      <c r="AU125" s="1420">
        <v>3192.45</v>
      </c>
      <c r="AV125" s="1422">
        <v>0</v>
      </c>
      <c r="AW125" s="1422">
        <v>0</v>
      </c>
      <c r="AX125" s="1422">
        <v>0</v>
      </c>
      <c r="AY125" s="1420">
        <v>3685699.06</v>
      </c>
      <c r="AZ125" s="1420">
        <v>532815.51</v>
      </c>
      <c r="BA125" s="1423">
        <f t="shared" si="14"/>
        <v>4221707.0200000005</v>
      </c>
      <c r="BB125" s="1420">
        <f t="shared" si="15"/>
        <v>13076974.51</v>
      </c>
      <c r="BC125" s="1433">
        <f t="shared" si="16"/>
        <v>13736.317762605042</v>
      </c>
      <c r="BD125" s="1433">
        <f t="shared" si="17"/>
        <v>1165.3372478991598</v>
      </c>
      <c r="BE125" s="1433">
        <f t="shared" si="18"/>
        <v>1.8590966386554622</v>
      </c>
      <c r="BF125" s="1433">
        <f t="shared" si="19"/>
        <v>6464.9289180672267</v>
      </c>
      <c r="BG125" s="1433">
        <f t="shared" si="20"/>
        <v>1669.6263025210085</v>
      </c>
      <c r="BH125" s="1434">
        <f t="shared" si="21"/>
        <v>4434.5661974789919</v>
      </c>
      <c r="BI125" s="1422">
        <v>9206</v>
      </c>
    </row>
    <row r="126" spans="1:61" ht="12.75" customHeight="1" thickBot="1">
      <c r="A126" s="1418" t="s">
        <v>476</v>
      </c>
      <c r="B126" s="1418" t="s">
        <v>477</v>
      </c>
      <c r="C126" s="1419">
        <v>668</v>
      </c>
      <c r="D126" s="1420">
        <v>205.73</v>
      </c>
      <c r="E126" s="1420">
        <v>611.33000000000004</v>
      </c>
      <c r="F126" s="1421">
        <v>0.1</v>
      </c>
      <c r="G126" s="1420">
        <v>652.75</v>
      </c>
      <c r="H126" s="1420">
        <v>507.04</v>
      </c>
      <c r="I126" s="1422">
        <v>33858081</v>
      </c>
      <c r="J126" s="1422">
        <v>25</v>
      </c>
      <c r="K126" s="1422">
        <v>25</v>
      </c>
      <c r="L126" s="1422">
        <v>0</v>
      </c>
      <c r="M126" s="1422">
        <v>0</v>
      </c>
      <c r="N126" s="1420">
        <v>11.93</v>
      </c>
      <c r="O126" s="1420">
        <v>36.93</v>
      </c>
      <c r="P126" s="1438">
        <v>1860000</v>
      </c>
      <c r="Q126" s="1424">
        <v>916459.85</v>
      </c>
      <c r="R126" s="1425">
        <f t="shared" si="11"/>
        <v>916459.85</v>
      </c>
      <c r="S126" s="1436">
        <v>871.48</v>
      </c>
      <c r="T126" s="1427">
        <f t="shared" si="12"/>
        <v>871.48</v>
      </c>
      <c r="U126" s="1428">
        <v>3590969</v>
      </c>
      <c r="V126" s="1422">
        <v>42766</v>
      </c>
      <c r="W126" s="1422">
        <v>0</v>
      </c>
      <c r="X126" s="1422">
        <v>95678</v>
      </c>
      <c r="Y126" s="1422">
        <v>1031642</v>
      </c>
      <c r="Z126" s="1422">
        <v>84652</v>
      </c>
      <c r="AA126" s="1422">
        <v>32464</v>
      </c>
      <c r="AB126" s="1422">
        <v>0</v>
      </c>
      <c r="AC126" s="1429">
        <v>0</v>
      </c>
      <c r="AD126" s="1422">
        <v>28581</v>
      </c>
      <c r="AE126" s="1420">
        <v>3343.13</v>
      </c>
      <c r="AF126" s="1422">
        <v>150</v>
      </c>
      <c r="AG126" s="1422">
        <v>33461</v>
      </c>
      <c r="AH126" s="1422">
        <v>0</v>
      </c>
      <c r="AI126" s="1422">
        <v>235253</v>
      </c>
      <c r="AJ126" s="1420">
        <v>2077.16</v>
      </c>
      <c r="AK126" s="1422">
        <v>0</v>
      </c>
      <c r="AL126" s="1422">
        <v>0</v>
      </c>
      <c r="AM126" s="1422">
        <v>0</v>
      </c>
      <c r="AN126" s="1429">
        <v>0</v>
      </c>
      <c r="AO126" s="1422">
        <v>0</v>
      </c>
      <c r="AP126" s="1422">
        <v>56718</v>
      </c>
      <c r="AQ126" s="1430">
        <f t="shared" si="13"/>
        <v>5237754.29</v>
      </c>
      <c r="AR126" s="1431">
        <v>1379286.27</v>
      </c>
      <c r="AS126" s="1432">
        <v>5316.38</v>
      </c>
      <c r="AT126" s="1422">
        <v>0</v>
      </c>
      <c r="AU126" s="1422">
        <v>0</v>
      </c>
      <c r="AV126" s="1422">
        <v>0</v>
      </c>
      <c r="AW126" s="1420">
        <v>87120.03</v>
      </c>
      <c r="AX126" s="1422">
        <v>0</v>
      </c>
      <c r="AY126" s="1420">
        <v>92436.41</v>
      </c>
      <c r="AZ126" s="1420">
        <v>276099.11</v>
      </c>
      <c r="BA126" s="1423">
        <f t="shared" si="14"/>
        <v>455655.55</v>
      </c>
      <c r="BB126" s="1420">
        <f t="shared" si="15"/>
        <v>7990027.4400000004</v>
      </c>
      <c r="BC126" s="1433">
        <f t="shared" si="16"/>
        <v>11961.118922155689</v>
      </c>
      <c r="BD126" s="1433">
        <f t="shared" si="17"/>
        <v>1371.9458832335329</v>
      </c>
      <c r="BE126" s="1433">
        <f t="shared" si="18"/>
        <v>1.3046107784431138</v>
      </c>
      <c r="BF126" s="1433">
        <f t="shared" si="19"/>
        <v>7840.9495359281436</v>
      </c>
      <c r="BG126" s="1433">
        <f t="shared" si="20"/>
        <v>2064.7998053892215</v>
      </c>
      <c r="BH126" s="1434">
        <f t="shared" si="21"/>
        <v>682.11908682634726</v>
      </c>
      <c r="BI126" s="1422">
        <v>8325</v>
      </c>
    </row>
    <row r="127" spans="1:61" ht="12.75" customHeight="1" thickBot="1">
      <c r="A127" s="1418" t="s">
        <v>478</v>
      </c>
      <c r="B127" s="1418" t="s">
        <v>479</v>
      </c>
      <c r="C127" s="1419">
        <v>415</v>
      </c>
      <c r="D127" s="1420">
        <v>295.91000000000003</v>
      </c>
      <c r="E127" s="1420">
        <v>390.49</v>
      </c>
      <c r="F127" s="1421">
        <v>-0.16</v>
      </c>
      <c r="G127" s="1420">
        <v>408.84</v>
      </c>
      <c r="H127" s="1420">
        <v>434.21</v>
      </c>
      <c r="I127" s="1422">
        <v>35524263</v>
      </c>
      <c r="J127" s="1422">
        <v>25</v>
      </c>
      <c r="K127" s="1422">
        <v>25</v>
      </c>
      <c r="L127" s="1422">
        <v>0</v>
      </c>
      <c r="M127" s="1422">
        <v>0</v>
      </c>
      <c r="N127" s="1420">
        <v>10.9</v>
      </c>
      <c r="O127" s="1420">
        <v>35.9</v>
      </c>
      <c r="P127" s="1438">
        <v>2250000</v>
      </c>
      <c r="Q127" s="1424">
        <v>1153907.1200000001</v>
      </c>
      <c r="R127" s="1425">
        <f t="shared" si="11"/>
        <v>1153907.1200000001</v>
      </c>
      <c r="S127" s="1436">
        <v>772.03</v>
      </c>
      <c r="T127" s="1427">
        <f t="shared" si="12"/>
        <v>772.03</v>
      </c>
      <c r="U127" s="1428">
        <v>1863319</v>
      </c>
      <c r="V127" s="1422">
        <v>47723</v>
      </c>
      <c r="W127" s="1422">
        <v>0</v>
      </c>
      <c r="X127" s="1422">
        <v>0</v>
      </c>
      <c r="Y127" s="1422">
        <v>54940</v>
      </c>
      <c r="Z127" s="1422">
        <v>196706</v>
      </c>
      <c r="AA127" s="1422">
        <v>0</v>
      </c>
      <c r="AB127" s="1422">
        <v>0</v>
      </c>
      <c r="AC127" s="1429">
        <v>0</v>
      </c>
      <c r="AD127" s="1422">
        <v>18364</v>
      </c>
      <c r="AE127" s="1420">
        <v>151069.42000000001</v>
      </c>
      <c r="AF127" s="1422">
        <v>0</v>
      </c>
      <c r="AG127" s="1422">
        <v>29379</v>
      </c>
      <c r="AH127" s="1422">
        <v>0</v>
      </c>
      <c r="AI127" s="1422">
        <v>306585</v>
      </c>
      <c r="AJ127" s="1420">
        <v>88937.43</v>
      </c>
      <c r="AK127" s="1420">
        <v>31087.32</v>
      </c>
      <c r="AL127" s="1420">
        <v>6719.59</v>
      </c>
      <c r="AM127" s="1422">
        <v>0</v>
      </c>
      <c r="AN127" s="1429">
        <v>0</v>
      </c>
      <c r="AO127" s="1422">
        <v>0</v>
      </c>
      <c r="AP127" s="1422">
        <v>30795</v>
      </c>
      <c r="AQ127" s="1430">
        <f t="shared" si="13"/>
        <v>2825624.76</v>
      </c>
      <c r="AR127" s="1431">
        <v>665678.71</v>
      </c>
      <c r="AS127" s="1432">
        <v>4366.01</v>
      </c>
      <c r="AT127" s="1422">
        <v>0</v>
      </c>
      <c r="AU127" s="1422">
        <v>0</v>
      </c>
      <c r="AV127" s="1422">
        <v>0</v>
      </c>
      <c r="AW127" s="1420">
        <v>21781.65</v>
      </c>
      <c r="AX127" s="1422">
        <v>0</v>
      </c>
      <c r="AY127" s="1420">
        <v>26147.66</v>
      </c>
      <c r="AZ127" s="1420">
        <v>214254.52</v>
      </c>
      <c r="BA127" s="1423">
        <f t="shared" si="14"/>
        <v>262183.82999999996</v>
      </c>
      <c r="BB127" s="1420">
        <f t="shared" si="15"/>
        <v>4908166.4499999993</v>
      </c>
      <c r="BC127" s="1433">
        <f t="shared" si="16"/>
        <v>11826.907108433734</v>
      </c>
      <c r="BD127" s="1433">
        <f t="shared" si="17"/>
        <v>2780.4990843373498</v>
      </c>
      <c r="BE127" s="1433">
        <f t="shared" si="18"/>
        <v>1.8603132530120481</v>
      </c>
      <c r="BF127" s="1433">
        <f t="shared" si="19"/>
        <v>6808.7343614457823</v>
      </c>
      <c r="BG127" s="1433">
        <f t="shared" si="20"/>
        <v>1604.0450843373494</v>
      </c>
      <c r="BH127" s="1434">
        <f t="shared" si="21"/>
        <v>631.76826506024088</v>
      </c>
      <c r="BI127" s="1422">
        <v>10586</v>
      </c>
    </row>
    <row r="128" spans="1:61" ht="12.75" customHeight="1" thickBot="1">
      <c r="A128" s="1418" t="s">
        <v>480</v>
      </c>
      <c r="B128" s="1418" t="s">
        <v>307</v>
      </c>
      <c r="C128" s="1419">
        <v>1084</v>
      </c>
      <c r="D128" s="1420">
        <v>190.76</v>
      </c>
      <c r="E128" s="1420">
        <v>1015.95</v>
      </c>
      <c r="F128" s="1421">
        <v>0</v>
      </c>
      <c r="G128" s="1420">
        <v>1082.3699999999999</v>
      </c>
      <c r="H128" s="1420">
        <v>1056.0899999999999</v>
      </c>
      <c r="I128" s="1422">
        <v>78320178</v>
      </c>
      <c r="J128" s="1420">
        <v>27.5</v>
      </c>
      <c r="K128" s="1422">
        <v>25</v>
      </c>
      <c r="L128" s="1420">
        <v>2.5</v>
      </c>
      <c r="M128" s="1422">
        <v>0</v>
      </c>
      <c r="N128" s="1420">
        <v>4.9000000000000004</v>
      </c>
      <c r="O128" s="1420">
        <v>32.4</v>
      </c>
      <c r="P128" s="1423">
        <v>3648136.36</v>
      </c>
      <c r="Q128" s="1424">
        <v>2320441.9300000002</v>
      </c>
      <c r="R128" s="1425">
        <f t="shared" si="11"/>
        <v>2320441.9300000002</v>
      </c>
      <c r="S128" s="1436">
        <v>1813.37</v>
      </c>
      <c r="T128" s="1427">
        <f t="shared" si="12"/>
        <v>1813.37</v>
      </c>
      <c r="U128" s="1428">
        <v>4499156</v>
      </c>
      <c r="V128" s="1422">
        <v>127111</v>
      </c>
      <c r="W128" s="1422">
        <v>157637</v>
      </c>
      <c r="X128" s="1422">
        <v>0</v>
      </c>
      <c r="Y128" s="1422">
        <v>0</v>
      </c>
      <c r="Z128" s="1422">
        <v>0</v>
      </c>
      <c r="AA128" s="1422">
        <v>7776</v>
      </c>
      <c r="AB128" s="1422">
        <v>0</v>
      </c>
      <c r="AC128" s="1429">
        <v>0</v>
      </c>
      <c r="AD128" s="1422">
        <v>43680</v>
      </c>
      <c r="AE128" s="1420">
        <v>2327.42</v>
      </c>
      <c r="AF128" s="1422">
        <v>350</v>
      </c>
      <c r="AG128" s="1422">
        <v>40955</v>
      </c>
      <c r="AH128" s="1422">
        <v>0</v>
      </c>
      <c r="AI128" s="1422">
        <v>326864</v>
      </c>
      <c r="AJ128" s="1420">
        <v>54365.84</v>
      </c>
      <c r="AK128" s="1420">
        <v>5687.52</v>
      </c>
      <c r="AL128" s="1420">
        <v>3461.22</v>
      </c>
      <c r="AM128" s="1422">
        <v>0</v>
      </c>
      <c r="AN128" s="1429">
        <v>0</v>
      </c>
      <c r="AO128" s="1422">
        <v>0</v>
      </c>
      <c r="AP128" s="1420">
        <v>326989.58</v>
      </c>
      <c r="AQ128" s="1430">
        <f t="shared" si="13"/>
        <v>5596360.5799999991</v>
      </c>
      <c r="AR128" s="1431">
        <v>2078141.14</v>
      </c>
      <c r="AS128" s="1432">
        <v>2606639.61</v>
      </c>
      <c r="AT128" s="1422">
        <v>0</v>
      </c>
      <c r="AU128" s="1422">
        <v>0</v>
      </c>
      <c r="AV128" s="1422">
        <v>0</v>
      </c>
      <c r="AW128" s="1420">
        <v>53040.92</v>
      </c>
      <c r="AX128" s="1422">
        <v>0</v>
      </c>
      <c r="AY128" s="1420">
        <v>2659680.5299999998</v>
      </c>
      <c r="AZ128" s="1420">
        <v>516455.94</v>
      </c>
      <c r="BA128" s="1423">
        <f t="shared" si="14"/>
        <v>3229177.3899999997</v>
      </c>
      <c r="BB128" s="1420">
        <f t="shared" si="15"/>
        <v>13225934.409999998</v>
      </c>
      <c r="BC128" s="1433">
        <f t="shared" si="16"/>
        <v>12201.046503690035</v>
      </c>
      <c r="BD128" s="1433">
        <f t="shared" si="17"/>
        <v>2140.6290867158673</v>
      </c>
      <c r="BE128" s="1433">
        <f t="shared" si="18"/>
        <v>1.6728505535055349</v>
      </c>
      <c r="BF128" s="1433">
        <f t="shared" si="19"/>
        <v>5162.6942619926194</v>
      </c>
      <c r="BG128" s="1433">
        <f t="shared" si="20"/>
        <v>1917.1043726937269</v>
      </c>
      <c r="BH128" s="1434">
        <f t="shared" si="21"/>
        <v>2978.9459317343171</v>
      </c>
      <c r="BI128" s="1422">
        <v>8848</v>
      </c>
    </row>
    <row r="129" spans="1:61" ht="12.75" customHeight="1" thickBot="1">
      <c r="A129" s="1418" t="s">
        <v>308</v>
      </c>
      <c r="B129" s="1418" t="s">
        <v>309</v>
      </c>
      <c r="C129" s="1419">
        <v>995</v>
      </c>
      <c r="D129" s="1420">
        <v>623.85</v>
      </c>
      <c r="E129" s="1420">
        <v>910.79</v>
      </c>
      <c r="F129" s="1421">
        <v>-0.28000000000000003</v>
      </c>
      <c r="G129" s="1420">
        <v>979.8</v>
      </c>
      <c r="H129" s="1420">
        <v>1094.53</v>
      </c>
      <c r="I129" s="1422">
        <v>95361565</v>
      </c>
      <c r="J129" s="1422">
        <v>25</v>
      </c>
      <c r="K129" s="1422">
        <v>25</v>
      </c>
      <c r="L129" s="1422">
        <v>0</v>
      </c>
      <c r="M129" s="1422">
        <v>0</v>
      </c>
      <c r="N129" s="1420">
        <v>1.3</v>
      </c>
      <c r="O129" s="1420">
        <v>26.3</v>
      </c>
      <c r="P129" s="1438">
        <v>300000</v>
      </c>
      <c r="Q129" s="1424">
        <v>2247551.23</v>
      </c>
      <c r="R129" s="1425">
        <f t="shared" si="11"/>
        <v>2247551.23</v>
      </c>
      <c r="S129" s="1426">
        <v>0</v>
      </c>
      <c r="T129" s="1427">
        <f t="shared" si="12"/>
        <v>0</v>
      </c>
      <c r="U129" s="1428">
        <v>4287558</v>
      </c>
      <c r="V129" s="1422">
        <v>134999</v>
      </c>
      <c r="W129" s="1422">
        <v>0</v>
      </c>
      <c r="X129" s="1422">
        <v>119737</v>
      </c>
      <c r="Y129" s="1422">
        <v>0</v>
      </c>
      <c r="Z129" s="1422">
        <v>0</v>
      </c>
      <c r="AA129" s="1422">
        <v>0</v>
      </c>
      <c r="AB129" s="1422">
        <v>0</v>
      </c>
      <c r="AC129" s="1429">
        <v>0</v>
      </c>
      <c r="AD129" s="1422">
        <v>45270</v>
      </c>
      <c r="AE129" s="1420">
        <v>254018.19</v>
      </c>
      <c r="AF129" s="1422">
        <v>50</v>
      </c>
      <c r="AG129" s="1422">
        <v>77603</v>
      </c>
      <c r="AH129" s="1422">
        <v>0</v>
      </c>
      <c r="AI129" s="1422">
        <v>1553472</v>
      </c>
      <c r="AJ129" s="1420">
        <v>4483.9399999999996</v>
      </c>
      <c r="AK129" s="1420">
        <v>38541.760000000002</v>
      </c>
      <c r="AL129" s="1420">
        <v>5071.1499999999996</v>
      </c>
      <c r="AM129" s="1422">
        <v>0</v>
      </c>
      <c r="AN129" s="1429">
        <v>533628</v>
      </c>
      <c r="AO129" s="1422">
        <v>0</v>
      </c>
      <c r="AP129" s="1422">
        <v>24425</v>
      </c>
      <c r="AQ129" s="1430">
        <f t="shared" si="13"/>
        <v>6545229.040000001</v>
      </c>
      <c r="AR129" s="1431">
        <v>5784383.4400000004</v>
      </c>
      <c r="AS129" s="1437">
        <v>0</v>
      </c>
      <c r="AT129" s="1422">
        <v>0</v>
      </c>
      <c r="AU129" s="1420">
        <v>10069.76</v>
      </c>
      <c r="AV129" s="1422">
        <v>0</v>
      </c>
      <c r="AW129" s="1422">
        <v>0</v>
      </c>
      <c r="AX129" s="1422">
        <v>0</v>
      </c>
      <c r="AY129" s="1420">
        <v>10069.76</v>
      </c>
      <c r="AZ129" s="1420">
        <v>325646.58</v>
      </c>
      <c r="BA129" s="1423">
        <f t="shared" si="14"/>
        <v>345786.10000000003</v>
      </c>
      <c r="BB129" s="1420">
        <f t="shared" si="15"/>
        <v>14922949.810000002</v>
      </c>
      <c r="BC129" s="1433">
        <f t="shared" si="16"/>
        <v>14997.939507537691</v>
      </c>
      <c r="BD129" s="1433">
        <f t="shared" si="17"/>
        <v>2258.8454572864321</v>
      </c>
      <c r="BE129" s="1433">
        <f t="shared" si="18"/>
        <v>0</v>
      </c>
      <c r="BF129" s="1433">
        <f t="shared" si="19"/>
        <v>6578.1196381909558</v>
      </c>
      <c r="BG129" s="1433">
        <f t="shared" si="20"/>
        <v>5813.4506934673373</v>
      </c>
      <c r="BH129" s="1434">
        <f t="shared" si="21"/>
        <v>347.52371859296488</v>
      </c>
      <c r="BI129" s="1422">
        <v>13685</v>
      </c>
    </row>
    <row r="130" spans="1:61" ht="12.75" customHeight="1" thickBot="1">
      <c r="A130" s="1418" t="s">
        <v>310</v>
      </c>
      <c r="B130" s="1418" t="s">
        <v>311</v>
      </c>
      <c r="C130" s="1419">
        <v>1653</v>
      </c>
      <c r="D130" s="1420">
        <v>407.18</v>
      </c>
      <c r="E130" s="1420">
        <v>1569.14</v>
      </c>
      <c r="F130" s="1421">
        <v>-0.04</v>
      </c>
      <c r="G130" s="1420">
        <v>1650.56</v>
      </c>
      <c r="H130" s="1420">
        <v>1671.8</v>
      </c>
      <c r="I130" s="1422">
        <v>85472186</v>
      </c>
      <c r="J130" s="1422">
        <v>25</v>
      </c>
      <c r="K130" s="1422">
        <v>25</v>
      </c>
      <c r="L130" s="1422">
        <v>0</v>
      </c>
      <c r="M130" s="1422">
        <v>0</v>
      </c>
      <c r="N130" s="1422">
        <v>12</v>
      </c>
      <c r="O130" s="1422">
        <v>37</v>
      </c>
      <c r="P130" s="1438">
        <v>8900000</v>
      </c>
      <c r="Q130" s="1424">
        <v>3006735.83</v>
      </c>
      <c r="R130" s="1425">
        <f t="shared" si="11"/>
        <v>3006735.83</v>
      </c>
      <c r="S130" s="1426">
        <v>0</v>
      </c>
      <c r="T130" s="1427">
        <f t="shared" si="12"/>
        <v>0</v>
      </c>
      <c r="U130" s="1428">
        <v>7970761</v>
      </c>
      <c r="V130" s="1422">
        <v>49408</v>
      </c>
      <c r="W130" s="1422">
        <v>0</v>
      </c>
      <c r="X130" s="1422">
        <v>78751</v>
      </c>
      <c r="Y130" s="1422">
        <v>0</v>
      </c>
      <c r="Z130" s="1422">
        <v>0</v>
      </c>
      <c r="AA130" s="1422">
        <v>44612</v>
      </c>
      <c r="AB130" s="1422">
        <v>0</v>
      </c>
      <c r="AC130" s="1435">
        <v>157114.4</v>
      </c>
      <c r="AD130" s="1422">
        <v>69146</v>
      </c>
      <c r="AE130" s="1420">
        <v>13560.9</v>
      </c>
      <c r="AF130" s="1422">
        <v>350</v>
      </c>
      <c r="AG130" s="1422">
        <v>41483</v>
      </c>
      <c r="AH130" s="1422">
        <v>3809</v>
      </c>
      <c r="AI130" s="1422">
        <v>493520</v>
      </c>
      <c r="AJ130" s="1420">
        <v>102488.31</v>
      </c>
      <c r="AK130" s="1422">
        <v>0</v>
      </c>
      <c r="AL130" s="1420">
        <v>6661.84</v>
      </c>
      <c r="AM130" s="1422">
        <v>0</v>
      </c>
      <c r="AN130" s="1429">
        <v>303750</v>
      </c>
      <c r="AO130" s="1422">
        <v>0</v>
      </c>
      <c r="AP130" s="1420">
        <v>1077201.1299999999</v>
      </c>
      <c r="AQ130" s="1430">
        <f t="shared" si="13"/>
        <v>9951752.1800000016</v>
      </c>
      <c r="AR130" s="1431">
        <v>2980228.24</v>
      </c>
      <c r="AS130" s="1437">
        <v>0</v>
      </c>
      <c r="AT130" s="1422">
        <v>0</v>
      </c>
      <c r="AU130" s="1420">
        <v>22080.84</v>
      </c>
      <c r="AV130" s="1422">
        <v>0</v>
      </c>
      <c r="AW130" s="1422">
        <v>0</v>
      </c>
      <c r="AX130" s="1422">
        <v>0</v>
      </c>
      <c r="AY130" s="1420">
        <v>22080.84</v>
      </c>
      <c r="AZ130" s="1420">
        <v>744320.38</v>
      </c>
      <c r="BA130" s="1423">
        <f t="shared" si="14"/>
        <v>788482.06</v>
      </c>
      <c r="BB130" s="1420">
        <f t="shared" si="15"/>
        <v>16727198.310000002</v>
      </c>
      <c r="BC130" s="1433">
        <f t="shared" si="16"/>
        <v>10119.297223230491</v>
      </c>
      <c r="BD130" s="1433">
        <f t="shared" si="17"/>
        <v>1818.9569449485784</v>
      </c>
      <c r="BE130" s="1433">
        <f t="shared" si="18"/>
        <v>0</v>
      </c>
      <c r="BF130" s="1433">
        <f t="shared" si="19"/>
        <v>6020.4187416817913</v>
      </c>
      <c r="BG130" s="1433">
        <f t="shared" si="20"/>
        <v>1802.9208953418029</v>
      </c>
      <c r="BH130" s="1434">
        <f t="shared" si="21"/>
        <v>477.00064125831824</v>
      </c>
      <c r="BI130" s="1422">
        <v>8403</v>
      </c>
    </row>
    <row r="131" spans="1:61" ht="12.75" customHeight="1" thickBot="1">
      <c r="A131" s="1418" t="s">
        <v>312</v>
      </c>
      <c r="B131" s="1418" t="s">
        <v>313</v>
      </c>
      <c r="C131" s="1419">
        <v>1509</v>
      </c>
      <c r="D131" s="1420">
        <v>344.9</v>
      </c>
      <c r="E131" s="1420">
        <v>1396.53</v>
      </c>
      <c r="F131" s="1421">
        <v>-0.12</v>
      </c>
      <c r="G131" s="1420">
        <v>1482.6</v>
      </c>
      <c r="H131" s="1420">
        <v>1535.22</v>
      </c>
      <c r="I131" s="1422">
        <v>199253687</v>
      </c>
      <c r="J131" s="1422">
        <v>25</v>
      </c>
      <c r="K131" s="1422">
        <v>25</v>
      </c>
      <c r="L131" s="1422">
        <v>0</v>
      </c>
      <c r="M131" s="1422">
        <v>0</v>
      </c>
      <c r="N131" s="1420">
        <v>10.7</v>
      </c>
      <c r="O131" s="1420">
        <v>35.700000000000003</v>
      </c>
      <c r="P131" s="1438">
        <v>10625000</v>
      </c>
      <c r="Q131" s="1424">
        <v>7535403.3300000001</v>
      </c>
      <c r="R131" s="1425">
        <f t="shared" si="11"/>
        <v>7535403.3300000001</v>
      </c>
      <c r="S131" s="1436">
        <v>13146.4</v>
      </c>
      <c r="T131" s="1427">
        <f t="shared" si="12"/>
        <v>13146.4</v>
      </c>
      <c r="U131" s="1428">
        <v>3432331</v>
      </c>
      <c r="V131" s="1422">
        <v>97474</v>
      </c>
      <c r="W131" s="1422">
        <v>0</v>
      </c>
      <c r="X131" s="1422">
        <v>9878</v>
      </c>
      <c r="Y131" s="1422">
        <v>0</v>
      </c>
      <c r="Z131" s="1422">
        <v>0</v>
      </c>
      <c r="AA131" s="1422">
        <v>0</v>
      </c>
      <c r="AB131" s="1422">
        <v>0</v>
      </c>
      <c r="AC131" s="1429">
        <v>0</v>
      </c>
      <c r="AD131" s="1422">
        <v>63497</v>
      </c>
      <c r="AE131" s="1420">
        <v>10426.06</v>
      </c>
      <c r="AF131" s="1422">
        <v>1250</v>
      </c>
      <c r="AG131" s="1422">
        <v>108116</v>
      </c>
      <c r="AH131" s="1422">
        <v>0</v>
      </c>
      <c r="AI131" s="1422">
        <v>418128</v>
      </c>
      <c r="AJ131" s="1420">
        <v>16567.310000000001</v>
      </c>
      <c r="AK131" s="1422">
        <v>81250</v>
      </c>
      <c r="AL131" s="1420">
        <v>5600.69</v>
      </c>
      <c r="AM131" s="1422">
        <v>0</v>
      </c>
      <c r="AN131" s="1429">
        <v>0</v>
      </c>
      <c r="AO131" s="1422">
        <v>0</v>
      </c>
      <c r="AP131" s="1422">
        <v>0</v>
      </c>
      <c r="AQ131" s="1430">
        <f t="shared" si="13"/>
        <v>4244518.0600000005</v>
      </c>
      <c r="AR131" s="1431">
        <v>1815020.21</v>
      </c>
      <c r="AS131" s="1437">
        <v>0</v>
      </c>
      <c r="AT131" s="1422">
        <v>0</v>
      </c>
      <c r="AU131" s="1422">
        <v>0</v>
      </c>
      <c r="AV131" s="1420">
        <v>9348.5</v>
      </c>
      <c r="AW131" s="1420">
        <v>8336.84</v>
      </c>
      <c r="AX131" s="1422">
        <v>0</v>
      </c>
      <c r="AY131" s="1420">
        <v>17685.34</v>
      </c>
      <c r="AZ131" s="1420">
        <v>682991.93</v>
      </c>
      <c r="BA131" s="1423">
        <f t="shared" si="14"/>
        <v>718362.6100000001</v>
      </c>
      <c r="BB131" s="1420">
        <f t="shared" si="15"/>
        <v>14326450.610000001</v>
      </c>
      <c r="BC131" s="1433">
        <f t="shared" si="16"/>
        <v>9494.0030550033134</v>
      </c>
      <c r="BD131" s="1433">
        <f t="shared" si="17"/>
        <v>4993.6403777335981</v>
      </c>
      <c r="BE131" s="1433">
        <f t="shared" si="18"/>
        <v>8.7119946984758112</v>
      </c>
      <c r="BF131" s="1433">
        <f t="shared" si="19"/>
        <v>2812.8018952948978</v>
      </c>
      <c r="BG131" s="1433">
        <f t="shared" si="20"/>
        <v>1202.7966931742876</v>
      </c>
      <c r="BH131" s="1434">
        <f t="shared" si="21"/>
        <v>476.05209410205441</v>
      </c>
      <c r="BI131" s="1422">
        <v>9563</v>
      </c>
    </row>
    <row r="132" spans="1:61" ht="12.75" customHeight="1" thickBot="1">
      <c r="A132" s="1418" t="s">
        <v>314</v>
      </c>
      <c r="B132" s="1418" t="s">
        <v>315</v>
      </c>
      <c r="C132" s="1419">
        <v>548</v>
      </c>
      <c r="D132" s="1420">
        <v>176.65</v>
      </c>
      <c r="E132" s="1420">
        <v>520.88</v>
      </c>
      <c r="F132" s="1421">
        <v>0.04</v>
      </c>
      <c r="G132" s="1420">
        <v>540.53</v>
      </c>
      <c r="H132" s="1420">
        <v>553.30999999999995</v>
      </c>
      <c r="I132" s="1422">
        <v>30901500</v>
      </c>
      <c r="J132" s="1422">
        <v>28</v>
      </c>
      <c r="K132" s="1422">
        <v>25</v>
      </c>
      <c r="L132" s="1422">
        <v>3</v>
      </c>
      <c r="M132" s="1422">
        <v>0</v>
      </c>
      <c r="N132" s="1420">
        <v>7.5</v>
      </c>
      <c r="O132" s="1420">
        <v>35.5</v>
      </c>
      <c r="P132" s="1423">
        <v>4071564.74</v>
      </c>
      <c r="Q132" s="1424">
        <v>1156228.82</v>
      </c>
      <c r="R132" s="1425">
        <f t="shared" si="11"/>
        <v>1156228.82</v>
      </c>
      <c r="S132" s="1436">
        <v>5514.29</v>
      </c>
      <c r="T132" s="1427">
        <f t="shared" si="12"/>
        <v>5514.29</v>
      </c>
      <c r="U132" s="1428">
        <v>2425085</v>
      </c>
      <c r="V132" s="1422">
        <v>0</v>
      </c>
      <c r="W132" s="1422">
        <v>0</v>
      </c>
      <c r="X132" s="1422">
        <v>0</v>
      </c>
      <c r="Y132" s="1422">
        <v>0</v>
      </c>
      <c r="Z132" s="1422">
        <v>0</v>
      </c>
      <c r="AA132" s="1422">
        <v>0</v>
      </c>
      <c r="AB132" s="1422">
        <v>0</v>
      </c>
      <c r="AC132" s="1429">
        <v>0</v>
      </c>
      <c r="AD132" s="1422">
        <v>22885</v>
      </c>
      <c r="AE132" s="1420">
        <v>6228.75</v>
      </c>
      <c r="AF132" s="1422">
        <v>150</v>
      </c>
      <c r="AG132" s="1422">
        <v>7963</v>
      </c>
      <c r="AH132" s="1422">
        <v>0</v>
      </c>
      <c r="AI132" s="1422">
        <v>185008</v>
      </c>
      <c r="AJ132" s="1420">
        <v>29671.74</v>
      </c>
      <c r="AK132" s="1422">
        <v>0</v>
      </c>
      <c r="AL132" s="1422">
        <v>0</v>
      </c>
      <c r="AM132" s="1422">
        <v>0</v>
      </c>
      <c r="AN132" s="1429">
        <v>0</v>
      </c>
      <c r="AO132" s="1422">
        <v>0</v>
      </c>
      <c r="AP132" s="1420">
        <v>83976.95</v>
      </c>
      <c r="AQ132" s="1430">
        <f t="shared" si="13"/>
        <v>2760968.4400000004</v>
      </c>
      <c r="AR132" s="1431">
        <v>705607.17</v>
      </c>
      <c r="AS132" s="1437">
        <v>549185</v>
      </c>
      <c r="AT132" s="1422">
        <v>0</v>
      </c>
      <c r="AU132" s="1422">
        <v>0</v>
      </c>
      <c r="AV132" s="1422">
        <v>0</v>
      </c>
      <c r="AW132" s="1420">
        <v>11454.55</v>
      </c>
      <c r="AX132" s="1422">
        <v>0</v>
      </c>
      <c r="AY132" s="1420">
        <v>560639.55000000005</v>
      </c>
      <c r="AZ132" s="1420">
        <v>465621.55</v>
      </c>
      <c r="BA132" s="1423">
        <f t="shared" si="14"/>
        <v>1037715.6500000001</v>
      </c>
      <c r="BB132" s="1420">
        <f t="shared" si="15"/>
        <v>5666034.370000001</v>
      </c>
      <c r="BC132" s="1433">
        <f t="shared" si="16"/>
        <v>10339.478777372266</v>
      </c>
      <c r="BD132" s="1433">
        <f t="shared" si="17"/>
        <v>2109.906605839416</v>
      </c>
      <c r="BE132" s="1433">
        <f t="shared" si="18"/>
        <v>10.06257299270073</v>
      </c>
      <c r="BF132" s="1433">
        <f t="shared" si="19"/>
        <v>5038.2635766423364</v>
      </c>
      <c r="BG132" s="1433">
        <f t="shared" si="20"/>
        <v>1287.6043248175183</v>
      </c>
      <c r="BH132" s="1434">
        <f t="shared" si="21"/>
        <v>1893.6416970802923</v>
      </c>
      <c r="BI132" s="1422">
        <v>8802</v>
      </c>
    </row>
    <row r="133" spans="1:61" ht="12.75" customHeight="1" thickBot="1">
      <c r="A133" s="1418" t="s">
        <v>316</v>
      </c>
      <c r="B133" s="1418" t="s">
        <v>317</v>
      </c>
      <c r="C133" s="1419">
        <v>1366</v>
      </c>
      <c r="D133" s="1420">
        <v>203.28</v>
      </c>
      <c r="E133" s="1420">
        <v>1287.8499999999999</v>
      </c>
      <c r="F133" s="1421">
        <v>-0.08</v>
      </c>
      <c r="G133" s="1420">
        <v>1361.14</v>
      </c>
      <c r="H133" s="1420">
        <v>1403.55</v>
      </c>
      <c r="I133" s="1422">
        <v>89913893</v>
      </c>
      <c r="J133" s="1422">
        <v>25</v>
      </c>
      <c r="K133" s="1422">
        <v>25</v>
      </c>
      <c r="L133" s="1422">
        <v>0</v>
      </c>
      <c r="M133" s="1422">
        <v>0</v>
      </c>
      <c r="N133" s="1420">
        <v>15.2</v>
      </c>
      <c r="O133" s="1420">
        <v>40.200000000000003</v>
      </c>
      <c r="P133" s="1423">
        <v>13798386.390000001</v>
      </c>
      <c r="Q133" s="1424">
        <v>3485985.17</v>
      </c>
      <c r="R133" s="1425">
        <f t="shared" si="11"/>
        <v>3485985.17</v>
      </c>
      <c r="S133" s="1436">
        <v>4314.08</v>
      </c>
      <c r="T133" s="1427">
        <f t="shared" si="12"/>
        <v>4314.08</v>
      </c>
      <c r="U133" s="1428">
        <v>6095439</v>
      </c>
      <c r="V133" s="1422">
        <v>95212</v>
      </c>
      <c r="W133" s="1422">
        <v>0</v>
      </c>
      <c r="X133" s="1422">
        <v>114166</v>
      </c>
      <c r="Y133" s="1422">
        <v>0</v>
      </c>
      <c r="Z133" s="1422">
        <v>0</v>
      </c>
      <c r="AA133" s="1422">
        <v>0</v>
      </c>
      <c r="AB133" s="1422">
        <v>0</v>
      </c>
      <c r="AC133" s="1429">
        <v>0</v>
      </c>
      <c r="AD133" s="1422">
        <v>58051</v>
      </c>
      <c r="AE133" s="1420">
        <v>6133.53</v>
      </c>
      <c r="AF133" s="1422">
        <v>1450</v>
      </c>
      <c r="AG133" s="1422">
        <v>70412</v>
      </c>
      <c r="AH133" s="1422">
        <v>4688</v>
      </c>
      <c r="AI133" s="1422">
        <v>446400</v>
      </c>
      <c r="AJ133" s="1420">
        <v>30411.68</v>
      </c>
      <c r="AK133" s="1420">
        <v>33168.550000000003</v>
      </c>
      <c r="AL133" s="1422">
        <v>0</v>
      </c>
      <c r="AM133" s="1422">
        <v>0</v>
      </c>
      <c r="AN133" s="1429">
        <v>0</v>
      </c>
      <c r="AO133" s="1422">
        <v>0</v>
      </c>
      <c r="AP133" s="1422">
        <v>145248</v>
      </c>
      <c r="AQ133" s="1430">
        <f t="shared" si="13"/>
        <v>7100779.7599999998</v>
      </c>
      <c r="AR133" s="1431">
        <v>2081626.86</v>
      </c>
      <c r="AS133" s="1437">
        <v>0</v>
      </c>
      <c r="AT133" s="1422">
        <v>0</v>
      </c>
      <c r="AU133" s="1422">
        <v>0</v>
      </c>
      <c r="AV133" s="1422">
        <v>0</v>
      </c>
      <c r="AW133" s="1422">
        <v>0</v>
      </c>
      <c r="AX133" s="1420">
        <v>27375.55</v>
      </c>
      <c r="AY133" s="1420">
        <v>27375.55</v>
      </c>
      <c r="AZ133" s="1420">
        <v>567773.49</v>
      </c>
      <c r="BA133" s="1423">
        <f t="shared" si="14"/>
        <v>622524.59</v>
      </c>
      <c r="BB133" s="1420">
        <f t="shared" si="15"/>
        <v>13295230.460000001</v>
      </c>
      <c r="BC133" s="1433">
        <f t="shared" si="16"/>
        <v>9732.965197657395</v>
      </c>
      <c r="BD133" s="1433">
        <f t="shared" si="17"/>
        <v>2551.9657174231334</v>
      </c>
      <c r="BE133" s="1433">
        <f t="shared" si="18"/>
        <v>3.1581844802342607</v>
      </c>
      <c r="BF133" s="1433">
        <f t="shared" si="19"/>
        <v>5198.2282284040994</v>
      </c>
      <c r="BG133" s="1433">
        <f t="shared" si="20"/>
        <v>1523.8849633967791</v>
      </c>
      <c r="BH133" s="1434">
        <f t="shared" si="21"/>
        <v>455.72810395314787</v>
      </c>
      <c r="BI133" s="1422">
        <v>8770</v>
      </c>
    </row>
    <row r="134" spans="1:61" ht="12.75" customHeight="1" thickBot="1">
      <c r="A134" s="1418" t="s">
        <v>318</v>
      </c>
      <c r="B134" s="1418" t="s">
        <v>319</v>
      </c>
      <c r="C134" s="1419">
        <v>521</v>
      </c>
      <c r="D134" s="1420">
        <v>120.81</v>
      </c>
      <c r="E134" s="1420">
        <v>485.86</v>
      </c>
      <c r="F134" s="1421">
        <v>0</v>
      </c>
      <c r="G134" s="1420">
        <v>516.47</v>
      </c>
      <c r="H134" s="1420">
        <v>543.04999999999995</v>
      </c>
      <c r="I134" s="1422">
        <v>33982515</v>
      </c>
      <c r="J134" s="1422">
        <v>25</v>
      </c>
      <c r="K134" s="1422">
        <v>25</v>
      </c>
      <c r="L134" s="1422">
        <v>0</v>
      </c>
      <c r="M134" s="1422">
        <v>0</v>
      </c>
      <c r="N134" s="1422">
        <v>14</v>
      </c>
      <c r="O134" s="1422">
        <v>39</v>
      </c>
      <c r="P134" s="1423">
        <v>6488662.8600000003</v>
      </c>
      <c r="Q134" s="1424">
        <v>1215116.46</v>
      </c>
      <c r="R134" s="1425">
        <f t="shared" ref="R134:R197" si="22">Q134</f>
        <v>1215116.46</v>
      </c>
      <c r="S134" s="1436">
        <v>677.2</v>
      </c>
      <c r="T134" s="1427">
        <f t="shared" ref="T134:T197" si="23">S134</f>
        <v>677.2</v>
      </c>
      <c r="U134" s="1428">
        <v>2415752</v>
      </c>
      <c r="V134" s="1422">
        <v>42460</v>
      </c>
      <c r="W134" s="1422">
        <v>0</v>
      </c>
      <c r="X134" s="1422">
        <v>25538</v>
      </c>
      <c r="Y134" s="1422">
        <v>0</v>
      </c>
      <c r="Z134" s="1422">
        <v>0</v>
      </c>
      <c r="AA134" s="1422">
        <v>33943</v>
      </c>
      <c r="AB134" s="1422">
        <v>0</v>
      </c>
      <c r="AC134" s="1429">
        <v>0</v>
      </c>
      <c r="AD134" s="1422">
        <v>22461</v>
      </c>
      <c r="AE134" s="1420">
        <v>1185.27</v>
      </c>
      <c r="AF134" s="1422">
        <v>250</v>
      </c>
      <c r="AG134" s="1422">
        <v>54729</v>
      </c>
      <c r="AH134" s="1422">
        <v>2637</v>
      </c>
      <c r="AI134" s="1422">
        <v>383904</v>
      </c>
      <c r="AJ134" s="1420">
        <v>2224.6999999999998</v>
      </c>
      <c r="AK134" s="1420">
        <v>4062.52</v>
      </c>
      <c r="AL134" s="1420">
        <v>2642.27</v>
      </c>
      <c r="AM134" s="1422">
        <v>0</v>
      </c>
      <c r="AN134" s="1429">
        <v>221616</v>
      </c>
      <c r="AO134" s="1422">
        <v>0</v>
      </c>
      <c r="AP134" s="1422">
        <v>179154</v>
      </c>
      <c r="AQ134" s="1430">
        <f t="shared" ref="AQ134:AQ197" si="24">SUM(U134:AP134)-(AC134+AN134)</f>
        <v>3170942.7600000002</v>
      </c>
      <c r="AR134" s="1431">
        <v>870912.58</v>
      </c>
      <c r="AS134" s="1432">
        <v>166822.5</v>
      </c>
      <c r="AT134" s="1422">
        <v>0</v>
      </c>
      <c r="AU134" s="1422">
        <v>5600</v>
      </c>
      <c r="AV134" s="1422">
        <v>0</v>
      </c>
      <c r="AW134" s="1420">
        <v>2769.34</v>
      </c>
      <c r="AX134" s="1422">
        <v>0</v>
      </c>
      <c r="AY134" s="1420">
        <v>175191.84</v>
      </c>
      <c r="AZ134" s="1420">
        <v>355445.63</v>
      </c>
      <c r="BA134" s="1423">
        <f t="shared" ref="BA134:BA197" si="25">SUM(AT134:AZ134)</f>
        <v>539006.81000000006</v>
      </c>
      <c r="BB134" s="1420">
        <f t="shared" ref="BB134:BB197" si="26">SUM(BA134,AR134,AQ134,T134,R134)</f>
        <v>5796655.8100000005</v>
      </c>
      <c r="BC134" s="1433">
        <f t="shared" ref="BC134:BC197" si="27">BB134/C134</f>
        <v>11126.018829174665</v>
      </c>
      <c r="BD134" s="1433">
        <f t="shared" ref="BD134:BD197" si="28">R134/C134</f>
        <v>2332.2772744721688</v>
      </c>
      <c r="BE134" s="1433">
        <f t="shared" ref="BE134:BE197" si="29">T134/C134</f>
        <v>1.2998080614203456</v>
      </c>
      <c r="BF134" s="1433">
        <f t="shared" ref="BF134:BF197" si="30">AQ134/C134</f>
        <v>6086.2624952015358</v>
      </c>
      <c r="BG134" s="1433">
        <f t="shared" ref="BG134:BG197" si="31">AR134/C134</f>
        <v>1671.617236084453</v>
      </c>
      <c r="BH134" s="1434">
        <f t="shared" ref="BH134:BH197" si="32">BA134/C134</f>
        <v>1034.5620153550865</v>
      </c>
      <c r="BI134" s="1422">
        <v>9771</v>
      </c>
    </row>
    <row r="135" spans="1:61" ht="12.75" customHeight="1" thickBot="1">
      <c r="A135" s="1418" t="s">
        <v>320</v>
      </c>
      <c r="B135" s="1418" t="s">
        <v>321</v>
      </c>
      <c r="C135" s="1419">
        <v>1122</v>
      </c>
      <c r="D135" s="1420">
        <v>228.29</v>
      </c>
      <c r="E135" s="1420">
        <v>1060.48</v>
      </c>
      <c r="F135" s="1421">
        <v>-0.03</v>
      </c>
      <c r="G135" s="1420">
        <v>1111.8699999999999</v>
      </c>
      <c r="H135" s="1420">
        <v>1118.94</v>
      </c>
      <c r="I135" s="1422">
        <v>75110940</v>
      </c>
      <c r="J135" s="1422">
        <v>25</v>
      </c>
      <c r="K135" s="1422">
        <v>25</v>
      </c>
      <c r="L135" s="1422">
        <v>0</v>
      </c>
      <c r="M135" s="1422">
        <v>0</v>
      </c>
      <c r="N135" s="1422">
        <v>13</v>
      </c>
      <c r="O135" s="1422">
        <v>38</v>
      </c>
      <c r="P135" s="1423">
        <v>10733894.210000001</v>
      </c>
      <c r="Q135" s="1424">
        <v>2651246.7599999998</v>
      </c>
      <c r="R135" s="1425">
        <f t="shared" si="22"/>
        <v>2651246.7599999998</v>
      </c>
      <c r="S135" s="1436">
        <v>3550.73</v>
      </c>
      <c r="T135" s="1427">
        <f t="shared" si="23"/>
        <v>3550.73</v>
      </c>
      <c r="U135" s="1428">
        <v>4828004</v>
      </c>
      <c r="V135" s="1422">
        <v>72887</v>
      </c>
      <c r="W135" s="1422">
        <v>0</v>
      </c>
      <c r="X135" s="1422">
        <v>23369</v>
      </c>
      <c r="Y135" s="1422">
        <v>0</v>
      </c>
      <c r="Z135" s="1422">
        <v>0</v>
      </c>
      <c r="AA135" s="1422">
        <v>0</v>
      </c>
      <c r="AB135" s="1422">
        <v>0</v>
      </c>
      <c r="AC135" s="1429">
        <v>0</v>
      </c>
      <c r="AD135" s="1422">
        <v>46279</v>
      </c>
      <c r="AE135" s="1422">
        <v>12595</v>
      </c>
      <c r="AF135" s="1422">
        <v>1450</v>
      </c>
      <c r="AG135" s="1422">
        <v>82885</v>
      </c>
      <c r="AH135" s="1422">
        <v>9083</v>
      </c>
      <c r="AI135" s="1422">
        <v>332816</v>
      </c>
      <c r="AJ135" s="1420">
        <v>13538.79</v>
      </c>
      <c r="AK135" s="1422">
        <v>3250</v>
      </c>
      <c r="AL135" s="1420">
        <v>5048.04</v>
      </c>
      <c r="AM135" s="1422">
        <v>0</v>
      </c>
      <c r="AN135" s="1435">
        <v>267784.59999999998</v>
      </c>
      <c r="AO135" s="1422">
        <v>0</v>
      </c>
      <c r="AP135" s="1420">
        <v>344648.33</v>
      </c>
      <c r="AQ135" s="1430">
        <f t="shared" si="24"/>
        <v>5775853.1600000001</v>
      </c>
      <c r="AR135" s="1431">
        <v>2476833.39</v>
      </c>
      <c r="AS135" s="1437">
        <v>0</v>
      </c>
      <c r="AT135" s="1422">
        <v>0</v>
      </c>
      <c r="AU135" s="1422">
        <v>2571</v>
      </c>
      <c r="AV135" s="1422">
        <v>0</v>
      </c>
      <c r="AW135" s="1422">
        <v>0</v>
      </c>
      <c r="AX135" s="1422">
        <v>0</v>
      </c>
      <c r="AY135" s="1422">
        <v>2571</v>
      </c>
      <c r="AZ135" s="1420">
        <v>703284.32</v>
      </c>
      <c r="BA135" s="1423">
        <f t="shared" si="25"/>
        <v>708426.32</v>
      </c>
      <c r="BB135" s="1420">
        <f t="shared" si="26"/>
        <v>11615910.360000001</v>
      </c>
      <c r="BC135" s="1433">
        <f t="shared" si="27"/>
        <v>10352.86128342246</v>
      </c>
      <c r="BD135" s="1433">
        <f t="shared" si="28"/>
        <v>2362.9650267379675</v>
      </c>
      <c r="BE135" s="1433">
        <f t="shared" si="29"/>
        <v>3.1646434937611407</v>
      </c>
      <c r="BF135" s="1433">
        <f t="shared" si="30"/>
        <v>5147.8192156862742</v>
      </c>
      <c r="BG135" s="1433">
        <f t="shared" si="31"/>
        <v>2207.5163903743319</v>
      </c>
      <c r="BH135" s="1434">
        <f t="shared" si="32"/>
        <v>631.39600713012476</v>
      </c>
      <c r="BI135" s="1422">
        <v>8730</v>
      </c>
    </row>
    <row r="136" spans="1:61" ht="12.75" customHeight="1" thickBot="1">
      <c r="A136" s="1418" t="s">
        <v>322</v>
      </c>
      <c r="B136" s="1418" t="s">
        <v>323</v>
      </c>
      <c r="C136" s="1419">
        <v>404</v>
      </c>
      <c r="D136" s="1420">
        <v>78.77</v>
      </c>
      <c r="E136" s="1420">
        <v>389.25</v>
      </c>
      <c r="F136" s="1421">
        <v>0.03</v>
      </c>
      <c r="G136" s="1420">
        <v>405.24</v>
      </c>
      <c r="H136" s="1420">
        <v>409.84</v>
      </c>
      <c r="I136" s="1422">
        <v>33804816</v>
      </c>
      <c r="J136" s="1422">
        <v>25</v>
      </c>
      <c r="K136" s="1422">
        <v>25</v>
      </c>
      <c r="L136" s="1422">
        <v>0</v>
      </c>
      <c r="M136" s="1422">
        <v>0</v>
      </c>
      <c r="N136" s="1422">
        <v>13</v>
      </c>
      <c r="O136" s="1422">
        <v>38</v>
      </c>
      <c r="P136" s="1423">
        <v>2765156.16</v>
      </c>
      <c r="Q136" s="1424">
        <v>1182689.6499999999</v>
      </c>
      <c r="R136" s="1425">
        <f t="shared" si="22"/>
        <v>1182689.6499999999</v>
      </c>
      <c r="S136" s="1436">
        <v>1513.21</v>
      </c>
      <c r="T136" s="1427">
        <f t="shared" si="23"/>
        <v>1513.21</v>
      </c>
      <c r="U136" s="1428">
        <v>1670334</v>
      </c>
      <c r="V136" s="1422">
        <v>16041</v>
      </c>
      <c r="W136" s="1422">
        <v>28492</v>
      </c>
      <c r="X136" s="1422">
        <v>0</v>
      </c>
      <c r="Y136" s="1422">
        <v>0</v>
      </c>
      <c r="Z136" s="1422">
        <v>0</v>
      </c>
      <c r="AA136" s="1422">
        <v>0</v>
      </c>
      <c r="AB136" s="1422">
        <v>0</v>
      </c>
      <c r="AC136" s="1429">
        <v>0</v>
      </c>
      <c r="AD136" s="1422">
        <v>16951</v>
      </c>
      <c r="AE136" s="1420">
        <v>17363.400000000001</v>
      </c>
      <c r="AF136" s="1422">
        <v>1802</v>
      </c>
      <c r="AG136" s="1422">
        <v>42743</v>
      </c>
      <c r="AH136" s="1422">
        <v>1758</v>
      </c>
      <c r="AI136" s="1422">
        <v>98704</v>
      </c>
      <c r="AJ136" s="1422">
        <v>0</v>
      </c>
      <c r="AK136" s="1422">
        <v>1625</v>
      </c>
      <c r="AL136" s="1420">
        <v>1639.76</v>
      </c>
      <c r="AM136" s="1422">
        <v>0</v>
      </c>
      <c r="AN136" s="1429">
        <v>0</v>
      </c>
      <c r="AO136" s="1422">
        <v>0</v>
      </c>
      <c r="AP136" s="1422">
        <v>13112</v>
      </c>
      <c r="AQ136" s="1430">
        <f t="shared" si="24"/>
        <v>1910565.16</v>
      </c>
      <c r="AR136" s="1431">
        <v>419169.29</v>
      </c>
      <c r="AS136" s="1437">
        <v>0</v>
      </c>
      <c r="AT136" s="1422">
        <v>0</v>
      </c>
      <c r="AU136" s="1422">
        <v>0</v>
      </c>
      <c r="AV136" s="1422">
        <v>0</v>
      </c>
      <c r="AW136" s="1420">
        <v>14292.24</v>
      </c>
      <c r="AX136" s="1422">
        <v>0</v>
      </c>
      <c r="AY136" s="1420">
        <v>14292.24</v>
      </c>
      <c r="AZ136" s="1420">
        <v>407029.47</v>
      </c>
      <c r="BA136" s="1423">
        <f t="shared" si="25"/>
        <v>435613.94999999995</v>
      </c>
      <c r="BB136" s="1420">
        <f t="shared" si="26"/>
        <v>3949551.26</v>
      </c>
      <c r="BC136" s="1433">
        <f t="shared" si="27"/>
        <v>9776.1169801980195</v>
      </c>
      <c r="BD136" s="1433">
        <f t="shared" si="28"/>
        <v>2927.4496287128709</v>
      </c>
      <c r="BE136" s="1433">
        <f t="shared" si="29"/>
        <v>3.745569306930693</v>
      </c>
      <c r="BF136" s="1433">
        <f t="shared" si="30"/>
        <v>4729.1216831683168</v>
      </c>
      <c r="BG136" s="1433">
        <f t="shared" si="31"/>
        <v>1037.5477475247524</v>
      </c>
      <c r="BH136" s="1434">
        <f t="shared" si="32"/>
        <v>1078.2523514851484</v>
      </c>
      <c r="BI136" s="1422">
        <v>7774</v>
      </c>
    </row>
    <row r="137" spans="1:61" ht="12.75" customHeight="1" thickBot="1">
      <c r="A137" s="1418" t="s">
        <v>324</v>
      </c>
      <c r="B137" s="1418" t="s">
        <v>325</v>
      </c>
      <c r="C137" s="1419">
        <v>1847</v>
      </c>
      <c r="D137" s="1420">
        <v>206.88</v>
      </c>
      <c r="E137" s="1420">
        <v>1744.08</v>
      </c>
      <c r="F137" s="1421">
        <v>-0.01</v>
      </c>
      <c r="G137" s="1420">
        <v>1823.32</v>
      </c>
      <c r="H137" s="1420">
        <v>1852.17</v>
      </c>
      <c r="I137" s="1422">
        <v>113538998</v>
      </c>
      <c r="J137" s="1420">
        <v>25.16</v>
      </c>
      <c r="K137" s="1422">
        <v>25</v>
      </c>
      <c r="L137" s="1420">
        <v>0.16</v>
      </c>
      <c r="M137" s="1422">
        <v>0</v>
      </c>
      <c r="N137" s="1420">
        <v>15.24</v>
      </c>
      <c r="O137" s="1420">
        <v>40.4</v>
      </c>
      <c r="P137" s="1423">
        <v>26464169.440000001</v>
      </c>
      <c r="Q137" s="1424">
        <v>3735922.67</v>
      </c>
      <c r="R137" s="1425">
        <f t="shared" si="22"/>
        <v>3735922.67</v>
      </c>
      <c r="S137" s="1436">
        <v>171.2</v>
      </c>
      <c r="T137" s="1427">
        <f t="shared" si="23"/>
        <v>171.2</v>
      </c>
      <c r="U137" s="1428">
        <v>8445502</v>
      </c>
      <c r="V137" s="1422">
        <v>57724</v>
      </c>
      <c r="W137" s="1422">
        <v>0</v>
      </c>
      <c r="X137" s="1422">
        <v>35807</v>
      </c>
      <c r="Y137" s="1422">
        <v>0</v>
      </c>
      <c r="Z137" s="1422">
        <v>0</v>
      </c>
      <c r="AA137" s="1422">
        <v>25687</v>
      </c>
      <c r="AB137" s="1420">
        <v>823.09</v>
      </c>
      <c r="AC137" s="1435">
        <v>299702.24</v>
      </c>
      <c r="AD137" s="1422">
        <v>76606</v>
      </c>
      <c r="AE137" s="1420">
        <v>13770.5</v>
      </c>
      <c r="AF137" s="1422">
        <v>1724</v>
      </c>
      <c r="AG137" s="1422">
        <v>53266</v>
      </c>
      <c r="AH137" s="1422">
        <v>18752</v>
      </c>
      <c r="AI137" s="1422">
        <v>502448</v>
      </c>
      <c r="AJ137" s="1420">
        <v>14321.7</v>
      </c>
      <c r="AK137" s="1420">
        <v>70146.039999999994</v>
      </c>
      <c r="AL137" s="1420">
        <v>6693.15</v>
      </c>
      <c r="AM137" s="1422">
        <v>0</v>
      </c>
      <c r="AN137" s="1435">
        <v>1801.41</v>
      </c>
      <c r="AO137" s="1422">
        <v>0</v>
      </c>
      <c r="AP137" s="1420">
        <v>4173994.46</v>
      </c>
      <c r="AQ137" s="1430">
        <f t="shared" si="24"/>
        <v>13497264.939999999</v>
      </c>
      <c r="AR137" s="1431">
        <v>2956477.75</v>
      </c>
      <c r="AS137" s="1432">
        <v>643853.55000000005</v>
      </c>
      <c r="AT137" s="1422">
        <v>0</v>
      </c>
      <c r="AU137" s="1422">
        <v>0</v>
      </c>
      <c r="AV137" s="1422">
        <v>0</v>
      </c>
      <c r="AW137" s="1422">
        <v>0</v>
      </c>
      <c r="AX137" s="1422">
        <v>0</v>
      </c>
      <c r="AY137" s="1420">
        <v>643853.55000000005</v>
      </c>
      <c r="AZ137" s="1420">
        <v>6663281.6699999999</v>
      </c>
      <c r="BA137" s="1423">
        <f t="shared" si="25"/>
        <v>7307135.2199999997</v>
      </c>
      <c r="BB137" s="1420">
        <f t="shared" si="26"/>
        <v>27496971.779999994</v>
      </c>
      <c r="BC137" s="1433">
        <f t="shared" si="27"/>
        <v>14887.369669734702</v>
      </c>
      <c r="BD137" s="1433">
        <f t="shared" si="28"/>
        <v>2022.6977097996751</v>
      </c>
      <c r="BE137" s="1433">
        <f t="shared" si="29"/>
        <v>9.269085002707092E-2</v>
      </c>
      <c r="BF137" s="1433">
        <f t="shared" si="30"/>
        <v>7307.6691608012989</v>
      </c>
      <c r="BG137" s="1433">
        <f t="shared" si="31"/>
        <v>1600.6917975094748</v>
      </c>
      <c r="BH137" s="1434">
        <f t="shared" si="32"/>
        <v>3956.2183107742285</v>
      </c>
      <c r="BI137" s="1422">
        <v>8557</v>
      </c>
    </row>
    <row r="138" spans="1:61" ht="12.75" customHeight="1" thickBot="1">
      <c r="A138" s="1418" t="s">
        <v>326</v>
      </c>
      <c r="B138" s="1418" t="s">
        <v>327</v>
      </c>
      <c r="C138" s="1419">
        <v>757</v>
      </c>
      <c r="D138" s="1420">
        <v>154.29</v>
      </c>
      <c r="E138" s="1420">
        <v>722.66</v>
      </c>
      <c r="F138" s="1421">
        <v>-0.17</v>
      </c>
      <c r="G138" s="1420">
        <v>754.05</v>
      </c>
      <c r="H138" s="1420">
        <v>762.26</v>
      </c>
      <c r="I138" s="1422">
        <v>48347620</v>
      </c>
      <c r="J138" s="1422">
        <v>27</v>
      </c>
      <c r="K138" s="1422">
        <v>25</v>
      </c>
      <c r="L138" s="1422">
        <v>2</v>
      </c>
      <c r="M138" s="1422">
        <v>0</v>
      </c>
      <c r="N138" s="1422">
        <v>14</v>
      </c>
      <c r="O138" s="1422">
        <v>41</v>
      </c>
      <c r="P138" s="1423">
        <v>4111631.76</v>
      </c>
      <c r="Q138" s="1424">
        <v>1861338.44</v>
      </c>
      <c r="R138" s="1425">
        <f t="shared" si="22"/>
        <v>1861338.44</v>
      </c>
      <c r="S138" s="1426">
        <v>0</v>
      </c>
      <c r="T138" s="1427">
        <f t="shared" si="23"/>
        <v>0</v>
      </c>
      <c r="U138" s="1428">
        <v>3454820</v>
      </c>
      <c r="V138" s="1422">
        <v>0</v>
      </c>
      <c r="W138" s="1422">
        <v>0</v>
      </c>
      <c r="X138" s="1422">
        <v>90797</v>
      </c>
      <c r="Y138" s="1422">
        <v>0</v>
      </c>
      <c r="Z138" s="1422">
        <v>0</v>
      </c>
      <c r="AA138" s="1422">
        <v>3487</v>
      </c>
      <c r="AB138" s="1422">
        <v>0</v>
      </c>
      <c r="AC138" s="1429">
        <v>0</v>
      </c>
      <c r="AD138" s="1422">
        <v>31527</v>
      </c>
      <c r="AE138" s="1420">
        <v>10356.290000000001</v>
      </c>
      <c r="AF138" s="1422">
        <v>0</v>
      </c>
      <c r="AG138" s="1422">
        <v>3779</v>
      </c>
      <c r="AH138" s="1422">
        <v>293</v>
      </c>
      <c r="AI138" s="1422">
        <v>383571</v>
      </c>
      <c r="AJ138" s="1420">
        <v>15998.71</v>
      </c>
      <c r="AK138" s="1422">
        <v>0</v>
      </c>
      <c r="AL138" s="1420">
        <v>2717.57</v>
      </c>
      <c r="AM138" s="1422">
        <v>0</v>
      </c>
      <c r="AN138" s="1429">
        <v>52600</v>
      </c>
      <c r="AO138" s="1422">
        <v>0</v>
      </c>
      <c r="AP138" s="1422">
        <v>85485</v>
      </c>
      <c r="AQ138" s="1430">
        <f t="shared" si="24"/>
        <v>4082831.57</v>
      </c>
      <c r="AR138" s="1431">
        <v>1287292.1000000001</v>
      </c>
      <c r="AS138" s="1437">
        <v>0</v>
      </c>
      <c r="AT138" s="1422">
        <v>0</v>
      </c>
      <c r="AU138" s="1422">
        <v>0</v>
      </c>
      <c r="AV138" s="1422">
        <v>0</v>
      </c>
      <c r="AW138" s="1422">
        <v>0</v>
      </c>
      <c r="AX138" s="1422">
        <v>0</v>
      </c>
      <c r="AY138" s="1422">
        <v>0</v>
      </c>
      <c r="AZ138" s="1420">
        <v>247819.8</v>
      </c>
      <c r="BA138" s="1423">
        <f t="shared" si="25"/>
        <v>247819.8</v>
      </c>
      <c r="BB138" s="1420">
        <f t="shared" si="26"/>
        <v>7479281.9100000001</v>
      </c>
      <c r="BC138" s="1433">
        <f t="shared" si="27"/>
        <v>9880.1610435931307</v>
      </c>
      <c r="BD138" s="1433">
        <f t="shared" si="28"/>
        <v>2458.8354557463672</v>
      </c>
      <c r="BE138" s="1433">
        <f t="shared" si="29"/>
        <v>0</v>
      </c>
      <c r="BF138" s="1433">
        <f t="shared" si="30"/>
        <v>5393.4366842800528</v>
      </c>
      <c r="BG138" s="1433">
        <f t="shared" si="31"/>
        <v>1700.5179656538971</v>
      </c>
      <c r="BH138" s="1434">
        <f t="shared" si="32"/>
        <v>327.3709379128137</v>
      </c>
      <c r="BI138" s="1422">
        <v>9599</v>
      </c>
    </row>
    <row r="139" spans="1:61" ht="12.75" customHeight="1" thickBot="1">
      <c r="A139" s="1418" t="s">
        <v>328</v>
      </c>
      <c r="B139" s="1418" t="s">
        <v>329</v>
      </c>
      <c r="C139" s="1419">
        <v>758</v>
      </c>
      <c r="D139" s="1420">
        <v>242.99</v>
      </c>
      <c r="E139" s="1420">
        <v>710.34</v>
      </c>
      <c r="F139" s="1421">
        <v>0.01</v>
      </c>
      <c r="G139" s="1420">
        <v>748.51</v>
      </c>
      <c r="H139" s="1420">
        <v>721.22</v>
      </c>
      <c r="I139" s="1422">
        <v>55974893</v>
      </c>
      <c r="J139" s="1422">
        <v>25</v>
      </c>
      <c r="K139" s="1422">
        <v>25</v>
      </c>
      <c r="L139" s="1422">
        <v>0</v>
      </c>
      <c r="M139" s="1422">
        <v>0</v>
      </c>
      <c r="N139" s="1422">
        <v>17</v>
      </c>
      <c r="O139" s="1422">
        <v>42</v>
      </c>
      <c r="P139" s="1423">
        <v>12385570.689999999</v>
      </c>
      <c r="Q139" s="1424">
        <v>2210752.31</v>
      </c>
      <c r="R139" s="1425">
        <f t="shared" si="22"/>
        <v>2210752.31</v>
      </c>
      <c r="S139" s="1426">
        <v>0</v>
      </c>
      <c r="T139" s="1427">
        <f t="shared" si="23"/>
        <v>0</v>
      </c>
      <c r="U139" s="1428">
        <v>3028707</v>
      </c>
      <c r="V139" s="1422">
        <v>2454</v>
      </c>
      <c r="W139" s="1422">
        <v>165121</v>
      </c>
      <c r="X139" s="1422">
        <v>0</v>
      </c>
      <c r="Y139" s="1422">
        <v>0</v>
      </c>
      <c r="Z139" s="1422">
        <v>0</v>
      </c>
      <c r="AA139" s="1422">
        <v>0</v>
      </c>
      <c r="AB139" s="1420">
        <v>267.31</v>
      </c>
      <c r="AC139" s="1429">
        <v>0</v>
      </c>
      <c r="AD139" s="1422">
        <v>29830</v>
      </c>
      <c r="AE139" s="1422">
        <v>5600</v>
      </c>
      <c r="AF139" s="1422">
        <v>150</v>
      </c>
      <c r="AG139" s="1422">
        <v>21981</v>
      </c>
      <c r="AH139" s="1422">
        <v>0</v>
      </c>
      <c r="AI139" s="1422">
        <v>167152</v>
      </c>
      <c r="AJ139" s="1420">
        <v>2954.6</v>
      </c>
      <c r="AK139" s="1422">
        <v>0</v>
      </c>
      <c r="AL139" s="1420">
        <v>2737.87</v>
      </c>
      <c r="AM139" s="1422">
        <v>0</v>
      </c>
      <c r="AN139" s="1429">
        <v>194400</v>
      </c>
      <c r="AO139" s="1422">
        <v>0</v>
      </c>
      <c r="AP139" s="1422">
        <v>45209</v>
      </c>
      <c r="AQ139" s="1430">
        <f t="shared" si="24"/>
        <v>3472163.7800000003</v>
      </c>
      <c r="AR139" s="1431">
        <v>1044492.86</v>
      </c>
      <c r="AS139" s="1432">
        <v>4994.93</v>
      </c>
      <c r="AT139" s="1422">
        <v>0</v>
      </c>
      <c r="AU139" s="1422">
        <v>0</v>
      </c>
      <c r="AV139" s="1422">
        <v>0</v>
      </c>
      <c r="AW139" s="1422">
        <v>0</v>
      </c>
      <c r="AX139" s="1422">
        <v>0</v>
      </c>
      <c r="AY139" s="1420">
        <v>4994.93</v>
      </c>
      <c r="AZ139" s="1420">
        <v>586524.4</v>
      </c>
      <c r="BA139" s="1423">
        <f t="shared" si="25"/>
        <v>591519.33000000007</v>
      </c>
      <c r="BB139" s="1420">
        <f t="shared" si="26"/>
        <v>7318928.2800000012</v>
      </c>
      <c r="BC139" s="1433">
        <f t="shared" si="27"/>
        <v>9655.5782058047516</v>
      </c>
      <c r="BD139" s="1433">
        <f t="shared" si="28"/>
        <v>2916.5597757255937</v>
      </c>
      <c r="BE139" s="1433">
        <f t="shared" si="29"/>
        <v>0</v>
      </c>
      <c r="BF139" s="1433">
        <f t="shared" si="30"/>
        <v>4580.6910026385231</v>
      </c>
      <c r="BG139" s="1433">
        <f t="shared" si="31"/>
        <v>1377.9589182058048</v>
      </c>
      <c r="BH139" s="1434">
        <f t="shared" si="32"/>
        <v>780.36850923482859</v>
      </c>
      <c r="BI139" s="1422">
        <v>7857</v>
      </c>
    </row>
    <row r="140" spans="1:61" ht="12.75" customHeight="1" thickBot="1">
      <c r="A140" s="1418" t="s">
        <v>330</v>
      </c>
      <c r="B140" s="1418" t="s">
        <v>331</v>
      </c>
      <c r="C140" s="1419">
        <v>10052</v>
      </c>
      <c r="D140" s="1420">
        <v>182.52</v>
      </c>
      <c r="E140" s="1420">
        <v>9341.77</v>
      </c>
      <c r="F140" s="1421">
        <v>0.19</v>
      </c>
      <c r="G140" s="1420">
        <v>9976.48</v>
      </c>
      <c r="H140" s="1420">
        <v>9854.86</v>
      </c>
      <c r="I140" s="1422">
        <v>587509160</v>
      </c>
      <c r="J140" s="1422">
        <v>25</v>
      </c>
      <c r="K140" s="1422">
        <v>25</v>
      </c>
      <c r="L140" s="1422">
        <v>0</v>
      </c>
      <c r="M140" s="1422">
        <v>0</v>
      </c>
      <c r="N140" s="1420">
        <v>14.5</v>
      </c>
      <c r="O140" s="1420">
        <v>39.5</v>
      </c>
      <c r="P140" s="1423">
        <v>58859340.969999999</v>
      </c>
      <c r="Q140" s="1424">
        <v>21506591.149999999</v>
      </c>
      <c r="R140" s="1425">
        <f t="shared" si="22"/>
        <v>21506591.149999999</v>
      </c>
      <c r="S140" s="1436">
        <v>935.75</v>
      </c>
      <c r="T140" s="1427">
        <f t="shared" si="23"/>
        <v>935.75</v>
      </c>
      <c r="U140" s="1428">
        <v>45516036</v>
      </c>
      <c r="V140" s="1422">
        <v>202022</v>
      </c>
      <c r="W140" s="1422">
        <v>730364</v>
      </c>
      <c r="X140" s="1422">
        <v>0</v>
      </c>
      <c r="Y140" s="1422">
        <v>0</v>
      </c>
      <c r="Z140" s="1422">
        <v>0</v>
      </c>
      <c r="AA140" s="1422">
        <v>306981</v>
      </c>
      <c r="AB140" s="1422">
        <v>0</v>
      </c>
      <c r="AC140" s="1429">
        <v>0</v>
      </c>
      <c r="AD140" s="1422">
        <v>407597</v>
      </c>
      <c r="AE140" s="1420">
        <v>55772.03</v>
      </c>
      <c r="AF140" s="1422">
        <v>14244</v>
      </c>
      <c r="AG140" s="1422">
        <v>523802</v>
      </c>
      <c r="AH140" s="1422">
        <v>38090</v>
      </c>
      <c r="AI140" s="1422">
        <v>1903268</v>
      </c>
      <c r="AJ140" s="1420">
        <v>236754.13</v>
      </c>
      <c r="AK140" s="1420">
        <v>109211.9</v>
      </c>
      <c r="AL140" s="1420">
        <v>27600.29</v>
      </c>
      <c r="AM140" s="1422">
        <v>0</v>
      </c>
      <c r="AN140" s="1429">
        <v>882550</v>
      </c>
      <c r="AO140" s="1422">
        <v>0</v>
      </c>
      <c r="AP140" s="1420">
        <v>4643997.92</v>
      </c>
      <c r="AQ140" s="1430">
        <f t="shared" si="24"/>
        <v>54715740.270000003</v>
      </c>
      <c r="AR140" s="1431">
        <v>7614514.1100000003</v>
      </c>
      <c r="AS140" s="1432">
        <v>6053.86</v>
      </c>
      <c r="AT140" s="1422">
        <v>0</v>
      </c>
      <c r="AU140" s="1422">
        <v>0</v>
      </c>
      <c r="AV140" s="1420">
        <v>128458.13</v>
      </c>
      <c r="AW140" s="1422">
        <v>0</v>
      </c>
      <c r="AX140" s="1422">
        <v>0</v>
      </c>
      <c r="AY140" s="1420">
        <v>134511.99</v>
      </c>
      <c r="AZ140" s="1420">
        <v>4346048.54</v>
      </c>
      <c r="BA140" s="1423">
        <f t="shared" si="25"/>
        <v>4609018.66</v>
      </c>
      <c r="BB140" s="1420">
        <f t="shared" si="26"/>
        <v>88446799.939999998</v>
      </c>
      <c r="BC140" s="1433">
        <f t="shared" si="27"/>
        <v>8798.9255809789101</v>
      </c>
      <c r="BD140" s="1433">
        <f t="shared" si="28"/>
        <v>2139.5335405889373</v>
      </c>
      <c r="BE140" s="1433">
        <f t="shared" si="29"/>
        <v>9.3090927178670915E-2</v>
      </c>
      <c r="BF140" s="1433">
        <f t="shared" si="30"/>
        <v>5443.2690280541192</v>
      </c>
      <c r="BG140" s="1433">
        <f t="shared" si="31"/>
        <v>757.51234679665743</v>
      </c>
      <c r="BH140" s="1434">
        <f t="shared" si="32"/>
        <v>458.51757461201754</v>
      </c>
      <c r="BI140" s="1422">
        <v>7829</v>
      </c>
    </row>
    <row r="141" spans="1:61" ht="12.75" customHeight="1" thickBot="1">
      <c r="A141" s="1418" t="s">
        <v>332</v>
      </c>
      <c r="B141" s="1418" t="s">
        <v>333</v>
      </c>
      <c r="C141" s="1419">
        <v>2342</v>
      </c>
      <c r="D141" s="1420">
        <v>739.93</v>
      </c>
      <c r="E141" s="1420">
        <v>2223.33</v>
      </c>
      <c r="F141" s="1421">
        <v>-0.05</v>
      </c>
      <c r="G141" s="1420">
        <v>2313.9699999999998</v>
      </c>
      <c r="H141" s="1420">
        <v>2342.0100000000002</v>
      </c>
      <c r="I141" s="1422">
        <v>157248944</v>
      </c>
      <c r="J141" s="1422">
        <v>25</v>
      </c>
      <c r="K141" s="1422">
        <v>25</v>
      </c>
      <c r="L141" s="1422">
        <v>0</v>
      </c>
      <c r="M141" s="1422">
        <v>0</v>
      </c>
      <c r="N141" s="1420">
        <v>7.1</v>
      </c>
      <c r="O141" s="1420">
        <v>32.1</v>
      </c>
      <c r="P141" s="1438">
        <v>7855000</v>
      </c>
      <c r="Q141" s="1424">
        <v>4613277.04</v>
      </c>
      <c r="R141" s="1425">
        <f t="shared" si="22"/>
        <v>4613277.04</v>
      </c>
      <c r="S141" s="1426">
        <v>150000</v>
      </c>
      <c r="T141" s="1427">
        <f t="shared" si="23"/>
        <v>150000</v>
      </c>
      <c r="U141" s="1428">
        <v>10321564</v>
      </c>
      <c r="V141" s="1422">
        <v>148052</v>
      </c>
      <c r="W141" s="1422">
        <v>0</v>
      </c>
      <c r="X141" s="1422">
        <v>0</v>
      </c>
      <c r="Y141" s="1422">
        <v>0</v>
      </c>
      <c r="Z141" s="1422">
        <v>189739</v>
      </c>
      <c r="AA141" s="1422">
        <v>46953</v>
      </c>
      <c r="AB141" s="1422">
        <v>0</v>
      </c>
      <c r="AC141" s="1429">
        <v>0</v>
      </c>
      <c r="AD141" s="1422">
        <v>96866</v>
      </c>
      <c r="AE141" s="1420">
        <v>392511.46</v>
      </c>
      <c r="AF141" s="1422">
        <v>1900</v>
      </c>
      <c r="AG141" s="1422">
        <v>79594</v>
      </c>
      <c r="AH141" s="1422">
        <v>39262</v>
      </c>
      <c r="AI141" s="1422">
        <v>669600</v>
      </c>
      <c r="AJ141" s="1420">
        <v>20250.34</v>
      </c>
      <c r="AK141" s="1422">
        <v>0</v>
      </c>
      <c r="AL141" s="1422">
        <v>0</v>
      </c>
      <c r="AM141" s="1422">
        <v>0</v>
      </c>
      <c r="AN141" s="1429">
        <v>101228</v>
      </c>
      <c r="AO141" s="1422">
        <v>0</v>
      </c>
      <c r="AP141" s="1420">
        <v>478594.8</v>
      </c>
      <c r="AQ141" s="1430">
        <f t="shared" si="24"/>
        <v>12484886.600000001</v>
      </c>
      <c r="AR141" s="1431">
        <v>3823097.37</v>
      </c>
      <c r="AS141" s="1437">
        <v>0</v>
      </c>
      <c r="AT141" s="1422">
        <v>0</v>
      </c>
      <c r="AU141" s="1422">
        <v>0</v>
      </c>
      <c r="AV141" s="1422">
        <v>0</v>
      </c>
      <c r="AW141" s="1422">
        <v>0</v>
      </c>
      <c r="AX141" s="1422">
        <v>0</v>
      </c>
      <c r="AY141" s="1422">
        <v>0</v>
      </c>
      <c r="AZ141" s="1420">
        <v>802958.45</v>
      </c>
      <c r="BA141" s="1423">
        <f t="shared" si="25"/>
        <v>802958.45</v>
      </c>
      <c r="BB141" s="1420">
        <f t="shared" si="26"/>
        <v>21874219.460000001</v>
      </c>
      <c r="BC141" s="1433">
        <f t="shared" si="27"/>
        <v>9339.9741502988909</v>
      </c>
      <c r="BD141" s="1433">
        <f t="shared" si="28"/>
        <v>1969.8023228010247</v>
      </c>
      <c r="BE141" s="1433">
        <f t="shared" si="29"/>
        <v>64.047822374039285</v>
      </c>
      <c r="BF141" s="1433">
        <f t="shared" si="30"/>
        <v>5330.865328778822</v>
      </c>
      <c r="BG141" s="1433">
        <f t="shared" si="31"/>
        <v>1632.4070751494451</v>
      </c>
      <c r="BH141" s="1434">
        <f t="shared" si="32"/>
        <v>342.85160119555934</v>
      </c>
      <c r="BI141" s="1422">
        <v>8791</v>
      </c>
    </row>
    <row r="142" spans="1:61" ht="12.75" customHeight="1" thickBot="1">
      <c r="A142" s="1418" t="s">
        <v>334</v>
      </c>
      <c r="B142" s="1418" t="s">
        <v>335</v>
      </c>
      <c r="C142" s="1419">
        <v>825</v>
      </c>
      <c r="D142" s="1420">
        <v>141.81</v>
      </c>
      <c r="E142" s="1420">
        <v>763.31</v>
      </c>
      <c r="F142" s="1421">
        <v>-0.1</v>
      </c>
      <c r="G142" s="1420">
        <v>812.61</v>
      </c>
      <c r="H142" s="1420">
        <v>845.76</v>
      </c>
      <c r="I142" s="1422">
        <v>96654994</v>
      </c>
      <c r="J142" s="1420">
        <v>30.8</v>
      </c>
      <c r="K142" s="1422">
        <v>25</v>
      </c>
      <c r="L142" s="1420">
        <v>5.8</v>
      </c>
      <c r="M142" s="1422">
        <v>0</v>
      </c>
      <c r="N142" s="1420">
        <v>3.1</v>
      </c>
      <c r="O142" s="1420">
        <v>33.9</v>
      </c>
      <c r="P142" s="1423">
        <v>2562919.25</v>
      </c>
      <c r="Q142" s="1424">
        <v>2947610.74</v>
      </c>
      <c r="R142" s="1425">
        <f t="shared" si="22"/>
        <v>2947610.74</v>
      </c>
      <c r="S142" s="1436">
        <v>80.959999999999994</v>
      </c>
      <c r="T142" s="1427">
        <f t="shared" si="23"/>
        <v>80.959999999999994</v>
      </c>
      <c r="U142" s="1428">
        <v>2774753</v>
      </c>
      <c r="V142" s="1422">
        <v>18109</v>
      </c>
      <c r="W142" s="1422">
        <v>0</v>
      </c>
      <c r="X142" s="1422">
        <v>81250</v>
      </c>
      <c r="Y142" s="1422">
        <v>0</v>
      </c>
      <c r="Z142" s="1422">
        <v>0</v>
      </c>
      <c r="AA142" s="1422">
        <v>0</v>
      </c>
      <c r="AB142" s="1422">
        <v>0</v>
      </c>
      <c r="AC142" s="1429">
        <v>0</v>
      </c>
      <c r="AD142" s="1422">
        <v>34981</v>
      </c>
      <c r="AE142" s="1420">
        <v>7800.85</v>
      </c>
      <c r="AF142" s="1422">
        <v>50</v>
      </c>
      <c r="AG142" s="1422">
        <v>105841</v>
      </c>
      <c r="AH142" s="1422">
        <v>0</v>
      </c>
      <c r="AI142" s="1422">
        <v>269824</v>
      </c>
      <c r="AJ142" s="1420">
        <v>96182.85</v>
      </c>
      <c r="AK142" s="1420">
        <v>2437.52</v>
      </c>
      <c r="AL142" s="1420">
        <v>3396.22</v>
      </c>
      <c r="AM142" s="1422">
        <v>0</v>
      </c>
      <c r="AN142" s="1429">
        <v>292740</v>
      </c>
      <c r="AO142" s="1422">
        <v>0</v>
      </c>
      <c r="AP142" s="1422">
        <v>11030</v>
      </c>
      <c r="AQ142" s="1430">
        <f t="shared" si="24"/>
        <v>3405655.4400000004</v>
      </c>
      <c r="AR142" s="1431">
        <v>1593493.75</v>
      </c>
      <c r="AS142" s="1437">
        <v>0</v>
      </c>
      <c r="AT142" s="1422">
        <v>0</v>
      </c>
      <c r="AU142" s="1422">
        <v>0</v>
      </c>
      <c r="AV142" s="1422">
        <v>0</v>
      </c>
      <c r="AW142" s="1422">
        <v>0</v>
      </c>
      <c r="AX142" s="1422">
        <v>0</v>
      </c>
      <c r="AY142" s="1422">
        <v>0</v>
      </c>
      <c r="AZ142" s="1420">
        <v>663493.67000000004</v>
      </c>
      <c r="BA142" s="1423">
        <f t="shared" si="25"/>
        <v>663493.67000000004</v>
      </c>
      <c r="BB142" s="1420">
        <f t="shared" si="26"/>
        <v>8610334.5600000005</v>
      </c>
      <c r="BC142" s="1433">
        <f t="shared" si="27"/>
        <v>10436.769163636363</v>
      </c>
      <c r="BD142" s="1433">
        <f t="shared" si="28"/>
        <v>3572.8615030303031</v>
      </c>
      <c r="BE142" s="1433">
        <f t="shared" si="29"/>
        <v>9.8133333333333322E-2</v>
      </c>
      <c r="BF142" s="1433">
        <f t="shared" si="30"/>
        <v>4128.0672000000004</v>
      </c>
      <c r="BG142" s="1433">
        <f t="shared" si="31"/>
        <v>1931.5075757575758</v>
      </c>
      <c r="BH142" s="1434">
        <f t="shared" si="32"/>
        <v>804.23475151515152</v>
      </c>
      <c r="BI142" s="1422">
        <v>10086</v>
      </c>
    </row>
    <row r="143" spans="1:61" ht="12.75" customHeight="1" thickBot="1">
      <c r="A143" s="1418" t="s">
        <v>336</v>
      </c>
      <c r="B143" s="1418" t="s">
        <v>337</v>
      </c>
      <c r="C143" s="1419">
        <v>818</v>
      </c>
      <c r="D143" s="1420">
        <v>264.3</v>
      </c>
      <c r="E143" s="1420">
        <v>759.56</v>
      </c>
      <c r="F143" s="1421">
        <v>-0.14000000000000001</v>
      </c>
      <c r="G143" s="1420">
        <v>812.16</v>
      </c>
      <c r="H143" s="1420">
        <v>829.1</v>
      </c>
      <c r="I143" s="1422">
        <v>59440083</v>
      </c>
      <c r="J143" s="1422">
        <v>25</v>
      </c>
      <c r="K143" s="1422">
        <v>25</v>
      </c>
      <c r="L143" s="1422">
        <v>0</v>
      </c>
      <c r="M143" s="1422">
        <v>0</v>
      </c>
      <c r="N143" s="1420">
        <v>11.98</v>
      </c>
      <c r="O143" s="1420">
        <v>36.979999999999997</v>
      </c>
      <c r="P143" s="1438">
        <v>7790000</v>
      </c>
      <c r="Q143" s="1424">
        <v>2051852.2</v>
      </c>
      <c r="R143" s="1425">
        <f t="shared" si="22"/>
        <v>2051852.2</v>
      </c>
      <c r="S143" s="1436">
        <v>91.06</v>
      </c>
      <c r="T143" s="1427">
        <f t="shared" si="23"/>
        <v>91.06</v>
      </c>
      <c r="U143" s="1428">
        <v>3573025</v>
      </c>
      <c r="V143" s="1422">
        <v>74355</v>
      </c>
      <c r="W143" s="1422">
        <v>0</v>
      </c>
      <c r="X143" s="1422">
        <v>92092</v>
      </c>
      <c r="Y143" s="1422">
        <v>0</v>
      </c>
      <c r="Z143" s="1422">
        <v>0</v>
      </c>
      <c r="AA143" s="1422">
        <v>27741</v>
      </c>
      <c r="AB143" s="1422">
        <v>0</v>
      </c>
      <c r="AC143" s="1429">
        <v>0</v>
      </c>
      <c r="AD143" s="1422">
        <v>34292</v>
      </c>
      <c r="AE143" s="1420">
        <v>22335.75</v>
      </c>
      <c r="AF143" s="1422">
        <v>450</v>
      </c>
      <c r="AG143" s="1422">
        <v>42540</v>
      </c>
      <c r="AH143" s="1422">
        <v>0</v>
      </c>
      <c r="AI143" s="1422">
        <v>275776</v>
      </c>
      <c r="AJ143" s="1420">
        <v>70620.81</v>
      </c>
      <c r="AK143" s="1422">
        <v>22750</v>
      </c>
      <c r="AL143" s="1420">
        <v>2938.13</v>
      </c>
      <c r="AM143" s="1422">
        <v>0</v>
      </c>
      <c r="AN143" s="1429">
        <v>0</v>
      </c>
      <c r="AO143" s="1422">
        <v>0</v>
      </c>
      <c r="AP143" s="1420">
        <v>97752.53</v>
      </c>
      <c r="AQ143" s="1430">
        <f t="shared" si="24"/>
        <v>4336668.22</v>
      </c>
      <c r="AR143" s="1431">
        <v>1973927.71</v>
      </c>
      <c r="AS143" s="1432">
        <v>6561.91</v>
      </c>
      <c r="AT143" s="1422">
        <v>0</v>
      </c>
      <c r="AU143" s="1422">
        <v>0</v>
      </c>
      <c r="AV143" s="1422">
        <v>0</v>
      </c>
      <c r="AW143" s="1422">
        <v>0</v>
      </c>
      <c r="AX143" s="1422">
        <v>0</v>
      </c>
      <c r="AY143" s="1420">
        <v>6561.91</v>
      </c>
      <c r="AZ143" s="1420">
        <v>321952.94</v>
      </c>
      <c r="BA143" s="1423">
        <f t="shared" si="25"/>
        <v>328514.84999999998</v>
      </c>
      <c r="BB143" s="1420">
        <f t="shared" si="26"/>
        <v>8691054.0399999991</v>
      </c>
      <c r="BC143" s="1433">
        <f t="shared" si="27"/>
        <v>10624.760440097798</v>
      </c>
      <c r="BD143" s="1433">
        <f t="shared" si="28"/>
        <v>2508.3767726161368</v>
      </c>
      <c r="BE143" s="1433">
        <f t="shared" si="29"/>
        <v>0.11132029339853301</v>
      </c>
      <c r="BF143" s="1433">
        <f t="shared" si="30"/>
        <v>5301.5503911980441</v>
      </c>
      <c r="BG143" s="1433">
        <f t="shared" si="31"/>
        <v>2413.1145599022007</v>
      </c>
      <c r="BH143" s="1434">
        <f t="shared" si="32"/>
        <v>401.60739608801953</v>
      </c>
      <c r="BI143" s="1422">
        <v>9724</v>
      </c>
    </row>
    <row r="144" spans="1:61" ht="12.75" customHeight="1" thickBot="1">
      <c r="A144" s="1418" t="s">
        <v>338</v>
      </c>
      <c r="B144" s="1418" t="s">
        <v>339</v>
      </c>
      <c r="C144" s="1419">
        <v>932</v>
      </c>
      <c r="D144" s="1420">
        <v>79.069999999999993</v>
      </c>
      <c r="E144" s="1420">
        <v>906.19</v>
      </c>
      <c r="F144" s="1421">
        <v>-0.03</v>
      </c>
      <c r="G144" s="1420">
        <v>938.87</v>
      </c>
      <c r="H144" s="1420">
        <v>922.65</v>
      </c>
      <c r="I144" s="1422">
        <v>35884728</v>
      </c>
      <c r="J144" s="1422">
        <v>25</v>
      </c>
      <c r="K144" s="1422">
        <v>25</v>
      </c>
      <c r="L144" s="1422">
        <v>0</v>
      </c>
      <c r="M144" s="1422">
        <v>0</v>
      </c>
      <c r="N144" s="1422">
        <v>22</v>
      </c>
      <c r="O144" s="1422">
        <v>47</v>
      </c>
      <c r="P144" s="1423">
        <v>6956599.3399999999</v>
      </c>
      <c r="Q144" s="1424">
        <v>1519402.69</v>
      </c>
      <c r="R144" s="1425">
        <f t="shared" si="22"/>
        <v>1519402.69</v>
      </c>
      <c r="S144" s="1436">
        <v>17273.12</v>
      </c>
      <c r="T144" s="1427">
        <f t="shared" si="23"/>
        <v>17273.12</v>
      </c>
      <c r="U144" s="1428">
        <v>4733602</v>
      </c>
      <c r="V144" s="1422">
        <v>11771</v>
      </c>
      <c r="W144" s="1422">
        <v>96127</v>
      </c>
      <c r="X144" s="1422">
        <v>0</v>
      </c>
      <c r="Y144" s="1422">
        <v>0</v>
      </c>
      <c r="Z144" s="1422">
        <v>0</v>
      </c>
      <c r="AA144" s="1422">
        <v>99074</v>
      </c>
      <c r="AB144" s="1422">
        <v>0</v>
      </c>
      <c r="AC144" s="1429">
        <v>0</v>
      </c>
      <c r="AD144" s="1422">
        <v>38161</v>
      </c>
      <c r="AE144" s="1420">
        <v>3297.66</v>
      </c>
      <c r="AF144" s="1422">
        <v>100</v>
      </c>
      <c r="AG144" s="1422">
        <v>46156</v>
      </c>
      <c r="AH144" s="1422">
        <v>0</v>
      </c>
      <c r="AI144" s="1422">
        <v>213776</v>
      </c>
      <c r="AJ144" s="1420">
        <v>56607.49</v>
      </c>
      <c r="AK144" s="1422">
        <v>27625</v>
      </c>
      <c r="AL144" s="1420">
        <v>2672.41</v>
      </c>
      <c r="AM144" s="1422">
        <v>0</v>
      </c>
      <c r="AN144" s="1429">
        <v>0</v>
      </c>
      <c r="AO144" s="1422">
        <v>0</v>
      </c>
      <c r="AP144" s="1420">
        <v>293154.17</v>
      </c>
      <c r="AQ144" s="1430">
        <f t="shared" si="24"/>
        <v>5622123.7300000004</v>
      </c>
      <c r="AR144" s="1431">
        <v>1144852.83</v>
      </c>
      <c r="AS144" s="1437">
        <v>0</v>
      </c>
      <c r="AT144" s="1422">
        <v>0</v>
      </c>
      <c r="AU144" s="1420">
        <v>4240.59</v>
      </c>
      <c r="AV144" s="1422">
        <v>0</v>
      </c>
      <c r="AW144" s="1422">
        <v>0</v>
      </c>
      <c r="AX144" s="1422">
        <v>0</v>
      </c>
      <c r="AY144" s="1420">
        <v>4240.59</v>
      </c>
      <c r="AZ144" s="1420">
        <v>746638.04</v>
      </c>
      <c r="BA144" s="1423">
        <f t="shared" si="25"/>
        <v>755119.22000000009</v>
      </c>
      <c r="BB144" s="1420">
        <f t="shared" si="26"/>
        <v>9058771.5900000017</v>
      </c>
      <c r="BC144" s="1433">
        <f t="shared" si="27"/>
        <v>9719.7120064377705</v>
      </c>
      <c r="BD144" s="1433">
        <f t="shared" si="28"/>
        <v>1630.2603969957081</v>
      </c>
      <c r="BE144" s="1433">
        <f t="shared" si="29"/>
        <v>18.533390557939914</v>
      </c>
      <c r="BF144" s="1433">
        <f t="shared" si="30"/>
        <v>6032.3215987124468</v>
      </c>
      <c r="BG144" s="1433">
        <f t="shared" si="31"/>
        <v>1228.382864806867</v>
      </c>
      <c r="BH144" s="1434">
        <f t="shared" si="32"/>
        <v>810.21375536480696</v>
      </c>
      <c r="BI144" s="1422">
        <v>8556</v>
      </c>
    </row>
    <row r="145" spans="1:61" ht="12.75" customHeight="1" thickBot="1">
      <c r="A145" s="1418" t="s">
        <v>340</v>
      </c>
      <c r="B145" s="1418" t="s">
        <v>341</v>
      </c>
      <c r="C145" s="1419">
        <v>1042</v>
      </c>
      <c r="D145" s="1420">
        <v>280.5</v>
      </c>
      <c r="E145" s="1420">
        <v>970.53</v>
      </c>
      <c r="F145" s="1421">
        <v>0</v>
      </c>
      <c r="G145" s="1420">
        <v>1029.98</v>
      </c>
      <c r="H145" s="1420">
        <v>1022.93</v>
      </c>
      <c r="I145" s="1422">
        <v>45472906</v>
      </c>
      <c r="J145" s="1420">
        <v>25.1</v>
      </c>
      <c r="K145" s="1422">
        <v>25</v>
      </c>
      <c r="L145" s="1420">
        <v>0.1</v>
      </c>
      <c r="M145" s="1422">
        <v>0</v>
      </c>
      <c r="N145" s="1420">
        <v>23.9</v>
      </c>
      <c r="O145" s="1422">
        <v>49</v>
      </c>
      <c r="P145" s="1423">
        <v>7015394.21</v>
      </c>
      <c r="Q145" s="1424">
        <v>2035767.82</v>
      </c>
      <c r="R145" s="1425">
        <f t="shared" si="22"/>
        <v>2035767.82</v>
      </c>
      <c r="S145" s="1436">
        <v>20899.28</v>
      </c>
      <c r="T145" s="1427">
        <f t="shared" si="23"/>
        <v>20899.28</v>
      </c>
      <c r="U145" s="1428">
        <v>5089152</v>
      </c>
      <c r="V145" s="1422">
        <v>34693</v>
      </c>
      <c r="W145" s="1422">
        <v>60817</v>
      </c>
      <c r="X145" s="1422">
        <v>0</v>
      </c>
      <c r="Y145" s="1422">
        <v>0</v>
      </c>
      <c r="Z145" s="1422">
        <v>0</v>
      </c>
      <c r="AA145" s="1422">
        <v>32742</v>
      </c>
      <c r="AB145" s="1422">
        <v>0</v>
      </c>
      <c r="AC145" s="1429">
        <v>0</v>
      </c>
      <c r="AD145" s="1422">
        <v>42308</v>
      </c>
      <c r="AE145" s="1420">
        <v>6697.66</v>
      </c>
      <c r="AF145" s="1422">
        <v>50</v>
      </c>
      <c r="AG145" s="1422">
        <v>48593</v>
      </c>
      <c r="AH145" s="1422">
        <v>0</v>
      </c>
      <c r="AI145" s="1422">
        <v>313472</v>
      </c>
      <c r="AJ145" s="1420">
        <v>44204.480000000003</v>
      </c>
      <c r="AK145" s="1420">
        <v>39812.519999999997</v>
      </c>
      <c r="AL145" s="1420">
        <v>3952.9</v>
      </c>
      <c r="AM145" s="1422">
        <v>0</v>
      </c>
      <c r="AN145" s="1429">
        <v>287054</v>
      </c>
      <c r="AO145" s="1422">
        <v>0</v>
      </c>
      <c r="AP145" s="1422">
        <v>158686</v>
      </c>
      <c r="AQ145" s="1430">
        <f t="shared" si="24"/>
        <v>5875180.5600000005</v>
      </c>
      <c r="AR145" s="1431">
        <v>1447666.18</v>
      </c>
      <c r="AS145" s="1432">
        <v>135852.92000000001</v>
      </c>
      <c r="AT145" s="1422">
        <v>0</v>
      </c>
      <c r="AU145" s="1422">
        <v>0</v>
      </c>
      <c r="AV145" s="1422">
        <v>0</v>
      </c>
      <c r="AW145" s="1422">
        <v>0</v>
      </c>
      <c r="AX145" s="1422">
        <v>0</v>
      </c>
      <c r="AY145" s="1420">
        <v>135852.92000000001</v>
      </c>
      <c r="AZ145" s="1420">
        <v>588082.19999999995</v>
      </c>
      <c r="BA145" s="1423">
        <f t="shared" si="25"/>
        <v>723935.12</v>
      </c>
      <c r="BB145" s="1420">
        <f t="shared" si="26"/>
        <v>10103448.960000001</v>
      </c>
      <c r="BC145" s="1433">
        <f t="shared" si="27"/>
        <v>9696.2082149712096</v>
      </c>
      <c r="BD145" s="1433">
        <f t="shared" si="28"/>
        <v>1953.7119193857966</v>
      </c>
      <c r="BE145" s="1433">
        <f t="shared" si="29"/>
        <v>20.056890595009595</v>
      </c>
      <c r="BF145" s="1433">
        <f t="shared" si="30"/>
        <v>5638.3690595009602</v>
      </c>
      <c r="BG145" s="1433">
        <f t="shared" si="31"/>
        <v>1389.3149520153549</v>
      </c>
      <c r="BH145" s="1434">
        <f t="shared" si="32"/>
        <v>694.75539347408824</v>
      </c>
      <c r="BI145" s="1422">
        <v>8647</v>
      </c>
    </row>
    <row r="146" spans="1:61" ht="12.75" customHeight="1" thickBot="1">
      <c r="A146" s="1418" t="s">
        <v>342</v>
      </c>
      <c r="B146" s="1418" t="s">
        <v>343</v>
      </c>
      <c r="C146" s="1419">
        <v>4267</v>
      </c>
      <c r="D146" s="1420">
        <v>196.66</v>
      </c>
      <c r="E146" s="1420">
        <v>3935.94</v>
      </c>
      <c r="F146" s="1421">
        <v>-7.0000000000000007E-2</v>
      </c>
      <c r="G146" s="1420">
        <v>4230.03</v>
      </c>
      <c r="H146" s="1420">
        <v>4346.28</v>
      </c>
      <c r="I146" s="1422">
        <v>337982982</v>
      </c>
      <c r="J146" s="1422">
        <v>25</v>
      </c>
      <c r="K146" s="1422">
        <v>25</v>
      </c>
      <c r="L146" s="1422">
        <v>0</v>
      </c>
      <c r="M146" s="1422">
        <v>0</v>
      </c>
      <c r="N146" s="1420">
        <v>13.9</v>
      </c>
      <c r="O146" s="1420">
        <v>38.9</v>
      </c>
      <c r="P146" s="1423">
        <v>21203898.010000002</v>
      </c>
      <c r="Q146" s="1424">
        <v>12068412.869999999</v>
      </c>
      <c r="R146" s="1425">
        <f t="shared" si="22"/>
        <v>12068412.869999999</v>
      </c>
      <c r="S146" s="1436">
        <v>86362.46</v>
      </c>
      <c r="T146" s="1427">
        <f t="shared" si="23"/>
        <v>86362.46</v>
      </c>
      <c r="U146" s="1428">
        <v>18126093</v>
      </c>
      <c r="V146" s="1422">
        <v>288551</v>
      </c>
      <c r="W146" s="1422">
        <v>0</v>
      </c>
      <c r="X146" s="1422">
        <v>0</v>
      </c>
      <c r="Y146" s="1422">
        <v>0</v>
      </c>
      <c r="Z146" s="1422">
        <v>0</v>
      </c>
      <c r="AA146" s="1422">
        <v>0</v>
      </c>
      <c r="AB146" s="1420">
        <v>5506.91</v>
      </c>
      <c r="AC146" s="1435">
        <v>424721.05</v>
      </c>
      <c r="AD146" s="1422">
        <v>179762</v>
      </c>
      <c r="AE146" s="1420">
        <v>41775.06</v>
      </c>
      <c r="AF146" s="1422">
        <v>1250</v>
      </c>
      <c r="AG146" s="1422">
        <v>310616</v>
      </c>
      <c r="AH146" s="1422">
        <v>11720</v>
      </c>
      <c r="AI146" s="1422">
        <v>1476592</v>
      </c>
      <c r="AJ146" s="1420">
        <v>584930.18999999994</v>
      </c>
      <c r="AK146" s="1420">
        <v>942938.04</v>
      </c>
      <c r="AL146" s="1420">
        <v>15867.15</v>
      </c>
      <c r="AM146" s="1422">
        <v>0</v>
      </c>
      <c r="AN146" s="1429">
        <v>793152</v>
      </c>
      <c r="AO146" s="1422">
        <v>0</v>
      </c>
      <c r="AP146" s="1422">
        <v>238712</v>
      </c>
      <c r="AQ146" s="1430">
        <f t="shared" si="24"/>
        <v>22224313.349999998</v>
      </c>
      <c r="AR146" s="1431">
        <v>13695775.74</v>
      </c>
      <c r="AS146" s="1432">
        <v>6785.5</v>
      </c>
      <c r="AT146" s="1422">
        <v>0</v>
      </c>
      <c r="AU146" s="1420">
        <v>52931.69</v>
      </c>
      <c r="AV146" s="1422">
        <v>0</v>
      </c>
      <c r="AW146" s="1420">
        <v>301489.34999999998</v>
      </c>
      <c r="AX146" s="1422">
        <v>0</v>
      </c>
      <c r="AY146" s="1420">
        <v>361206.54</v>
      </c>
      <c r="AZ146" s="1420">
        <v>2045923.43</v>
      </c>
      <c r="BA146" s="1423">
        <f t="shared" si="25"/>
        <v>2761551.01</v>
      </c>
      <c r="BB146" s="1420">
        <f t="shared" si="26"/>
        <v>50836415.429999992</v>
      </c>
      <c r="BC146" s="1433">
        <f t="shared" si="27"/>
        <v>11913.854096554955</v>
      </c>
      <c r="BD146" s="1433">
        <f t="shared" si="28"/>
        <v>2828.3133044293413</v>
      </c>
      <c r="BE146" s="1433">
        <f t="shared" si="29"/>
        <v>20.239620342160769</v>
      </c>
      <c r="BF146" s="1433">
        <f t="shared" si="30"/>
        <v>5208.4165338645416</v>
      </c>
      <c r="BG146" s="1433">
        <f t="shared" si="31"/>
        <v>3209.6966815092574</v>
      </c>
      <c r="BH146" s="1434">
        <f t="shared" si="32"/>
        <v>647.1879564096555</v>
      </c>
      <c r="BI146" s="1422">
        <v>10949</v>
      </c>
    </row>
    <row r="147" spans="1:61" ht="12.75" customHeight="1" thickBot="1">
      <c r="A147" s="1418" t="s">
        <v>344</v>
      </c>
      <c r="B147" s="1418" t="s">
        <v>345</v>
      </c>
      <c r="C147" s="1419">
        <v>457</v>
      </c>
      <c r="D147" s="1420">
        <v>67.72</v>
      </c>
      <c r="E147" s="1420">
        <v>427.82</v>
      </c>
      <c r="F147" s="1421">
        <v>0.11</v>
      </c>
      <c r="G147" s="1420">
        <v>455.12</v>
      </c>
      <c r="H147" s="1420">
        <v>447.67</v>
      </c>
      <c r="I147" s="1422">
        <v>118626131</v>
      </c>
      <c r="J147" s="1422">
        <v>27</v>
      </c>
      <c r="K147" s="1422">
        <v>25</v>
      </c>
      <c r="L147" s="1422">
        <v>2</v>
      </c>
      <c r="M147" s="1422">
        <v>0</v>
      </c>
      <c r="N147" s="1422">
        <v>12</v>
      </c>
      <c r="O147" s="1422">
        <v>39</v>
      </c>
      <c r="P147" s="1438">
        <v>4810000</v>
      </c>
      <c r="Q147" s="1424">
        <v>3871162.07</v>
      </c>
      <c r="R147" s="1425">
        <f t="shared" si="22"/>
        <v>3871162.07</v>
      </c>
      <c r="S147" s="1426">
        <v>0</v>
      </c>
      <c r="T147" s="1427">
        <f t="shared" si="23"/>
        <v>0</v>
      </c>
      <c r="U147" s="1428">
        <v>0</v>
      </c>
      <c r="V147" s="1422">
        <v>0</v>
      </c>
      <c r="W147" s="1422">
        <v>45700</v>
      </c>
      <c r="X147" s="1422">
        <v>0</v>
      </c>
      <c r="Y147" s="1422">
        <v>0</v>
      </c>
      <c r="Z147" s="1422">
        <v>0</v>
      </c>
      <c r="AA147" s="1422">
        <v>0</v>
      </c>
      <c r="AB147" s="1422">
        <v>0</v>
      </c>
      <c r="AC147" s="1429">
        <v>0</v>
      </c>
      <c r="AD147" s="1422">
        <v>18516</v>
      </c>
      <c r="AE147" s="1420">
        <v>13894.51</v>
      </c>
      <c r="AF147" s="1422">
        <v>100</v>
      </c>
      <c r="AG147" s="1422">
        <v>0</v>
      </c>
      <c r="AH147" s="1422">
        <v>0</v>
      </c>
      <c r="AI147" s="1422">
        <v>96224</v>
      </c>
      <c r="AJ147" s="1420">
        <v>67954.22</v>
      </c>
      <c r="AK147" s="1420">
        <v>3250.32</v>
      </c>
      <c r="AL147" s="1420">
        <v>1531.84</v>
      </c>
      <c r="AM147" s="1422">
        <v>0</v>
      </c>
      <c r="AN147" s="1429">
        <v>0</v>
      </c>
      <c r="AO147" s="1422">
        <v>0</v>
      </c>
      <c r="AP147" s="1422">
        <v>0</v>
      </c>
      <c r="AQ147" s="1430">
        <f t="shared" si="24"/>
        <v>247170.89</v>
      </c>
      <c r="AR147" s="1431">
        <v>218347.23</v>
      </c>
      <c r="AS147" s="1437">
        <v>0</v>
      </c>
      <c r="AT147" s="1422">
        <v>0</v>
      </c>
      <c r="AU147" s="1422">
        <v>0</v>
      </c>
      <c r="AV147" s="1422">
        <v>0</v>
      </c>
      <c r="AW147" s="1422">
        <v>0</v>
      </c>
      <c r="AX147" s="1422">
        <v>0</v>
      </c>
      <c r="AY147" s="1422">
        <v>0</v>
      </c>
      <c r="AZ147" s="1420">
        <v>417470.76</v>
      </c>
      <c r="BA147" s="1423">
        <f t="shared" si="25"/>
        <v>417470.76</v>
      </c>
      <c r="BB147" s="1420">
        <f t="shared" si="26"/>
        <v>4754150.95</v>
      </c>
      <c r="BC147" s="1433">
        <f t="shared" si="27"/>
        <v>10402.956126914662</v>
      </c>
      <c r="BD147" s="1433">
        <f t="shared" si="28"/>
        <v>8470.8141575492336</v>
      </c>
      <c r="BE147" s="1433">
        <f t="shared" si="29"/>
        <v>0</v>
      </c>
      <c r="BF147" s="1433">
        <f t="shared" si="30"/>
        <v>540.85533916849022</v>
      </c>
      <c r="BG147" s="1433">
        <f t="shared" si="31"/>
        <v>477.78387308533917</v>
      </c>
      <c r="BH147" s="1434">
        <f t="shared" si="32"/>
        <v>913.50275711159736</v>
      </c>
      <c r="BI147" s="1422">
        <v>8682</v>
      </c>
    </row>
    <row r="148" spans="1:61" ht="12.75" customHeight="1" thickBot="1">
      <c r="A148" s="1418" t="s">
        <v>346</v>
      </c>
      <c r="B148" s="1418" t="s">
        <v>347</v>
      </c>
      <c r="C148" s="1419">
        <v>2934</v>
      </c>
      <c r="D148" s="1420">
        <v>117.02</v>
      </c>
      <c r="E148" s="1420">
        <v>2720.1</v>
      </c>
      <c r="F148" s="1421">
        <v>-0.05</v>
      </c>
      <c r="G148" s="1420">
        <v>2902.31</v>
      </c>
      <c r="H148" s="1420">
        <v>2998.18</v>
      </c>
      <c r="I148" s="1422">
        <v>151709149</v>
      </c>
      <c r="J148" s="1422">
        <v>25</v>
      </c>
      <c r="K148" s="1422">
        <v>25</v>
      </c>
      <c r="L148" s="1422">
        <v>0</v>
      </c>
      <c r="M148" s="1422">
        <v>0</v>
      </c>
      <c r="N148" s="1420">
        <v>8.39</v>
      </c>
      <c r="O148" s="1420">
        <v>33.39</v>
      </c>
      <c r="P148" s="1438">
        <v>15045000</v>
      </c>
      <c r="Q148" s="1441">
        <v>4641140</v>
      </c>
      <c r="R148" s="1425">
        <f t="shared" si="22"/>
        <v>4641140</v>
      </c>
      <c r="S148" s="1426">
        <v>0</v>
      </c>
      <c r="T148" s="1427">
        <f t="shared" si="23"/>
        <v>0</v>
      </c>
      <c r="U148" s="1428">
        <v>14446192</v>
      </c>
      <c r="V148" s="1422">
        <v>200871</v>
      </c>
      <c r="W148" s="1422">
        <v>0</v>
      </c>
      <c r="X148" s="1422">
        <v>213064</v>
      </c>
      <c r="Y148" s="1422">
        <v>0</v>
      </c>
      <c r="Z148" s="1422">
        <v>0</v>
      </c>
      <c r="AA148" s="1422">
        <v>32697</v>
      </c>
      <c r="AB148" s="1422">
        <v>0</v>
      </c>
      <c r="AC148" s="1429">
        <v>0</v>
      </c>
      <c r="AD148" s="1422">
        <v>124005</v>
      </c>
      <c r="AE148" s="1420">
        <v>27599.49</v>
      </c>
      <c r="AF148" s="1422">
        <v>300</v>
      </c>
      <c r="AG148" s="1422">
        <v>364289</v>
      </c>
      <c r="AH148" s="1422">
        <v>22561</v>
      </c>
      <c r="AI148" s="1422">
        <v>2452224</v>
      </c>
      <c r="AJ148" s="1420">
        <v>12282.44</v>
      </c>
      <c r="AK148" s="1420">
        <v>173085.44</v>
      </c>
      <c r="AL148" s="1420">
        <v>13073.07</v>
      </c>
      <c r="AM148" s="1422">
        <v>0</v>
      </c>
      <c r="AN148" s="1429">
        <v>179560</v>
      </c>
      <c r="AO148" s="1422">
        <v>0</v>
      </c>
      <c r="AP148" s="1422">
        <v>309212</v>
      </c>
      <c r="AQ148" s="1430">
        <f t="shared" si="24"/>
        <v>18391455.440000005</v>
      </c>
      <c r="AR148" s="1431">
        <v>9206676.5899999999</v>
      </c>
      <c r="AS148" s="1432">
        <v>4104.3100000000004</v>
      </c>
      <c r="AT148" s="1422">
        <v>0</v>
      </c>
      <c r="AU148" s="1422">
        <v>108414</v>
      </c>
      <c r="AV148" s="1420">
        <v>293.5</v>
      </c>
      <c r="AW148" s="1420">
        <v>21619.33</v>
      </c>
      <c r="AX148" s="1422">
        <v>0</v>
      </c>
      <c r="AY148" s="1420">
        <v>134431.14000000001</v>
      </c>
      <c r="AZ148" s="1420">
        <v>1006555.62</v>
      </c>
      <c r="BA148" s="1423">
        <f t="shared" si="25"/>
        <v>1271313.5900000001</v>
      </c>
      <c r="BB148" s="1420">
        <f t="shared" si="26"/>
        <v>33510585.620000005</v>
      </c>
      <c r="BC148" s="1433">
        <f t="shared" si="27"/>
        <v>11421.46749147921</v>
      </c>
      <c r="BD148" s="1433">
        <f t="shared" si="28"/>
        <v>1581.8473074301296</v>
      </c>
      <c r="BE148" s="1433">
        <f t="shared" si="29"/>
        <v>0</v>
      </c>
      <c r="BF148" s="1433">
        <f t="shared" si="30"/>
        <v>6268.3897205180656</v>
      </c>
      <c r="BG148" s="1433">
        <f t="shared" si="31"/>
        <v>3137.9265814587593</v>
      </c>
      <c r="BH148" s="1434">
        <f t="shared" si="32"/>
        <v>433.30388207225633</v>
      </c>
      <c r="BI148" s="1422">
        <v>11387</v>
      </c>
    </row>
    <row r="149" spans="1:61" ht="12.75" customHeight="1" thickBot="1">
      <c r="A149" s="1418" t="s">
        <v>348</v>
      </c>
      <c r="B149" s="1418" t="s">
        <v>349</v>
      </c>
      <c r="C149" s="1419">
        <v>1298</v>
      </c>
      <c r="D149" s="1420">
        <v>371.3</v>
      </c>
      <c r="E149" s="1420">
        <v>1225.07</v>
      </c>
      <c r="F149" s="1421">
        <v>0.01</v>
      </c>
      <c r="G149" s="1420">
        <v>1300.98</v>
      </c>
      <c r="H149" s="1420">
        <v>1272.44</v>
      </c>
      <c r="I149" s="1422">
        <v>65355406</v>
      </c>
      <c r="J149" s="1420">
        <v>26.6</v>
      </c>
      <c r="K149" s="1422">
        <v>25</v>
      </c>
      <c r="L149" s="1420">
        <v>1.6</v>
      </c>
      <c r="M149" s="1422">
        <v>0</v>
      </c>
      <c r="N149" s="1420">
        <v>9.4</v>
      </c>
      <c r="O149" s="1422">
        <v>36</v>
      </c>
      <c r="P149" s="1423">
        <v>6692438.4299999997</v>
      </c>
      <c r="Q149" s="1424">
        <v>1717645.11</v>
      </c>
      <c r="R149" s="1425">
        <f t="shared" si="22"/>
        <v>1717645.11</v>
      </c>
      <c r="S149" s="1426">
        <v>0</v>
      </c>
      <c r="T149" s="1427">
        <f t="shared" si="23"/>
        <v>0</v>
      </c>
      <c r="U149" s="1428">
        <v>6095970</v>
      </c>
      <c r="V149" s="1422">
        <v>0</v>
      </c>
      <c r="W149" s="1422">
        <v>169939</v>
      </c>
      <c r="X149" s="1422">
        <v>0</v>
      </c>
      <c r="Y149" s="1422">
        <v>0</v>
      </c>
      <c r="Z149" s="1422">
        <v>0</v>
      </c>
      <c r="AA149" s="1422">
        <v>0</v>
      </c>
      <c r="AB149" s="1422">
        <v>0</v>
      </c>
      <c r="AC149" s="1429">
        <v>0</v>
      </c>
      <c r="AD149" s="1422">
        <v>52628</v>
      </c>
      <c r="AE149" s="1422">
        <v>9000</v>
      </c>
      <c r="AF149" s="1422">
        <v>650</v>
      </c>
      <c r="AG149" s="1422">
        <v>26816</v>
      </c>
      <c r="AH149" s="1422">
        <v>4981</v>
      </c>
      <c r="AI149" s="1422">
        <v>943392</v>
      </c>
      <c r="AJ149" s="1420">
        <v>83512.210000000006</v>
      </c>
      <c r="AK149" s="1422">
        <v>26000</v>
      </c>
      <c r="AL149" s="1420">
        <v>5580.28</v>
      </c>
      <c r="AM149" s="1422">
        <v>0</v>
      </c>
      <c r="AN149" s="1429">
        <v>184680</v>
      </c>
      <c r="AO149" s="1422">
        <v>0</v>
      </c>
      <c r="AP149" s="1420">
        <v>218057.99</v>
      </c>
      <c r="AQ149" s="1430">
        <f t="shared" si="24"/>
        <v>7636526.4800000004</v>
      </c>
      <c r="AR149" s="1431">
        <v>2639342.4700000002</v>
      </c>
      <c r="AS149" s="1432">
        <v>-196923.2</v>
      </c>
      <c r="AT149" s="1422">
        <v>0</v>
      </c>
      <c r="AU149" s="1420">
        <v>6893.32</v>
      </c>
      <c r="AV149" s="1422">
        <v>2875</v>
      </c>
      <c r="AW149" s="1422">
        <v>2050</v>
      </c>
      <c r="AX149" s="1422">
        <v>0</v>
      </c>
      <c r="AY149" s="1420">
        <v>-185104.88</v>
      </c>
      <c r="AZ149" s="1420">
        <v>1052567.55</v>
      </c>
      <c r="BA149" s="1423">
        <f t="shared" si="25"/>
        <v>879280.99</v>
      </c>
      <c r="BB149" s="1420">
        <f t="shared" si="26"/>
        <v>12872795.050000001</v>
      </c>
      <c r="BC149" s="1433">
        <f t="shared" si="27"/>
        <v>9917.4075885978436</v>
      </c>
      <c r="BD149" s="1433">
        <f t="shared" si="28"/>
        <v>1323.3013174114021</v>
      </c>
      <c r="BE149" s="1433">
        <f t="shared" si="29"/>
        <v>0</v>
      </c>
      <c r="BF149" s="1433">
        <f t="shared" si="30"/>
        <v>5883.302372881356</v>
      </c>
      <c r="BG149" s="1433">
        <f t="shared" si="31"/>
        <v>2033.3917334360556</v>
      </c>
      <c r="BH149" s="1434">
        <f t="shared" si="32"/>
        <v>677.41216486902931</v>
      </c>
      <c r="BI149" s="1422">
        <v>8759</v>
      </c>
    </row>
    <row r="150" spans="1:61" ht="12.75" customHeight="1" thickBot="1">
      <c r="A150" s="1418" t="s">
        <v>350</v>
      </c>
      <c r="B150" s="1418" t="s">
        <v>351</v>
      </c>
      <c r="C150" s="1419">
        <v>1438</v>
      </c>
      <c r="D150" s="1420">
        <v>111.41</v>
      </c>
      <c r="E150" s="1420">
        <v>1296.18</v>
      </c>
      <c r="F150" s="1421">
        <v>-0.03</v>
      </c>
      <c r="G150" s="1420">
        <v>1395.16</v>
      </c>
      <c r="H150" s="1420">
        <v>1408.61</v>
      </c>
      <c r="I150" s="1422">
        <v>40959407</v>
      </c>
      <c r="J150" s="1422">
        <v>30</v>
      </c>
      <c r="K150" s="1422">
        <v>25</v>
      </c>
      <c r="L150" s="1422">
        <v>5</v>
      </c>
      <c r="M150" s="1422">
        <v>0</v>
      </c>
      <c r="N150" s="1422">
        <v>0</v>
      </c>
      <c r="O150" s="1422">
        <v>30</v>
      </c>
      <c r="P150" s="1438">
        <v>0</v>
      </c>
      <c r="Q150" s="1424">
        <v>1039989.68</v>
      </c>
      <c r="R150" s="1425">
        <f t="shared" si="22"/>
        <v>1039989.68</v>
      </c>
      <c r="S150" s="1426">
        <v>0</v>
      </c>
      <c r="T150" s="1427">
        <f t="shared" si="23"/>
        <v>0</v>
      </c>
      <c r="U150" s="1428">
        <v>7154115</v>
      </c>
      <c r="V150" s="1422">
        <v>17244</v>
      </c>
      <c r="W150" s="1422">
        <v>0</v>
      </c>
      <c r="X150" s="1422">
        <v>47281</v>
      </c>
      <c r="Y150" s="1422">
        <v>0</v>
      </c>
      <c r="Z150" s="1422">
        <v>0</v>
      </c>
      <c r="AA150" s="1422">
        <v>83876</v>
      </c>
      <c r="AB150" s="1422">
        <v>0</v>
      </c>
      <c r="AC150" s="1429">
        <v>0</v>
      </c>
      <c r="AD150" s="1422">
        <v>58260</v>
      </c>
      <c r="AE150" s="1420">
        <v>3399.46</v>
      </c>
      <c r="AF150" s="1422">
        <v>250</v>
      </c>
      <c r="AG150" s="1422">
        <v>18649</v>
      </c>
      <c r="AH150" s="1422">
        <v>6446</v>
      </c>
      <c r="AI150" s="1422">
        <v>466240</v>
      </c>
      <c r="AJ150" s="1420">
        <v>14558.16</v>
      </c>
      <c r="AK150" s="1420">
        <v>28166.76</v>
      </c>
      <c r="AL150" s="1420">
        <v>5447.21</v>
      </c>
      <c r="AM150" s="1422">
        <v>0</v>
      </c>
      <c r="AN150" s="1429">
        <v>0</v>
      </c>
      <c r="AO150" s="1422">
        <v>0</v>
      </c>
      <c r="AP150" s="1420">
        <v>201750.94</v>
      </c>
      <c r="AQ150" s="1430">
        <f t="shared" si="24"/>
        <v>8105683.5300000003</v>
      </c>
      <c r="AR150" s="1431">
        <v>2401547.31</v>
      </c>
      <c r="AS150" s="1437">
        <v>0</v>
      </c>
      <c r="AT150" s="1422">
        <v>0</v>
      </c>
      <c r="AU150" s="1422">
        <v>0</v>
      </c>
      <c r="AV150" s="1422">
        <v>500</v>
      </c>
      <c r="AW150" s="1422">
        <v>0</v>
      </c>
      <c r="AX150" s="1422">
        <v>0</v>
      </c>
      <c r="AY150" s="1422">
        <v>500</v>
      </c>
      <c r="AZ150" s="1420">
        <v>681933.06</v>
      </c>
      <c r="BA150" s="1423">
        <f t="shared" si="25"/>
        <v>682933.06</v>
      </c>
      <c r="BB150" s="1420">
        <f t="shared" si="26"/>
        <v>12230153.58</v>
      </c>
      <c r="BC150" s="1433">
        <f t="shared" si="27"/>
        <v>8504.9746731571631</v>
      </c>
      <c r="BD150" s="1433">
        <f t="shared" si="28"/>
        <v>723.21952712100142</v>
      </c>
      <c r="BE150" s="1433">
        <f t="shared" si="29"/>
        <v>0</v>
      </c>
      <c r="BF150" s="1433">
        <f t="shared" si="30"/>
        <v>5636.7757510431156</v>
      </c>
      <c r="BG150" s="1433">
        <f t="shared" si="31"/>
        <v>1670.060716272601</v>
      </c>
      <c r="BH150" s="1434">
        <f t="shared" si="32"/>
        <v>474.91867872044509</v>
      </c>
      <c r="BI150" s="1422">
        <v>8582</v>
      </c>
    </row>
    <row r="151" spans="1:61" ht="12.75" customHeight="1" thickBot="1">
      <c r="A151" s="1418" t="s">
        <v>352</v>
      </c>
      <c r="B151" s="1418" t="s">
        <v>353</v>
      </c>
      <c r="C151" s="1419">
        <v>995</v>
      </c>
      <c r="D151" s="1420">
        <v>135.56</v>
      </c>
      <c r="E151" s="1420">
        <v>928.09</v>
      </c>
      <c r="F151" s="1421">
        <v>-0.03</v>
      </c>
      <c r="G151" s="1420">
        <v>984.41</v>
      </c>
      <c r="H151" s="1420">
        <v>1018.64</v>
      </c>
      <c r="I151" s="1422">
        <v>41118813</v>
      </c>
      <c r="J151" s="1422">
        <v>25</v>
      </c>
      <c r="K151" s="1422">
        <v>25</v>
      </c>
      <c r="L151" s="1422">
        <v>0</v>
      </c>
      <c r="M151" s="1422">
        <v>0</v>
      </c>
      <c r="N151" s="1420">
        <v>11.7</v>
      </c>
      <c r="O151" s="1420">
        <v>36.700000000000003</v>
      </c>
      <c r="P151" s="1438">
        <v>3955000</v>
      </c>
      <c r="Q151" s="1424">
        <v>1353414.33</v>
      </c>
      <c r="R151" s="1425">
        <f t="shared" si="22"/>
        <v>1353414.33</v>
      </c>
      <c r="S151" s="1426">
        <v>0</v>
      </c>
      <c r="T151" s="1427">
        <f t="shared" si="23"/>
        <v>0</v>
      </c>
      <c r="U151" s="1428">
        <v>5185582</v>
      </c>
      <c r="V151" s="1422">
        <v>26950</v>
      </c>
      <c r="W151" s="1422">
        <v>0</v>
      </c>
      <c r="X151" s="1422">
        <v>18129</v>
      </c>
      <c r="Y151" s="1422">
        <v>0</v>
      </c>
      <c r="Z151" s="1422">
        <v>0</v>
      </c>
      <c r="AA151" s="1422">
        <v>35966</v>
      </c>
      <c r="AB151" s="1420">
        <v>216.86</v>
      </c>
      <c r="AC151" s="1429">
        <v>0</v>
      </c>
      <c r="AD151" s="1422">
        <v>42131</v>
      </c>
      <c r="AE151" s="1422">
        <v>3600</v>
      </c>
      <c r="AF151" s="1422">
        <v>250</v>
      </c>
      <c r="AG151" s="1422">
        <v>18893</v>
      </c>
      <c r="AH151" s="1422">
        <v>2930</v>
      </c>
      <c r="AI151" s="1422">
        <v>317936</v>
      </c>
      <c r="AJ151" s="1422">
        <v>4173</v>
      </c>
      <c r="AK151" s="1420">
        <v>21124.36</v>
      </c>
      <c r="AL151" s="1420">
        <v>3468.81</v>
      </c>
      <c r="AM151" s="1422">
        <v>0</v>
      </c>
      <c r="AN151" s="1429">
        <v>194012</v>
      </c>
      <c r="AO151" s="1422">
        <v>0</v>
      </c>
      <c r="AP151" s="1420">
        <v>1187517.92</v>
      </c>
      <c r="AQ151" s="1430">
        <f t="shared" si="24"/>
        <v>6868867.9500000002</v>
      </c>
      <c r="AR151" s="1431">
        <v>1835057.73</v>
      </c>
      <c r="AS151" s="1432">
        <v>25013.22</v>
      </c>
      <c r="AT151" s="1422">
        <v>0</v>
      </c>
      <c r="AU151" s="1422">
        <v>0</v>
      </c>
      <c r="AV151" s="1422">
        <v>0</v>
      </c>
      <c r="AW151" s="1422">
        <v>0</v>
      </c>
      <c r="AX151" s="1422">
        <v>0</v>
      </c>
      <c r="AY151" s="1420">
        <v>25013.22</v>
      </c>
      <c r="AZ151" s="1420">
        <v>617828.21</v>
      </c>
      <c r="BA151" s="1423">
        <f t="shared" si="25"/>
        <v>642841.42999999993</v>
      </c>
      <c r="BB151" s="1420">
        <f t="shared" si="26"/>
        <v>10700181.439999999</v>
      </c>
      <c r="BC151" s="1433">
        <f t="shared" si="27"/>
        <v>10753.951195979898</v>
      </c>
      <c r="BD151" s="1433">
        <f t="shared" si="28"/>
        <v>1360.215407035176</v>
      </c>
      <c r="BE151" s="1433">
        <f t="shared" si="29"/>
        <v>0</v>
      </c>
      <c r="BF151" s="1433">
        <f t="shared" si="30"/>
        <v>6903.384874371859</v>
      </c>
      <c r="BG151" s="1433">
        <f t="shared" si="31"/>
        <v>1844.2791256281407</v>
      </c>
      <c r="BH151" s="1434">
        <f t="shared" si="32"/>
        <v>646.07178894472361</v>
      </c>
      <c r="BI151" s="1422">
        <v>8876</v>
      </c>
    </row>
    <row r="152" spans="1:61" ht="12.75" customHeight="1" thickBot="1">
      <c r="A152" s="1418" t="s">
        <v>354</v>
      </c>
      <c r="B152" s="1418" t="s">
        <v>355</v>
      </c>
      <c r="C152" s="1419">
        <v>1399</v>
      </c>
      <c r="D152" s="1420">
        <v>52.47</v>
      </c>
      <c r="E152" s="1420">
        <v>1299.47</v>
      </c>
      <c r="F152" s="1421">
        <v>-0.12</v>
      </c>
      <c r="G152" s="1420">
        <v>1369.91</v>
      </c>
      <c r="H152" s="1420">
        <v>1474.78</v>
      </c>
      <c r="I152" s="1422">
        <v>74512991</v>
      </c>
      <c r="J152" s="1422">
        <v>25</v>
      </c>
      <c r="K152" s="1422">
        <v>25</v>
      </c>
      <c r="L152" s="1422">
        <v>0</v>
      </c>
      <c r="M152" s="1422">
        <v>0</v>
      </c>
      <c r="N152" s="1420">
        <v>13.2</v>
      </c>
      <c r="O152" s="1420">
        <v>38.200000000000003</v>
      </c>
      <c r="P152" s="1438">
        <v>10205000</v>
      </c>
      <c r="Q152" s="1424">
        <v>2512322.2200000002</v>
      </c>
      <c r="R152" s="1425">
        <f t="shared" si="22"/>
        <v>2512322.2200000002</v>
      </c>
      <c r="S152" s="1426">
        <v>0</v>
      </c>
      <c r="T152" s="1427">
        <f t="shared" si="23"/>
        <v>0</v>
      </c>
      <c r="U152" s="1428">
        <v>7141888</v>
      </c>
      <c r="V152" s="1422">
        <v>110942</v>
      </c>
      <c r="W152" s="1422">
        <v>0</v>
      </c>
      <c r="X152" s="1422">
        <v>252484</v>
      </c>
      <c r="Y152" s="1422">
        <v>0</v>
      </c>
      <c r="Z152" s="1422">
        <v>0</v>
      </c>
      <c r="AA152" s="1422">
        <v>114154</v>
      </c>
      <c r="AB152" s="1422">
        <v>0</v>
      </c>
      <c r="AC152" s="1429">
        <v>0</v>
      </c>
      <c r="AD152" s="1422">
        <v>60997</v>
      </c>
      <c r="AE152" s="1420">
        <v>46950.53</v>
      </c>
      <c r="AF152" s="1422">
        <v>50</v>
      </c>
      <c r="AG152" s="1422">
        <v>41808</v>
      </c>
      <c r="AH152" s="1422">
        <v>6739</v>
      </c>
      <c r="AI152" s="1422">
        <v>1221152</v>
      </c>
      <c r="AJ152" s="1420">
        <v>340466.64</v>
      </c>
      <c r="AK152" s="1420">
        <v>25458.560000000001</v>
      </c>
      <c r="AL152" s="1420">
        <v>6159.21</v>
      </c>
      <c r="AM152" s="1422">
        <v>0</v>
      </c>
      <c r="AN152" s="1429">
        <v>165839</v>
      </c>
      <c r="AO152" s="1422">
        <v>0</v>
      </c>
      <c r="AP152" s="1420">
        <v>808799.6</v>
      </c>
      <c r="AQ152" s="1430">
        <f t="shared" si="24"/>
        <v>10178048.540000003</v>
      </c>
      <c r="AR152" s="1431">
        <v>5458967.9500000002</v>
      </c>
      <c r="AS152" s="1437">
        <v>0</v>
      </c>
      <c r="AT152" s="1422">
        <v>0</v>
      </c>
      <c r="AU152" s="1422">
        <v>15000</v>
      </c>
      <c r="AV152" s="1422">
        <v>0</v>
      </c>
      <c r="AW152" s="1422">
        <v>16900</v>
      </c>
      <c r="AX152" s="1422">
        <v>0</v>
      </c>
      <c r="AY152" s="1422">
        <v>31900</v>
      </c>
      <c r="AZ152" s="1420">
        <v>449182.68</v>
      </c>
      <c r="BA152" s="1423">
        <f t="shared" si="25"/>
        <v>512982.68</v>
      </c>
      <c r="BB152" s="1420">
        <f t="shared" si="26"/>
        <v>18662321.390000001</v>
      </c>
      <c r="BC152" s="1433">
        <f t="shared" si="27"/>
        <v>13339.757962830594</v>
      </c>
      <c r="BD152" s="1433">
        <f t="shared" si="28"/>
        <v>1795.7985847033597</v>
      </c>
      <c r="BE152" s="1433">
        <f t="shared" si="29"/>
        <v>0</v>
      </c>
      <c r="BF152" s="1433">
        <f t="shared" si="30"/>
        <v>7275.2312651894226</v>
      </c>
      <c r="BG152" s="1433">
        <f t="shared" si="31"/>
        <v>3902.05</v>
      </c>
      <c r="BH152" s="1434">
        <f t="shared" si="32"/>
        <v>366.67811293781273</v>
      </c>
      <c r="BI152" s="1422">
        <v>12218</v>
      </c>
    </row>
    <row r="153" spans="1:61" ht="12.75" customHeight="1" thickBot="1">
      <c r="A153" s="1418" t="s">
        <v>356</v>
      </c>
      <c r="B153" s="1418" t="s">
        <v>357</v>
      </c>
      <c r="C153" s="1419">
        <v>633</v>
      </c>
      <c r="D153" s="1420">
        <v>232.21</v>
      </c>
      <c r="E153" s="1420">
        <v>589.58000000000004</v>
      </c>
      <c r="F153" s="1421">
        <v>-0.32</v>
      </c>
      <c r="G153" s="1420">
        <v>632.11</v>
      </c>
      <c r="H153" s="1420">
        <v>688.03</v>
      </c>
      <c r="I153" s="1422">
        <v>56271493</v>
      </c>
      <c r="J153" s="1422">
        <v>25</v>
      </c>
      <c r="K153" s="1422">
        <v>25</v>
      </c>
      <c r="L153" s="1422">
        <v>0</v>
      </c>
      <c r="M153" s="1422">
        <v>0</v>
      </c>
      <c r="N153" s="1420">
        <v>10.9</v>
      </c>
      <c r="O153" s="1420">
        <v>35.9</v>
      </c>
      <c r="P153" s="1438">
        <v>1670000</v>
      </c>
      <c r="Q153" s="1424">
        <v>1994702.55</v>
      </c>
      <c r="R153" s="1425">
        <f t="shared" si="22"/>
        <v>1994702.55</v>
      </c>
      <c r="S153" s="1426">
        <v>0</v>
      </c>
      <c r="T153" s="1427">
        <f t="shared" si="23"/>
        <v>0</v>
      </c>
      <c r="U153" s="1428">
        <v>2695758</v>
      </c>
      <c r="V153" s="1422">
        <v>63712</v>
      </c>
      <c r="W153" s="1422">
        <v>0</v>
      </c>
      <c r="X153" s="1422">
        <v>140637</v>
      </c>
      <c r="Y153" s="1422">
        <v>0</v>
      </c>
      <c r="Z153" s="1422">
        <v>0</v>
      </c>
      <c r="AA153" s="1422">
        <v>32873</v>
      </c>
      <c r="AB153" s="1422">
        <v>0</v>
      </c>
      <c r="AC153" s="1429">
        <v>0</v>
      </c>
      <c r="AD153" s="1422">
        <v>28457</v>
      </c>
      <c r="AE153" s="1420">
        <v>10909.83</v>
      </c>
      <c r="AF153" s="1422">
        <v>50</v>
      </c>
      <c r="AG153" s="1422">
        <v>34698</v>
      </c>
      <c r="AH153" s="1422">
        <v>0</v>
      </c>
      <c r="AI153" s="1422">
        <v>538656</v>
      </c>
      <c r="AJ153" s="1420">
        <v>2818.62</v>
      </c>
      <c r="AK153" s="1422">
        <v>6500</v>
      </c>
      <c r="AL153" s="1420">
        <v>3102.92</v>
      </c>
      <c r="AM153" s="1422">
        <v>0</v>
      </c>
      <c r="AN153" s="1429">
        <v>153879</v>
      </c>
      <c r="AO153" s="1422">
        <v>0</v>
      </c>
      <c r="AP153" s="1422">
        <v>25206</v>
      </c>
      <c r="AQ153" s="1430">
        <f t="shared" si="24"/>
        <v>3583378.37</v>
      </c>
      <c r="AR153" s="1431">
        <v>1250787.3400000001</v>
      </c>
      <c r="AS153" s="1432">
        <v>26569.88</v>
      </c>
      <c r="AT153" s="1422">
        <v>0</v>
      </c>
      <c r="AU153" s="1422">
        <v>0</v>
      </c>
      <c r="AV153" s="1422">
        <v>0</v>
      </c>
      <c r="AW153" s="1422">
        <v>0</v>
      </c>
      <c r="AX153" s="1422">
        <v>0</v>
      </c>
      <c r="AY153" s="1420">
        <v>26569.88</v>
      </c>
      <c r="AZ153" s="1420">
        <v>298541.95</v>
      </c>
      <c r="BA153" s="1423">
        <f t="shared" si="25"/>
        <v>325111.83</v>
      </c>
      <c r="BB153" s="1420">
        <f t="shared" si="26"/>
        <v>7153980.0899999999</v>
      </c>
      <c r="BC153" s="1433">
        <f t="shared" si="27"/>
        <v>11301.706303317535</v>
      </c>
      <c r="BD153" s="1433">
        <f t="shared" si="28"/>
        <v>3151.1888625592419</v>
      </c>
      <c r="BE153" s="1433">
        <f t="shared" si="29"/>
        <v>0</v>
      </c>
      <c r="BF153" s="1433">
        <f t="shared" si="30"/>
        <v>5660.9452922590835</v>
      </c>
      <c r="BG153" s="1433">
        <f t="shared" si="31"/>
        <v>1975.9673617693525</v>
      </c>
      <c r="BH153" s="1434">
        <f t="shared" si="32"/>
        <v>513.60478672985789</v>
      </c>
      <c r="BI153" s="1422">
        <v>12552</v>
      </c>
    </row>
    <row r="154" spans="1:61" ht="12.75" customHeight="1" thickBot="1">
      <c r="A154" s="1418" t="s">
        <v>358</v>
      </c>
      <c r="B154" s="1418" t="s">
        <v>359</v>
      </c>
      <c r="C154" s="1419">
        <v>539</v>
      </c>
      <c r="D154" s="1420">
        <v>403.45</v>
      </c>
      <c r="E154" s="1420">
        <v>515.26</v>
      </c>
      <c r="F154" s="1421">
        <v>-0.24</v>
      </c>
      <c r="G154" s="1420">
        <v>540.15</v>
      </c>
      <c r="H154" s="1420">
        <v>533.37</v>
      </c>
      <c r="I154" s="1422">
        <v>46479871</v>
      </c>
      <c r="J154" s="1422">
        <v>25</v>
      </c>
      <c r="K154" s="1422">
        <v>25</v>
      </c>
      <c r="L154" s="1422">
        <v>0</v>
      </c>
      <c r="M154" s="1422">
        <v>0</v>
      </c>
      <c r="N154" s="1420">
        <v>10.9</v>
      </c>
      <c r="O154" s="1420">
        <v>35.9</v>
      </c>
      <c r="P154" s="1423">
        <v>1597544.63</v>
      </c>
      <c r="Q154" s="1424">
        <v>1352967.93</v>
      </c>
      <c r="R154" s="1425">
        <f t="shared" si="22"/>
        <v>1352967.93</v>
      </c>
      <c r="S154" s="1426">
        <v>6000</v>
      </c>
      <c r="T154" s="1427">
        <f t="shared" si="23"/>
        <v>6000</v>
      </c>
      <c r="U154" s="1428">
        <v>1965045</v>
      </c>
      <c r="V154" s="1422">
        <v>69249</v>
      </c>
      <c r="W154" s="1422">
        <v>0</v>
      </c>
      <c r="X154" s="1422">
        <v>203096</v>
      </c>
      <c r="Y154" s="1422">
        <v>0</v>
      </c>
      <c r="Z154" s="1422">
        <v>0</v>
      </c>
      <c r="AA154" s="1422">
        <v>4823</v>
      </c>
      <c r="AB154" s="1422">
        <v>0</v>
      </c>
      <c r="AC154" s="1429">
        <v>0</v>
      </c>
      <c r="AD154" s="1422">
        <v>22060</v>
      </c>
      <c r="AE154" s="1420">
        <v>164469.89000000001</v>
      </c>
      <c r="AF154" s="1422">
        <v>1850</v>
      </c>
      <c r="AG154" s="1422">
        <v>17308</v>
      </c>
      <c r="AH154" s="1422">
        <v>5860</v>
      </c>
      <c r="AI154" s="1422">
        <v>430528</v>
      </c>
      <c r="AJ154" s="1420">
        <v>3295.01</v>
      </c>
      <c r="AK154" s="1420">
        <v>32500.32</v>
      </c>
      <c r="AL154" s="1420">
        <v>2218.92</v>
      </c>
      <c r="AM154" s="1422">
        <v>0</v>
      </c>
      <c r="AN154" s="1429">
        <v>116640</v>
      </c>
      <c r="AO154" s="1422">
        <v>0</v>
      </c>
      <c r="AP154" s="1422">
        <v>14137</v>
      </c>
      <c r="AQ154" s="1430">
        <f t="shared" si="24"/>
        <v>2936440.1399999997</v>
      </c>
      <c r="AR154" s="1431">
        <v>1120765.18</v>
      </c>
      <c r="AS154" s="1437">
        <v>0</v>
      </c>
      <c r="AT154" s="1422">
        <v>0</v>
      </c>
      <c r="AU154" s="1422">
        <v>0</v>
      </c>
      <c r="AV154" s="1422">
        <v>0</v>
      </c>
      <c r="AW154" s="1422">
        <v>0</v>
      </c>
      <c r="AX154" s="1422">
        <v>0</v>
      </c>
      <c r="AY154" s="1422">
        <v>0</v>
      </c>
      <c r="AZ154" s="1420">
        <v>212531.59</v>
      </c>
      <c r="BA154" s="1423">
        <f t="shared" si="25"/>
        <v>212531.59</v>
      </c>
      <c r="BB154" s="1420">
        <f t="shared" si="26"/>
        <v>5628704.8399999999</v>
      </c>
      <c r="BC154" s="1433">
        <f t="shared" si="27"/>
        <v>10442.866122448979</v>
      </c>
      <c r="BD154" s="1433">
        <f t="shared" si="28"/>
        <v>2510.1445825602968</v>
      </c>
      <c r="BE154" s="1433">
        <f t="shared" si="29"/>
        <v>11.131725417439704</v>
      </c>
      <c r="BF154" s="1433">
        <f t="shared" si="30"/>
        <v>5447.9408905380324</v>
      </c>
      <c r="BG154" s="1433">
        <f t="shared" si="31"/>
        <v>2079.341706864564</v>
      </c>
      <c r="BH154" s="1434">
        <f t="shared" si="32"/>
        <v>394.30721706864563</v>
      </c>
      <c r="BI154" s="1422">
        <v>10705</v>
      </c>
    </row>
    <row r="155" spans="1:61" ht="12.75" customHeight="1" thickBot="1">
      <c r="A155" s="1418" t="s">
        <v>360</v>
      </c>
      <c r="B155" s="1418" t="s">
        <v>361</v>
      </c>
      <c r="C155" s="1419">
        <v>568</v>
      </c>
      <c r="D155" s="1420">
        <v>320.97000000000003</v>
      </c>
      <c r="E155" s="1420">
        <v>536.45000000000005</v>
      </c>
      <c r="F155" s="1421">
        <v>-0.02</v>
      </c>
      <c r="G155" s="1420">
        <v>572.23</v>
      </c>
      <c r="H155" s="1420">
        <v>549.94000000000005</v>
      </c>
      <c r="I155" s="1422">
        <v>30651069</v>
      </c>
      <c r="J155" s="1422">
        <v>25</v>
      </c>
      <c r="K155" s="1422">
        <v>25</v>
      </c>
      <c r="L155" s="1422">
        <v>0</v>
      </c>
      <c r="M155" s="1422">
        <v>0</v>
      </c>
      <c r="N155" s="1420">
        <v>8.6999999999999993</v>
      </c>
      <c r="O155" s="1420">
        <v>33.700000000000003</v>
      </c>
      <c r="P155" s="1423">
        <v>2432779.0099999998</v>
      </c>
      <c r="Q155" s="1424">
        <v>951092.04</v>
      </c>
      <c r="R155" s="1425">
        <f t="shared" si="22"/>
        <v>951092.04</v>
      </c>
      <c r="S155" s="1436">
        <v>267.11</v>
      </c>
      <c r="T155" s="1427">
        <f t="shared" si="23"/>
        <v>267.11</v>
      </c>
      <c r="U155" s="1428">
        <v>2294538</v>
      </c>
      <c r="V155" s="1422">
        <v>31844</v>
      </c>
      <c r="W155" s="1422">
        <v>132401</v>
      </c>
      <c r="X155" s="1422">
        <v>0</v>
      </c>
      <c r="Y155" s="1422">
        <v>0</v>
      </c>
      <c r="Z155" s="1422">
        <v>0</v>
      </c>
      <c r="AA155" s="1422">
        <v>43193</v>
      </c>
      <c r="AB155" s="1422">
        <v>0</v>
      </c>
      <c r="AC155" s="1429">
        <v>0</v>
      </c>
      <c r="AD155" s="1422">
        <v>22746</v>
      </c>
      <c r="AE155" s="1420">
        <v>112670.75</v>
      </c>
      <c r="AF155" s="1422">
        <v>50</v>
      </c>
      <c r="AG155" s="1422">
        <v>32707</v>
      </c>
      <c r="AH155" s="1422">
        <v>586</v>
      </c>
      <c r="AI155" s="1422">
        <v>423584</v>
      </c>
      <c r="AJ155" s="1420">
        <v>3288.9</v>
      </c>
      <c r="AK155" s="1422">
        <v>0</v>
      </c>
      <c r="AL155" s="1420">
        <v>2419.21</v>
      </c>
      <c r="AM155" s="1422">
        <v>0</v>
      </c>
      <c r="AN155" s="1429">
        <v>0</v>
      </c>
      <c r="AO155" s="1422">
        <v>0</v>
      </c>
      <c r="AP155" s="1422">
        <v>20582</v>
      </c>
      <c r="AQ155" s="1430">
        <f t="shared" si="24"/>
        <v>3120609.86</v>
      </c>
      <c r="AR155" s="1431">
        <v>1706382.29</v>
      </c>
      <c r="AS155" s="1437">
        <v>0</v>
      </c>
      <c r="AT155" s="1422">
        <v>0</v>
      </c>
      <c r="AU155" s="1422">
        <v>0</v>
      </c>
      <c r="AV155" s="1422">
        <v>13400</v>
      </c>
      <c r="AW155" s="1420">
        <v>25219.42</v>
      </c>
      <c r="AX155" s="1422">
        <v>0</v>
      </c>
      <c r="AY155" s="1420">
        <v>38619.42</v>
      </c>
      <c r="AZ155" s="1420">
        <v>182833.89</v>
      </c>
      <c r="BA155" s="1423">
        <f t="shared" si="25"/>
        <v>260072.73</v>
      </c>
      <c r="BB155" s="1420">
        <f t="shared" si="26"/>
        <v>6038424.0300000003</v>
      </c>
      <c r="BC155" s="1433">
        <f t="shared" si="27"/>
        <v>10631.028221830986</v>
      </c>
      <c r="BD155" s="1433">
        <f t="shared" si="28"/>
        <v>1674.4578169014085</v>
      </c>
      <c r="BE155" s="1433">
        <f t="shared" si="29"/>
        <v>0.47026408450704227</v>
      </c>
      <c r="BF155" s="1433">
        <f t="shared" si="30"/>
        <v>5494.0314436619719</v>
      </c>
      <c r="BG155" s="1433">
        <f t="shared" si="31"/>
        <v>3004.1941725352112</v>
      </c>
      <c r="BH155" s="1434">
        <f t="shared" si="32"/>
        <v>457.87452464788737</v>
      </c>
      <c r="BI155" s="1422">
        <v>9696</v>
      </c>
    </row>
    <row r="156" spans="1:61" ht="12.75" customHeight="1" thickBot="1">
      <c r="A156" s="1418" t="s">
        <v>362</v>
      </c>
      <c r="B156" s="1418" t="s">
        <v>363</v>
      </c>
      <c r="C156" s="1419">
        <v>513</v>
      </c>
      <c r="D156" s="1420">
        <v>315.93</v>
      </c>
      <c r="E156" s="1420">
        <v>473.14</v>
      </c>
      <c r="F156" s="1421">
        <v>-0.16</v>
      </c>
      <c r="G156" s="1420">
        <v>501.95</v>
      </c>
      <c r="H156" s="1420">
        <v>534.77</v>
      </c>
      <c r="I156" s="1422">
        <v>64148827</v>
      </c>
      <c r="J156" s="1422">
        <v>25</v>
      </c>
      <c r="K156" s="1422">
        <v>25</v>
      </c>
      <c r="L156" s="1422">
        <v>0</v>
      </c>
      <c r="M156" s="1422">
        <v>0</v>
      </c>
      <c r="N156" s="1422">
        <v>9</v>
      </c>
      <c r="O156" s="1422">
        <v>34</v>
      </c>
      <c r="P156" s="1423">
        <v>4157776.17</v>
      </c>
      <c r="Q156" s="1424">
        <v>1961518.1</v>
      </c>
      <c r="R156" s="1425">
        <f t="shared" si="22"/>
        <v>1961518.1</v>
      </c>
      <c r="S156" s="1436">
        <v>274.56</v>
      </c>
      <c r="T156" s="1427">
        <f t="shared" si="23"/>
        <v>274.56</v>
      </c>
      <c r="U156" s="1428">
        <v>1362118</v>
      </c>
      <c r="V156" s="1422">
        <v>62478</v>
      </c>
      <c r="W156" s="1422">
        <v>0</v>
      </c>
      <c r="X156" s="1422">
        <v>88026</v>
      </c>
      <c r="Y156" s="1422">
        <v>0</v>
      </c>
      <c r="Z156" s="1422">
        <v>0</v>
      </c>
      <c r="AA156" s="1422">
        <v>0</v>
      </c>
      <c r="AB156" s="1422">
        <v>0</v>
      </c>
      <c r="AC156" s="1429">
        <v>0</v>
      </c>
      <c r="AD156" s="1422">
        <v>22118</v>
      </c>
      <c r="AE156" s="1420">
        <v>3728.71</v>
      </c>
      <c r="AF156" s="1422">
        <v>0</v>
      </c>
      <c r="AG156" s="1422">
        <v>17877</v>
      </c>
      <c r="AH156" s="1422">
        <v>0</v>
      </c>
      <c r="AI156" s="1422">
        <v>167152</v>
      </c>
      <c r="AJ156" s="1420">
        <v>124030.36</v>
      </c>
      <c r="AK156" s="1422">
        <v>0</v>
      </c>
      <c r="AL156" s="1420">
        <v>1998.57</v>
      </c>
      <c r="AM156" s="1422">
        <v>0</v>
      </c>
      <c r="AN156" s="1429">
        <v>0</v>
      </c>
      <c r="AO156" s="1422">
        <v>0</v>
      </c>
      <c r="AP156" s="1422">
        <v>2303</v>
      </c>
      <c r="AQ156" s="1430">
        <f t="shared" si="24"/>
        <v>1851829.6400000001</v>
      </c>
      <c r="AR156" s="1431">
        <v>1332532.83</v>
      </c>
      <c r="AS156" s="1437">
        <v>0</v>
      </c>
      <c r="AT156" s="1422">
        <v>0</v>
      </c>
      <c r="AU156" s="1422">
        <v>0</v>
      </c>
      <c r="AV156" s="1422">
        <v>0</v>
      </c>
      <c r="AW156" s="1422">
        <v>0</v>
      </c>
      <c r="AX156" s="1422">
        <v>0</v>
      </c>
      <c r="AY156" s="1422">
        <v>0</v>
      </c>
      <c r="AZ156" s="1420">
        <v>301204.68</v>
      </c>
      <c r="BA156" s="1423">
        <f t="shared" si="25"/>
        <v>301204.68</v>
      </c>
      <c r="BB156" s="1420">
        <f t="shared" si="26"/>
        <v>5447359.8100000005</v>
      </c>
      <c r="BC156" s="1433">
        <f t="shared" si="27"/>
        <v>10618.635107212476</v>
      </c>
      <c r="BD156" s="1433">
        <f t="shared" si="28"/>
        <v>3823.6220272904484</v>
      </c>
      <c r="BE156" s="1433">
        <f t="shared" si="29"/>
        <v>0.53520467836257313</v>
      </c>
      <c r="BF156" s="1433">
        <f t="shared" si="30"/>
        <v>3609.8043664717352</v>
      </c>
      <c r="BG156" s="1433">
        <f t="shared" si="31"/>
        <v>2597.5298830409356</v>
      </c>
      <c r="BH156" s="1434">
        <f t="shared" si="32"/>
        <v>587.14362573099413</v>
      </c>
      <c r="BI156" s="1422">
        <v>9888</v>
      </c>
    </row>
    <row r="157" spans="1:61" ht="12.75" customHeight="1" thickBot="1">
      <c r="A157" s="1418" t="s">
        <v>364</v>
      </c>
      <c r="B157" s="1418" t="s">
        <v>365</v>
      </c>
      <c r="C157" s="1419">
        <v>1043</v>
      </c>
      <c r="D157" s="1420">
        <v>237.52</v>
      </c>
      <c r="E157" s="1420">
        <v>1010.67</v>
      </c>
      <c r="F157" s="1421">
        <v>0.02</v>
      </c>
      <c r="G157" s="1420">
        <v>1045.3599999999999</v>
      </c>
      <c r="H157" s="1420">
        <v>990.3</v>
      </c>
      <c r="I157" s="1422">
        <v>50146739</v>
      </c>
      <c r="J157" s="1422">
        <v>25</v>
      </c>
      <c r="K157" s="1422">
        <v>25</v>
      </c>
      <c r="L157" s="1422">
        <v>0</v>
      </c>
      <c r="M157" s="1422">
        <v>0</v>
      </c>
      <c r="N157" s="1420">
        <v>10.1</v>
      </c>
      <c r="O157" s="1420">
        <v>35.1</v>
      </c>
      <c r="P157" s="1438">
        <v>5865000</v>
      </c>
      <c r="Q157" s="1424">
        <v>1626363.17</v>
      </c>
      <c r="R157" s="1425">
        <f t="shared" si="22"/>
        <v>1626363.17</v>
      </c>
      <c r="S157" s="1436">
        <v>61849.919999999998</v>
      </c>
      <c r="T157" s="1427">
        <f t="shared" si="23"/>
        <v>61849.919999999998</v>
      </c>
      <c r="U157" s="1428">
        <v>4716125</v>
      </c>
      <c r="V157" s="1422">
        <v>22255</v>
      </c>
      <c r="W157" s="1422">
        <v>329323</v>
      </c>
      <c r="X157" s="1422">
        <v>0</v>
      </c>
      <c r="Y157" s="1422">
        <v>0</v>
      </c>
      <c r="Z157" s="1422">
        <v>0</v>
      </c>
      <c r="AA157" s="1422">
        <v>33627</v>
      </c>
      <c r="AB157" s="1422">
        <v>0</v>
      </c>
      <c r="AC157" s="1429">
        <v>0</v>
      </c>
      <c r="AD157" s="1422">
        <v>40959</v>
      </c>
      <c r="AE157" s="1420">
        <v>10887.15</v>
      </c>
      <c r="AF157" s="1422">
        <v>300</v>
      </c>
      <c r="AG157" s="1422">
        <v>7354</v>
      </c>
      <c r="AH157" s="1422">
        <v>6153</v>
      </c>
      <c r="AI157" s="1422">
        <v>710272</v>
      </c>
      <c r="AJ157" s="1420">
        <v>-1295.72</v>
      </c>
      <c r="AK157" s="1422">
        <v>0</v>
      </c>
      <c r="AL157" s="1420">
        <v>3813.78</v>
      </c>
      <c r="AM157" s="1422">
        <v>0</v>
      </c>
      <c r="AN157" s="1429">
        <v>0</v>
      </c>
      <c r="AO157" s="1422">
        <v>0</v>
      </c>
      <c r="AP157" s="1420">
        <v>321908.08</v>
      </c>
      <c r="AQ157" s="1430">
        <f t="shared" si="24"/>
        <v>6201681.290000001</v>
      </c>
      <c r="AR157" s="1431">
        <v>1924913.61</v>
      </c>
      <c r="AS157" s="1437">
        <v>0</v>
      </c>
      <c r="AT157" s="1422">
        <v>0</v>
      </c>
      <c r="AU157" s="1422">
        <v>0</v>
      </c>
      <c r="AV157" s="1422">
        <v>0</v>
      </c>
      <c r="AW157" s="1420">
        <v>18146.07</v>
      </c>
      <c r="AX157" s="1420">
        <v>13618.03</v>
      </c>
      <c r="AY157" s="1420">
        <v>31764.1</v>
      </c>
      <c r="AZ157" s="1420">
        <v>343202.63</v>
      </c>
      <c r="BA157" s="1423">
        <f t="shared" si="25"/>
        <v>406730.83</v>
      </c>
      <c r="BB157" s="1420">
        <f t="shared" si="26"/>
        <v>10221538.82</v>
      </c>
      <c r="BC157" s="1433">
        <f t="shared" si="27"/>
        <v>9800.1330968360508</v>
      </c>
      <c r="BD157" s="1433">
        <f t="shared" si="28"/>
        <v>1559.3127229146692</v>
      </c>
      <c r="BE157" s="1433">
        <f t="shared" si="29"/>
        <v>59.300019175455418</v>
      </c>
      <c r="BF157" s="1433">
        <f t="shared" si="30"/>
        <v>5946.0031543624173</v>
      </c>
      <c r="BG157" s="1433">
        <f t="shared" si="31"/>
        <v>1845.5547555129435</v>
      </c>
      <c r="BH157" s="1434">
        <f t="shared" si="32"/>
        <v>389.96244487056572</v>
      </c>
      <c r="BI157" s="1422">
        <v>8625</v>
      </c>
    </row>
    <row r="158" spans="1:61" ht="12.75" customHeight="1" thickBot="1">
      <c r="A158" s="1418" t="s">
        <v>366</v>
      </c>
      <c r="B158" s="1418" t="s">
        <v>367</v>
      </c>
      <c r="C158" s="1419">
        <v>403</v>
      </c>
      <c r="D158" s="1420">
        <v>345.69</v>
      </c>
      <c r="E158" s="1420">
        <v>380.79</v>
      </c>
      <c r="F158" s="1421">
        <v>-0.04</v>
      </c>
      <c r="G158" s="1420">
        <v>402.06</v>
      </c>
      <c r="H158" s="1420">
        <v>394.41</v>
      </c>
      <c r="I158" s="1422">
        <v>32319872</v>
      </c>
      <c r="J158" s="1422">
        <v>25</v>
      </c>
      <c r="K158" s="1422">
        <v>25</v>
      </c>
      <c r="L158" s="1422">
        <v>0</v>
      </c>
      <c r="M158" s="1422">
        <v>0</v>
      </c>
      <c r="N158" s="1420">
        <v>9.8000000000000007</v>
      </c>
      <c r="O158" s="1420">
        <v>34.799999999999997</v>
      </c>
      <c r="P158" s="1423">
        <v>815201.09</v>
      </c>
      <c r="Q158" s="1424">
        <v>1047202.97</v>
      </c>
      <c r="R158" s="1425">
        <f t="shared" si="22"/>
        <v>1047202.97</v>
      </c>
      <c r="S158" s="1436">
        <v>23490.17</v>
      </c>
      <c r="T158" s="1427">
        <f t="shared" si="23"/>
        <v>23490.17</v>
      </c>
      <c r="U158" s="1428">
        <v>1597458</v>
      </c>
      <c r="V158" s="1422">
        <v>1727</v>
      </c>
      <c r="W158" s="1422">
        <v>46046</v>
      </c>
      <c r="X158" s="1422">
        <v>0</v>
      </c>
      <c r="Y158" s="1422">
        <v>0</v>
      </c>
      <c r="Z158" s="1422">
        <v>0</v>
      </c>
      <c r="AA158" s="1422">
        <v>0</v>
      </c>
      <c r="AB158" s="1422">
        <v>0</v>
      </c>
      <c r="AC158" s="1429">
        <v>0</v>
      </c>
      <c r="AD158" s="1422">
        <v>16313</v>
      </c>
      <c r="AE158" s="1422">
        <v>118777</v>
      </c>
      <c r="AF158" s="1422">
        <v>50</v>
      </c>
      <c r="AG158" s="1422">
        <v>0</v>
      </c>
      <c r="AH158" s="1422">
        <v>0</v>
      </c>
      <c r="AI158" s="1422">
        <v>287680</v>
      </c>
      <c r="AJ158" s="1420">
        <v>3835.77</v>
      </c>
      <c r="AK158" s="1422">
        <v>0</v>
      </c>
      <c r="AL158" s="1420">
        <v>1049.57</v>
      </c>
      <c r="AM158" s="1422">
        <v>0</v>
      </c>
      <c r="AN158" s="1429">
        <v>0</v>
      </c>
      <c r="AO158" s="1422">
        <v>0</v>
      </c>
      <c r="AP158" s="1422">
        <v>11279</v>
      </c>
      <c r="AQ158" s="1430">
        <f t="shared" si="24"/>
        <v>2084215.34</v>
      </c>
      <c r="AR158" s="1431">
        <v>674575.88</v>
      </c>
      <c r="AS158" s="1437">
        <v>67625</v>
      </c>
      <c r="AT158" s="1422">
        <v>0</v>
      </c>
      <c r="AU158" s="1422">
        <v>0</v>
      </c>
      <c r="AV158" s="1422">
        <v>0</v>
      </c>
      <c r="AW158" s="1420">
        <v>5427.45</v>
      </c>
      <c r="AX158" s="1422">
        <v>0</v>
      </c>
      <c r="AY158" s="1420">
        <v>73052.45</v>
      </c>
      <c r="AZ158" s="1420">
        <v>290170.31</v>
      </c>
      <c r="BA158" s="1423">
        <f t="shared" si="25"/>
        <v>368650.20999999996</v>
      </c>
      <c r="BB158" s="1420">
        <f t="shared" si="26"/>
        <v>4198134.57</v>
      </c>
      <c r="BC158" s="1433">
        <f t="shared" si="27"/>
        <v>10417.207369727048</v>
      </c>
      <c r="BD158" s="1433">
        <f t="shared" si="28"/>
        <v>2598.518535980149</v>
      </c>
      <c r="BE158" s="1433">
        <f t="shared" si="29"/>
        <v>58.28826302729528</v>
      </c>
      <c r="BF158" s="1433">
        <f t="shared" si="30"/>
        <v>5171.7502233250625</v>
      </c>
      <c r="BG158" s="1433">
        <f t="shared" si="31"/>
        <v>1673.8855583126551</v>
      </c>
      <c r="BH158" s="1434">
        <f t="shared" si="32"/>
        <v>914.76478908188574</v>
      </c>
      <c r="BI158" s="1422">
        <v>9712</v>
      </c>
    </row>
    <row r="159" spans="1:61" ht="12.75" customHeight="1" thickBot="1">
      <c r="A159" s="1418" t="s">
        <v>368</v>
      </c>
      <c r="B159" s="1418" t="s">
        <v>369</v>
      </c>
      <c r="C159" s="1419">
        <v>896</v>
      </c>
      <c r="D159" s="1420">
        <v>614.46</v>
      </c>
      <c r="E159" s="1420">
        <v>865.1</v>
      </c>
      <c r="F159" s="1421">
        <v>0.01</v>
      </c>
      <c r="G159" s="1420">
        <v>891.24</v>
      </c>
      <c r="H159" s="1420">
        <v>897.08</v>
      </c>
      <c r="I159" s="1422">
        <v>55972640</v>
      </c>
      <c r="J159" s="1422">
        <v>25</v>
      </c>
      <c r="K159" s="1422">
        <v>25</v>
      </c>
      <c r="L159" s="1422">
        <v>0</v>
      </c>
      <c r="M159" s="1422">
        <v>0</v>
      </c>
      <c r="N159" s="1420">
        <v>10.9</v>
      </c>
      <c r="O159" s="1420">
        <v>35.9</v>
      </c>
      <c r="P159" s="1423">
        <v>5224065.0999999996</v>
      </c>
      <c r="Q159" s="1424">
        <v>1913500.22</v>
      </c>
      <c r="R159" s="1425">
        <f t="shared" si="22"/>
        <v>1913500.22</v>
      </c>
      <c r="S159" s="1426">
        <v>0</v>
      </c>
      <c r="T159" s="1427">
        <f t="shared" si="23"/>
        <v>0</v>
      </c>
      <c r="U159" s="1428">
        <v>3722271</v>
      </c>
      <c r="V159" s="1422">
        <v>62633</v>
      </c>
      <c r="W159" s="1422">
        <v>2183</v>
      </c>
      <c r="X159" s="1422">
        <v>0</v>
      </c>
      <c r="Y159" s="1422">
        <v>0</v>
      </c>
      <c r="Z159" s="1422">
        <v>1206299</v>
      </c>
      <c r="AA159" s="1422">
        <v>0</v>
      </c>
      <c r="AB159" s="1422">
        <v>422</v>
      </c>
      <c r="AC159" s="1429">
        <v>0</v>
      </c>
      <c r="AD159" s="1422">
        <v>37103</v>
      </c>
      <c r="AE159" s="1420">
        <v>397317.31</v>
      </c>
      <c r="AF159" s="1422">
        <v>0</v>
      </c>
      <c r="AG159" s="1422">
        <v>12961</v>
      </c>
      <c r="AH159" s="1422">
        <v>0</v>
      </c>
      <c r="AI159" s="1422">
        <v>297104</v>
      </c>
      <c r="AJ159" s="1420">
        <v>107877.09</v>
      </c>
      <c r="AK159" s="1420">
        <v>19351.93</v>
      </c>
      <c r="AL159" s="1420">
        <v>3481.8</v>
      </c>
      <c r="AM159" s="1422">
        <v>0</v>
      </c>
      <c r="AN159" s="1429">
        <v>0</v>
      </c>
      <c r="AO159" s="1422">
        <v>0</v>
      </c>
      <c r="AP159" s="1420">
        <v>403581.16</v>
      </c>
      <c r="AQ159" s="1430">
        <f t="shared" si="24"/>
        <v>6272585.2899999991</v>
      </c>
      <c r="AR159" s="1431">
        <v>2290903.86</v>
      </c>
      <c r="AS159" s="1432">
        <v>-21686.84</v>
      </c>
      <c r="AT159" s="1422">
        <v>0</v>
      </c>
      <c r="AU159" s="1422">
        <v>0</v>
      </c>
      <c r="AV159" s="1422">
        <v>0</v>
      </c>
      <c r="AW159" s="1422">
        <v>0</v>
      </c>
      <c r="AX159" s="1422">
        <v>0</v>
      </c>
      <c r="AY159" s="1420">
        <v>-21686.84</v>
      </c>
      <c r="AZ159" s="1420">
        <v>436954.03</v>
      </c>
      <c r="BA159" s="1423">
        <f t="shared" si="25"/>
        <v>415267.19</v>
      </c>
      <c r="BB159" s="1420">
        <f t="shared" si="26"/>
        <v>10892256.560000001</v>
      </c>
      <c r="BC159" s="1433">
        <f t="shared" si="27"/>
        <v>12156.536339285714</v>
      </c>
      <c r="BD159" s="1433">
        <f t="shared" si="28"/>
        <v>2135.6029241071428</v>
      </c>
      <c r="BE159" s="1433">
        <f t="shared" si="29"/>
        <v>0</v>
      </c>
      <c r="BF159" s="1433">
        <f t="shared" si="30"/>
        <v>7000.6532254464273</v>
      </c>
      <c r="BG159" s="1433">
        <f t="shared" si="31"/>
        <v>2556.8123437499999</v>
      </c>
      <c r="BH159" s="1434">
        <f t="shared" si="32"/>
        <v>463.46784598214288</v>
      </c>
      <c r="BI159" s="1422">
        <v>9993</v>
      </c>
    </row>
    <row r="160" spans="1:61" ht="12.75" customHeight="1" thickBot="1">
      <c r="A160" s="1418" t="s">
        <v>370</v>
      </c>
      <c r="B160" s="1418" t="s">
        <v>371</v>
      </c>
      <c r="C160" s="1419">
        <v>363</v>
      </c>
      <c r="D160" s="1420">
        <v>397.53</v>
      </c>
      <c r="E160" s="1420">
        <v>336.68</v>
      </c>
      <c r="F160" s="1421">
        <v>-0.17</v>
      </c>
      <c r="G160" s="1420">
        <v>359.94</v>
      </c>
      <c r="H160" s="1420">
        <v>372.38</v>
      </c>
      <c r="I160" s="1422">
        <v>22489589</v>
      </c>
      <c r="J160" s="1422">
        <v>25</v>
      </c>
      <c r="K160" s="1422">
        <v>25</v>
      </c>
      <c r="L160" s="1422">
        <v>0</v>
      </c>
      <c r="M160" s="1422">
        <v>0</v>
      </c>
      <c r="N160" s="1422">
        <v>8</v>
      </c>
      <c r="O160" s="1422">
        <v>33</v>
      </c>
      <c r="P160" s="1423">
        <v>1774957.6</v>
      </c>
      <c r="Q160" s="1424">
        <v>683925.93</v>
      </c>
      <c r="R160" s="1425">
        <f t="shared" si="22"/>
        <v>683925.93</v>
      </c>
      <c r="S160" s="1426">
        <v>0</v>
      </c>
      <c r="T160" s="1427">
        <f t="shared" si="23"/>
        <v>0</v>
      </c>
      <c r="U160" s="1428">
        <v>1385461</v>
      </c>
      <c r="V160" s="1422">
        <v>39677</v>
      </c>
      <c r="W160" s="1422">
        <v>0</v>
      </c>
      <c r="X160" s="1422">
        <v>0</v>
      </c>
      <c r="Y160" s="1422">
        <v>0</v>
      </c>
      <c r="Z160" s="1422">
        <v>729859</v>
      </c>
      <c r="AA160" s="1422">
        <v>8469</v>
      </c>
      <c r="AB160" s="1422">
        <v>0</v>
      </c>
      <c r="AC160" s="1429">
        <v>0</v>
      </c>
      <c r="AD160" s="1422">
        <v>15402</v>
      </c>
      <c r="AE160" s="1420">
        <v>390876.83</v>
      </c>
      <c r="AF160" s="1422">
        <v>3100</v>
      </c>
      <c r="AG160" s="1422">
        <v>0</v>
      </c>
      <c r="AH160" s="1422">
        <v>0</v>
      </c>
      <c r="AI160" s="1422">
        <v>284704</v>
      </c>
      <c r="AJ160" s="1420">
        <v>51963.19</v>
      </c>
      <c r="AK160" s="1420">
        <v>2437.52</v>
      </c>
      <c r="AL160" s="1420">
        <v>1748.74</v>
      </c>
      <c r="AM160" s="1422">
        <v>0</v>
      </c>
      <c r="AN160" s="1429">
        <v>0</v>
      </c>
      <c r="AO160" s="1422">
        <v>0</v>
      </c>
      <c r="AP160" s="1420">
        <v>61046.58</v>
      </c>
      <c r="AQ160" s="1430">
        <f t="shared" si="24"/>
        <v>2974744.8600000003</v>
      </c>
      <c r="AR160" s="1431">
        <v>1486373.05</v>
      </c>
      <c r="AS160" s="1437">
        <v>115690</v>
      </c>
      <c r="AT160" s="1422">
        <v>0</v>
      </c>
      <c r="AU160" s="1422">
        <v>4000</v>
      </c>
      <c r="AV160" s="1422">
        <v>0</v>
      </c>
      <c r="AW160" s="1420">
        <v>66977.009999999995</v>
      </c>
      <c r="AX160" s="1422">
        <v>0</v>
      </c>
      <c r="AY160" s="1420">
        <v>186667.01</v>
      </c>
      <c r="AZ160" s="1420">
        <v>331974.58</v>
      </c>
      <c r="BA160" s="1423">
        <f t="shared" si="25"/>
        <v>589618.60000000009</v>
      </c>
      <c r="BB160" s="1420">
        <f t="shared" si="26"/>
        <v>5734662.4400000004</v>
      </c>
      <c r="BC160" s="1433">
        <f t="shared" si="27"/>
        <v>15797.968154269973</v>
      </c>
      <c r="BD160" s="1433">
        <f t="shared" si="28"/>
        <v>1884.0934710743802</v>
      </c>
      <c r="BE160" s="1433">
        <f t="shared" si="29"/>
        <v>0</v>
      </c>
      <c r="BF160" s="1433">
        <f t="shared" si="30"/>
        <v>8194.8894214876036</v>
      </c>
      <c r="BG160" s="1433">
        <f t="shared" si="31"/>
        <v>4094.6915977961435</v>
      </c>
      <c r="BH160" s="1434">
        <f t="shared" si="32"/>
        <v>1624.2936639118459</v>
      </c>
      <c r="BI160" s="1422">
        <v>13464</v>
      </c>
    </row>
    <row r="161" spans="1:61" ht="12.75" customHeight="1" thickBot="1">
      <c r="A161" s="1418" t="s">
        <v>372</v>
      </c>
      <c r="B161" s="1418" t="s">
        <v>373</v>
      </c>
      <c r="C161" s="1419">
        <v>561</v>
      </c>
      <c r="D161" s="1420">
        <v>251.47</v>
      </c>
      <c r="E161" s="1420">
        <v>539.85</v>
      </c>
      <c r="F161" s="1421">
        <v>-0.13</v>
      </c>
      <c r="G161" s="1420">
        <v>565.98</v>
      </c>
      <c r="H161" s="1420">
        <v>579.35</v>
      </c>
      <c r="I161" s="1422">
        <v>31660701</v>
      </c>
      <c r="J161" s="1422">
        <v>25</v>
      </c>
      <c r="K161" s="1422">
        <v>25</v>
      </c>
      <c r="L161" s="1422">
        <v>0</v>
      </c>
      <c r="M161" s="1422">
        <v>0</v>
      </c>
      <c r="N161" s="1420">
        <v>9.9</v>
      </c>
      <c r="O161" s="1420">
        <v>34.9</v>
      </c>
      <c r="P161" s="1423">
        <v>2750253.62</v>
      </c>
      <c r="Q161" s="1424">
        <v>1007199.16</v>
      </c>
      <c r="R161" s="1425">
        <f t="shared" si="22"/>
        <v>1007199.16</v>
      </c>
      <c r="S161" s="1436">
        <v>54169.57</v>
      </c>
      <c r="T161" s="1427">
        <f t="shared" si="23"/>
        <v>54169.57</v>
      </c>
      <c r="U161" s="1428">
        <v>2698716</v>
      </c>
      <c r="V161" s="1422">
        <v>26115</v>
      </c>
      <c r="W161" s="1422">
        <v>0</v>
      </c>
      <c r="X161" s="1422">
        <v>86641</v>
      </c>
      <c r="Y161" s="1422">
        <v>0</v>
      </c>
      <c r="Z161" s="1422">
        <v>0</v>
      </c>
      <c r="AA161" s="1422">
        <v>13662</v>
      </c>
      <c r="AB161" s="1422">
        <v>0</v>
      </c>
      <c r="AC161" s="1429">
        <v>0</v>
      </c>
      <c r="AD161" s="1422">
        <v>23962</v>
      </c>
      <c r="AE161" s="1420">
        <v>1322.31</v>
      </c>
      <c r="AF161" s="1422">
        <v>50</v>
      </c>
      <c r="AG161" s="1422">
        <v>10401</v>
      </c>
      <c r="AH161" s="1422">
        <v>0</v>
      </c>
      <c r="AI161" s="1422">
        <v>404736</v>
      </c>
      <c r="AJ161" s="1420">
        <v>4445.3999999999996</v>
      </c>
      <c r="AK161" s="1420">
        <v>34937.519999999997</v>
      </c>
      <c r="AL161" s="1420">
        <v>2138.4699999999998</v>
      </c>
      <c r="AM161" s="1422">
        <v>0</v>
      </c>
      <c r="AN161" s="1429">
        <v>0</v>
      </c>
      <c r="AO161" s="1422">
        <v>0</v>
      </c>
      <c r="AP161" s="1422">
        <v>58932</v>
      </c>
      <c r="AQ161" s="1430">
        <f t="shared" si="24"/>
        <v>3366058.7</v>
      </c>
      <c r="AR161" s="1431">
        <v>1195220.1499999999</v>
      </c>
      <c r="AS161" s="1432">
        <v>6308.89</v>
      </c>
      <c r="AT161" s="1422">
        <v>0</v>
      </c>
      <c r="AU161" s="1422">
        <v>0</v>
      </c>
      <c r="AV161" s="1422">
        <v>0</v>
      </c>
      <c r="AW161" s="1422">
        <v>0</v>
      </c>
      <c r="AX161" s="1422">
        <v>0</v>
      </c>
      <c r="AY161" s="1420">
        <v>6308.89</v>
      </c>
      <c r="AZ161" s="1420">
        <v>353489.02</v>
      </c>
      <c r="BA161" s="1423">
        <f t="shared" si="25"/>
        <v>359797.91000000003</v>
      </c>
      <c r="BB161" s="1420">
        <f t="shared" si="26"/>
        <v>5982445.4900000002</v>
      </c>
      <c r="BC161" s="1433">
        <f t="shared" si="27"/>
        <v>10663.895704099823</v>
      </c>
      <c r="BD161" s="1433">
        <f t="shared" si="28"/>
        <v>1795.3639215686276</v>
      </c>
      <c r="BE161" s="1433">
        <f t="shared" si="29"/>
        <v>96.558948306595369</v>
      </c>
      <c r="BF161" s="1433">
        <f t="shared" si="30"/>
        <v>6000.1046345811055</v>
      </c>
      <c r="BG161" s="1433">
        <f t="shared" si="31"/>
        <v>2130.5172014260247</v>
      </c>
      <c r="BH161" s="1434">
        <f t="shared" si="32"/>
        <v>641.35099821746883</v>
      </c>
      <c r="BI161" s="1422">
        <v>9216</v>
      </c>
    </row>
    <row r="162" spans="1:61" ht="12.75" customHeight="1" thickBot="1">
      <c r="A162" s="1418" t="s">
        <v>374</v>
      </c>
      <c r="B162" s="1418" t="s">
        <v>375</v>
      </c>
      <c r="C162" s="1419">
        <v>2438</v>
      </c>
      <c r="D162" s="1420">
        <v>336.37</v>
      </c>
      <c r="E162" s="1420">
        <v>2299.54</v>
      </c>
      <c r="F162" s="1421">
        <v>-0.12</v>
      </c>
      <c r="G162" s="1420">
        <v>2428.25</v>
      </c>
      <c r="H162" s="1420">
        <v>2440.6999999999998</v>
      </c>
      <c r="I162" s="1422">
        <v>146046597</v>
      </c>
      <c r="J162" s="1422">
        <v>25</v>
      </c>
      <c r="K162" s="1422">
        <v>25</v>
      </c>
      <c r="L162" s="1422">
        <v>0</v>
      </c>
      <c r="M162" s="1422">
        <v>0</v>
      </c>
      <c r="N162" s="1422">
        <v>9</v>
      </c>
      <c r="O162" s="1422">
        <v>34</v>
      </c>
      <c r="P162" s="1438">
        <v>13965000</v>
      </c>
      <c r="Q162" s="1424">
        <v>4512624.62</v>
      </c>
      <c r="R162" s="1425">
        <f t="shared" si="22"/>
        <v>4512624.62</v>
      </c>
      <c r="S162" s="1436">
        <v>227428.18</v>
      </c>
      <c r="T162" s="1427">
        <f t="shared" si="23"/>
        <v>227428.18</v>
      </c>
      <c r="U162" s="1428">
        <v>11079773</v>
      </c>
      <c r="V162" s="1422">
        <v>152198</v>
      </c>
      <c r="W162" s="1422">
        <v>0</v>
      </c>
      <c r="X162" s="1422">
        <v>114949</v>
      </c>
      <c r="Y162" s="1422">
        <v>0</v>
      </c>
      <c r="Z162" s="1422">
        <v>0</v>
      </c>
      <c r="AA162" s="1422">
        <v>48297</v>
      </c>
      <c r="AB162" s="1422">
        <v>0</v>
      </c>
      <c r="AC162" s="1429">
        <v>0</v>
      </c>
      <c r="AD162" s="1422">
        <v>100947</v>
      </c>
      <c r="AE162" s="1420">
        <v>22385.27</v>
      </c>
      <c r="AF162" s="1422">
        <v>600</v>
      </c>
      <c r="AG162" s="1422">
        <v>217411</v>
      </c>
      <c r="AH162" s="1422">
        <v>1465</v>
      </c>
      <c r="AI162" s="1422">
        <v>1777664</v>
      </c>
      <c r="AJ162" s="1420">
        <v>15835.79</v>
      </c>
      <c r="AK162" s="1420">
        <v>163185.91</v>
      </c>
      <c r="AL162" s="1420">
        <v>16179.53</v>
      </c>
      <c r="AM162" s="1422">
        <v>0</v>
      </c>
      <c r="AN162" s="1429">
        <v>528226</v>
      </c>
      <c r="AO162" s="1422">
        <v>0</v>
      </c>
      <c r="AP162" s="1420">
        <v>660187.56999999995</v>
      </c>
      <c r="AQ162" s="1430">
        <f t="shared" si="24"/>
        <v>14371078.069999998</v>
      </c>
      <c r="AR162" s="1431">
        <v>5748307.1600000001</v>
      </c>
      <c r="AS162" s="1437">
        <v>0</v>
      </c>
      <c r="AT162" s="1422">
        <v>0</v>
      </c>
      <c r="AU162" s="1420">
        <v>34337.96</v>
      </c>
      <c r="AV162" s="1420">
        <v>32160.81</v>
      </c>
      <c r="AW162" s="1420">
        <v>13163.34</v>
      </c>
      <c r="AX162" s="1422">
        <v>0</v>
      </c>
      <c r="AY162" s="1420">
        <v>79662.11</v>
      </c>
      <c r="AZ162" s="1420">
        <v>1134712.04</v>
      </c>
      <c r="BA162" s="1423">
        <f t="shared" si="25"/>
        <v>1294036.26</v>
      </c>
      <c r="BB162" s="1420">
        <f t="shared" si="26"/>
        <v>26153474.289999999</v>
      </c>
      <c r="BC162" s="1433">
        <f t="shared" si="27"/>
        <v>10727.429979491386</v>
      </c>
      <c r="BD162" s="1433">
        <f t="shared" si="28"/>
        <v>1850.9534946677604</v>
      </c>
      <c r="BE162" s="1433">
        <f t="shared" si="29"/>
        <v>93.284733388022971</v>
      </c>
      <c r="BF162" s="1433">
        <f t="shared" si="30"/>
        <v>5894.6177481542245</v>
      </c>
      <c r="BG162" s="1433">
        <f t="shared" si="31"/>
        <v>2357.7962100082036</v>
      </c>
      <c r="BH162" s="1434">
        <f t="shared" si="32"/>
        <v>530.77779327317478</v>
      </c>
      <c r="BI162" s="1422">
        <v>10176</v>
      </c>
    </row>
    <row r="163" spans="1:61" ht="12.75" customHeight="1" thickBot="1">
      <c r="A163" s="1418" t="s">
        <v>376</v>
      </c>
      <c r="B163" s="1418" t="s">
        <v>377</v>
      </c>
      <c r="C163" s="1419">
        <v>1022</v>
      </c>
      <c r="D163" s="1420">
        <v>360.88</v>
      </c>
      <c r="E163" s="1420">
        <v>962.05</v>
      </c>
      <c r="F163" s="1421">
        <v>-0.02</v>
      </c>
      <c r="G163" s="1420">
        <v>1007.33</v>
      </c>
      <c r="H163" s="1420">
        <v>1018.53</v>
      </c>
      <c r="I163" s="1422">
        <v>43274386</v>
      </c>
      <c r="J163" s="1422">
        <v>25</v>
      </c>
      <c r="K163" s="1422">
        <v>25</v>
      </c>
      <c r="L163" s="1422">
        <v>0</v>
      </c>
      <c r="M163" s="1422">
        <v>0</v>
      </c>
      <c r="N163" s="1420">
        <v>15.2</v>
      </c>
      <c r="O163" s="1420">
        <v>40.200000000000003</v>
      </c>
      <c r="P163" s="1438">
        <v>5665000</v>
      </c>
      <c r="Q163" s="1424">
        <v>1572283.99</v>
      </c>
      <c r="R163" s="1425">
        <f t="shared" si="22"/>
        <v>1572283.99</v>
      </c>
      <c r="S163" s="1436">
        <v>91585.18</v>
      </c>
      <c r="T163" s="1427">
        <f t="shared" si="23"/>
        <v>91585.18</v>
      </c>
      <c r="U163" s="1428">
        <v>5066207</v>
      </c>
      <c r="V163" s="1422">
        <v>64152</v>
      </c>
      <c r="W163" s="1422">
        <v>10390</v>
      </c>
      <c r="X163" s="1422">
        <v>0</v>
      </c>
      <c r="Y163" s="1422">
        <v>0</v>
      </c>
      <c r="Z163" s="1422">
        <v>212718</v>
      </c>
      <c r="AA163" s="1422">
        <v>53343</v>
      </c>
      <c r="AB163" s="1422">
        <v>0</v>
      </c>
      <c r="AC163" s="1429">
        <v>0</v>
      </c>
      <c r="AD163" s="1422">
        <v>42126</v>
      </c>
      <c r="AE163" s="1420">
        <v>389019.12</v>
      </c>
      <c r="AF163" s="1422">
        <v>1500</v>
      </c>
      <c r="AG163" s="1422">
        <v>21615</v>
      </c>
      <c r="AH163" s="1422">
        <v>586</v>
      </c>
      <c r="AI163" s="1422">
        <v>252960</v>
      </c>
      <c r="AJ163" s="1420">
        <v>4172.54</v>
      </c>
      <c r="AK163" s="1422">
        <v>35750</v>
      </c>
      <c r="AL163" s="1420">
        <v>4158.37</v>
      </c>
      <c r="AM163" s="1422">
        <v>0</v>
      </c>
      <c r="AN163" s="1429">
        <v>0</v>
      </c>
      <c r="AO163" s="1422">
        <v>0</v>
      </c>
      <c r="AP163" s="1420">
        <v>1569919.08</v>
      </c>
      <c r="AQ163" s="1430">
        <f t="shared" si="24"/>
        <v>7728616.1100000003</v>
      </c>
      <c r="AR163" s="1431">
        <v>1302404.93</v>
      </c>
      <c r="AS163" s="1437">
        <v>0</v>
      </c>
      <c r="AT163" s="1422">
        <v>0</v>
      </c>
      <c r="AU163" s="1420">
        <v>2237.64</v>
      </c>
      <c r="AV163" s="1422">
        <v>1600</v>
      </c>
      <c r="AW163" s="1422">
        <v>0</v>
      </c>
      <c r="AX163" s="1422">
        <v>0</v>
      </c>
      <c r="AY163" s="1420">
        <v>3837.64</v>
      </c>
      <c r="AZ163" s="1420">
        <v>566272.37</v>
      </c>
      <c r="BA163" s="1423">
        <f t="shared" si="25"/>
        <v>573947.65</v>
      </c>
      <c r="BB163" s="1420">
        <f t="shared" si="26"/>
        <v>11268837.860000001</v>
      </c>
      <c r="BC163" s="1433">
        <f t="shared" si="27"/>
        <v>11026.260136986302</v>
      </c>
      <c r="BD163" s="1433">
        <f t="shared" si="28"/>
        <v>1538.4383463796478</v>
      </c>
      <c r="BE163" s="1433">
        <f t="shared" si="29"/>
        <v>89.613679060665362</v>
      </c>
      <c r="BF163" s="1433">
        <f t="shared" si="30"/>
        <v>7562.2466829745599</v>
      </c>
      <c r="BG163" s="1433">
        <f t="shared" si="31"/>
        <v>1274.3688160469667</v>
      </c>
      <c r="BH163" s="1434">
        <f t="shared" si="32"/>
        <v>561.59261252446186</v>
      </c>
      <c r="BI163" s="1422">
        <v>9185</v>
      </c>
    </row>
    <row r="164" spans="1:61" ht="12.75" customHeight="1" thickBot="1">
      <c r="A164" s="1418" t="s">
        <v>378</v>
      </c>
      <c r="B164" s="1418" t="s">
        <v>379</v>
      </c>
      <c r="C164" s="1419">
        <v>355</v>
      </c>
      <c r="D164" s="1420">
        <v>224.01</v>
      </c>
      <c r="E164" s="1420">
        <v>343.33</v>
      </c>
      <c r="F164" s="1421">
        <v>-0.27</v>
      </c>
      <c r="G164" s="1420">
        <v>355.01</v>
      </c>
      <c r="H164" s="1420">
        <v>352.76</v>
      </c>
      <c r="I164" s="1422">
        <v>35099344</v>
      </c>
      <c r="J164" s="1422">
        <v>25</v>
      </c>
      <c r="K164" s="1422">
        <v>25</v>
      </c>
      <c r="L164" s="1422">
        <v>0</v>
      </c>
      <c r="M164" s="1422">
        <v>0</v>
      </c>
      <c r="N164" s="1422">
        <v>9</v>
      </c>
      <c r="O164" s="1422">
        <v>34</v>
      </c>
      <c r="P164" s="1438">
        <v>870000</v>
      </c>
      <c r="Q164" s="1424">
        <v>1090552.96</v>
      </c>
      <c r="R164" s="1425">
        <f t="shared" si="22"/>
        <v>1090552.96</v>
      </c>
      <c r="S164" s="1436">
        <v>38344.74</v>
      </c>
      <c r="T164" s="1427">
        <f t="shared" si="23"/>
        <v>38344.74</v>
      </c>
      <c r="U164" s="1428">
        <v>1247136</v>
      </c>
      <c r="V164" s="1422">
        <v>34126</v>
      </c>
      <c r="W164" s="1422">
        <v>13928</v>
      </c>
      <c r="X164" s="1422">
        <v>0</v>
      </c>
      <c r="Y164" s="1422">
        <v>0</v>
      </c>
      <c r="Z164" s="1422">
        <v>0</v>
      </c>
      <c r="AA164" s="1422">
        <v>7724</v>
      </c>
      <c r="AB164" s="1422">
        <v>20702</v>
      </c>
      <c r="AC164" s="1429">
        <v>0</v>
      </c>
      <c r="AD164" s="1422">
        <v>14590</v>
      </c>
      <c r="AE164" s="1420">
        <v>197545.08</v>
      </c>
      <c r="AF164" s="1422">
        <v>0</v>
      </c>
      <c r="AG164" s="1422">
        <v>12595</v>
      </c>
      <c r="AH164" s="1422">
        <v>0</v>
      </c>
      <c r="AI164" s="1422">
        <v>299584</v>
      </c>
      <c r="AJ164" s="1420">
        <v>1445.12</v>
      </c>
      <c r="AK164" s="1420">
        <v>41437.519999999997</v>
      </c>
      <c r="AL164" s="1420">
        <v>1654.79</v>
      </c>
      <c r="AM164" s="1422">
        <v>0</v>
      </c>
      <c r="AN164" s="1429">
        <v>0</v>
      </c>
      <c r="AO164" s="1422">
        <v>0</v>
      </c>
      <c r="AP164" s="1422">
        <v>8687</v>
      </c>
      <c r="AQ164" s="1430">
        <f t="shared" si="24"/>
        <v>1901154.5100000002</v>
      </c>
      <c r="AR164" s="1431">
        <v>1781070.09</v>
      </c>
      <c r="AS164" s="1437">
        <v>0</v>
      </c>
      <c r="AT164" s="1422">
        <v>0</v>
      </c>
      <c r="AU164" s="1422">
        <v>0</v>
      </c>
      <c r="AV164" s="1422">
        <v>0</v>
      </c>
      <c r="AW164" s="1420">
        <v>800.21</v>
      </c>
      <c r="AX164" s="1422">
        <v>0</v>
      </c>
      <c r="AY164" s="1420">
        <v>800.21</v>
      </c>
      <c r="AZ164" s="1420">
        <v>114738.42</v>
      </c>
      <c r="BA164" s="1423">
        <f t="shared" si="25"/>
        <v>116338.84</v>
      </c>
      <c r="BB164" s="1420">
        <f t="shared" si="26"/>
        <v>4927461.1400000006</v>
      </c>
      <c r="BC164" s="1433">
        <f t="shared" si="27"/>
        <v>13880.172225352115</v>
      </c>
      <c r="BD164" s="1433">
        <f t="shared" si="28"/>
        <v>3071.9801690140844</v>
      </c>
      <c r="BE164" s="1433">
        <f t="shared" si="29"/>
        <v>108.01335211267605</v>
      </c>
      <c r="BF164" s="1433">
        <f t="shared" si="30"/>
        <v>5355.3648169014095</v>
      </c>
      <c r="BG164" s="1433">
        <f t="shared" si="31"/>
        <v>5017.0988450704226</v>
      </c>
      <c r="BH164" s="1434">
        <f t="shared" si="32"/>
        <v>327.71504225352112</v>
      </c>
      <c r="BI164" s="1422">
        <v>11518</v>
      </c>
    </row>
    <row r="165" spans="1:61" ht="12.75" customHeight="1" thickBot="1">
      <c r="A165" s="1418" t="s">
        <v>380</v>
      </c>
      <c r="B165" s="1418" t="s">
        <v>381</v>
      </c>
      <c r="C165" s="1419">
        <v>639</v>
      </c>
      <c r="D165" s="1420">
        <v>106.17</v>
      </c>
      <c r="E165" s="1420">
        <v>585.6</v>
      </c>
      <c r="F165" s="1421">
        <v>-0.11</v>
      </c>
      <c r="G165" s="1420">
        <v>630.83000000000004</v>
      </c>
      <c r="H165" s="1420">
        <v>630.77</v>
      </c>
      <c r="I165" s="1422">
        <v>34514597</v>
      </c>
      <c r="J165" s="1422">
        <v>25</v>
      </c>
      <c r="K165" s="1422">
        <v>25</v>
      </c>
      <c r="L165" s="1422">
        <v>0</v>
      </c>
      <c r="M165" s="1422">
        <v>0</v>
      </c>
      <c r="N165" s="1420">
        <v>11.87</v>
      </c>
      <c r="O165" s="1420">
        <v>36.869999999999997</v>
      </c>
      <c r="P165" s="1423">
        <v>3803380.86</v>
      </c>
      <c r="Q165" s="1424">
        <v>1160510.72</v>
      </c>
      <c r="R165" s="1425">
        <f t="shared" si="22"/>
        <v>1160510.72</v>
      </c>
      <c r="S165" s="1426">
        <v>0</v>
      </c>
      <c r="T165" s="1427">
        <f t="shared" si="23"/>
        <v>0</v>
      </c>
      <c r="U165" s="1428">
        <v>2958497</v>
      </c>
      <c r="V165" s="1422">
        <v>58970</v>
      </c>
      <c r="W165" s="1422">
        <v>0</v>
      </c>
      <c r="X165" s="1422">
        <v>58995</v>
      </c>
      <c r="Y165" s="1422">
        <v>0</v>
      </c>
      <c r="Z165" s="1422">
        <v>0</v>
      </c>
      <c r="AA165" s="1422">
        <v>41074</v>
      </c>
      <c r="AB165" s="1422">
        <v>0</v>
      </c>
      <c r="AC165" s="1429">
        <v>0</v>
      </c>
      <c r="AD165" s="1422">
        <v>26089</v>
      </c>
      <c r="AE165" s="1420">
        <v>12916.25</v>
      </c>
      <c r="AF165" s="1422">
        <v>2294</v>
      </c>
      <c r="AG165" s="1422">
        <v>5201</v>
      </c>
      <c r="AH165" s="1422">
        <v>0</v>
      </c>
      <c r="AI165" s="1422">
        <v>179552</v>
      </c>
      <c r="AJ165" s="1420">
        <v>18165.080000000002</v>
      </c>
      <c r="AK165" s="1420">
        <v>8125.32</v>
      </c>
      <c r="AL165" s="1420">
        <v>2520.6799999999998</v>
      </c>
      <c r="AM165" s="1422">
        <v>0</v>
      </c>
      <c r="AN165" s="1429">
        <v>94347</v>
      </c>
      <c r="AO165" s="1422">
        <v>0</v>
      </c>
      <c r="AP165" s="1420">
        <v>145730.70000000001</v>
      </c>
      <c r="AQ165" s="1430">
        <f t="shared" si="24"/>
        <v>3518130.0300000003</v>
      </c>
      <c r="AR165" s="1431">
        <v>1325422.23</v>
      </c>
      <c r="AS165" s="1432">
        <v>341382.47</v>
      </c>
      <c r="AT165" s="1422">
        <v>0</v>
      </c>
      <c r="AU165" s="1422">
        <v>0</v>
      </c>
      <c r="AV165" s="1422">
        <v>0</v>
      </c>
      <c r="AW165" s="1422">
        <v>0</v>
      </c>
      <c r="AX165" s="1422">
        <v>0</v>
      </c>
      <c r="AY165" s="1420">
        <v>341382.47</v>
      </c>
      <c r="AZ165" s="1420">
        <v>367364.74</v>
      </c>
      <c r="BA165" s="1423">
        <f t="shared" si="25"/>
        <v>708747.21</v>
      </c>
      <c r="BB165" s="1420">
        <f t="shared" si="26"/>
        <v>6712810.1900000004</v>
      </c>
      <c r="BC165" s="1433">
        <f t="shared" si="27"/>
        <v>10505.180266040688</v>
      </c>
      <c r="BD165" s="1433">
        <f t="shared" si="28"/>
        <v>1816.1357120500782</v>
      </c>
      <c r="BE165" s="1433">
        <f t="shared" si="29"/>
        <v>0</v>
      </c>
      <c r="BF165" s="1433">
        <f t="shared" si="30"/>
        <v>5505.6807981220663</v>
      </c>
      <c r="BG165" s="1433">
        <f t="shared" si="31"/>
        <v>2074.2131924882628</v>
      </c>
      <c r="BH165" s="1434">
        <f t="shared" si="32"/>
        <v>1109.1505633802817</v>
      </c>
      <c r="BI165" s="1422">
        <v>8434</v>
      </c>
    </row>
    <row r="166" spans="1:61" ht="12.75" customHeight="1" thickBot="1">
      <c r="A166" s="1418" t="s">
        <v>382</v>
      </c>
      <c r="B166" s="1418" t="s">
        <v>383</v>
      </c>
      <c r="C166" s="1419">
        <v>1026</v>
      </c>
      <c r="D166" s="1420">
        <v>400.66</v>
      </c>
      <c r="E166" s="1420">
        <v>948.49</v>
      </c>
      <c r="F166" s="1421">
        <v>0.02</v>
      </c>
      <c r="G166" s="1420">
        <v>1014.36</v>
      </c>
      <c r="H166" s="1422">
        <v>1054</v>
      </c>
      <c r="I166" s="1422">
        <v>48549228</v>
      </c>
      <c r="J166" s="1422">
        <v>25</v>
      </c>
      <c r="K166" s="1422">
        <v>25</v>
      </c>
      <c r="L166" s="1422">
        <v>0</v>
      </c>
      <c r="M166" s="1422">
        <v>0</v>
      </c>
      <c r="N166" s="1420">
        <v>9.98</v>
      </c>
      <c r="O166" s="1420">
        <v>34.979999999999997</v>
      </c>
      <c r="P166" s="1423">
        <v>4877666.1500000004</v>
      </c>
      <c r="Q166" s="1424">
        <v>1556561.1</v>
      </c>
      <c r="R166" s="1425">
        <f t="shared" si="22"/>
        <v>1556561.1</v>
      </c>
      <c r="S166" s="1426">
        <v>0</v>
      </c>
      <c r="T166" s="1427">
        <f t="shared" si="23"/>
        <v>0</v>
      </c>
      <c r="U166" s="1428">
        <v>5015369</v>
      </c>
      <c r="V166" s="1422">
        <v>92643</v>
      </c>
      <c r="W166" s="1422">
        <v>0</v>
      </c>
      <c r="X166" s="1422">
        <v>40567</v>
      </c>
      <c r="Y166" s="1422">
        <v>0</v>
      </c>
      <c r="Z166" s="1422">
        <v>0</v>
      </c>
      <c r="AA166" s="1422">
        <v>38884</v>
      </c>
      <c r="AB166" s="1422">
        <v>0</v>
      </c>
      <c r="AC166" s="1429">
        <v>0</v>
      </c>
      <c r="AD166" s="1422">
        <v>43593</v>
      </c>
      <c r="AE166" s="1420">
        <v>7500.27</v>
      </c>
      <c r="AF166" s="1422">
        <v>350</v>
      </c>
      <c r="AG166" s="1422">
        <v>66511</v>
      </c>
      <c r="AH166" s="1422">
        <v>0</v>
      </c>
      <c r="AI166" s="1422">
        <v>224688</v>
      </c>
      <c r="AJ166" s="1420">
        <v>7959.03</v>
      </c>
      <c r="AK166" s="1420">
        <v>18687.52</v>
      </c>
      <c r="AL166" s="1420">
        <v>3190.11</v>
      </c>
      <c r="AM166" s="1422">
        <v>0</v>
      </c>
      <c r="AN166" s="1429">
        <v>0</v>
      </c>
      <c r="AO166" s="1422">
        <v>0</v>
      </c>
      <c r="AP166" s="1420">
        <v>352557.31</v>
      </c>
      <c r="AQ166" s="1430">
        <f t="shared" si="24"/>
        <v>5912499.2399999993</v>
      </c>
      <c r="AR166" s="1431">
        <v>1459153.14</v>
      </c>
      <c r="AS166" s="1437">
        <v>0</v>
      </c>
      <c r="AT166" s="1422">
        <v>0</v>
      </c>
      <c r="AU166" s="1422">
        <v>0</v>
      </c>
      <c r="AV166" s="1422">
        <v>0</v>
      </c>
      <c r="AW166" s="1422">
        <v>0</v>
      </c>
      <c r="AX166" s="1422">
        <v>0</v>
      </c>
      <c r="AY166" s="1422">
        <v>0</v>
      </c>
      <c r="AZ166" s="1420">
        <v>402418.77</v>
      </c>
      <c r="BA166" s="1423">
        <f t="shared" si="25"/>
        <v>402418.77</v>
      </c>
      <c r="BB166" s="1420">
        <f t="shared" si="26"/>
        <v>9330632.25</v>
      </c>
      <c r="BC166" s="1433">
        <f t="shared" si="27"/>
        <v>9094.1834795321629</v>
      </c>
      <c r="BD166" s="1433">
        <f t="shared" si="28"/>
        <v>1517.1160818713452</v>
      </c>
      <c r="BE166" s="1433">
        <f t="shared" si="29"/>
        <v>0</v>
      </c>
      <c r="BF166" s="1433">
        <f t="shared" si="30"/>
        <v>5762.6698245614025</v>
      </c>
      <c r="BG166" s="1433">
        <f t="shared" si="31"/>
        <v>1422.1765497076021</v>
      </c>
      <c r="BH166" s="1434">
        <f t="shared" si="32"/>
        <v>392.22102339181288</v>
      </c>
      <c r="BI166" s="1422">
        <v>8152</v>
      </c>
    </row>
    <row r="167" spans="1:61" ht="12.75" customHeight="1" thickBot="1">
      <c r="A167" s="1418" t="s">
        <v>384</v>
      </c>
      <c r="B167" s="1418" t="s">
        <v>385</v>
      </c>
      <c r="C167" s="1419">
        <v>789</v>
      </c>
      <c r="D167" s="1420">
        <v>153.97999999999999</v>
      </c>
      <c r="E167" s="1420">
        <v>717.19</v>
      </c>
      <c r="F167" s="1421">
        <v>-0.06</v>
      </c>
      <c r="G167" s="1420">
        <v>766.41</v>
      </c>
      <c r="H167" s="1420">
        <v>750.77</v>
      </c>
      <c r="I167" s="1422">
        <v>33076985</v>
      </c>
      <c r="J167" s="1422">
        <v>25</v>
      </c>
      <c r="K167" s="1422">
        <v>25</v>
      </c>
      <c r="L167" s="1422">
        <v>0</v>
      </c>
      <c r="M167" s="1422">
        <v>0</v>
      </c>
      <c r="N167" s="1420">
        <v>3.6</v>
      </c>
      <c r="O167" s="1420">
        <v>28.6</v>
      </c>
      <c r="P167" s="1423">
        <v>1335130.3799999999</v>
      </c>
      <c r="Q167" s="1424">
        <v>873702.6</v>
      </c>
      <c r="R167" s="1425">
        <f t="shared" si="22"/>
        <v>873702.6</v>
      </c>
      <c r="S167" s="1426">
        <v>0</v>
      </c>
      <c r="T167" s="1427">
        <f t="shared" si="23"/>
        <v>0</v>
      </c>
      <c r="U167" s="1428">
        <v>3747557</v>
      </c>
      <c r="V167" s="1422">
        <v>35549</v>
      </c>
      <c r="W167" s="1422">
        <v>101141</v>
      </c>
      <c r="X167" s="1422">
        <v>0</v>
      </c>
      <c r="Y167" s="1422">
        <v>0</v>
      </c>
      <c r="Z167" s="1422">
        <v>0</v>
      </c>
      <c r="AA167" s="1422">
        <v>26743</v>
      </c>
      <c r="AB167" s="1422">
        <v>26317</v>
      </c>
      <c r="AC167" s="1429">
        <v>0</v>
      </c>
      <c r="AD167" s="1422">
        <v>31052</v>
      </c>
      <c r="AE167" s="1420">
        <v>8285.15</v>
      </c>
      <c r="AF167" s="1422">
        <v>300</v>
      </c>
      <c r="AG167" s="1422">
        <v>1585</v>
      </c>
      <c r="AH167" s="1422">
        <v>0</v>
      </c>
      <c r="AI167" s="1422">
        <v>241056</v>
      </c>
      <c r="AJ167" s="1420">
        <v>3371.64</v>
      </c>
      <c r="AK167" s="1422">
        <v>0</v>
      </c>
      <c r="AL167" s="1420">
        <v>2871.14</v>
      </c>
      <c r="AM167" s="1422">
        <v>0</v>
      </c>
      <c r="AN167" s="1429">
        <v>96228</v>
      </c>
      <c r="AO167" s="1422">
        <v>0</v>
      </c>
      <c r="AP167" s="1420">
        <v>455164.57</v>
      </c>
      <c r="AQ167" s="1430">
        <f t="shared" si="24"/>
        <v>4680992.5</v>
      </c>
      <c r="AR167" s="1431">
        <v>1075805.8400000001</v>
      </c>
      <c r="AS167" s="1437">
        <v>597800</v>
      </c>
      <c r="AT167" s="1422">
        <v>0</v>
      </c>
      <c r="AU167" s="1422">
        <v>0</v>
      </c>
      <c r="AV167" s="1422">
        <v>0</v>
      </c>
      <c r="AW167" s="1420">
        <v>3958.59</v>
      </c>
      <c r="AX167" s="1422">
        <v>0</v>
      </c>
      <c r="AY167" s="1420">
        <v>601758.59</v>
      </c>
      <c r="AZ167" s="1420">
        <v>296271.62</v>
      </c>
      <c r="BA167" s="1423">
        <f t="shared" si="25"/>
        <v>901988.79999999993</v>
      </c>
      <c r="BB167" s="1420">
        <f t="shared" si="26"/>
        <v>7532489.7400000002</v>
      </c>
      <c r="BC167" s="1433">
        <f t="shared" si="27"/>
        <v>9546.8817997465158</v>
      </c>
      <c r="BD167" s="1433">
        <f t="shared" si="28"/>
        <v>1107.3543726235741</v>
      </c>
      <c r="BE167" s="1433">
        <f t="shared" si="29"/>
        <v>0</v>
      </c>
      <c r="BF167" s="1433">
        <f t="shared" si="30"/>
        <v>5932.8168567807352</v>
      </c>
      <c r="BG167" s="1433">
        <f t="shared" si="31"/>
        <v>1363.5055006337136</v>
      </c>
      <c r="BH167" s="1434">
        <f t="shared" si="32"/>
        <v>1143.2050697084917</v>
      </c>
      <c r="BI167" s="1422">
        <v>9096</v>
      </c>
    </row>
    <row r="168" spans="1:61" ht="12.75" customHeight="1" thickBot="1">
      <c r="A168" s="1418" t="s">
        <v>386</v>
      </c>
      <c r="B168" s="1418" t="s">
        <v>387</v>
      </c>
      <c r="C168" s="1419">
        <v>2267</v>
      </c>
      <c r="D168" s="1420">
        <v>137.99</v>
      </c>
      <c r="E168" s="1420">
        <v>2114.73</v>
      </c>
      <c r="F168" s="1421">
        <v>-0.24</v>
      </c>
      <c r="G168" s="1420">
        <v>2232.77</v>
      </c>
      <c r="H168" s="1420">
        <v>2314.9499999999998</v>
      </c>
      <c r="I168" s="1422">
        <v>113701999</v>
      </c>
      <c r="J168" s="1422">
        <v>25</v>
      </c>
      <c r="K168" s="1422">
        <v>25</v>
      </c>
      <c r="L168" s="1422">
        <v>0</v>
      </c>
      <c r="M168" s="1422">
        <v>0</v>
      </c>
      <c r="N168" s="1420">
        <v>9.1</v>
      </c>
      <c r="O168" s="1420">
        <v>34.1</v>
      </c>
      <c r="P168" s="1438">
        <v>7300000</v>
      </c>
      <c r="Q168" s="1424">
        <v>3682598.62</v>
      </c>
      <c r="R168" s="1425">
        <f t="shared" si="22"/>
        <v>3682598.62</v>
      </c>
      <c r="S168" s="1426">
        <v>0</v>
      </c>
      <c r="T168" s="1427">
        <f t="shared" si="23"/>
        <v>0</v>
      </c>
      <c r="U168" s="1428">
        <v>11102332</v>
      </c>
      <c r="V168" s="1422">
        <v>217874</v>
      </c>
      <c r="W168" s="1422">
        <v>0</v>
      </c>
      <c r="X168" s="1422">
        <v>796391</v>
      </c>
      <c r="Y168" s="1422">
        <v>0</v>
      </c>
      <c r="Z168" s="1422">
        <v>0</v>
      </c>
      <c r="AA168" s="1422">
        <v>177851</v>
      </c>
      <c r="AB168" s="1422">
        <v>0</v>
      </c>
      <c r="AC168" s="1429">
        <v>0</v>
      </c>
      <c r="AD168" s="1422">
        <v>95746</v>
      </c>
      <c r="AE168" s="1420">
        <v>43674.61</v>
      </c>
      <c r="AF168" s="1422">
        <v>150</v>
      </c>
      <c r="AG168" s="1422">
        <v>203028</v>
      </c>
      <c r="AH168" s="1422">
        <v>0</v>
      </c>
      <c r="AI168" s="1422">
        <v>3136704</v>
      </c>
      <c r="AJ168" s="1420">
        <v>9483.57</v>
      </c>
      <c r="AK168" s="1420">
        <v>39812.839999999997</v>
      </c>
      <c r="AL168" s="1420">
        <v>10790.01</v>
      </c>
      <c r="AM168" s="1422">
        <v>0</v>
      </c>
      <c r="AN168" s="1429">
        <v>350000</v>
      </c>
      <c r="AO168" s="1422">
        <v>0</v>
      </c>
      <c r="AP168" s="1420">
        <v>255659.93</v>
      </c>
      <c r="AQ168" s="1430">
        <f t="shared" si="24"/>
        <v>16089496.959999999</v>
      </c>
      <c r="AR168" s="1431">
        <v>8604680.2200000007</v>
      </c>
      <c r="AS168" s="1437">
        <v>0</v>
      </c>
      <c r="AT168" s="1422">
        <v>0</v>
      </c>
      <c r="AU168" s="1422">
        <v>0</v>
      </c>
      <c r="AV168" s="1422">
        <v>0</v>
      </c>
      <c r="AW168" s="1422">
        <v>0</v>
      </c>
      <c r="AX168" s="1422">
        <v>0</v>
      </c>
      <c r="AY168" s="1422">
        <v>0</v>
      </c>
      <c r="AZ168" s="1420">
        <v>587602.43000000005</v>
      </c>
      <c r="BA168" s="1423">
        <f t="shared" si="25"/>
        <v>587602.43000000005</v>
      </c>
      <c r="BB168" s="1420">
        <f t="shared" si="26"/>
        <v>28964378.23</v>
      </c>
      <c r="BC168" s="1433">
        <f t="shared" si="27"/>
        <v>12776.523259814734</v>
      </c>
      <c r="BD168" s="1433">
        <f t="shared" si="28"/>
        <v>1624.4369739744157</v>
      </c>
      <c r="BE168" s="1433">
        <f t="shared" si="29"/>
        <v>0</v>
      </c>
      <c r="BF168" s="1433">
        <f t="shared" si="30"/>
        <v>7097.2637670930744</v>
      </c>
      <c r="BG168" s="1433">
        <f t="shared" si="31"/>
        <v>3795.6242699603004</v>
      </c>
      <c r="BH168" s="1434">
        <f t="shared" si="32"/>
        <v>259.19824878694311</v>
      </c>
      <c r="BI168" s="1422">
        <v>11638</v>
      </c>
    </row>
    <row r="169" spans="1:61" ht="12.75" customHeight="1" thickBot="1">
      <c r="A169" s="1418" t="s">
        <v>388</v>
      </c>
      <c r="B169" s="1418" t="s">
        <v>389</v>
      </c>
      <c r="C169" s="1419">
        <v>461</v>
      </c>
      <c r="D169" s="1420">
        <v>604.77</v>
      </c>
      <c r="E169" s="1420">
        <v>412.73</v>
      </c>
      <c r="F169" s="1421">
        <v>-0.46</v>
      </c>
      <c r="G169" s="1420">
        <v>452.6</v>
      </c>
      <c r="H169" s="1420">
        <v>536.17999999999995</v>
      </c>
      <c r="I169" s="1422">
        <v>54520774</v>
      </c>
      <c r="J169" s="1422">
        <v>25</v>
      </c>
      <c r="K169" s="1422">
        <v>25</v>
      </c>
      <c r="L169" s="1422">
        <v>0</v>
      </c>
      <c r="M169" s="1422">
        <v>0</v>
      </c>
      <c r="N169" s="1422">
        <v>8</v>
      </c>
      <c r="O169" s="1422">
        <v>33</v>
      </c>
      <c r="P169" s="1438">
        <v>2250000</v>
      </c>
      <c r="Q169" s="1424">
        <v>1607121.23</v>
      </c>
      <c r="R169" s="1425">
        <f t="shared" si="22"/>
        <v>1607121.23</v>
      </c>
      <c r="S169" s="1426">
        <v>0</v>
      </c>
      <c r="T169" s="1427">
        <f t="shared" si="23"/>
        <v>0</v>
      </c>
      <c r="U169" s="1428">
        <v>1901614</v>
      </c>
      <c r="V169" s="1422">
        <v>51299</v>
      </c>
      <c r="W169" s="1422">
        <v>0</v>
      </c>
      <c r="X169" s="1422">
        <v>258778</v>
      </c>
      <c r="Y169" s="1422">
        <v>0</v>
      </c>
      <c r="Z169" s="1422">
        <v>0</v>
      </c>
      <c r="AA169" s="1422">
        <v>0</v>
      </c>
      <c r="AB169" s="1422">
        <v>34882</v>
      </c>
      <c r="AC169" s="1429">
        <v>0</v>
      </c>
      <c r="AD169" s="1422">
        <v>22176</v>
      </c>
      <c r="AE169" s="1420">
        <v>179192.85</v>
      </c>
      <c r="AF169" s="1422">
        <v>1083</v>
      </c>
      <c r="AG169" s="1422">
        <v>13977</v>
      </c>
      <c r="AH169" s="1422">
        <v>0</v>
      </c>
      <c r="AI169" s="1422">
        <v>787152</v>
      </c>
      <c r="AJ169" s="1420">
        <v>2196.5300000000002</v>
      </c>
      <c r="AK169" s="1420">
        <v>7583.56</v>
      </c>
      <c r="AL169" s="1420">
        <v>2204.21</v>
      </c>
      <c r="AM169" s="1422">
        <v>0</v>
      </c>
      <c r="AN169" s="1429">
        <v>122201</v>
      </c>
      <c r="AO169" s="1422">
        <v>0</v>
      </c>
      <c r="AP169" s="1422">
        <v>26109</v>
      </c>
      <c r="AQ169" s="1430">
        <f t="shared" si="24"/>
        <v>3288247.15</v>
      </c>
      <c r="AR169" s="1431">
        <v>3224879.68</v>
      </c>
      <c r="AS169" s="1437">
        <v>0</v>
      </c>
      <c r="AT169" s="1422">
        <v>0</v>
      </c>
      <c r="AU169" s="1422">
        <v>0</v>
      </c>
      <c r="AV169" s="1422">
        <v>123</v>
      </c>
      <c r="AW169" s="1420">
        <v>2115.36</v>
      </c>
      <c r="AX169" s="1422">
        <v>0</v>
      </c>
      <c r="AY169" s="1420">
        <v>2238.36</v>
      </c>
      <c r="AZ169" s="1420">
        <v>314008.94</v>
      </c>
      <c r="BA169" s="1423">
        <f t="shared" si="25"/>
        <v>318485.65999999997</v>
      </c>
      <c r="BB169" s="1420">
        <f t="shared" si="26"/>
        <v>8438733.7200000007</v>
      </c>
      <c r="BC169" s="1433">
        <f t="shared" si="27"/>
        <v>18305.279219088938</v>
      </c>
      <c r="BD169" s="1433">
        <f t="shared" si="28"/>
        <v>3486.1631887201734</v>
      </c>
      <c r="BE169" s="1433">
        <f t="shared" si="29"/>
        <v>0</v>
      </c>
      <c r="BF169" s="1433">
        <f t="shared" si="30"/>
        <v>7132.8571583514095</v>
      </c>
      <c r="BG169" s="1433">
        <f t="shared" si="31"/>
        <v>6995.4006073752716</v>
      </c>
      <c r="BH169" s="1434">
        <f t="shared" si="32"/>
        <v>690.85826464208242</v>
      </c>
      <c r="BI169" s="1422">
        <v>18578</v>
      </c>
    </row>
    <row r="170" spans="1:61" ht="12.75" customHeight="1" thickBot="1">
      <c r="A170" s="1418" t="s">
        <v>390</v>
      </c>
      <c r="B170" s="1418" t="s">
        <v>391</v>
      </c>
      <c r="C170" s="1419">
        <v>1029</v>
      </c>
      <c r="D170" s="1420">
        <v>217.19</v>
      </c>
      <c r="E170" s="1420">
        <v>926.29</v>
      </c>
      <c r="F170" s="1421">
        <v>-0.05</v>
      </c>
      <c r="G170" s="1420">
        <v>1006.41</v>
      </c>
      <c r="H170" s="1420">
        <v>1040.58</v>
      </c>
      <c r="I170" s="1422">
        <v>56839021</v>
      </c>
      <c r="J170" s="1422">
        <v>25</v>
      </c>
      <c r="K170" s="1422">
        <v>25</v>
      </c>
      <c r="L170" s="1422">
        <v>0</v>
      </c>
      <c r="M170" s="1422">
        <v>0</v>
      </c>
      <c r="N170" s="1420">
        <v>13.6</v>
      </c>
      <c r="O170" s="1420">
        <v>38.6</v>
      </c>
      <c r="P170" s="1438">
        <v>4905000</v>
      </c>
      <c r="Q170" s="1424">
        <v>1860936.67</v>
      </c>
      <c r="R170" s="1425">
        <f t="shared" si="22"/>
        <v>1860936.67</v>
      </c>
      <c r="S170" s="1436">
        <v>8019.27</v>
      </c>
      <c r="T170" s="1427">
        <f t="shared" si="23"/>
        <v>8019.27</v>
      </c>
      <c r="U170" s="1428">
        <v>4924518</v>
      </c>
      <c r="V170" s="1422">
        <v>147189</v>
      </c>
      <c r="W170" s="1422">
        <v>0</v>
      </c>
      <c r="X170" s="1422">
        <v>7740</v>
      </c>
      <c r="Y170" s="1422">
        <v>0</v>
      </c>
      <c r="Z170" s="1422">
        <v>0</v>
      </c>
      <c r="AA170" s="1422">
        <v>0</v>
      </c>
      <c r="AB170" s="1422">
        <v>0</v>
      </c>
      <c r="AC170" s="1429">
        <v>0</v>
      </c>
      <c r="AD170" s="1422">
        <v>43038</v>
      </c>
      <c r="AE170" s="1420">
        <v>4484.6499999999996</v>
      </c>
      <c r="AF170" s="1422">
        <v>100</v>
      </c>
      <c r="AG170" s="1422">
        <v>0</v>
      </c>
      <c r="AH170" s="1422">
        <v>55377</v>
      </c>
      <c r="AI170" s="1422">
        <v>311488</v>
      </c>
      <c r="AJ170" s="1420">
        <v>4262.8900000000003</v>
      </c>
      <c r="AK170" s="1422">
        <v>0</v>
      </c>
      <c r="AL170" s="1420">
        <v>4165.3599999999997</v>
      </c>
      <c r="AM170" s="1422">
        <v>0</v>
      </c>
      <c r="AN170" s="1429">
        <v>87480</v>
      </c>
      <c r="AO170" s="1422">
        <v>0</v>
      </c>
      <c r="AP170" s="1420">
        <v>703826.46</v>
      </c>
      <c r="AQ170" s="1430">
        <f t="shared" si="24"/>
        <v>6206189.3600000003</v>
      </c>
      <c r="AR170" s="1431">
        <v>1931322.19</v>
      </c>
      <c r="AS170" s="1437">
        <v>0</v>
      </c>
      <c r="AT170" s="1422">
        <v>0</v>
      </c>
      <c r="AU170" s="1422">
        <v>0</v>
      </c>
      <c r="AV170" s="1422">
        <v>0</v>
      </c>
      <c r="AW170" s="1422">
        <v>0</v>
      </c>
      <c r="AX170" s="1422">
        <v>0</v>
      </c>
      <c r="AY170" s="1422">
        <v>0</v>
      </c>
      <c r="AZ170" s="1420">
        <v>451760.1</v>
      </c>
      <c r="BA170" s="1423">
        <f t="shared" si="25"/>
        <v>451760.1</v>
      </c>
      <c r="BB170" s="1420">
        <f t="shared" si="26"/>
        <v>10458227.59</v>
      </c>
      <c r="BC170" s="1433">
        <f t="shared" si="27"/>
        <v>10163.486482021381</v>
      </c>
      <c r="BD170" s="1433">
        <f t="shared" si="28"/>
        <v>1808.4904470359572</v>
      </c>
      <c r="BE170" s="1433">
        <f t="shared" si="29"/>
        <v>7.7932653061224491</v>
      </c>
      <c r="BF170" s="1433">
        <f t="shared" si="30"/>
        <v>6031.282176870749</v>
      </c>
      <c r="BG170" s="1433">
        <f t="shared" si="31"/>
        <v>1876.89231292517</v>
      </c>
      <c r="BH170" s="1434">
        <f t="shared" si="32"/>
        <v>439.02827988338191</v>
      </c>
      <c r="BI170" s="1422">
        <v>9397</v>
      </c>
    </row>
    <row r="171" spans="1:61" ht="12.75" customHeight="1" thickBot="1">
      <c r="A171" s="1418" t="s">
        <v>392</v>
      </c>
      <c r="B171" s="1418" t="s">
        <v>393</v>
      </c>
      <c r="C171" s="1419">
        <v>419</v>
      </c>
      <c r="D171" s="1420">
        <v>198.68</v>
      </c>
      <c r="E171" s="1420">
        <v>391.57</v>
      </c>
      <c r="F171" s="1421">
        <v>-0.08</v>
      </c>
      <c r="G171" s="1420">
        <v>409.06</v>
      </c>
      <c r="H171" s="1420">
        <v>435.83</v>
      </c>
      <c r="I171" s="1422">
        <v>29416425</v>
      </c>
      <c r="J171" s="1422">
        <v>25</v>
      </c>
      <c r="K171" s="1422">
        <v>25</v>
      </c>
      <c r="L171" s="1422">
        <v>0</v>
      </c>
      <c r="M171" s="1422">
        <v>0</v>
      </c>
      <c r="N171" s="1422">
        <v>10</v>
      </c>
      <c r="O171" s="1422">
        <v>35</v>
      </c>
      <c r="P171" s="1423">
        <v>2627187.9500000002</v>
      </c>
      <c r="Q171" s="1424">
        <v>922334.92</v>
      </c>
      <c r="R171" s="1425">
        <f t="shared" si="22"/>
        <v>922334.92</v>
      </c>
      <c r="S171" s="1436">
        <v>3265.38</v>
      </c>
      <c r="T171" s="1427">
        <f t="shared" si="23"/>
        <v>3265.38</v>
      </c>
      <c r="U171" s="1428">
        <v>1919572</v>
      </c>
      <c r="V171" s="1422">
        <v>28000</v>
      </c>
      <c r="W171" s="1422">
        <v>0</v>
      </c>
      <c r="X171" s="1422">
        <v>20117</v>
      </c>
      <c r="Y171" s="1422">
        <v>0</v>
      </c>
      <c r="Z171" s="1422">
        <v>0</v>
      </c>
      <c r="AA171" s="1422">
        <v>0</v>
      </c>
      <c r="AB171" s="1422">
        <v>0</v>
      </c>
      <c r="AC171" s="1429">
        <v>0</v>
      </c>
      <c r="AD171" s="1422">
        <v>18026</v>
      </c>
      <c r="AE171" s="1420">
        <v>3774.07</v>
      </c>
      <c r="AF171" s="1422">
        <v>0</v>
      </c>
      <c r="AG171" s="1422">
        <v>0</v>
      </c>
      <c r="AH171" s="1422">
        <v>0</v>
      </c>
      <c r="AI171" s="1422">
        <v>124992</v>
      </c>
      <c r="AJ171" s="1420">
        <v>1785.88</v>
      </c>
      <c r="AK171" s="1422">
        <v>0</v>
      </c>
      <c r="AL171" s="1420">
        <v>1615.49</v>
      </c>
      <c r="AM171" s="1422">
        <v>0</v>
      </c>
      <c r="AN171" s="1429">
        <v>0</v>
      </c>
      <c r="AO171" s="1422">
        <v>0</v>
      </c>
      <c r="AP171" s="1420">
        <v>200980.5</v>
      </c>
      <c r="AQ171" s="1430">
        <f t="shared" si="24"/>
        <v>2318862.9400000004</v>
      </c>
      <c r="AR171" s="1431">
        <v>994405.4</v>
      </c>
      <c r="AS171" s="1432">
        <v>7319.19</v>
      </c>
      <c r="AT171" s="1422">
        <v>0</v>
      </c>
      <c r="AU171" s="1422">
        <v>0</v>
      </c>
      <c r="AV171" s="1422">
        <v>0</v>
      </c>
      <c r="AW171" s="1422">
        <v>0</v>
      </c>
      <c r="AX171" s="1422">
        <v>0</v>
      </c>
      <c r="AY171" s="1420">
        <v>7319.19</v>
      </c>
      <c r="AZ171" s="1420">
        <v>231346.09</v>
      </c>
      <c r="BA171" s="1423">
        <f t="shared" si="25"/>
        <v>238665.28</v>
      </c>
      <c r="BB171" s="1420">
        <f t="shared" si="26"/>
        <v>4477533.92</v>
      </c>
      <c r="BC171" s="1433">
        <f t="shared" si="27"/>
        <v>10686.238472553699</v>
      </c>
      <c r="BD171" s="1433">
        <f t="shared" si="28"/>
        <v>2201.2766587112174</v>
      </c>
      <c r="BE171" s="1433">
        <f t="shared" si="29"/>
        <v>7.7932696897374703</v>
      </c>
      <c r="BF171" s="1433">
        <f t="shared" si="30"/>
        <v>5534.2790930787596</v>
      </c>
      <c r="BG171" s="1433">
        <f t="shared" si="31"/>
        <v>2373.2825775656324</v>
      </c>
      <c r="BH171" s="1434">
        <f t="shared" si="32"/>
        <v>569.60687350835326</v>
      </c>
      <c r="BI171" s="1422">
        <v>8561</v>
      </c>
    </row>
    <row r="172" spans="1:61" ht="12.75" customHeight="1" thickBot="1">
      <c r="A172" s="1418" t="s">
        <v>394</v>
      </c>
      <c r="B172" s="1418" t="s">
        <v>220</v>
      </c>
      <c r="C172" s="1419">
        <v>754</v>
      </c>
      <c r="D172" s="1420">
        <v>379.27</v>
      </c>
      <c r="E172" s="1420">
        <v>708.52</v>
      </c>
      <c r="F172" s="1421">
        <v>-0.16</v>
      </c>
      <c r="G172" s="1420">
        <v>749.15</v>
      </c>
      <c r="H172" s="1420">
        <v>525.58000000000004</v>
      </c>
      <c r="I172" s="1422">
        <v>19531994</v>
      </c>
      <c r="J172" s="1420">
        <v>32.1</v>
      </c>
      <c r="K172" s="1422">
        <v>25</v>
      </c>
      <c r="L172" s="1420">
        <v>7.1</v>
      </c>
      <c r="M172" s="1422">
        <v>0</v>
      </c>
      <c r="N172" s="1420">
        <v>7.9</v>
      </c>
      <c r="O172" s="1422">
        <v>40</v>
      </c>
      <c r="P172" s="1423">
        <v>3826933.32</v>
      </c>
      <c r="Q172" s="1424">
        <v>2332283.86</v>
      </c>
      <c r="R172" s="1425">
        <f t="shared" si="22"/>
        <v>2332283.86</v>
      </c>
      <c r="S172" s="1426">
        <v>0</v>
      </c>
      <c r="T172" s="1427">
        <f t="shared" si="23"/>
        <v>0</v>
      </c>
      <c r="U172" s="1428">
        <v>3553386</v>
      </c>
      <c r="V172" s="1422">
        <v>56798</v>
      </c>
      <c r="W172" s="1422">
        <v>0</v>
      </c>
      <c r="X172" s="1422">
        <v>52189</v>
      </c>
      <c r="Y172" s="1422">
        <v>1760222</v>
      </c>
      <c r="Z172" s="1422">
        <v>0</v>
      </c>
      <c r="AA172" s="1422">
        <v>15074</v>
      </c>
      <c r="AB172" s="1422">
        <v>0</v>
      </c>
      <c r="AC172" s="1429">
        <v>0</v>
      </c>
      <c r="AD172" s="1422">
        <v>33825</v>
      </c>
      <c r="AE172" s="1420">
        <v>21477.62</v>
      </c>
      <c r="AF172" s="1422">
        <v>1065</v>
      </c>
      <c r="AG172" s="1422">
        <v>35104</v>
      </c>
      <c r="AH172" s="1422">
        <v>2344</v>
      </c>
      <c r="AI172" s="1422">
        <v>238576</v>
      </c>
      <c r="AJ172" s="1420">
        <v>3350.34</v>
      </c>
      <c r="AK172" s="1420">
        <v>28650.57</v>
      </c>
      <c r="AL172" s="1420">
        <v>2981.99</v>
      </c>
      <c r="AM172" s="1422">
        <v>0</v>
      </c>
      <c r="AN172" s="1429">
        <v>0</v>
      </c>
      <c r="AO172" s="1422">
        <v>0</v>
      </c>
      <c r="AP172" s="1422">
        <v>51736</v>
      </c>
      <c r="AQ172" s="1430">
        <f t="shared" si="24"/>
        <v>5856779.5200000005</v>
      </c>
      <c r="AR172" s="1431">
        <v>1141136.3600000001</v>
      </c>
      <c r="AS172" s="1437">
        <v>0</v>
      </c>
      <c r="AT172" s="1420">
        <v>119851.9</v>
      </c>
      <c r="AU172" s="1422">
        <v>0</v>
      </c>
      <c r="AV172" s="1422">
        <v>0</v>
      </c>
      <c r="AW172" s="1422">
        <v>0</v>
      </c>
      <c r="AX172" s="1422">
        <v>0</v>
      </c>
      <c r="AY172" s="1420">
        <v>119851.9</v>
      </c>
      <c r="AZ172" s="1420">
        <v>483969.34</v>
      </c>
      <c r="BA172" s="1423">
        <f t="shared" si="25"/>
        <v>723673.14</v>
      </c>
      <c r="BB172" s="1420">
        <f t="shared" si="26"/>
        <v>10053872.880000001</v>
      </c>
      <c r="BC172" s="1433">
        <f t="shared" si="27"/>
        <v>13334.048912466844</v>
      </c>
      <c r="BD172" s="1433">
        <f t="shared" si="28"/>
        <v>3093.2146684350132</v>
      </c>
      <c r="BE172" s="1433">
        <f t="shared" si="29"/>
        <v>0</v>
      </c>
      <c r="BF172" s="1433">
        <f t="shared" si="30"/>
        <v>7767.6120954907165</v>
      </c>
      <c r="BG172" s="1433">
        <f t="shared" si="31"/>
        <v>1513.4434482758622</v>
      </c>
      <c r="BH172" s="1434">
        <f t="shared" si="32"/>
        <v>959.77870026525204</v>
      </c>
      <c r="BI172" s="1422">
        <v>10274</v>
      </c>
    </row>
    <row r="173" spans="1:61" ht="12.75" customHeight="1" thickBot="1">
      <c r="A173" s="1418" t="s">
        <v>221</v>
      </c>
      <c r="B173" s="1418" t="s">
        <v>222</v>
      </c>
      <c r="C173" s="1419">
        <v>1385</v>
      </c>
      <c r="D173" s="1420">
        <v>372.88</v>
      </c>
      <c r="E173" s="1420">
        <v>1261.45</v>
      </c>
      <c r="F173" s="1421">
        <v>-0.04</v>
      </c>
      <c r="G173" s="1420">
        <v>1370.26</v>
      </c>
      <c r="H173" s="1420">
        <v>1124.04</v>
      </c>
      <c r="I173" s="1422">
        <v>38479565</v>
      </c>
      <c r="J173" s="1420">
        <v>36.4</v>
      </c>
      <c r="K173" s="1422">
        <v>25</v>
      </c>
      <c r="L173" s="1420">
        <v>11.4</v>
      </c>
      <c r="M173" s="1422">
        <v>0</v>
      </c>
      <c r="N173" s="1420">
        <v>3.5</v>
      </c>
      <c r="O173" s="1420">
        <v>39.9</v>
      </c>
      <c r="P173" s="1423">
        <v>7644536.4100000001</v>
      </c>
      <c r="Q173" s="1424">
        <v>3222861.01</v>
      </c>
      <c r="R173" s="1425">
        <f t="shared" si="22"/>
        <v>3222861.01</v>
      </c>
      <c r="S173" s="1426">
        <v>0</v>
      </c>
      <c r="T173" s="1427">
        <f t="shared" si="23"/>
        <v>0</v>
      </c>
      <c r="U173" s="1428">
        <v>6542492</v>
      </c>
      <c r="V173" s="1422">
        <v>59933</v>
      </c>
      <c r="W173" s="1422">
        <v>0</v>
      </c>
      <c r="X173" s="1422">
        <v>129374</v>
      </c>
      <c r="Y173" s="1422">
        <v>1806900</v>
      </c>
      <c r="Z173" s="1422">
        <v>0</v>
      </c>
      <c r="AA173" s="1422">
        <v>7695</v>
      </c>
      <c r="AB173" s="1422">
        <v>0</v>
      </c>
      <c r="AC173" s="1429">
        <v>0</v>
      </c>
      <c r="AD173" s="1422">
        <v>59720</v>
      </c>
      <c r="AE173" s="1420">
        <v>91016.37</v>
      </c>
      <c r="AF173" s="1422">
        <v>300</v>
      </c>
      <c r="AG173" s="1422">
        <v>17755</v>
      </c>
      <c r="AH173" s="1422">
        <v>4981</v>
      </c>
      <c r="AI173" s="1422">
        <v>1030688</v>
      </c>
      <c r="AJ173" s="1420">
        <v>63593.46</v>
      </c>
      <c r="AK173" s="1420">
        <v>93367.77</v>
      </c>
      <c r="AL173" s="1420">
        <v>5404.37</v>
      </c>
      <c r="AM173" s="1422">
        <v>0</v>
      </c>
      <c r="AN173" s="1429">
        <v>0</v>
      </c>
      <c r="AO173" s="1422">
        <v>0</v>
      </c>
      <c r="AP173" s="1422">
        <v>96358</v>
      </c>
      <c r="AQ173" s="1430">
        <f t="shared" si="24"/>
        <v>10009577.969999999</v>
      </c>
      <c r="AR173" s="1431">
        <v>2163200.4900000002</v>
      </c>
      <c r="AS173" s="1432">
        <v>15463.42</v>
      </c>
      <c r="AT173" s="1420">
        <v>685486.83</v>
      </c>
      <c r="AU173" s="1422">
        <v>0</v>
      </c>
      <c r="AV173" s="1422">
        <v>0</v>
      </c>
      <c r="AW173" s="1420">
        <v>14432.41</v>
      </c>
      <c r="AX173" s="1422">
        <v>0</v>
      </c>
      <c r="AY173" s="1420">
        <v>715382.66</v>
      </c>
      <c r="AZ173" s="1420">
        <v>570424.71</v>
      </c>
      <c r="BA173" s="1423">
        <f t="shared" si="25"/>
        <v>1985726.6099999999</v>
      </c>
      <c r="BB173" s="1420">
        <f t="shared" si="26"/>
        <v>17381366.079999998</v>
      </c>
      <c r="BC173" s="1433">
        <f t="shared" si="27"/>
        <v>12549.722801444042</v>
      </c>
      <c r="BD173" s="1433">
        <f t="shared" si="28"/>
        <v>2326.9754584837542</v>
      </c>
      <c r="BE173" s="1433">
        <f t="shared" si="29"/>
        <v>0</v>
      </c>
      <c r="BF173" s="1433">
        <f t="shared" si="30"/>
        <v>7227.1321083032481</v>
      </c>
      <c r="BG173" s="1433">
        <f t="shared" si="31"/>
        <v>1561.8776101083033</v>
      </c>
      <c r="BH173" s="1434">
        <f t="shared" si="32"/>
        <v>1433.7376245487364</v>
      </c>
      <c r="BI173" s="1422">
        <v>10185</v>
      </c>
    </row>
    <row r="174" spans="1:61" ht="12.75" customHeight="1" thickBot="1">
      <c r="A174" s="1418" t="s">
        <v>223</v>
      </c>
      <c r="B174" s="1418" t="s">
        <v>224</v>
      </c>
      <c r="C174" s="1419">
        <v>619</v>
      </c>
      <c r="D174" s="1420">
        <v>101.61</v>
      </c>
      <c r="E174" s="1420">
        <v>562.23</v>
      </c>
      <c r="F174" s="1421">
        <v>-0.06</v>
      </c>
      <c r="G174" s="1420">
        <v>595.63</v>
      </c>
      <c r="H174" s="1420">
        <v>602.4</v>
      </c>
      <c r="I174" s="1422">
        <v>34382725</v>
      </c>
      <c r="J174" s="1422">
        <v>25</v>
      </c>
      <c r="K174" s="1422">
        <v>25</v>
      </c>
      <c r="L174" s="1422">
        <v>0</v>
      </c>
      <c r="M174" s="1422">
        <v>0</v>
      </c>
      <c r="N174" s="1420">
        <v>8.5</v>
      </c>
      <c r="O174" s="1420">
        <v>33.5</v>
      </c>
      <c r="P174" s="1423">
        <v>1734676.16</v>
      </c>
      <c r="Q174" s="1424">
        <v>1106461.27</v>
      </c>
      <c r="R174" s="1425">
        <f t="shared" si="22"/>
        <v>1106461.27</v>
      </c>
      <c r="S174" s="1426">
        <v>0</v>
      </c>
      <c r="T174" s="1427">
        <f t="shared" si="23"/>
        <v>0</v>
      </c>
      <c r="U174" s="1428">
        <v>2779603</v>
      </c>
      <c r="V174" s="1422">
        <v>18628</v>
      </c>
      <c r="W174" s="1422">
        <v>0</v>
      </c>
      <c r="X174" s="1422">
        <v>27435</v>
      </c>
      <c r="Y174" s="1422">
        <v>0</v>
      </c>
      <c r="Z174" s="1422">
        <v>0</v>
      </c>
      <c r="AA174" s="1422">
        <v>13225</v>
      </c>
      <c r="AB174" s="1420">
        <v>333.7</v>
      </c>
      <c r="AC174" s="1429">
        <v>0</v>
      </c>
      <c r="AD174" s="1422">
        <v>24915</v>
      </c>
      <c r="AE174" s="1420">
        <v>17094.52</v>
      </c>
      <c r="AF174" s="1422">
        <v>150</v>
      </c>
      <c r="AG174" s="1422">
        <v>25475</v>
      </c>
      <c r="AH174" s="1422">
        <v>0</v>
      </c>
      <c r="AI174" s="1422">
        <v>448384</v>
      </c>
      <c r="AJ174" s="1420">
        <v>2467.83</v>
      </c>
      <c r="AK174" s="1422">
        <v>0</v>
      </c>
      <c r="AL174" s="1420">
        <v>1978.16</v>
      </c>
      <c r="AM174" s="1422">
        <v>0</v>
      </c>
      <c r="AN174" s="1429">
        <v>0</v>
      </c>
      <c r="AO174" s="1422">
        <v>0</v>
      </c>
      <c r="AP174" s="1422">
        <v>38830</v>
      </c>
      <c r="AQ174" s="1430">
        <f t="shared" si="24"/>
        <v>3398519.2100000004</v>
      </c>
      <c r="AR174" s="1431">
        <v>1368505.9</v>
      </c>
      <c r="AS174" s="1432">
        <v>5917.05</v>
      </c>
      <c r="AT174" s="1422">
        <v>0</v>
      </c>
      <c r="AU174" s="1420">
        <v>17672.07</v>
      </c>
      <c r="AV174" s="1422">
        <v>0</v>
      </c>
      <c r="AW174" s="1420">
        <v>14844.22</v>
      </c>
      <c r="AX174" s="1422">
        <v>0</v>
      </c>
      <c r="AY174" s="1420">
        <v>38433.339999999997</v>
      </c>
      <c r="AZ174" s="1420">
        <v>188331.84</v>
      </c>
      <c r="BA174" s="1423">
        <f t="shared" si="25"/>
        <v>259281.47</v>
      </c>
      <c r="BB174" s="1420">
        <f t="shared" si="26"/>
        <v>6132767.8499999996</v>
      </c>
      <c r="BC174" s="1433">
        <f t="shared" si="27"/>
        <v>9907.540953150241</v>
      </c>
      <c r="BD174" s="1433">
        <f t="shared" si="28"/>
        <v>1787.4980129240712</v>
      </c>
      <c r="BE174" s="1433">
        <f t="shared" si="29"/>
        <v>0</v>
      </c>
      <c r="BF174" s="1433">
        <f t="shared" si="30"/>
        <v>5490.3379806138937</v>
      </c>
      <c r="BG174" s="1433">
        <f t="shared" si="31"/>
        <v>2210.8334410339257</v>
      </c>
      <c r="BH174" s="1434">
        <f t="shared" si="32"/>
        <v>418.87151857835221</v>
      </c>
      <c r="BI174" s="1422">
        <v>9830</v>
      </c>
    </row>
    <row r="175" spans="1:61" ht="12.75" customHeight="1" thickBot="1">
      <c r="A175" s="1418" t="s">
        <v>225</v>
      </c>
      <c r="B175" s="1418" t="s">
        <v>226</v>
      </c>
      <c r="C175" s="1419">
        <v>1533</v>
      </c>
      <c r="D175" s="1420">
        <v>120.06</v>
      </c>
      <c r="E175" s="1420">
        <v>1400.3</v>
      </c>
      <c r="F175" s="1421">
        <v>-0.11</v>
      </c>
      <c r="G175" s="1420">
        <v>1506.05</v>
      </c>
      <c r="H175" s="1420">
        <v>1574.27</v>
      </c>
      <c r="I175" s="1422">
        <v>84939037</v>
      </c>
      <c r="J175" s="1422">
        <v>25</v>
      </c>
      <c r="K175" s="1422">
        <v>25</v>
      </c>
      <c r="L175" s="1422">
        <v>0</v>
      </c>
      <c r="M175" s="1422">
        <v>0</v>
      </c>
      <c r="N175" s="1420">
        <v>10.8</v>
      </c>
      <c r="O175" s="1420">
        <v>35.799999999999997</v>
      </c>
      <c r="P175" s="1423">
        <v>7350300.4800000004</v>
      </c>
      <c r="Q175" s="1424">
        <v>2835930.43</v>
      </c>
      <c r="R175" s="1425">
        <f t="shared" si="22"/>
        <v>2835930.43</v>
      </c>
      <c r="S175" s="1426">
        <v>0</v>
      </c>
      <c r="T175" s="1427">
        <f t="shared" si="23"/>
        <v>0</v>
      </c>
      <c r="U175" s="1428">
        <v>7500823</v>
      </c>
      <c r="V175" s="1422">
        <v>31983</v>
      </c>
      <c r="W175" s="1422">
        <v>0</v>
      </c>
      <c r="X175" s="1422">
        <v>56134</v>
      </c>
      <c r="Y175" s="1422">
        <v>0</v>
      </c>
      <c r="Z175" s="1422">
        <v>0</v>
      </c>
      <c r="AA175" s="1422">
        <v>39178</v>
      </c>
      <c r="AB175" s="1422">
        <v>0</v>
      </c>
      <c r="AC175" s="1429">
        <v>0</v>
      </c>
      <c r="AD175" s="1422">
        <v>65112</v>
      </c>
      <c r="AE175" s="1420">
        <v>4443.1400000000003</v>
      </c>
      <c r="AF175" s="1422">
        <v>250</v>
      </c>
      <c r="AG175" s="1422">
        <v>60945</v>
      </c>
      <c r="AH175" s="1422">
        <v>4395</v>
      </c>
      <c r="AI175" s="1422">
        <v>735399</v>
      </c>
      <c r="AJ175" s="1420">
        <v>8373.26</v>
      </c>
      <c r="AK175" s="1422">
        <v>0</v>
      </c>
      <c r="AL175" s="1420">
        <v>6375.13</v>
      </c>
      <c r="AM175" s="1422">
        <v>0</v>
      </c>
      <c r="AN175" s="1429">
        <v>388800</v>
      </c>
      <c r="AO175" s="1422">
        <v>0</v>
      </c>
      <c r="AP175" s="1420">
        <v>704689.61</v>
      </c>
      <c r="AQ175" s="1430">
        <f t="shared" si="24"/>
        <v>9218100.1400000006</v>
      </c>
      <c r="AR175" s="1431">
        <v>4617503.13</v>
      </c>
      <c r="AS175" s="1437">
        <v>0</v>
      </c>
      <c r="AT175" s="1422">
        <v>0</v>
      </c>
      <c r="AU175" s="1422">
        <v>0</v>
      </c>
      <c r="AV175" s="1422">
        <v>0</v>
      </c>
      <c r="AW175" s="1422">
        <v>0</v>
      </c>
      <c r="AX175" s="1422">
        <v>0</v>
      </c>
      <c r="AY175" s="1422">
        <v>0</v>
      </c>
      <c r="AZ175" s="1420">
        <v>509595.72</v>
      </c>
      <c r="BA175" s="1423">
        <f t="shared" si="25"/>
        <v>509595.72</v>
      </c>
      <c r="BB175" s="1420">
        <f t="shared" si="26"/>
        <v>17181129.420000002</v>
      </c>
      <c r="BC175" s="1433">
        <f t="shared" si="27"/>
        <v>11207.520821917809</v>
      </c>
      <c r="BD175" s="1433">
        <f t="shared" si="28"/>
        <v>1849.922002609263</v>
      </c>
      <c r="BE175" s="1433">
        <f t="shared" si="29"/>
        <v>0</v>
      </c>
      <c r="BF175" s="1433">
        <f t="shared" si="30"/>
        <v>6013.1116373124596</v>
      </c>
      <c r="BG175" s="1433">
        <f t="shared" si="31"/>
        <v>3012.0698825831701</v>
      </c>
      <c r="BH175" s="1434">
        <f t="shared" si="32"/>
        <v>332.41729941291584</v>
      </c>
      <c r="BI175" s="1422">
        <v>9403</v>
      </c>
    </row>
    <row r="176" spans="1:61" ht="12.75" customHeight="1" thickBot="1">
      <c r="A176" s="1418" t="s">
        <v>227</v>
      </c>
      <c r="B176" s="1418" t="s">
        <v>228</v>
      </c>
      <c r="C176" s="1419">
        <v>720</v>
      </c>
      <c r="D176" s="1420">
        <v>149.72999999999999</v>
      </c>
      <c r="E176" s="1420">
        <v>684.62</v>
      </c>
      <c r="F176" s="1421">
        <v>-0.11</v>
      </c>
      <c r="G176" s="1420">
        <v>723.81</v>
      </c>
      <c r="H176" s="1420">
        <v>742.83</v>
      </c>
      <c r="I176" s="1422">
        <v>31314901</v>
      </c>
      <c r="J176" s="1422">
        <v>25</v>
      </c>
      <c r="K176" s="1422">
        <v>25</v>
      </c>
      <c r="L176" s="1422">
        <v>0</v>
      </c>
      <c r="M176" s="1422">
        <v>0</v>
      </c>
      <c r="N176" s="1420">
        <v>6.2</v>
      </c>
      <c r="O176" s="1420">
        <v>31.2</v>
      </c>
      <c r="P176" s="1438">
        <v>836727</v>
      </c>
      <c r="Q176" s="1424">
        <v>885170.05</v>
      </c>
      <c r="R176" s="1425">
        <f t="shared" si="22"/>
        <v>885170.05</v>
      </c>
      <c r="S176" s="1426">
        <v>0</v>
      </c>
      <c r="T176" s="1427">
        <f t="shared" si="23"/>
        <v>0</v>
      </c>
      <c r="U176" s="1428">
        <v>3721974</v>
      </c>
      <c r="V176" s="1422">
        <v>10471</v>
      </c>
      <c r="W176" s="1422">
        <v>0</v>
      </c>
      <c r="X176" s="1422">
        <v>55141</v>
      </c>
      <c r="Y176" s="1422">
        <v>0</v>
      </c>
      <c r="Z176" s="1422">
        <v>0</v>
      </c>
      <c r="AA176" s="1422">
        <v>39389</v>
      </c>
      <c r="AB176" s="1422">
        <v>0</v>
      </c>
      <c r="AC176" s="1429">
        <v>0</v>
      </c>
      <c r="AD176" s="1422">
        <v>30723</v>
      </c>
      <c r="AE176" s="1420">
        <v>15319.15</v>
      </c>
      <c r="AF176" s="1422">
        <v>1954</v>
      </c>
      <c r="AG176" s="1422">
        <v>6095</v>
      </c>
      <c r="AH176" s="1422">
        <v>5274</v>
      </c>
      <c r="AI176" s="1422">
        <v>558496</v>
      </c>
      <c r="AJ176" s="1420">
        <v>19937.12</v>
      </c>
      <c r="AK176" s="1422">
        <v>0</v>
      </c>
      <c r="AL176" s="1420">
        <v>2714.49</v>
      </c>
      <c r="AM176" s="1422">
        <v>0</v>
      </c>
      <c r="AN176" s="1429">
        <v>284796</v>
      </c>
      <c r="AO176" s="1422">
        <v>0</v>
      </c>
      <c r="AP176" s="1422">
        <v>56760</v>
      </c>
      <c r="AQ176" s="1430">
        <f t="shared" si="24"/>
        <v>4524247.7600000007</v>
      </c>
      <c r="AR176" s="1431">
        <v>1042586.86</v>
      </c>
      <c r="AS176" s="1437">
        <v>0</v>
      </c>
      <c r="AT176" s="1422">
        <v>0</v>
      </c>
      <c r="AU176" s="1422">
        <v>0</v>
      </c>
      <c r="AV176" s="1422">
        <v>0</v>
      </c>
      <c r="AW176" s="1422">
        <v>0</v>
      </c>
      <c r="AX176" s="1422">
        <v>0</v>
      </c>
      <c r="AY176" s="1422">
        <v>0</v>
      </c>
      <c r="AZ176" s="1420">
        <v>294290.05</v>
      </c>
      <c r="BA176" s="1423">
        <f t="shared" si="25"/>
        <v>294290.05</v>
      </c>
      <c r="BB176" s="1420">
        <f t="shared" si="26"/>
        <v>6746294.7200000007</v>
      </c>
      <c r="BC176" s="1433">
        <f t="shared" si="27"/>
        <v>9369.8537777777783</v>
      </c>
      <c r="BD176" s="1433">
        <f t="shared" si="28"/>
        <v>1229.4028472222224</v>
      </c>
      <c r="BE176" s="1433">
        <f t="shared" si="29"/>
        <v>0</v>
      </c>
      <c r="BF176" s="1433">
        <f t="shared" si="30"/>
        <v>6283.6774444444454</v>
      </c>
      <c r="BG176" s="1433">
        <f t="shared" si="31"/>
        <v>1448.0373055555556</v>
      </c>
      <c r="BH176" s="1434">
        <f t="shared" si="32"/>
        <v>408.73618055555556</v>
      </c>
      <c r="BI176" s="1422">
        <v>9274</v>
      </c>
    </row>
    <row r="177" spans="1:61" ht="12.75" customHeight="1" thickBot="1">
      <c r="A177" s="1418" t="s">
        <v>229</v>
      </c>
      <c r="B177" s="1418" t="s">
        <v>230</v>
      </c>
      <c r="C177" s="1419">
        <v>1901</v>
      </c>
      <c r="D177" s="1420">
        <v>434.16</v>
      </c>
      <c r="E177" s="1420">
        <v>1831.79</v>
      </c>
      <c r="F177" s="1421">
        <v>-0.05</v>
      </c>
      <c r="G177" s="1420">
        <v>1882.57</v>
      </c>
      <c r="H177" s="1420">
        <v>1945.46</v>
      </c>
      <c r="I177" s="1422">
        <v>133614191</v>
      </c>
      <c r="J177" s="1422">
        <v>25</v>
      </c>
      <c r="K177" s="1422">
        <v>25</v>
      </c>
      <c r="L177" s="1422">
        <v>0</v>
      </c>
      <c r="M177" s="1422">
        <v>0</v>
      </c>
      <c r="N177" s="1420">
        <v>10.9</v>
      </c>
      <c r="O177" s="1420">
        <v>35.9</v>
      </c>
      <c r="P177" s="1423">
        <v>18910816.879999999</v>
      </c>
      <c r="Q177" s="1424">
        <v>4216514.03</v>
      </c>
      <c r="R177" s="1425">
        <f t="shared" si="22"/>
        <v>4216514.03</v>
      </c>
      <c r="S177" s="1436">
        <v>7380.53</v>
      </c>
      <c r="T177" s="1427">
        <f t="shared" si="23"/>
        <v>7380.53</v>
      </c>
      <c r="U177" s="1428">
        <v>8356377</v>
      </c>
      <c r="V177" s="1422">
        <v>170848</v>
      </c>
      <c r="W177" s="1422">
        <v>0</v>
      </c>
      <c r="X177" s="1422">
        <v>32795</v>
      </c>
      <c r="Y177" s="1422">
        <v>0</v>
      </c>
      <c r="Z177" s="1422">
        <v>13113</v>
      </c>
      <c r="AA177" s="1422">
        <v>7759</v>
      </c>
      <c r="AB177" s="1420">
        <v>371.32</v>
      </c>
      <c r="AC177" s="1429">
        <v>0</v>
      </c>
      <c r="AD177" s="1422">
        <v>80464</v>
      </c>
      <c r="AE177" s="1420">
        <v>6735.48</v>
      </c>
      <c r="AF177" s="1422">
        <v>450</v>
      </c>
      <c r="AG177" s="1422">
        <v>122906</v>
      </c>
      <c r="AH177" s="1422">
        <v>5567</v>
      </c>
      <c r="AI177" s="1422">
        <v>595200</v>
      </c>
      <c r="AJ177" s="1420">
        <v>82183.520000000004</v>
      </c>
      <c r="AK177" s="1420">
        <v>40341.879999999997</v>
      </c>
      <c r="AL177" s="1420">
        <v>7259.74</v>
      </c>
      <c r="AM177" s="1422">
        <v>0</v>
      </c>
      <c r="AN177" s="1429">
        <v>0</v>
      </c>
      <c r="AO177" s="1422">
        <v>0</v>
      </c>
      <c r="AP177" s="1420">
        <v>3993654.88</v>
      </c>
      <c r="AQ177" s="1430">
        <f t="shared" si="24"/>
        <v>13516025.82</v>
      </c>
      <c r="AR177" s="1431">
        <v>4139602.39</v>
      </c>
      <c r="AS177" s="1437">
        <v>1004500</v>
      </c>
      <c r="AT177" s="1422">
        <v>0</v>
      </c>
      <c r="AU177" s="1422">
        <v>10246</v>
      </c>
      <c r="AV177" s="1422">
        <v>36135</v>
      </c>
      <c r="AW177" s="1422">
        <v>1000000</v>
      </c>
      <c r="AX177" s="1422">
        <v>0</v>
      </c>
      <c r="AY177" s="1422">
        <v>2050881</v>
      </c>
      <c r="AZ177" s="1420">
        <v>1105511.77</v>
      </c>
      <c r="BA177" s="1423">
        <f t="shared" si="25"/>
        <v>4202773.7699999996</v>
      </c>
      <c r="BB177" s="1420">
        <f t="shared" si="26"/>
        <v>26082296.540000003</v>
      </c>
      <c r="BC177" s="1433">
        <f t="shared" si="27"/>
        <v>13720.303282482906</v>
      </c>
      <c r="BD177" s="1433">
        <f t="shared" si="28"/>
        <v>2218.0505155181486</v>
      </c>
      <c r="BE177" s="1433">
        <f t="shared" si="29"/>
        <v>3.8824460810099946</v>
      </c>
      <c r="BF177" s="1433">
        <f t="shared" si="30"/>
        <v>7109.9557180431357</v>
      </c>
      <c r="BG177" s="1433">
        <f t="shared" si="31"/>
        <v>2177.5919989479221</v>
      </c>
      <c r="BH177" s="1434">
        <f t="shared" si="32"/>
        <v>2210.8226038926878</v>
      </c>
      <c r="BI177" s="1422">
        <v>8588</v>
      </c>
    </row>
    <row r="178" spans="1:61" ht="12.75" customHeight="1" thickBot="1">
      <c r="A178" s="1418" t="s">
        <v>231</v>
      </c>
      <c r="B178" s="1418" t="s">
        <v>232</v>
      </c>
      <c r="C178" s="1419">
        <v>723</v>
      </c>
      <c r="D178" s="1420">
        <v>353.37</v>
      </c>
      <c r="E178" s="1420">
        <v>660.6</v>
      </c>
      <c r="F178" s="1421">
        <v>-0.03</v>
      </c>
      <c r="G178" s="1420">
        <v>702.37</v>
      </c>
      <c r="H178" s="1420">
        <v>676.3</v>
      </c>
      <c r="I178" s="1422">
        <v>42370392</v>
      </c>
      <c r="J178" s="1422">
        <v>25</v>
      </c>
      <c r="K178" s="1422">
        <v>25</v>
      </c>
      <c r="L178" s="1422">
        <v>0</v>
      </c>
      <c r="M178" s="1422">
        <v>0</v>
      </c>
      <c r="N178" s="1420">
        <v>6.3</v>
      </c>
      <c r="O178" s="1420">
        <v>31.3</v>
      </c>
      <c r="P178" s="1438">
        <v>1975000</v>
      </c>
      <c r="Q178" s="1424">
        <v>1181740.96</v>
      </c>
      <c r="R178" s="1425">
        <f t="shared" si="22"/>
        <v>1181740.96</v>
      </c>
      <c r="S178" s="1436">
        <v>2077.7600000000002</v>
      </c>
      <c r="T178" s="1427">
        <f t="shared" si="23"/>
        <v>2077.7600000000002</v>
      </c>
      <c r="U178" s="1428">
        <v>2729982</v>
      </c>
      <c r="V178" s="1422">
        <v>60221</v>
      </c>
      <c r="W178" s="1422">
        <v>164654</v>
      </c>
      <c r="X178" s="1422">
        <v>0</v>
      </c>
      <c r="Y178" s="1422">
        <v>0</v>
      </c>
      <c r="Z178" s="1422">
        <v>285639</v>
      </c>
      <c r="AA178" s="1422">
        <v>19439</v>
      </c>
      <c r="AB178" s="1422">
        <v>0</v>
      </c>
      <c r="AC178" s="1429">
        <v>0</v>
      </c>
      <c r="AD178" s="1422">
        <v>27972</v>
      </c>
      <c r="AE178" s="1420">
        <v>417412.98</v>
      </c>
      <c r="AF178" s="1422">
        <v>300</v>
      </c>
      <c r="AG178" s="1422">
        <v>1585</v>
      </c>
      <c r="AH178" s="1422">
        <v>0</v>
      </c>
      <c r="AI178" s="1422">
        <v>507904</v>
      </c>
      <c r="AJ178" s="1420">
        <v>29330.9</v>
      </c>
      <c r="AK178" s="1420">
        <v>7041.76</v>
      </c>
      <c r="AL178" s="1420">
        <v>2931.51</v>
      </c>
      <c r="AM178" s="1422">
        <v>0</v>
      </c>
      <c r="AN178" s="1429">
        <v>0</v>
      </c>
      <c r="AO178" s="1422">
        <v>0</v>
      </c>
      <c r="AP178" s="1420">
        <v>221277.44</v>
      </c>
      <c r="AQ178" s="1430">
        <f t="shared" si="24"/>
        <v>4475690.5900000008</v>
      </c>
      <c r="AR178" s="1431">
        <v>1529608.01</v>
      </c>
      <c r="AS178" s="1437">
        <v>0</v>
      </c>
      <c r="AT178" s="1422">
        <v>0</v>
      </c>
      <c r="AU178" s="1422">
        <v>0</v>
      </c>
      <c r="AV178" s="1422">
        <v>0</v>
      </c>
      <c r="AW178" s="1420">
        <v>1167.2</v>
      </c>
      <c r="AX178" s="1422">
        <v>0</v>
      </c>
      <c r="AY178" s="1420">
        <v>1167.2</v>
      </c>
      <c r="AZ178" s="1420">
        <v>340519.04</v>
      </c>
      <c r="BA178" s="1423">
        <f t="shared" si="25"/>
        <v>342853.44</v>
      </c>
      <c r="BB178" s="1420">
        <f t="shared" si="26"/>
        <v>7531970.7600000007</v>
      </c>
      <c r="BC178" s="1433">
        <f t="shared" si="27"/>
        <v>10417.663568464732</v>
      </c>
      <c r="BD178" s="1433">
        <f t="shared" si="28"/>
        <v>1634.4964868603042</v>
      </c>
      <c r="BE178" s="1433">
        <f t="shared" si="29"/>
        <v>2.8738035961272477</v>
      </c>
      <c r="BF178" s="1433">
        <f t="shared" si="30"/>
        <v>6190.4434163208862</v>
      </c>
      <c r="BG178" s="1433">
        <f t="shared" si="31"/>
        <v>2115.6404011065006</v>
      </c>
      <c r="BH178" s="1434">
        <f t="shared" si="32"/>
        <v>474.20946058091289</v>
      </c>
      <c r="BI178" s="1422">
        <v>9736</v>
      </c>
    </row>
    <row r="179" spans="1:61" ht="12.75" customHeight="1" thickBot="1">
      <c r="A179" s="1418" t="s">
        <v>233</v>
      </c>
      <c r="B179" s="1418" t="s">
        <v>234</v>
      </c>
      <c r="C179" s="1419">
        <v>1143</v>
      </c>
      <c r="D179" s="1439"/>
      <c r="E179" s="1420">
        <v>1063.3900000000001</v>
      </c>
      <c r="F179" s="1421">
        <v>-0.02</v>
      </c>
      <c r="G179" s="1420">
        <v>1133.06</v>
      </c>
      <c r="H179" s="1439"/>
      <c r="I179" s="1422">
        <v>56450860</v>
      </c>
      <c r="J179" s="1422">
        <v>25</v>
      </c>
      <c r="K179" s="1422">
        <v>25</v>
      </c>
      <c r="L179" s="1422">
        <v>0</v>
      </c>
      <c r="M179" s="1422">
        <v>0</v>
      </c>
      <c r="N179" s="1422">
        <v>19</v>
      </c>
      <c r="O179" s="1422">
        <v>44</v>
      </c>
      <c r="P179" s="1423">
        <v>9699775.0299999993</v>
      </c>
      <c r="Q179" s="1424">
        <v>1977374.09</v>
      </c>
      <c r="R179" s="1425">
        <f t="shared" si="22"/>
        <v>1977374.09</v>
      </c>
      <c r="S179" s="1436">
        <v>2319.19</v>
      </c>
      <c r="T179" s="1427">
        <f t="shared" si="23"/>
        <v>2319.19</v>
      </c>
      <c r="U179" s="1428">
        <v>5541487</v>
      </c>
      <c r="V179" s="1422">
        <v>60882</v>
      </c>
      <c r="W179" s="1422">
        <v>0</v>
      </c>
      <c r="X179" s="1422">
        <v>0</v>
      </c>
      <c r="Y179" s="1422">
        <v>1806900</v>
      </c>
      <c r="Z179" s="1422">
        <v>419012</v>
      </c>
      <c r="AA179" s="1422">
        <v>55773</v>
      </c>
      <c r="AB179" s="1422">
        <v>50</v>
      </c>
      <c r="AC179" s="1429">
        <v>0</v>
      </c>
      <c r="AD179" s="1422">
        <v>47525</v>
      </c>
      <c r="AE179" s="1420">
        <v>388829.12</v>
      </c>
      <c r="AF179" s="1422">
        <v>0</v>
      </c>
      <c r="AG179" s="1422">
        <v>35267</v>
      </c>
      <c r="AH179" s="1422">
        <v>58600</v>
      </c>
      <c r="AI179" s="1422">
        <v>832288</v>
      </c>
      <c r="AJ179" s="1420">
        <v>24286.13</v>
      </c>
      <c r="AK179" s="1420">
        <v>5417.12</v>
      </c>
      <c r="AL179" s="1420">
        <v>5125.38</v>
      </c>
      <c r="AM179" s="1422">
        <v>0</v>
      </c>
      <c r="AN179" s="1429">
        <v>0</v>
      </c>
      <c r="AO179" s="1422">
        <v>0</v>
      </c>
      <c r="AP179" s="1420">
        <v>118908.54</v>
      </c>
      <c r="AQ179" s="1430">
        <f t="shared" si="24"/>
        <v>9400350.290000001</v>
      </c>
      <c r="AR179" s="1431">
        <v>2082209.93</v>
      </c>
      <c r="AS179" s="1432">
        <v>3512077.21</v>
      </c>
      <c r="AT179" s="1422">
        <v>220</v>
      </c>
      <c r="AU179" s="1422">
        <v>14847</v>
      </c>
      <c r="AV179" s="1422">
        <v>0</v>
      </c>
      <c r="AW179" s="1420">
        <v>19337.84</v>
      </c>
      <c r="AX179" s="1422">
        <v>0</v>
      </c>
      <c r="AY179" s="1420">
        <v>3546482.05</v>
      </c>
      <c r="AZ179" s="1420">
        <v>564700.39</v>
      </c>
      <c r="BA179" s="1423">
        <f t="shared" si="25"/>
        <v>4145587.28</v>
      </c>
      <c r="BB179" s="1420">
        <f t="shared" si="26"/>
        <v>17607840.780000001</v>
      </c>
      <c r="BC179" s="1433">
        <f t="shared" si="27"/>
        <v>15404.935065616799</v>
      </c>
      <c r="BD179" s="1433">
        <f t="shared" si="28"/>
        <v>1729.9860804899388</v>
      </c>
      <c r="BE179" s="1433">
        <f t="shared" si="29"/>
        <v>2.0290376202974629</v>
      </c>
      <c r="BF179" s="1433">
        <f t="shared" si="30"/>
        <v>8224.2784689413838</v>
      </c>
      <c r="BG179" s="1433">
        <f t="shared" si="31"/>
        <v>1821.7059755030621</v>
      </c>
      <c r="BH179" s="1434">
        <f t="shared" si="32"/>
        <v>3626.9355030621173</v>
      </c>
      <c r="BI179" s="1422">
        <v>8852</v>
      </c>
    </row>
    <row r="180" spans="1:61" ht="12.75" customHeight="1" thickBot="1">
      <c r="A180" s="1418" t="s">
        <v>235</v>
      </c>
      <c r="B180" s="1418" t="s">
        <v>236</v>
      </c>
      <c r="C180" s="1419">
        <v>968</v>
      </c>
      <c r="D180" s="1420">
        <v>99.7</v>
      </c>
      <c r="E180" s="1420">
        <v>921.85</v>
      </c>
      <c r="F180" s="1421">
        <v>-0.11</v>
      </c>
      <c r="G180" s="1420">
        <v>971.89</v>
      </c>
      <c r="H180" s="1420">
        <v>990.47</v>
      </c>
      <c r="I180" s="1422">
        <v>55624735</v>
      </c>
      <c r="J180" s="1422">
        <v>25</v>
      </c>
      <c r="K180" s="1422">
        <v>25</v>
      </c>
      <c r="L180" s="1422">
        <v>0</v>
      </c>
      <c r="M180" s="1422">
        <v>0</v>
      </c>
      <c r="N180" s="1420">
        <v>18.399999999999999</v>
      </c>
      <c r="O180" s="1420">
        <v>43.4</v>
      </c>
      <c r="P180" s="1423">
        <v>11017149.33</v>
      </c>
      <c r="Q180" s="1424">
        <v>2272682.33</v>
      </c>
      <c r="R180" s="1425">
        <f t="shared" si="22"/>
        <v>2272682.33</v>
      </c>
      <c r="S180" s="1436">
        <v>406.89</v>
      </c>
      <c r="T180" s="1427">
        <f t="shared" si="23"/>
        <v>406.89</v>
      </c>
      <c r="U180" s="1428">
        <v>4639519</v>
      </c>
      <c r="V180" s="1422">
        <v>24026</v>
      </c>
      <c r="W180" s="1422">
        <v>0</v>
      </c>
      <c r="X180" s="1422">
        <v>67427</v>
      </c>
      <c r="Y180" s="1422">
        <v>0</v>
      </c>
      <c r="Z180" s="1422">
        <v>0</v>
      </c>
      <c r="AA180" s="1422">
        <v>63687</v>
      </c>
      <c r="AB180" s="1422">
        <v>0</v>
      </c>
      <c r="AC180" s="1429">
        <v>0</v>
      </c>
      <c r="AD180" s="1422">
        <v>40966</v>
      </c>
      <c r="AE180" s="1420">
        <v>2443.46</v>
      </c>
      <c r="AF180" s="1422">
        <v>200</v>
      </c>
      <c r="AG180" s="1422">
        <v>55257</v>
      </c>
      <c r="AH180" s="1422">
        <v>2051</v>
      </c>
      <c r="AI180" s="1422">
        <v>298592</v>
      </c>
      <c r="AJ180" s="1420">
        <v>70480.789999999994</v>
      </c>
      <c r="AK180" s="1420">
        <v>42791.76</v>
      </c>
      <c r="AL180" s="1420">
        <v>4079.64</v>
      </c>
      <c r="AM180" s="1422">
        <v>0</v>
      </c>
      <c r="AN180" s="1429">
        <v>193914</v>
      </c>
      <c r="AO180" s="1422">
        <v>0</v>
      </c>
      <c r="AP180" s="1420">
        <v>2172843.6800000002</v>
      </c>
      <c r="AQ180" s="1430">
        <f t="shared" si="24"/>
        <v>7484364.3300000001</v>
      </c>
      <c r="AR180" s="1431">
        <v>2403951.52</v>
      </c>
      <c r="AS180" s="1437">
        <v>0</v>
      </c>
      <c r="AT180" s="1422">
        <v>0</v>
      </c>
      <c r="AU180" s="1422">
        <v>0</v>
      </c>
      <c r="AV180" s="1420">
        <v>16510.28</v>
      </c>
      <c r="AW180" s="1420">
        <v>6779.55</v>
      </c>
      <c r="AX180" s="1422">
        <v>0</v>
      </c>
      <c r="AY180" s="1420">
        <v>23289.83</v>
      </c>
      <c r="AZ180" s="1420">
        <v>400971.46</v>
      </c>
      <c r="BA180" s="1423">
        <f t="shared" si="25"/>
        <v>447551.12</v>
      </c>
      <c r="BB180" s="1420">
        <f t="shared" si="26"/>
        <v>12608956.190000001</v>
      </c>
      <c r="BC180" s="1433">
        <f t="shared" si="27"/>
        <v>13025.78118801653</v>
      </c>
      <c r="BD180" s="1433">
        <f t="shared" si="28"/>
        <v>2347.8123243801656</v>
      </c>
      <c r="BE180" s="1433">
        <f t="shared" si="29"/>
        <v>0.4203409090909091</v>
      </c>
      <c r="BF180" s="1433">
        <f t="shared" si="30"/>
        <v>7731.7813326446285</v>
      </c>
      <c r="BG180" s="1433">
        <f t="shared" si="31"/>
        <v>2483.4209917355374</v>
      </c>
      <c r="BH180" s="1434">
        <f t="shared" si="32"/>
        <v>462.34619834710742</v>
      </c>
      <c r="BI180" s="1422">
        <v>9856</v>
      </c>
    </row>
    <row r="181" spans="1:61" ht="12.75" customHeight="1" thickBot="1">
      <c r="A181" s="1418" t="s">
        <v>237</v>
      </c>
      <c r="B181" s="1418" t="s">
        <v>238</v>
      </c>
      <c r="C181" s="1419">
        <v>1383</v>
      </c>
      <c r="D181" s="1420">
        <v>235.1</v>
      </c>
      <c r="E181" s="1420">
        <v>1269.28</v>
      </c>
      <c r="F181" s="1421">
        <v>-0.05</v>
      </c>
      <c r="G181" s="1420">
        <v>1357.12</v>
      </c>
      <c r="H181" s="1420">
        <v>1356.87</v>
      </c>
      <c r="I181" s="1422">
        <v>73600141</v>
      </c>
      <c r="J181" s="1422">
        <v>25</v>
      </c>
      <c r="K181" s="1422">
        <v>25</v>
      </c>
      <c r="L181" s="1422">
        <v>0</v>
      </c>
      <c r="M181" s="1422">
        <v>0</v>
      </c>
      <c r="N181" s="1420">
        <v>15.3</v>
      </c>
      <c r="O181" s="1420">
        <v>40.299999999999997</v>
      </c>
      <c r="P181" s="1438">
        <v>10610000</v>
      </c>
      <c r="Q181" s="1424">
        <v>2818472.58</v>
      </c>
      <c r="R181" s="1425">
        <f t="shared" si="22"/>
        <v>2818472.58</v>
      </c>
      <c r="S181" s="1436">
        <v>874.83</v>
      </c>
      <c r="T181" s="1427">
        <f t="shared" si="23"/>
        <v>874.83</v>
      </c>
      <c r="U181" s="1428">
        <v>6292300</v>
      </c>
      <c r="V181" s="1422">
        <v>9043</v>
      </c>
      <c r="W181" s="1422">
        <v>0</v>
      </c>
      <c r="X181" s="1422">
        <v>49118</v>
      </c>
      <c r="Y181" s="1422">
        <v>0</v>
      </c>
      <c r="Z181" s="1422">
        <v>0</v>
      </c>
      <c r="AA181" s="1422">
        <v>68069</v>
      </c>
      <c r="AB181" s="1422">
        <v>0</v>
      </c>
      <c r="AC181" s="1429">
        <v>0</v>
      </c>
      <c r="AD181" s="1422">
        <v>56120</v>
      </c>
      <c r="AE181" s="1420">
        <v>5207.58</v>
      </c>
      <c r="AF181" s="1422">
        <v>1150</v>
      </c>
      <c r="AG181" s="1422">
        <v>53347</v>
      </c>
      <c r="AH181" s="1422">
        <v>5567</v>
      </c>
      <c r="AI181" s="1422">
        <v>352656</v>
      </c>
      <c r="AJ181" s="1420">
        <v>38230.199999999997</v>
      </c>
      <c r="AK181" s="1420">
        <v>76646.039999999994</v>
      </c>
      <c r="AL181" s="1420">
        <v>5039.09</v>
      </c>
      <c r="AM181" s="1422">
        <v>0</v>
      </c>
      <c r="AN181" s="1429">
        <v>0</v>
      </c>
      <c r="AO181" s="1422">
        <v>0</v>
      </c>
      <c r="AP181" s="1420">
        <v>150319.47</v>
      </c>
      <c r="AQ181" s="1430">
        <f t="shared" si="24"/>
        <v>7162812.3799999999</v>
      </c>
      <c r="AR181" s="1431">
        <v>2020164.22</v>
      </c>
      <c r="AS181" s="1432">
        <v>3878.39</v>
      </c>
      <c r="AT181" s="1422">
        <v>0</v>
      </c>
      <c r="AU181" s="1420">
        <v>6587.49</v>
      </c>
      <c r="AV181" s="1420">
        <v>15561.5</v>
      </c>
      <c r="AW181" s="1422">
        <v>0</v>
      </c>
      <c r="AX181" s="1422">
        <v>0</v>
      </c>
      <c r="AY181" s="1420">
        <v>26027.38</v>
      </c>
      <c r="AZ181" s="1420">
        <v>473162.82</v>
      </c>
      <c r="BA181" s="1423">
        <f t="shared" si="25"/>
        <v>521339.19</v>
      </c>
      <c r="BB181" s="1420">
        <f t="shared" si="26"/>
        <v>12523663.199999999</v>
      </c>
      <c r="BC181" s="1433">
        <f t="shared" si="27"/>
        <v>9055.4325379609545</v>
      </c>
      <c r="BD181" s="1433">
        <f t="shared" si="28"/>
        <v>2037.9411279826465</v>
      </c>
      <c r="BE181" s="1433">
        <f t="shared" si="29"/>
        <v>0.63255965292841654</v>
      </c>
      <c r="BF181" s="1433">
        <f t="shared" si="30"/>
        <v>5179.1846565437454</v>
      </c>
      <c r="BG181" s="1433">
        <f t="shared" si="31"/>
        <v>1460.7116558206797</v>
      </c>
      <c r="BH181" s="1434">
        <f t="shared" si="32"/>
        <v>376.96253796095442</v>
      </c>
      <c r="BI181" s="1422">
        <v>8214</v>
      </c>
    </row>
    <row r="182" spans="1:61" ht="12.75" customHeight="1" thickBot="1">
      <c r="A182" s="1418" t="s">
        <v>239</v>
      </c>
      <c r="B182" s="1418" t="s">
        <v>240</v>
      </c>
      <c r="C182" s="1419">
        <v>613</v>
      </c>
      <c r="D182" s="1420">
        <v>298.23</v>
      </c>
      <c r="E182" s="1420">
        <v>577.80999999999995</v>
      </c>
      <c r="F182" s="1421">
        <v>-0.13</v>
      </c>
      <c r="G182" s="1420">
        <v>618.69000000000005</v>
      </c>
      <c r="H182" s="1420">
        <v>621.47</v>
      </c>
      <c r="I182" s="1422">
        <v>32440435</v>
      </c>
      <c r="J182" s="1422">
        <v>25</v>
      </c>
      <c r="K182" s="1422">
        <v>25</v>
      </c>
      <c r="L182" s="1422">
        <v>0</v>
      </c>
      <c r="M182" s="1422">
        <v>0</v>
      </c>
      <c r="N182" s="1420">
        <v>19.5</v>
      </c>
      <c r="O182" s="1420">
        <v>44.5</v>
      </c>
      <c r="P182" s="1438">
        <v>4665000</v>
      </c>
      <c r="Q182" s="1424">
        <v>1410020.29</v>
      </c>
      <c r="R182" s="1425">
        <f t="shared" si="22"/>
        <v>1410020.29</v>
      </c>
      <c r="S182" s="1436">
        <v>251.39</v>
      </c>
      <c r="T182" s="1427">
        <f t="shared" si="23"/>
        <v>251.39</v>
      </c>
      <c r="U182" s="1428">
        <v>2770848</v>
      </c>
      <c r="V182" s="1422">
        <v>0</v>
      </c>
      <c r="W182" s="1422">
        <v>7288</v>
      </c>
      <c r="X182" s="1422">
        <v>0</v>
      </c>
      <c r="Y182" s="1422">
        <v>0</v>
      </c>
      <c r="Z182" s="1422">
        <v>0</v>
      </c>
      <c r="AA182" s="1422">
        <v>44956</v>
      </c>
      <c r="AB182" s="1422">
        <v>0</v>
      </c>
      <c r="AC182" s="1429">
        <v>0</v>
      </c>
      <c r="AD182" s="1422">
        <v>25704</v>
      </c>
      <c r="AE182" s="1420">
        <v>1540.83</v>
      </c>
      <c r="AF182" s="1422">
        <v>100</v>
      </c>
      <c r="AG182" s="1422">
        <v>0</v>
      </c>
      <c r="AH182" s="1422">
        <v>0</v>
      </c>
      <c r="AI182" s="1422">
        <v>386877</v>
      </c>
      <c r="AJ182" s="1420">
        <v>2545.94</v>
      </c>
      <c r="AK182" s="1420">
        <v>14896.04</v>
      </c>
      <c r="AL182" s="1420">
        <v>2336.5100000000002</v>
      </c>
      <c r="AM182" s="1422">
        <v>0</v>
      </c>
      <c r="AN182" s="1429">
        <v>0</v>
      </c>
      <c r="AO182" s="1422">
        <v>0</v>
      </c>
      <c r="AP182" s="1422">
        <v>680631</v>
      </c>
      <c r="AQ182" s="1430">
        <f t="shared" si="24"/>
        <v>3937723.32</v>
      </c>
      <c r="AR182" s="1431">
        <v>1445503.5</v>
      </c>
      <c r="AS182" s="1432">
        <v>7392.99</v>
      </c>
      <c r="AT182" s="1422">
        <v>0</v>
      </c>
      <c r="AU182" s="1422">
        <v>0</v>
      </c>
      <c r="AV182" s="1422">
        <v>2068</v>
      </c>
      <c r="AW182" s="1420">
        <v>1032.53</v>
      </c>
      <c r="AX182" s="1420">
        <v>10401.120000000001</v>
      </c>
      <c r="AY182" s="1420">
        <v>20894.64</v>
      </c>
      <c r="AZ182" s="1420">
        <v>180650.81</v>
      </c>
      <c r="BA182" s="1423">
        <f t="shared" si="25"/>
        <v>215047.1</v>
      </c>
      <c r="BB182" s="1420">
        <f t="shared" si="26"/>
        <v>7008545.5999999996</v>
      </c>
      <c r="BC182" s="1433">
        <f t="shared" si="27"/>
        <v>11433.190212071777</v>
      </c>
      <c r="BD182" s="1433">
        <f t="shared" si="28"/>
        <v>2300.1962316476347</v>
      </c>
      <c r="BE182" s="1433">
        <f t="shared" si="29"/>
        <v>0.41009787928221858</v>
      </c>
      <c r="BF182" s="1433">
        <f t="shared" si="30"/>
        <v>6423.6922022838498</v>
      </c>
      <c r="BG182" s="1433">
        <f t="shared" si="31"/>
        <v>2358.0807504078302</v>
      </c>
      <c r="BH182" s="1434">
        <f t="shared" si="32"/>
        <v>350.81092985318111</v>
      </c>
      <c r="BI182" s="1422">
        <v>9736</v>
      </c>
    </row>
    <row r="183" spans="1:61" ht="12.75" customHeight="1" thickBot="1">
      <c r="A183" s="1418" t="s">
        <v>241</v>
      </c>
      <c r="B183" s="1418" t="s">
        <v>242</v>
      </c>
      <c r="C183" s="1419">
        <v>1614</v>
      </c>
      <c r="D183" s="1420">
        <v>70.09</v>
      </c>
      <c r="E183" s="1420">
        <v>1561.14</v>
      </c>
      <c r="F183" s="1421">
        <v>0.15</v>
      </c>
      <c r="G183" s="1420">
        <v>1618.31</v>
      </c>
      <c r="H183" s="1420">
        <v>1615.34</v>
      </c>
      <c r="I183" s="1422">
        <v>71124757</v>
      </c>
      <c r="J183" s="1422">
        <v>25</v>
      </c>
      <c r="K183" s="1422">
        <v>25</v>
      </c>
      <c r="L183" s="1422">
        <v>0</v>
      </c>
      <c r="M183" s="1422">
        <v>0</v>
      </c>
      <c r="N183" s="1420">
        <v>20.2</v>
      </c>
      <c r="O183" s="1420">
        <v>45.2</v>
      </c>
      <c r="P183" s="1423">
        <v>13656908.619999999</v>
      </c>
      <c r="Q183" s="1424">
        <v>2999156.5</v>
      </c>
      <c r="R183" s="1425">
        <f t="shared" si="22"/>
        <v>2999156.5</v>
      </c>
      <c r="S183" s="1436">
        <v>825.29</v>
      </c>
      <c r="T183" s="1427">
        <f t="shared" si="23"/>
        <v>825.29</v>
      </c>
      <c r="U183" s="1428">
        <v>8049119</v>
      </c>
      <c r="V183" s="1422">
        <v>13897</v>
      </c>
      <c r="W183" s="1422">
        <v>25340</v>
      </c>
      <c r="X183" s="1422">
        <v>0</v>
      </c>
      <c r="Y183" s="1422">
        <v>0</v>
      </c>
      <c r="Z183" s="1422">
        <v>0</v>
      </c>
      <c r="AA183" s="1422">
        <v>56518</v>
      </c>
      <c r="AB183" s="1422">
        <v>0</v>
      </c>
      <c r="AC183" s="1429">
        <v>0</v>
      </c>
      <c r="AD183" s="1422">
        <v>66810</v>
      </c>
      <c r="AE183" s="1420">
        <v>17873.25</v>
      </c>
      <c r="AF183" s="1422">
        <v>900</v>
      </c>
      <c r="AG183" s="1422">
        <v>42255</v>
      </c>
      <c r="AH183" s="1422">
        <v>10841</v>
      </c>
      <c r="AI183" s="1422">
        <v>342240</v>
      </c>
      <c r="AJ183" s="1420">
        <v>6617.48</v>
      </c>
      <c r="AK183" s="1420">
        <v>28166.76</v>
      </c>
      <c r="AL183" s="1420">
        <v>5133.24</v>
      </c>
      <c r="AM183" s="1422">
        <v>0</v>
      </c>
      <c r="AN183" s="1429">
        <v>0</v>
      </c>
      <c r="AO183" s="1422">
        <v>0</v>
      </c>
      <c r="AP183" s="1422">
        <v>258832</v>
      </c>
      <c r="AQ183" s="1430">
        <f t="shared" si="24"/>
        <v>8924542.7300000004</v>
      </c>
      <c r="AR183" s="1431">
        <v>1744555.72</v>
      </c>
      <c r="AS183" s="1432">
        <v>1523765.53</v>
      </c>
      <c r="AT183" s="1422">
        <v>0</v>
      </c>
      <c r="AU183" s="1422">
        <v>0</v>
      </c>
      <c r="AV183" s="1422">
        <v>3500</v>
      </c>
      <c r="AW183" s="1422">
        <v>0</v>
      </c>
      <c r="AX183" s="1422">
        <v>0</v>
      </c>
      <c r="AY183" s="1420">
        <v>1527265.53</v>
      </c>
      <c r="AZ183" s="1420">
        <v>720028.48</v>
      </c>
      <c r="BA183" s="1423">
        <f t="shared" si="25"/>
        <v>2250794.0099999998</v>
      </c>
      <c r="BB183" s="1420">
        <f t="shared" si="26"/>
        <v>15919874.25</v>
      </c>
      <c r="BC183" s="1433">
        <f t="shared" si="27"/>
        <v>9863.614776951672</v>
      </c>
      <c r="BD183" s="1433">
        <f t="shared" si="28"/>
        <v>1858.2134448574968</v>
      </c>
      <c r="BE183" s="1433">
        <f t="shared" si="29"/>
        <v>0.51133209417596037</v>
      </c>
      <c r="BF183" s="1433">
        <f t="shared" si="30"/>
        <v>5529.4564622057005</v>
      </c>
      <c r="BG183" s="1433">
        <f t="shared" si="31"/>
        <v>1080.889541511772</v>
      </c>
      <c r="BH183" s="1434">
        <f t="shared" si="32"/>
        <v>1394.5439962825278</v>
      </c>
      <c r="BI183" s="1422">
        <v>7555</v>
      </c>
    </row>
    <row r="184" spans="1:61" ht="12.75" customHeight="1" thickBot="1">
      <c r="A184" s="1418" t="s">
        <v>243</v>
      </c>
      <c r="B184" s="1418" t="s">
        <v>244</v>
      </c>
      <c r="C184" s="1419">
        <v>5175</v>
      </c>
      <c r="D184" s="1420">
        <v>99.5</v>
      </c>
      <c r="E184" s="1420">
        <v>4961.1099999999997</v>
      </c>
      <c r="F184" s="1421">
        <v>0.03</v>
      </c>
      <c r="G184" s="1420">
        <v>5122.08</v>
      </c>
      <c r="H184" s="1420">
        <v>5139.32</v>
      </c>
      <c r="I184" s="1422">
        <v>764348382</v>
      </c>
      <c r="J184" s="1420">
        <v>26.8</v>
      </c>
      <c r="K184" s="1422">
        <v>25</v>
      </c>
      <c r="L184" s="1420">
        <v>1.8</v>
      </c>
      <c r="M184" s="1420">
        <v>1.4</v>
      </c>
      <c r="N184" s="1420">
        <v>12.6</v>
      </c>
      <c r="O184" s="1420">
        <v>40.799999999999997</v>
      </c>
      <c r="P184" s="1423">
        <v>52528775.469999999</v>
      </c>
      <c r="Q184" s="1424">
        <v>29913377.449999999</v>
      </c>
      <c r="R184" s="1425">
        <f t="shared" si="22"/>
        <v>29913377.449999999</v>
      </c>
      <c r="S184" s="1436">
        <v>3231.26</v>
      </c>
      <c r="T184" s="1427">
        <f t="shared" si="23"/>
        <v>3231.26</v>
      </c>
      <c r="U184" s="1428">
        <v>12648080</v>
      </c>
      <c r="V184" s="1422">
        <v>57909</v>
      </c>
      <c r="W184" s="1422">
        <v>157269</v>
      </c>
      <c r="X184" s="1422">
        <v>0</v>
      </c>
      <c r="Y184" s="1422">
        <v>0</v>
      </c>
      <c r="Z184" s="1422">
        <v>0</v>
      </c>
      <c r="AA184" s="1422">
        <v>0</v>
      </c>
      <c r="AB184" s="1422">
        <v>0</v>
      </c>
      <c r="AC184" s="1435">
        <v>526151.94999999995</v>
      </c>
      <c r="AD184" s="1422">
        <v>212562</v>
      </c>
      <c r="AE184" s="1420">
        <v>29413.1</v>
      </c>
      <c r="AF184" s="1422">
        <v>15150</v>
      </c>
      <c r="AG184" s="1422">
        <v>274456</v>
      </c>
      <c r="AH184" s="1422">
        <v>150309</v>
      </c>
      <c r="AI184" s="1422">
        <v>1407648</v>
      </c>
      <c r="AJ184" s="1420">
        <v>336075.22</v>
      </c>
      <c r="AK184" s="1420">
        <v>795887.59</v>
      </c>
      <c r="AL184" s="1420">
        <v>18262.87</v>
      </c>
      <c r="AM184" s="1422">
        <v>0</v>
      </c>
      <c r="AN184" s="1429">
        <v>0</v>
      </c>
      <c r="AO184" s="1422">
        <v>0</v>
      </c>
      <c r="AP184" s="1422">
        <v>31823</v>
      </c>
      <c r="AQ184" s="1430">
        <f t="shared" si="24"/>
        <v>16134844.779999999</v>
      </c>
      <c r="AR184" s="1431">
        <v>9498128.1699999999</v>
      </c>
      <c r="AS184" s="1437">
        <v>916300</v>
      </c>
      <c r="AT184" s="1422">
        <v>0</v>
      </c>
      <c r="AU184" s="1422">
        <v>44000</v>
      </c>
      <c r="AV184" s="1420">
        <v>11587.5</v>
      </c>
      <c r="AW184" s="1420">
        <v>19333.29</v>
      </c>
      <c r="AX184" s="1422">
        <v>0</v>
      </c>
      <c r="AY184" s="1420">
        <v>991220.79</v>
      </c>
      <c r="AZ184" s="1420">
        <v>3416003.43</v>
      </c>
      <c r="BA184" s="1423">
        <f t="shared" si="25"/>
        <v>4482145.01</v>
      </c>
      <c r="BB184" s="1420">
        <f t="shared" si="26"/>
        <v>60031726.670000002</v>
      </c>
      <c r="BC184" s="1433">
        <f t="shared" si="27"/>
        <v>11600.333656038647</v>
      </c>
      <c r="BD184" s="1433">
        <f t="shared" si="28"/>
        <v>5780.3627922705309</v>
      </c>
      <c r="BE184" s="1433">
        <f t="shared" si="29"/>
        <v>0.62439806763285033</v>
      </c>
      <c r="BF184" s="1433">
        <f t="shared" si="30"/>
        <v>3117.844401932367</v>
      </c>
      <c r="BG184" s="1433">
        <f t="shared" si="31"/>
        <v>1835.3870859903382</v>
      </c>
      <c r="BH184" s="1434">
        <f t="shared" si="32"/>
        <v>866.11497777777777</v>
      </c>
      <c r="BI184" s="1422">
        <v>9844</v>
      </c>
    </row>
    <row r="185" spans="1:61" ht="12.75" customHeight="1" thickBot="1">
      <c r="A185" s="1418" t="s">
        <v>245</v>
      </c>
      <c r="B185" s="1418" t="s">
        <v>246</v>
      </c>
      <c r="C185" s="1419">
        <v>594</v>
      </c>
      <c r="D185" s="1420">
        <v>274.92</v>
      </c>
      <c r="E185" s="1420">
        <v>558.27</v>
      </c>
      <c r="F185" s="1421">
        <v>-7.0000000000000007E-2</v>
      </c>
      <c r="G185" s="1420">
        <v>590.53</v>
      </c>
      <c r="H185" s="1420">
        <v>602.77</v>
      </c>
      <c r="I185" s="1422">
        <v>41408581</v>
      </c>
      <c r="J185" s="1422">
        <v>25</v>
      </c>
      <c r="K185" s="1422">
        <v>25</v>
      </c>
      <c r="L185" s="1422">
        <v>0</v>
      </c>
      <c r="M185" s="1422">
        <v>0</v>
      </c>
      <c r="N185" s="1422">
        <v>5</v>
      </c>
      <c r="O185" s="1422">
        <v>30</v>
      </c>
      <c r="P185" s="1438">
        <v>1165000</v>
      </c>
      <c r="Q185" s="1424">
        <v>1165939.6499999999</v>
      </c>
      <c r="R185" s="1425">
        <f t="shared" si="22"/>
        <v>1165939.6499999999</v>
      </c>
      <c r="S185" s="1436">
        <v>3812.41</v>
      </c>
      <c r="T185" s="1427">
        <f t="shared" si="23"/>
        <v>3812.41</v>
      </c>
      <c r="U185" s="1428">
        <v>2592229</v>
      </c>
      <c r="V185" s="1422">
        <v>59629</v>
      </c>
      <c r="W185" s="1422">
        <v>0</v>
      </c>
      <c r="X185" s="1422">
        <v>29995</v>
      </c>
      <c r="Y185" s="1422">
        <v>0</v>
      </c>
      <c r="Z185" s="1422">
        <v>0</v>
      </c>
      <c r="AA185" s="1422">
        <v>0</v>
      </c>
      <c r="AB185" s="1422">
        <v>0</v>
      </c>
      <c r="AC185" s="1429">
        <v>240000</v>
      </c>
      <c r="AD185" s="1422">
        <v>24931</v>
      </c>
      <c r="AE185" s="1420">
        <v>3018.78</v>
      </c>
      <c r="AF185" s="1422">
        <v>50</v>
      </c>
      <c r="AG185" s="1422">
        <v>8654</v>
      </c>
      <c r="AH185" s="1422">
        <v>0</v>
      </c>
      <c r="AI185" s="1422">
        <v>189472</v>
      </c>
      <c r="AJ185" s="1420">
        <v>2469.35</v>
      </c>
      <c r="AK185" s="1422">
        <v>1625</v>
      </c>
      <c r="AL185" s="1420">
        <v>2263.89</v>
      </c>
      <c r="AM185" s="1422">
        <v>0</v>
      </c>
      <c r="AN185" s="1429">
        <v>97200</v>
      </c>
      <c r="AO185" s="1422">
        <v>0</v>
      </c>
      <c r="AP185" s="1422">
        <v>19141</v>
      </c>
      <c r="AQ185" s="1430">
        <f t="shared" si="24"/>
        <v>2933478.02</v>
      </c>
      <c r="AR185" s="1431">
        <v>821387.29</v>
      </c>
      <c r="AS185" s="1432">
        <v>37377.26</v>
      </c>
      <c r="AT185" s="1422">
        <v>0</v>
      </c>
      <c r="AU185" s="1420">
        <v>4822.68</v>
      </c>
      <c r="AV185" s="1422">
        <v>0</v>
      </c>
      <c r="AW185" s="1420">
        <v>23180.23</v>
      </c>
      <c r="AX185" s="1422">
        <v>0</v>
      </c>
      <c r="AY185" s="1420">
        <v>65380.17</v>
      </c>
      <c r="AZ185" s="1420">
        <v>344516.5</v>
      </c>
      <c r="BA185" s="1423">
        <f t="shared" si="25"/>
        <v>437899.58</v>
      </c>
      <c r="BB185" s="1420">
        <f t="shared" si="26"/>
        <v>5362516.9499999993</v>
      </c>
      <c r="BC185" s="1433">
        <f t="shared" si="27"/>
        <v>9027.806313131312</v>
      </c>
      <c r="BD185" s="1433">
        <f t="shared" si="28"/>
        <v>1962.8613636363634</v>
      </c>
      <c r="BE185" s="1433">
        <f t="shared" si="29"/>
        <v>6.4181986531986528</v>
      </c>
      <c r="BF185" s="1433">
        <f t="shared" si="30"/>
        <v>4938.5151851851851</v>
      </c>
      <c r="BG185" s="1433">
        <f t="shared" si="31"/>
        <v>1382.8068855218855</v>
      </c>
      <c r="BH185" s="1434">
        <f t="shared" si="32"/>
        <v>737.20468013468019</v>
      </c>
      <c r="BI185" s="1422">
        <v>8523</v>
      </c>
    </row>
    <row r="186" spans="1:61" ht="12.75" customHeight="1" thickBot="1">
      <c r="A186" s="1418" t="s">
        <v>247</v>
      </c>
      <c r="B186" s="1418" t="s">
        <v>248</v>
      </c>
      <c r="C186" s="1419">
        <v>637</v>
      </c>
      <c r="D186" s="1420">
        <v>375.11</v>
      </c>
      <c r="E186" s="1420">
        <v>620.04999999999995</v>
      </c>
      <c r="F186" s="1421">
        <v>-0.03</v>
      </c>
      <c r="G186" s="1420">
        <v>644.12</v>
      </c>
      <c r="H186" s="1420">
        <v>641.57000000000005</v>
      </c>
      <c r="I186" s="1422">
        <v>63948816</v>
      </c>
      <c r="J186" s="1420">
        <v>26.43</v>
      </c>
      <c r="K186" s="1422">
        <v>25</v>
      </c>
      <c r="L186" s="1420">
        <v>1.43</v>
      </c>
      <c r="M186" s="1422">
        <v>0</v>
      </c>
      <c r="N186" s="1420">
        <v>3.6</v>
      </c>
      <c r="O186" s="1420">
        <v>30.03</v>
      </c>
      <c r="P186" s="1423">
        <v>730863.5</v>
      </c>
      <c r="Q186" s="1424">
        <v>1791091.39</v>
      </c>
      <c r="R186" s="1425">
        <f t="shared" si="22"/>
        <v>1791091.39</v>
      </c>
      <c r="S186" s="1436">
        <v>4063.63</v>
      </c>
      <c r="T186" s="1427">
        <f t="shared" si="23"/>
        <v>4063.63</v>
      </c>
      <c r="U186" s="1428">
        <v>2251603</v>
      </c>
      <c r="V186" s="1422">
        <v>112532</v>
      </c>
      <c r="W186" s="1422">
        <v>20553</v>
      </c>
      <c r="X186" s="1422">
        <v>15117</v>
      </c>
      <c r="Y186" s="1422">
        <v>0</v>
      </c>
      <c r="Z186" s="1422">
        <v>0</v>
      </c>
      <c r="AA186" s="1422">
        <v>0</v>
      </c>
      <c r="AB186" s="1420">
        <v>2964.13</v>
      </c>
      <c r="AC186" s="1429">
        <v>0</v>
      </c>
      <c r="AD186" s="1422">
        <v>26535</v>
      </c>
      <c r="AE186" s="1420">
        <v>7448.63</v>
      </c>
      <c r="AF186" s="1422">
        <v>924</v>
      </c>
      <c r="AG186" s="1422">
        <v>10401</v>
      </c>
      <c r="AH186" s="1422">
        <v>0</v>
      </c>
      <c r="AI186" s="1422">
        <v>213280</v>
      </c>
      <c r="AJ186" s="1420">
        <v>59667.74</v>
      </c>
      <c r="AK186" s="1422">
        <v>0</v>
      </c>
      <c r="AL186" s="1420">
        <v>2554.27</v>
      </c>
      <c r="AM186" s="1422">
        <v>0</v>
      </c>
      <c r="AN186" s="1429">
        <v>118940</v>
      </c>
      <c r="AO186" s="1422">
        <v>0</v>
      </c>
      <c r="AP186" s="1422">
        <v>13599</v>
      </c>
      <c r="AQ186" s="1430">
        <f t="shared" si="24"/>
        <v>2737178.77</v>
      </c>
      <c r="AR186" s="1431">
        <v>908802.11</v>
      </c>
      <c r="AS186" s="1432">
        <v>215884.75</v>
      </c>
      <c r="AT186" s="1422">
        <v>0</v>
      </c>
      <c r="AU186" s="1422">
        <v>0</v>
      </c>
      <c r="AV186" s="1420">
        <v>26685.5</v>
      </c>
      <c r="AW186" s="1420">
        <v>20346.080000000002</v>
      </c>
      <c r="AX186" s="1422">
        <v>0</v>
      </c>
      <c r="AY186" s="1420">
        <v>262916.33</v>
      </c>
      <c r="AZ186" s="1420">
        <v>355226.17</v>
      </c>
      <c r="BA186" s="1423">
        <f t="shared" si="25"/>
        <v>665174.08000000007</v>
      </c>
      <c r="BB186" s="1420">
        <f t="shared" si="26"/>
        <v>6106309.9799999995</v>
      </c>
      <c r="BC186" s="1433">
        <f t="shared" si="27"/>
        <v>9586.0439246467813</v>
      </c>
      <c r="BD186" s="1433">
        <f t="shared" si="28"/>
        <v>2811.7604238618524</v>
      </c>
      <c r="BE186" s="1433">
        <f t="shared" si="29"/>
        <v>6.3793249607535323</v>
      </c>
      <c r="BF186" s="1433">
        <f t="shared" si="30"/>
        <v>4296.9839403453689</v>
      </c>
      <c r="BG186" s="1433">
        <f t="shared" si="31"/>
        <v>1426.6909105180534</v>
      </c>
      <c r="BH186" s="1434">
        <f t="shared" si="32"/>
        <v>1044.2293249607537</v>
      </c>
      <c r="BI186" s="1422">
        <v>8753</v>
      </c>
    </row>
    <row r="187" spans="1:61" ht="12.75" customHeight="1" thickBot="1">
      <c r="A187" s="1418" t="s">
        <v>249</v>
      </c>
      <c r="B187" s="1418" t="s">
        <v>250</v>
      </c>
      <c r="C187" s="1419">
        <v>24226</v>
      </c>
      <c r="D187" s="1420">
        <v>97.35</v>
      </c>
      <c r="E187" s="1420">
        <v>22994.71</v>
      </c>
      <c r="F187" s="1421">
        <v>-0.04</v>
      </c>
      <c r="G187" s="1420">
        <v>23788.44</v>
      </c>
      <c r="H187" s="1420">
        <v>22774.59</v>
      </c>
      <c r="I187" s="1422">
        <v>3176216510</v>
      </c>
      <c r="J187" s="1422">
        <v>32</v>
      </c>
      <c r="K187" s="1422">
        <v>25</v>
      </c>
      <c r="L187" s="1422">
        <v>7</v>
      </c>
      <c r="M187" s="1422">
        <v>2</v>
      </c>
      <c r="N187" s="1420">
        <v>12.4</v>
      </c>
      <c r="O187" s="1420">
        <v>46.4</v>
      </c>
      <c r="P187" s="1423">
        <v>203182402.15000001</v>
      </c>
      <c r="Q187" s="1424">
        <v>139616052.41</v>
      </c>
      <c r="R187" s="1425">
        <f t="shared" si="22"/>
        <v>139616052.41</v>
      </c>
      <c r="S187" s="1436">
        <v>21614.02</v>
      </c>
      <c r="T187" s="1427">
        <f t="shared" si="23"/>
        <v>21614.02</v>
      </c>
      <c r="U187" s="1428">
        <v>58441252</v>
      </c>
      <c r="V187" s="1422">
        <v>2765444</v>
      </c>
      <c r="W187" s="1422">
        <v>89426</v>
      </c>
      <c r="X187" s="1422">
        <v>0</v>
      </c>
      <c r="Y187" s="1422">
        <v>0</v>
      </c>
      <c r="Z187" s="1422">
        <v>0</v>
      </c>
      <c r="AA187" s="1422">
        <v>0</v>
      </c>
      <c r="AB187" s="1422">
        <v>0</v>
      </c>
      <c r="AC187" s="1435">
        <v>976293.62</v>
      </c>
      <c r="AD187" s="1422">
        <v>941957</v>
      </c>
      <c r="AE187" s="1422">
        <v>0</v>
      </c>
      <c r="AF187" s="1422">
        <v>4620</v>
      </c>
      <c r="AG187" s="1422">
        <v>2634287</v>
      </c>
      <c r="AH187" s="1422">
        <v>572815</v>
      </c>
      <c r="AI187" s="1422">
        <v>11243933</v>
      </c>
      <c r="AJ187" s="1420">
        <v>3487080.92</v>
      </c>
      <c r="AK187" s="1420">
        <v>1571238.25</v>
      </c>
      <c r="AL187" s="1420">
        <v>75215.27</v>
      </c>
      <c r="AM187" s="1422">
        <v>0</v>
      </c>
      <c r="AN187" s="1429">
        <v>5260561</v>
      </c>
      <c r="AO187" s="1420">
        <v>54336504.710000001</v>
      </c>
      <c r="AP187" s="1422">
        <v>37976</v>
      </c>
      <c r="AQ187" s="1430">
        <f t="shared" si="24"/>
        <v>136201749.15000001</v>
      </c>
      <c r="AR187" s="1431">
        <v>56665217.240000002</v>
      </c>
      <c r="AS187" s="1437">
        <v>0</v>
      </c>
      <c r="AT187" s="1422">
        <v>0</v>
      </c>
      <c r="AU187" s="1420">
        <v>777113.15</v>
      </c>
      <c r="AV187" s="1422">
        <v>0</v>
      </c>
      <c r="AW187" s="1422">
        <v>0</v>
      </c>
      <c r="AX187" s="1422">
        <v>0</v>
      </c>
      <c r="AY187" s="1420">
        <v>777113.15</v>
      </c>
      <c r="AZ187" s="1420">
        <v>15071921.68</v>
      </c>
      <c r="BA187" s="1423">
        <f t="shared" si="25"/>
        <v>16626147.98</v>
      </c>
      <c r="BB187" s="1420">
        <f t="shared" si="26"/>
        <v>349130780.80000001</v>
      </c>
      <c r="BC187" s="1433">
        <f t="shared" si="27"/>
        <v>14411.408437216214</v>
      </c>
      <c r="BD187" s="1433">
        <f t="shared" si="28"/>
        <v>5763.0666395608023</v>
      </c>
      <c r="BE187" s="1433">
        <f t="shared" si="29"/>
        <v>0.89218277883265917</v>
      </c>
      <c r="BF187" s="1433">
        <f t="shared" si="30"/>
        <v>5622.1311462891108</v>
      </c>
      <c r="BG187" s="1433">
        <f t="shared" si="31"/>
        <v>2339.0249005201026</v>
      </c>
      <c r="BH187" s="1434">
        <f t="shared" si="32"/>
        <v>686.29356806736564</v>
      </c>
      <c r="BI187" s="1420">
        <v>12851.3777304</v>
      </c>
    </row>
    <row r="188" spans="1:61" ht="12.75" customHeight="1" thickBot="1">
      <c r="A188" s="1418" t="s">
        <v>251</v>
      </c>
      <c r="B188" s="1418" t="s">
        <v>252</v>
      </c>
      <c r="C188" s="1419">
        <v>8862</v>
      </c>
      <c r="D188" s="1420">
        <v>28.65</v>
      </c>
      <c r="E188" s="1420">
        <v>8301.74</v>
      </c>
      <c r="F188" s="1421">
        <v>0</v>
      </c>
      <c r="G188" s="1420">
        <v>8729.74</v>
      </c>
      <c r="H188" s="1420">
        <v>8814.5</v>
      </c>
      <c r="I188" s="1422">
        <v>719817762</v>
      </c>
      <c r="J188" s="1420">
        <v>28.7</v>
      </c>
      <c r="K188" s="1422">
        <v>25</v>
      </c>
      <c r="L188" s="1420">
        <v>3.7</v>
      </c>
      <c r="M188" s="1420">
        <v>2.9</v>
      </c>
      <c r="N188" s="1420">
        <v>9.3000000000000007</v>
      </c>
      <c r="O188" s="1420">
        <v>40.9</v>
      </c>
      <c r="P188" s="1423">
        <v>31783870.59</v>
      </c>
      <c r="Q188" s="1424">
        <v>26161544.420000002</v>
      </c>
      <c r="R188" s="1425">
        <f t="shared" si="22"/>
        <v>26161544.420000002</v>
      </c>
      <c r="S188" s="1436">
        <v>10954.26</v>
      </c>
      <c r="T188" s="1427">
        <f t="shared" si="23"/>
        <v>10954.26</v>
      </c>
      <c r="U188" s="1428">
        <v>35784992</v>
      </c>
      <c r="V188" s="1422">
        <v>335882</v>
      </c>
      <c r="W188" s="1422">
        <v>0</v>
      </c>
      <c r="X188" s="1422">
        <v>0</v>
      </c>
      <c r="Y188" s="1422">
        <v>0</v>
      </c>
      <c r="Z188" s="1422">
        <v>0</v>
      </c>
      <c r="AA188" s="1422">
        <v>0</v>
      </c>
      <c r="AB188" s="1420">
        <v>7134.18</v>
      </c>
      <c r="AC188" s="1429">
        <v>0</v>
      </c>
      <c r="AD188" s="1422">
        <v>364568</v>
      </c>
      <c r="AE188" s="1420">
        <v>160402.10999999999</v>
      </c>
      <c r="AF188" s="1422">
        <v>11211</v>
      </c>
      <c r="AG188" s="1422">
        <v>618510</v>
      </c>
      <c r="AH188" s="1422">
        <v>108410</v>
      </c>
      <c r="AI188" s="1422">
        <v>2897632</v>
      </c>
      <c r="AJ188" s="1420">
        <v>1613033.59</v>
      </c>
      <c r="AK188" s="1420">
        <v>6850.94</v>
      </c>
      <c r="AL188" s="1420">
        <v>27674.03</v>
      </c>
      <c r="AM188" s="1422">
        <v>0</v>
      </c>
      <c r="AN188" s="1435">
        <v>2778312.92</v>
      </c>
      <c r="AO188" s="1420">
        <v>9792892.5700000003</v>
      </c>
      <c r="AP188" s="1420">
        <v>3053855.97</v>
      </c>
      <c r="AQ188" s="1430">
        <f t="shared" si="24"/>
        <v>54783048.390000001</v>
      </c>
      <c r="AR188" s="1431">
        <v>22200098.940000001</v>
      </c>
      <c r="AS188" s="1437">
        <v>0</v>
      </c>
      <c r="AT188" s="1422">
        <v>0</v>
      </c>
      <c r="AU188" s="1422">
        <v>0</v>
      </c>
      <c r="AV188" s="1422">
        <v>722</v>
      </c>
      <c r="AW188" s="1420">
        <v>92725.66</v>
      </c>
      <c r="AX188" s="1422">
        <v>0</v>
      </c>
      <c r="AY188" s="1420">
        <v>93447.66</v>
      </c>
      <c r="AZ188" s="1420">
        <v>6699488.4800000004</v>
      </c>
      <c r="BA188" s="1423">
        <f t="shared" si="25"/>
        <v>6886383.8000000007</v>
      </c>
      <c r="BB188" s="1420">
        <f t="shared" si="26"/>
        <v>110042029.81</v>
      </c>
      <c r="BC188" s="1433">
        <f t="shared" si="27"/>
        <v>12417.290657865042</v>
      </c>
      <c r="BD188" s="1433">
        <f t="shared" si="28"/>
        <v>2952.1038614308286</v>
      </c>
      <c r="BE188" s="1433">
        <f t="shared" si="29"/>
        <v>1.236093432633717</v>
      </c>
      <c r="BF188" s="1433">
        <f t="shared" si="30"/>
        <v>6181.7928672985781</v>
      </c>
      <c r="BG188" s="1433">
        <f t="shared" si="31"/>
        <v>2505.0890250507787</v>
      </c>
      <c r="BH188" s="1434">
        <f t="shared" si="32"/>
        <v>777.06881065222308</v>
      </c>
      <c r="BI188" s="1422">
        <v>11118</v>
      </c>
    </row>
    <row r="189" spans="1:61" ht="12.75" customHeight="1" thickBot="1">
      <c r="A189" s="1442" t="s">
        <v>253</v>
      </c>
      <c r="B189" s="1442" t="s">
        <v>254</v>
      </c>
      <c r="C189" s="1419">
        <v>16828</v>
      </c>
      <c r="D189" s="1420">
        <v>729.83</v>
      </c>
      <c r="E189" s="1420">
        <v>15651.58</v>
      </c>
      <c r="F189" s="1421">
        <v>-0.06</v>
      </c>
      <c r="G189" s="1422">
        <v>16618</v>
      </c>
      <c r="H189" s="1420">
        <v>16740.45</v>
      </c>
      <c r="I189" s="1422">
        <v>2352330997</v>
      </c>
      <c r="J189" s="1422">
        <v>25</v>
      </c>
      <c r="K189" s="1422">
        <v>25</v>
      </c>
      <c r="L189" s="1422">
        <v>0</v>
      </c>
      <c r="M189" s="1420">
        <v>0.9</v>
      </c>
      <c r="N189" s="1420">
        <v>14.8</v>
      </c>
      <c r="O189" s="1420">
        <v>40.700000000000003</v>
      </c>
      <c r="P189" s="1423">
        <v>149919256.30000001</v>
      </c>
      <c r="Q189" s="1424">
        <v>90455039.609999999</v>
      </c>
      <c r="R189" s="1425">
        <f t="shared" si="22"/>
        <v>90455039.609999999</v>
      </c>
      <c r="S189" s="1436">
        <v>83349.55</v>
      </c>
      <c r="T189" s="1427">
        <f t="shared" si="23"/>
        <v>83349.55</v>
      </c>
      <c r="U189" s="1428">
        <v>44313364</v>
      </c>
      <c r="V189" s="1422">
        <v>940437</v>
      </c>
      <c r="W189" s="1422">
        <v>0</v>
      </c>
      <c r="X189" s="1422">
        <v>528488</v>
      </c>
      <c r="Y189" s="1422">
        <v>0</v>
      </c>
      <c r="Z189" s="1422">
        <v>0</v>
      </c>
      <c r="AA189" s="1422">
        <v>0</v>
      </c>
      <c r="AB189" s="1422">
        <v>0</v>
      </c>
      <c r="AC189" s="1435">
        <v>917128.97</v>
      </c>
      <c r="AD189" s="1422">
        <v>692385</v>
      </c>
      <c r="AE189" s="1420">
        <v>99762.19</v>
      </c>
      <c r="AF189" s="1422">
        <v>15900</v>
      </c>
      <c r="AG189" s="1422">
        <v>412313</v>
      </c>
      <c r="AH189" s="1422">
        <v>98155</v>
      </c>
      <c r="AI189" s="1422">
        <v>4325120</v>
      </c>
      <c r="AJ189" s="1420">
        <v>2698756.67</v>
      </c>
      <c r="AK189" s="1420">
        <v>171929.66</v>
      </c>
      <c r="AL189" s="1420">
        <v>56119.23</v>
      </c>
      <c r="AM189" s="1422">
        <v>0</v>
      </c>
      <c r="AN189" s="1429">
        <v>3368596</v>
      </c>
      <c r="AO189" s="1420">
        <v>19981259.5</v>
      </c>
      <c r="AP189" s="1420">
        <v>7110566.9699999997</v>
      </c>
      <c r="AQ189" s="1430">
        <f t="shared" si="24"/>
        <v>81444556.219999999</v>
      </c>
      <c r="AR189" s="1431">
        <v>27933437.52</v>
      </c>
      <c r="AS189" s="1432">
        <v>689204.09</v>
      </c>
      <c r="AT189" s="1422">
        <v>0</v>
      </c>
      <c r="AU189" s="1420">
        <v>237262.34</v>
      </c>
      <c r="AV189" s="1420">
        <v>11722.3</v>
      </c>
      <c r="AW189" s="1420">
        <v>371021.48</v>
      </c>
      <c r="AX189" s="1422">
        <v>0</v>
      </c>
      <c r="AY189" s="1420">
        <v>1309210.21</v>
      </c>
      <c r="AZ189" s="1420">
        <v>6315658.8899999997</v>
      </c>
      <c r="BA189" s="1423">
        <f t="shared" si="25"/>
        <v>8244875.2199999997</v>
      </c>
      <c r="BB189" s="1420">
        <f t="shared" si="26"/>
        <v>208161258.12</v>
      </c>
      <c r="BC189" s="1433">
        <f t="shared" si="27"/>
        <v>12369.934521036368</v>
      </c>
      <c r="BD189" s="1433">
        <f t="shared" si="28"/>
        <v>5375.2697652721654</v>
      </c>
      <c r="BE189" s="1433">
        <f t="shared" si="29"/>
        <v>4.953027691942002</v>
      </c>
      <c r="BF189" s="1433">
        <f t="shared" si="30"/>
        <v>4839.8238780603751</v>
      </c>
      <c r="BG189" s="1433">
        <f t="shared" si="31"/>
        <v>1659.9380508676015</v>
      </c>
      <c r="BH189" s="1434">
        <f t="shared" si="32"/>
        <v>489.9497991442833</v>
      </c>
      <c r="BI189" s="1422">
        <v>11391</v>
      </c>
    </row>
    <row r="190" spans="1:61" ht="12.75" customHeight="1" thickBot="1">
      <c r="A190" s="1418" t="s">
        <v>255</v>
      </c>
      <c r="B190" s="1418" t="s">
        <v>256</v>
      </c>
      <c r="C190" s="1419">
        <v>519</v>
      </c>
      <c r="D190" s="1420">
        <v>201.67</v>
      </c>
      <c r="E190" s="1420">
        <v>497.94</v>
      </c>
      <c r="F190" s="1421">
        <v>0.03</v>
      </c>
      <c r="G190" s="1420">
        <v>520.89</v>
      </c>
      <c r="H190" s="1420">
        <v>470.45</v>
      </c>
      <c r="I190" s="1422">
        <v>25409564</v>
      </c>
      <c r="J190" s="1420">
        <v>25.2</v>
      </c>
      <c r="K190" s="1422">
        <v>25</v>
      </c>
      <c r="L190" s="1420">
        <v>0.2</v>
      </c>
      <c r="M190" s="1422">
        <v>3</v>
      </c>
      <c r="N190" s="1420">
        <v>2.5</v>
      </c>
      <c r="O190" s="1420">
        <v>30.7</v>
      </c>
      <c r="P190" s="1423">
        <v>236378.4</v>
      </c>
      <c r="Q190" s="1424">
        <v>653626.15</v>
      </c>
      <c r="R190" s="1425">
        <f t="shared" si="22"/>
        <v>653626.15</v>
      </c>
      <c r="S190" s="1426">
        <v>0</v>
      </c>
      <c r="T190" s="1427">
        <f t="shared" si="23"/>
        <v>0</v>
      </c>
      <c r="U190" s="1428">
        <v>2473056</v>
      </c>
      <c r="V190" s="1422">
        <v>26321</v>
      </c>
      <c r="W190" s="1422">
        <v>144818</v>
      </c>
      <c r="X190" s="1422">
        <v>0</v>
      </c>
      <c r="Y190" s="1422">
        <v>146505</v>
      </c>
      <c r="Z190" s="1422">
        <v>12022</v>
      </c>
      <c r="AA190" s="1422">
        <v>20789</v>
      </c>
      <c r="AB190" s="1422">
        <v>0</v>
      </c>
      <c r="AC190" s="1429">
        <v>0</v>
      </c>
      <c r="AD190" s="1422">
        <v>20538</v>
      </c>
      <c r="AE190" s="1420">
        <v>2468.65</v>
      </c>
      <c r="AF190" s="1422">
        <v>150</v>
      </c>
      <c r="AG190" s="1422">
        <v>1947</v>
      </c>
      <c r="AH190" s="1422">
        <v>0</v>
      </c>
      <c r="AI190" s="1422">
        <v>358595</v>
      </c>
      <c r="AJ190" s="1420">
        <v>1927.3</v>
      </c>
      <c r="AK190" s="1422">
        <v>0</v>
      </c>
      <c r="AL190" s="1420">
        <v>2096.04</v>
      </c>
      <c r="AM190" s="1422">
        <v>0</v>
      </c>
      <c r="AN190" s="1429">
        <v>0</v>
      </c>
      <c r="AO190" s="1422">
        <v>0</v>
      </c>
      <c r="AP190" s="1420">
        <v>165058.10999999999</v>
      </c>
      <c r="AQ190" s="1430">
        <f t="shared" si="24"/>
        <v>3376291.0999999996</v>
      </c>
      <c r="AR190" s="1431">
        <v>1079912.6299999999</v>
      </c>
      <c r="AS190" s="1432">
        <v>76378.399999999994</v>
      </c>
      <c r="AT190" s="1422">
        <v>0</v>
      </c>
      <c r="AU190" s="1422">
        <v>0</v>
      </c>
      <c r="AV190" s="1422">
        <v>125</v>
      </c>
      <c r="AW190" s="1422">
        <v>0</v>
      </c>
      <c r="AX190" s="1422">
        <v>0</v>
      </c>
      <c r="AY190" s="1420">
        <v>76503.399999999994</v>
      </c>
      <c r="AZ190" s="1420">
        <v>208244.84</v>
      </c>
      <c r="BA190" s="1423">
        <f t="shared" si="25"/>
        <v>284873.24</v>
      </c>
      <c r="BB190" s="1420">
        <f t="shared" si="26"/>
        <v>5394703.1200000001</v>
      </c>
      <c r="BC190" s="1433">
        <f t="shared" si="27"/>
        <v>10394.418342967245</v>
      </c>
      <c r="BD190" s="1433">
        <f t="shared" si="28"/>
        <v>1259.3952793834296</v>
      </c>
      <c r="BE190" s="1433">
        <f t="shared" si="29"/>
        <v>0</v>
      </c>
      <c r="BF190" s="1433">
        <f t="shared" si="30"/>
        <v>6505.3778420038525</v>
      </c>
      <c r="BG190" s="1433">
        <f t="shared" si="31"/>
        <v>2080.7565125240844</v>
      </c>
      <c r="BH190" s="1434">
        <f t="shared" si="32"/>
        <v>548.88870905587669</v>
      </c>
      <c r="BI190" s="1422">
        <v>8655</v>
      </c>
    </row>
    <row r="191" spans="1:61" ht="12.75" customHeight="1" thickBot="1">
      <c r="A191" s="1418" t="s">
        <v>257</v>
      </c>
      <c r="B191" s="1418" t="s">
        <v>258</v>
      </c>
      <c r="C191" s="1419">
        <v>1816</v>
      </c>
      <c r="D191" s="1420">
        <v>199.28</v>
      </c>
      <c r="E191" s="1420">
        <v>1734.41</v>
      </c>
      <c r="F191" s="1421">
        <v>-0.03</v>
      </c>
      <c r="G191" s="1420">
        <v>1819.36</v>
      </c>
      <c r="H191" s="1420">
        <v>1831.14</v>
      </c>
      <c r="I191" s="1422">
        <v>118666424</v>
      </c>
      <c r="J191" s="1422">
        <v>25</v>
      </c>
      <c r="K191" s="1422">
        <v>25</v>
      </c>
      <c r="L191" s="1422">
        <v>0</v>
      </c>
      <c r="M191" s="1422">
        <v>0</v>
      </c>
      <c r="N191" s="1420">
        <v>4.37</v>
      </c>
      <c r="O191" s="1420">
        <v>29.37</v>
      </c>
      <c r="P191" s="1438">
        <v>3530000</v>
      </c>
      <c r="Q191" s="1424">
        <v>3039787.65</v>
      </c>
      <c r="R191" s="1425">
        <f t="shared" si="22"/>
        <v>3039787.65</v>
      </c>
      <c r="S191" s="1426">
        <v>0</v>
      </c>
      <c r="T191" s="1427">
        <f t="shared" si="23"/>
        <v>0</v>
      </c>
      <c r="U191" s="1428">
        <v>8351773</v>
      </c>
      <c r="V191" s="1422">
        <v>162448</v>
      </c>
      <c r="W191" s="1422">
        <v>0</v>
      </c>
      <c r="X191" s="1422">
        <v>0</v>
      </c>
      <c r="Y191" s="1422">
        <v>6104</v>
      </c>
      <c r="Z191" s="1422">
        <v>501</v>
      </c>
      <c r="AA191" s="1422">
        <v>0</v>
      </c>
      <c r="AB191" s="1422">
        <v>0</v>
      </c>
      <c r="AC191" s="1429">
        <v>0</v>
      </c>
      <c r="AD191" s="1422">
        <v>75781</v>
      </c>
      <c r="AE191" s="1420">
        <v>17087.599999999999</v>
      </c>
      <c r="AF191" s="1422">
        <v>900</v>
      </c>
      <c r="AG191" s="1422">
        <v>33484</v>
      </c>
      <c r="AH191" s="1422">
        <v>0</v>
      </c>
      <c r="AI191" s="1422">
        <v>548028</v>
      </c>
      <c r="AJ191" s="1420">
        <v>320827.59000000003</v>
      </c>
      <c r="AK191" s="1422">
        <v>0</v>
      </c>
      <c r="AL191" s="1420">
        <v>7190.42</v>
      </c>
      <c r="AM191" s="1422">
        <v>0</v>
      </c>
      <c r="AN191" s="1429">
        <v>194400</v>
      </c>
      <c r="AO191" s="1422">
        <v>0</v>
      </c>
      <c r="AP191" s="1422">
        <v>74171</v>
      </c>
      <c r="AQ191" s="1430">
        <f t="shared" si="24"/>
        <v>9598295.6099999994</v>
      </c>
      <c r="AR191" s="1431">
        <v>3921618.32</v>
      </c>
      <c r="AS191" s="1437">
        <v>0</v>
      </c>
      <c r="AT191" s="1422">
        <v>0</v>
      </c>
      <c r="AU191" s="1420">
        <v>6614.45</v>
      </c>
      <c r="AV191" s="1422">
        <v>0</v>
      </c>
      <c r="AW191" s="1420">
        <v>440046.91</v>
      </c>
      <c r="AX191" s="1422">
        <v>0</v>
      </c>
      <c r="AY191" s="1420">
        <v>446661.36</v>
      </c>
      <c r="AZ191" s="1420">
        <v>887643.66</v>
      </c>
      <c r="BA191" s="1423">
        <f t="shared" si="25"/>
        <v>1780966.38</v>
      </c>
      <c r="BB191" s="1420">
        <f t="shared" si="26"/>
        <v>18340667.959999997</v>
      </c>
      <c r="BC191" s="1433">
        <f t="shared" si="27"/>
        <v>10099.486762114537</v>
      </c>
      <c r="BD191" s="1433">
        <f t="shared" si="28"/>
        <v>1673.891877753304</v>
      </c>
      <c r="BE191" s="1433">
        <f t="shared" si="29"/>
        <v>0</v>
      </c>
      <c r="BF191" s="1433">
        <f t="shared" si="30"/>
        <v>5285.405071585903</v>
      </c>
      <c r="BG191" s="1433">
        <f t="shared" si="31"/>
        <v>2159.4814537444931</v>
      </c>
      <c r="BH191" s="1434">
        <f t="shared" si="32"/>
        <v>980.70835903083696</v>
      </c>
      <c r="BI191" s="1422">
        <v>7812</v>
      </c>
    </row>
    <row r="192" spans="1:61" ht="12.75" customHeight="1" thickBot="1">
      <c r="A192" s="1418" t="s">
        <v>259</v>
      </c>
      <c r="B192" s="1418" t="s">
        <v>260</v>
      </c>
      <c r="C192" s="1419">
        <v>3175</v>
      </c>
      <c r="D192" s="1420">
        <v>345.41</v>
      </c>
      <c r="E192" s="1420">
        <v>2937.13</v>
      </c>
      <c r="F192" s="1421">
        <v>-0.17</v>
      </c>
      <c r="G192" s="1420">
        <v>3138.09</v>
      </c>
      <c r="H192" s="1420">
        <v>3271.4</v>
      </c>
      <c r="I192" s="1422">
        <v>164698965</v>
      </c>
      <c r="J192" s="1422">
        <v>25</v>
      </c>
      <c r="K192" s="1422">
        <v>25</v>
      </c>
      <c r="L192" s="1422">
        <v>0</v>
      </c>
      <c r="M192" s="1422">
        <v>0</v>
      </c>
      <c r="N192" s="1420">
        <v>7.6</v>
      </c>
      <c r="O192" s="1420">
        <v>32.6</v>
      </c>
      <c r="P192" s="1438">
        <v>15255000</v>
      </c>
      <c r="Q192" s="1424">
        <v>5147203.3600000003</v>
      </c>
      <c r="R192" s="1425">
        <f t="shared" si="22"/>
        <v>5147203.3600000003</v>
      </c>
      <c r="S192" s="1426">
        <v>0</v>
      </c>
      <c r="T192" s="1427">
        <f t="shared" si="23"/>
        <v>0</v>
      </c>
      <c r="U192" s="1428">
        <v>15699208</v>
      </c>
      <c r="V192" s="1422">
        <v>140345</v>
      </c>
      <c r="W192" s="1422">
        <v>0</v>
      </c>
      <c r="X192" s="1422">
        <v>449105</v>
      </c>
      <c r="Y192" s="1422">
        <v>0</v>
      </c>
      <c r="Z192" s="1422">
        <v>0</v>
      </c>
      <c r="AA192" s="1422">
        <v>71890</v>
      </c>
      <c r="AB192" s="1422">
        <v>56571</v>
      </c>
      <c r="AC192" s="1435">
        <v>99575.53</v>
      </c>
      <c r="AD192" s="1422">
        <v>135305</v>
      </c>
      <c r="AE192" s="1420">
        <v>38074.17</v>
      </c>
      <c r="AF192" s="1422">
        <v>1200</v>
      </c>
      <c r="AG192" s="1422">
        <v>160204</v>
      </c>
      <c r="AH192" s="1422">
        <v>5274</v>
      </c>
      <c r="AI192" s="1422">
        <v>2639712</v>
      </c>
      <c r="AJ192" s="1420">
        <v>374107.08</v>
      </c>
      <c r="AK192" s="1420">
        <v>71235.33</v>
      </c>
      <c r="AL192" s="1420">
        <v>15506.38</v>
      </c>
      <c r="AM192" s="1422">
        <v>0</v>
      </c>
      <c r="AN192" s="1435">
        <v>1119498.8</v>
      </c>
      <c r="AO192" s="1422">
        <v>0</v>
      </c>
      <c r="AP192" s="1420">
        <v>3173103.4</v>
      </c>
      <c r="AQ192" s="1430">
        <f t="shared" si="24"/>
        <v>23030840.359999992</v>
      </c>
      <c r="AR192" s="1431">
        <v>9561397.2599999998</v>
      </c>
      <c r="AS192" s="1437">
        <v>0</v>
      </c>
      <c r="AT192" s="1422">
        <v>0</v>
      </c>
      <c r="AU192" s="1420">
        <v>91608.73</v>
      </c>
      <c r="AV192" s="1420">
        <v>50.4</v>
      </c>
      <c r="AW192" s="1420">
        <v>5350.11</v>
      </c>
      <c r="AX192" s="1422">
        <v>0</v>
      </c>
      <c r="AY192" s="1420">
        <v>97009.24</v>
      </c>
      <c r="AZ192" s="1420">
        <v>1090230.06</v>
      </c>
      <c r="BA192" s="1423">
        <f t="shared" si="25"/>
        <v>1284248.54</v>
      </c>
      <c r="BB192" s="1420">
        <f t="shared" si="26"/>
        <v>39023689.519999996</v>
      </c>
      <c r="BC192" s="1433">
        <f t="shared" si="27"/>
        <v>12290.925833070865</v>
      </c>
      <c r="BD192" s="1433">
        <f t="shared" si="28"/>
        <v>1621.1664125984253</v>
      </c>
      <c r="BE192" s="1433">
        <f t="shared" si="29"/>
        <v>0</v>
      </c>
      <c r="BF192" s="1433">
        <f t="shared" si="30"/>
        <v>7253.8079874015721</v>
      </c>
      <c r="BG192" s="1433">
        <f t="shared" si="31"/>
        <v>3011.4637039370077</v>
      </c>
      <c r="BH192" s="1434">
        <f t="shared" si="32"/>
        <v>404.48772913385829</v>
      </c>
      <c r="BI192" s="1422">
        <v>11383</v>
      </c>
    </row>
    <row r="193" spans="1:61" ht="12.75" customHeight="1" thickBot="1">
      <c r="A193" s="1418" t="s">
        <v>261</v>
      </c>
      <c r="B193" s="1418" t="s">
        <v>262</v>
      </c>
      <c r="C193" s="1419">
        <v>424</v>
      </c>
      <c r="D193" s="1420">
        <v>242.18</v>
      </c>
      <c r="E193" s="1420">
        <v>380.9</v>
      </c>
      <c r="F193" s="1421">
        <v>-0.3</v>
      </c>
      <c r="G193" s="1420">
        <v>414.73</v>
      </c>
      <c r="H193" s="1420">
        <v>424.77</v>
      </c>
      <c r="I193" s="1422">
        <v>50397589</v>
      </c>
      <c r="J193" s="1422">
        <v>37</v>
      </c>
      <c r="K193" s="1422">
        <v>25</v>
      </c>
      <c r="L193" s="1422">
        <v>12</v>
      </c>
      <c r="M193" s="1422">
        <v>0</v>
      </c>
      <c r="N193" s="1420">
        <v>2.4</v>
      </c>
      <c r="O193" s="1420">
        <v>39.4</v>
      </c>
      <c r="P193" s="1423">
        <v>662583.92000000004</v>
      </c>
      <c r="Q193" s="1424">
        <v>2192884.5099999998</v>
      </c>
      <c r="R193" s="1425">
        <f t="shared" si="22"/>
        <v>2192884.5099999998</v>
      </c>
      <c r="S193" s="1426">
        <v>0</v>
      </c>
      <c r="T193" s="1427">
        <f t="shared" si="23"/>
        <v>0</v>
      </c>
      <c r="U193" s="1428">
        <v>1359874</v>
      </c>
      <c r="V193" s="1422">
        <v>41745</v>
      </c>
      <c r="W193" s="1422">
        <v>316</v>
      </c>
      <c r="X193" s="1422">
        <v>0</v>
      </c>
      <c r="Y193" s="1422">
        <v>0</v>
      </c>
      <c r="Z193" s="1422">
        <v>0</v>
      </c>
      <c r="AA193" s="1422">
        <v>0</v>
      </c>
      <c r="AB193" s="1422">
        <v>0</v>
      </c>
      <c r="AC193" s="1429">
        <v>0</v>
      </c>
      <c r="AD193" s="1422">
        <v>17568</v>
      </c>
      <c r="AE193" s="1420">
        <v>118340.7</v>
      </c>
      <c r="AF193" s="1422">
        <v>384717</v>
      </c>
      <c r="AG193" s="1422">
        <v>27344</v>
      </c>
      <c r="AH193" s="1422">
        <v>0</v>
      </c>
      <c r="AI193" s="1422">
        <v>346208</v>
      </c>
      <c r="AJ193" s="1420">
        <v>1438.71</v>
      </c>
      <c r="AK193" s="1420">
        <v>9750.32</v>
      </c>
      <c r="AL193" s="1420">
        <v>1940.34</v>
      </c>
      <c r="AM193" s="1422">
        <v>0</v>
      </c>
      <c r="AN193" s="1429">
        <v>0</v>
      </c>
      <c r="AO193" s="1422">
        <v>0</v>
      </c>
      <c r="AP193" s="1422">
        <v>9297</v>
      </c>
      <c r="AQ193" s="1430">
        <f t="shared" si="24"/>
        <v>2318539.0699999998</v>
      </c>
      <c r="AR193" s="1431">
        <v>1492251.39</v>
      </c>
      <c r="AS193" s="1437">
        <v>0</v>
      </c>
      <c r="AT193" s="1422">
        <v>0</v>
      </c>
      <c r="AU193" s="1422">
        <v>0</v>
      </c>
      <c r="AV193" s="1422">
        <v>0</v>
      </c>
      <c r="AW193" s="1422">
        <v>0</v>
      </c>
      <c r="AX193" s="1422">
        <v>0</v>
      </c>
      <c r="AY193" s="1422">
        <v>0</v>
      </c>
      <c r="AZ193" s="1420">
        <v>1027013.03</v>
      </c>
      <c r="BA193" s="1423">
        <f t="shared" si="25"/>
        <v>1027013.03</v>
      </c>
      <c r="BB193" s="1420">
        <f t="shared" si="26"/>
        <v>7030688</v>
      </c>
      <c r="BC193" s="1433">
        <f t="shared" si="27"/>
        <v>16581.811320754718</v>
      </c>
      <c r="BD193" s="1433">
        <f t="shared" si="28"/>
        <v>5171.8974292452822</v>
      </c>
      <c r="BE193" s="1433">
        <f t="shared" si="29"/>
        <v>0</v>
      </c>
      <c r="BF193" s="1433">
        <f t="shared" si="30"/>
        <v>5468.2525235849052</v>
      </c>
      <c r="BG193" s="1433">
        <f t="shared" si="31"/>
        <v>3519.4608254716977</v>
      </c>
      <c r="BH193" s="1434">
        <f t="shared" si="32"/>
        <v>2422.2005424528302</v>
      </c>
      <c r="BI193" s="1422">
        <v>15558</v>
      </c>
    </row>
    <row r="194" spans="1:61" ht="12.75" customHeight="1" thickBot="1">
      <c r="A194" s="1418" t="s">
        <v>263</v>
      </c>
      <c r="B194" s="1418" t="s">
        <v>264</v>
      </c>
      <c r="C194" s="1419">
        <v>673</v>
      </c>
      <c r="D194" s="1420">
        <v>155.03</v>
      </c>
      <c r="E194" s="1420">
        <v>624.22</v>
      </c>
      <c r="F194" s="1421">
        <v>0.18</v>
      </c>
      <c r="G194" s="1420">
        <v>667.89</v>
      </c>
      <c r="H194" s="1420">
        <v>647.54</v>
      </c>
      <c r="I194" s="1422">
        <v>32545581</v>
      </c>
      <c r="J194" s="1422">
        <v>25</v>
      </c>
      <c r="K194" s="1422">
        <v>25</v>
      </c>
      <c r="L194" s="1422">
        <v>0</v>
      </c>
      <c r="M194" s="1422">
        <v>0</v>
      </c>
      <c r="N194" s="1420">
        <v>11.8</v>
      </c>
      <c r="O194" s="1420">
        <v>36.799999999999997</v>
      </c>
      <c r="P194" s="1438">
        <v>5116175</v>
      </c>
      <c r="Q194" s="1424">
        <v>871124.91</v>
      </c>
      <c r="R194" s="1425">
        <f t="shared" si="22"/>
        <v>871124.91</v>
      </c>
      <c r="S194" s="1436">
        <v>34094.04</v>
      </c>
      <c r="T194" s="1427">
        <f t="shared" si="23"/>
        <v>34094.04</v>
      </c>
      <c r="U194" s="1428">
        <v>3136050</v>
      </c>
      <c r="V194" s="1422">
        <v>16787</v>
      </c>
      <c r="W194" s="1422">
        <v>134261</v>
      </c>
      <c r="X194" s="1422">
        <v>0</v>
      </c>
      <c r="Y194" s="1422">
        <v>0</v>
      </c>
      <c r="Z194" s="1422">
        <v>0</v>
      </c>
      <c r="AA194" s="1422">
        <v>3674</v>
      </c>
      <c r="AB194" s="1420">
        <v>8510.3799999999992</v>
      </c>
      <c r="AC194" s="1429">
        <v>0</v>
      </c>
      <c r="AD194" s="1422">
        <v>26782</v>
      </c>
      <c r="AE194" s="1420">
        <v>152714.07</v>
      </c>
      <c r="AF194" s="1422">
        <v>0</v>
      </c>
      <c r="AG194" s="1422">
        <v>0</v>
      </c>
      <c r="AH194" s="1422">
        <v>0</v>
      </c>
      <c r="AI194" s="1422">
        <v>572186</v>
      </c>
      <c r="AJ194" s="1420">
        <v>2652.86</v>
      </c>
      <c r="AK194" s="1422">
        <v>0</v>
      </c>
      <c r="AL194" s="1420">
        <v>2812.71</v>
      </c>
      <c r="AM194" s="1422">
        <v>0</v>
      </c>
      <c r="AN194" s="1435">
        <v>142792.38</v>
      </c>
      <c r="AO194" s="1422">
        <v>0</v>
      </c>
      <c r="AP194" s="1420">
        <v>57746.97</v>
      </c>
      <c r="AQ194" s="1430">
        <f t="shared" si="24"/>
        <v>4114176.9899999993</v>
      </c>
      <c r="AR194" s="1431">
        <v>834008.59</v>
      </c>
      <c r="AS194" s="1432">
        <v>4243941.95</v>
      </c>
      <c r="AT194" s="1422">
        <v>0</v>
      </c>
      <c r="AU194" s="1422">
        <v>0</v>
      </c>
      <c r="AV194" s="1422">
        <v>0</v>
      </c>
      <c r="AW194" s="1422">
        <v>0</v>
      </c>
      <c r="AX194" s="1422">
        <v>0</v>
      </c>
      <c r="AY194" s="1420">
        <v>4243941.95</v>
      </c>
      <c r="AZ194" s="1420">
        <v>277420.15999999997</v>
      </c>
      <c r="BA194" s="1423">
        <f t="shared" si="25"/>
        <v>4521362.1100000003</v>
      </c>
      <c r="BB194" s="1420">
        <f t="shared" si="26"/>
        <v>10374766.639999999</v>
      </c>
      <c r="BC194" s="1433">
        <f t="shared" si="27"/>
        <v>15415.700802377412</v>
      </c>
      <c r="BD194" s="1433">
        <f t="shared" si="28"/>
        <v>1294.3906537890045</v>
      </c>
      <c r="BE194" s="1433">
        <f t="shared" si="29"/>
        <v>50.659791976225854</v>
      </c>
      <c r="BF194" s="1433">
        <f t="shared" si="30"/>
        <v>6113.1901783060912</v>
      </c>
      <c r="BG194" s="1433">
        <f t="shared" si="31"/>
        <v>1239.2401040118871</v>
      </c>
      <c r="BH194" s="1434">
        <f t="shared" si="32"/>
        <v>6718.2200742942059</v>
      </c>
      <c r="BI194" s="1422">
        <v>9681</v>
      </c>
    </row>
    <row r="195" spans="1:61" ht="12.75" customHeight="1" thickBot="1">
      <c r="A195" s="1418" t="s">
        <v>265</v>
      </c>
      <c r="B195" s="1418" t="s">
        <v>266</v>
      </c>
      <c r="C195" s="1419">
        <v>1490</v>
      </c>
      <c r="D195" s="1420">
        <v>86.79</v>
      </c>
      <c r="E195" s="1420">
        <v>1406.29</v>
      </c>
      <c r="F195" s="1421">
        <v>0.28999999999999998</v>
      </c>
      <c r="G195" s="1420">
        <v>1485.27</v>
      </c>
      <c r="H195" s="1420">
        <v>1419.99</v>
      </c>
      <c r="I195" s="1422">
        <v>65210430</v>
      </c>
      <c r="J195" s="1422">
        <v>25</v>
      </c>
      <c r="K195" s="1422">
        <v>25</v>
      </c>
      <c r="L195" s="1422">
        <v>0</v>
      </c>
      <c r="M195" s="1422">
        <v>0</v>
      </c>
      <c r="N195" s="1420">
        <v>13.6</v>
      </c>
      <c r="O195" s="1420">
        <v>38.6</v>
      </c>
      <c r="P195" s="1423">
        <v>11409732.970000001</v>
      </c>
      <c r="Q195" s="1424">
        <v>2139051.8199999998</v>
      </c>
      <c r="R195" s="1425">
        <f t="shared" si="22"/>
        <v>2139051.8199999998</v>
      </c>
      <c r="S195" s="1436">
        <v>7510.74</v>
      </c>
      <c r="T195" s="1427">
        <f t="shared" si="23"/>
        <v>7510.74</v>
      </c>
      <c r="U195" s="1428">
        <v>7021443</v>
      </c>
      <c r="V195" s="1422">
        <v>39940</v>
      </c>
      <c r="W195" s="1422">
        <v>473501</v>
      </c>
      <c r="X195" s="1422">
        <v>0</v>
      </c>
      <c r="Y195" s="1422">
        <v>0</v>
      </c>
      <c r="Z195" s="1422">
        <v>0</v>
      </c>
      <c r="AA195" s="1422">
        <v>24372</v>
      </c>
      <c r="AB195" s="1422">
        <v>159178</v>
      </c>
      <c r="AC195" s="1429">
        <v>0</v>
      </c>
      <c r="AD195" s="1422">
        <v>58731</v>
      </c>
      <c r="AE195" s="1420">
        <v>4296.29</v>
      </c>
      <c r="AF195" s="1422">
        <v>1450</v>
      </c>
      <c r="AG195" s="1422">
        <v>12839</v>
      </c>
      <c r="AH195" s="1422">
        <v>4395</v>
      </c>
      <c r="AI195" s="1422">
        <v>251568</v>
      </c>
      <c r="AJ195" s="1420">
        <v>5817.17</v>
      </c>
      <c r="AK195" s="1422">
        <v>123500</v>
      </c>
      <c r="AL195" s="1420">
        <v>4148.2700000000004</v>
      </c>
      <c r="AM195" s="1422">
        <v>0</v>
      </c>
      <c r="AN195" s="1429">
        <v>0</v>
      </c>
      <c r="AO195" s="1422">
        <v>0</v>
      </c>
      <c r="AP195" s="1420">
        <v>705534.16</v>
      </c>
      <c r="AQ195" s="1430">
        <f t="shared" si="24"/>
        <v>8890712.8899999987</v>
      </c>
      <c r="AR195" s="1431">
        <v>1589763.27</v>
      </c>
      <c r="AS195" s="1432">
        <v>602669.66</v>
      </c>
      <c r="AT195" s="1422">
        <v>0</v>
      </c>
      <c r="AU195" s="1422">
        <v>0</v>
      </c>
      <c r="AV195" s="1422">
        <v>0</v>
      </c>
      <c r="AW195" s="1420">
        <v>11037.08</v>
      </c>
      <c r="AX195" s="1422">
        <v>0</v>
      </c>
      <c r="AY195" s="1420">
        <v>613706.74</v>
      </c>
      <c r="AZ195" s="1420">
        <v>610589.87</v>
      </c>
      <c r="BA195" s="1423">
        <f t="shared" si="25"/>
        <v>1235333.69</v>
      </c>
      <c r="BB195" s="1420">
        <f t="shared" si="26"/>
        <v>13862372.409999998</v>
      </c>
      <c r="BC195" s="1433">
        <f t="shared" si="27"/>
        <v>9303.6056442953013</v>
      </c>
      <c r="BD195" s="1433">
        <f t="shared" si="28"/>
        <v>1435.6052483221476</v>
      </c>
      <c r="BE195" s="1433">
        <f t="shared" si="29"/>
        <v>5.0407651006711411</v>
      </c>
      <c r="BF195" s="1433">
        <f t="shared" si="30"/>
        <v>5966.921402684563</v>
      </c>
      <c r="BG195" s="1433">
        <f t="shared" si="31"/>
        <v>1066.9552147651007</v>
      </c>
      <c r="BH195" s="1434">
        <f t="shared" si="32"/>
        <v>829.08301342281879</v>
      </c>
      <c r="BI195" s="1422">
        <v>7507</v>
      </c>
    </row>
    <row r="196" spans="1:61" ht="12.75" customHeight="1" thickBot="1">
      <c r="A196" s="1418" t="s">
        <v>267</v>
      </c>
      <c r="B196" s="1418" t="s">
        <v>268</v>
      </c>
      <c r="C196" s="1419">
        <v>4666</v>
      </c>
      <c r="D196" s="1420">
        <v>105.21</v>
      </c>
      <c r="E196" s="1420">
        <v>4398.46</v>
      </c>
      <c r="F196" s="1421">
        <v>0.05</v>
      </c>
      <c r="G196" s="1420">
        <v>4629.22</v>
      </c>
      <c r="H196" s="1420">
        <v>4576.79</v>
      </c>
      <c r="I196" s="1422">
        <v>367117777</v>
      </c>
      <c r="J196" s="1422">
        <v>25</v>
      </c>
      <c r="K196" s="1422">
        <v>25</v>
      </c>
      <c r="L196" s="1422">
        <v>0</v>
      </c>
      <c r="M196" s="1422">
        <v>0</v>
      </c>
      <c r="N196" s="1420">
        <v>16.899999999999999</v>
      </c>
      <c r="O196" s="1420">
        <v>41.9</v>
      </c>
      <c r="P196" s="1438">
        <v>62630000</v>
      </c>
      <c r="Q196" s="1424">
        <v>14444681.83</v>
      </c>
      <c r="R196" s="1425">
        <f t="shared" si="22"/>
        <v>14444681.83</v>
      </c>
      <c r="S196" s="1426">
        <v>0</v>
      </c>
      <c r="T196" s="1427">
        <f t="shared" si="23"/>
        <v>0</v>
      </c>
      <c r="U196" s="1428">
        <v>18854290</v>
      </c>
      <c r="V196" s="1422">
        <v>172834</v>
      </c>
      <c r="W196" s="1422">
        <v>475992</v>
      </c>
      <c r="X196" s="1422">
        <v>0</v>
      </c>
      <c r="Y196" s="1422">
        <v>0</v>
      </c>
      <c r="Z196" s="1422">
        <v>0</v>
      </c>
      <c r="AA196" s="1422">
        <v>0</v>
      </c>
      <c r="AB196" s="1422">
        <v>0</v>
      </c>
      <c r="AC196" s="1429">
        <v>0</v>
      </c>
      <c r="AD196" s="1422">
        <v>189296</v>
      </c>
      <c r="AE196" s="1420">
        <v>7118.25</v>
      </c>
      <c r="AF196" s="1422">
        <v>7300</v>
      </c>
      <c r="AG196" s="1422">
        <v>152159</v>
      </c>
      <c r="AH196" s="1422">
        <v>52740</v>
      </c>
      <c r="AI196" s="1422">
        <v>847664</v>
      </c>
      <c r="AJ196" s="1420">
        <v>354318.01</v>
      </c>
      <c r="AK196" s="1420">
        <v>111520.17</v>
      </c>
      <c r="AL196" s="1420">
        <v>14814.12</v>
      </c>
      <c r="AM196" s="1422">
        <v>0</v>
      </c>
      <c r="AN196" s="1429">
        <v>85925</v>
      </c>
      <c r="AO196" s="1422">
        <v>0</v>
      </c>
      <c r="AP196" s="1420">
        <v>4321946.38</v>
      </c>
      <c r="AQ196" s="1430">
        <f t="shared" si="24"/>
        <v>25561991.930000003</v>
      </c>
      <c r="AR196" s="1431">
        <v>4514297.32</v>
      </c>
      <c r="AS196" s="1432">
        <v>8295945.75</v>
      </c>
      <c r="AT196" s="1422">
        <v>0</v>
      </c>
      <c r="AU196" s="1420">
        <v>26333.3</v>
      </c>
      <c r="AV196" s="1422">
        <v>17000</v>
      </c>
      <c r="AW196" s="1420">
        <v>24927.43</v>
      </c>
      <c r="AX196" s="1422">
        <v>0</v>
      </c>
      <c r="AY196" s="1420">
        <v>8364206.4800000004</v>
      </c>
      <c r="AZ196" s="1420">
        <v>3311432.53</v>
      </c>
      <c r="BA196" s="1423">
        <f t="shared" si="25"/>
        <v>11743899.74</v>
      </c>
      <c r="BB196" s="1420">
        <f t="shared" si="26"/>
        <v>56264870.82</v>
      </c>
      <c r="BC196" s="1433">
        <f t="shared" si="27"/>
        <v>12058.480672953279</v>
      </c>
      <c r="BD196" s="1433">
        <f t="shared" si="28"/>
        <v>3095.7312108872698</v>
      </c>
      <c r="BE196" s="1433">
        <f t="shared" si="29"/>
        <v>0</v>
      </c>
      <c r="BF196" s="1433">
        <f t="shared" si="30"/>
        <v>5478.3523210458643</v>
      </c>
      <c r="BG196" s="1433">
        <f t="shared" si="31"/>
        <v>967.48763823403351</v>
      </c>
      <c r="BH196" s="1434">
        <f t="shared" si="32"/>
        <v>2516.9095027861122</v>
      </c>
      <c r="BI196" s="1422">
        <v>7739</v>
      </c>
    </row>
    <row r="197" spans="1:61" ht="12.75" customHeight="1" thickBot="1">
      <c r="A197" s="1418" t="s">
        <v>269</v>
      </c>
      <c r="B197" s="1418" t="s">
        <v>270</v>
      </c>
      <c r="C197" s="1419">
        <v>7949</v>
      </c>
      <c r="D197" s="1420">
        <v>345.37</v>
      </c>
      <c r="E197" s="1420">
        <v>7554.08</v>
      </c>
      <c r="F197" s="1421">
        <v>0.2</v>
      </c>
      <c r="G197" s="1420">
        <v>7879.11</v>
      </c>
      <c r="H197" s="1420">
        <v>7626.32</v>
      </c>
      <c r="I197" s="1422">
        <v>617572433</v>
      </c>
      <c r="J197" s="1422">
        <v>25</v>
      </c>
      <c r="K197" s="1422">
        <v>25</v>
      </c>
      <c r="L197" s="1422">
        <v>0</v>
      </c>
      <c r="M197" s="1422">
        <v>0</v>
      </c>
      <c r="N197" s="1420">
        <v>12.2</v>
      </c>
      <c r="O197" s="1420">
        <v>37.200000000000003</v>
      </c>
      <c r="P197" s="1423">
        <v>55012304.829999998</v>
      </c>
      <c r="Q197" s="1424">
        <v>21325282.960000001</v>
      </c>
      <c r="R197" s="1425">
        <f t="shared" si="22"/>
        <v>21325282.960000001</v>
      </c>
      <c r="S197" s="1426">
        <v>0</v>
      </c>
      <c r="T197" s="1427">
        <f t="shared" si="23"/>
        <v>0</v>
      </c>
      <c r="U197" s="1428">
        <v>31396828</v>
      </c>
      <c r="V197" s="1422">
        <v>342657</v>
      </c>
      <c r="W197" s="1422">
        <v>1552534</v>
      </c>
      <c r="X197" s="1422">
        <v>0</v>
      </c>
      <c r="Y197" s="1422">
        <v>0</v>
      </c>
      <c r="Z197" s="1422">
        <v>73256</v>
      </c>
      <c r="AA197" s="1422">
        <v>0</v>
      </c>
      <c r="AB197" s="1422">
        <v>0</v>
      </c>
      <c r="AC197" s="1429">
        <v>0</v>
      </c>
      <c r="AD197" s="1422">
        <v>315425</v>
      </c>
      <c r="AE197" s="1420">
        <v>14649.11</v>
      </c>
      <c r="AF197" s="1422">
        <v>9800</v>
      </c>
      <c r="AG197" s="1422">
        <v>307122</v>
      </c>
      <c r="AH197" s="1422">
        <v>75301</v>
      </c>
      <c r="AI197" s="1422">
        <v>1293950</v>
      </c>
      <c r="AJ197" s="1420">
        <v>1076643.52</v>
      </c>
      <c r="AK197" s="1420">
        <v>159828.03</v>
      </c>
      <c r="AL197" s="1420">
        <v>18318.86</v>
      </c>
      <c r="AM197" s="1422">
        <v>0</v>
      </c>
      <c r="AN197" s="1429">
        <v>0</v>
      </c>
      <c r="AO197" s="1422">
        <v>0</v>
      </c>
      <c r="AP197" s="1420">
        <v>1506960.19</v>
      </c>
      <c r="AQ197" s="1430">
        <f t="shared" si="24"/>
        <v>38143272.710000001</v>
      </c>
      <c r="AR197" s="1431">
        <v>6918712.5499999998</v>
      </c>
      <c r="AS197" s="1432">
        <v>13838070.130000001</v>
      </c>
      <c r="AT197" s="1422">
        <v>0</v>
      </c>
      <c r="AU197" s="1420">
        <v>19242.439999999999</v>
      </c>
      <c r="AV197" s="1420">
        <v>10363.299999999999</v>
      </c>
      <c r="AW197" s="1420">
        <v>28393.7</v>
      </c>
      <c r="AX197" s="1422">
        <v>0</v>
      </c>
      <c r="AY197" s="1420">
        <v>13896069.57</v>
      </c>
      <c r="AZ197" s="1420">
        <v>2791441.28</v>
      </c>
      <c r="BA197" s="1423">
        <f t="shared" si="25"/>
        <v>16745510.289999999</v>
      </c>
      <c r="BB197" s="1420">
        <f t="shared" si="26"/>
        <v>83132778.50999999</v>
      </c>
      <c r="BC197" s="1433">
        <f t="shared" si="27"/>
        <v>10458.268777204679</v>
      </c>
      <c r="BD197" s="1433">
        <f t="shared" si="28"/>
        <v>2682.7629840231475</v>
      </c>
      <c r="BE197" s="1433">
        <f t="shared" si="29"/>
        <v>0</v>
      </c>
      <c r="BF197" s="1433">
        <f t="shared" si="30"/>
        <v>4798.4995232104666</v>
      </c>
      <c r="BG197" s="1433">
        <f t="shared" si="31"/>
        <v>870.38779091709648</v>
      </c>
      <c r="BH197" s="1434">
        <f t="shared" si="32"/>
        <v>2106.6184790539692</v>
      </c>
      <c r="BI197" s="1422">
        <v>7401</v>
      </c>
    </row>
    <row r="198" spans="1:61" ht="12.75" customHeight="1" thickBot="1">
      <c r="A198" s="1418" t="s">
        <v>271</v>
      </c>
      <c r="B198" s="1418" t="s">
        <v>272</v>
      </c>
      <c r="C198" s="1419">
        <v>1112</v>
      </c>
      <c r="D198" s="1420">
        <v>21.88</v>
      </c>
      <c r="E198" s="1420">
        <v>1055.6300000000001</v>
      </c>
      <c r="F198" s="1421">
        <v>0.31</v>
      </c>
      <c r="G198" s="1420">
        <v>1097.18</v>
      </c>
      <c r="H198" s="1420">
        <v>1042.4100000000001</v>
      </c>
      <c r="I198" s="1422">
        <v>52662456</v>
      </c>
      <c r="J198" s="1422">
        <v>25</v>
      </c>
      <c r="K198" s="1422">
        <v>25</v>
      </c>
      <c r="L198" s="1422">
        <v>0</v>
      </c>
      <c r="M198" s="1422">
        <v>0</v>
      </c>
      <c r="N198" s="1420">
        <v>14.4</v>
      </c>
      <c r="O198" s="1420">
        <v>39.4</v>
      </c>
      <c r="P198" s="1438">
        <v>8035000</v>
      </c>
      <c r="Q198" s="1424">
        <v>1959719.31</v>
      </c>
      <c r="R198" s="1425">
        <f t="shared" ref="R198:R243" si="33">Q198</f>
        <v>1959719.31</v>
      </c>
      <c r="S198" s="1436">
        <v>5605.33</v>
      </c>
      <c r="T198" s="1427">
        <f t="shared" ref="T198:T243" si="34">S198</f>
        <v>5605.33</v>
      </c>
      <c r="U198" s="1428">
        <v>5048263</v>
      </c>
      <c r="V198" s="1422">
        <v>34286</v>
      </c>
      <c r="W198" s="1422">
        <v>330422</v>
      </c>
      <c r="X198" s="1422">
        <v>0</v>
      </c>
      <c r="Y198" s="1422">
        <v>0</v>
      </c>
      <c r="Z198" s="1422">
        <v>0</v>
      </c>
      <c r="AA198" s="1422">
        <v>9852</v>
      </c>
      <c r="AB198" s="1422">
        <v>0</v>
      </c>
      <c r="AC198" s="1429">
        <v>0</v>
      </c>
      <c r="AD198" s="1422">
        <v>43114</v>
      </c>
      <c r="AE198" s="1420">
        <v>1934.58</v>
      </c>
      <c r="AF198" s="1422">
        <v>200</v>
      </c>
      <c r="AG198" s="1422">
        <v>11173</v>
      </c>
      <c r="AH198" s="1422">
        <v>0</v>
      </c>
      <c r="AI198" s="1422">
        <v>249711</v>
      </c>
      <c r="AJ198" s="1420">
        <v>4270.3999999999996</v>
      </c>
      <c r="AK198" s="1422">
        <v>8125</v>
      </c>
      <c r="AL198" s="1420">
        <v>3401.46</v>
      </c>
      <c r="AM198" s="1422">
        <v>0</v>
      </c>
      <c r="AN198" s="1429">
        <v>0</v>
      </c>
      <c r="AO198" s="1422">
        <v>0</v>
      </c>
      <c r="AP198" s="1420">
        <v>551396.74</v>
      </c>
      <c r="AQ198" s="1430">
        <f t="shared" ref="AQ198:AQ243" si="35">SUM(U198:AP198)-(AC198+AN198)</f>
        <v>6296149.1800000006</v>
      </c>
      <c r="AR198" s="1431">
        <v>851230.54</v>
      </c>
      <c r="AS198" s="1432">
        <v>1508331.38</v>
      </c>
      <c r="AT198" s="1422">
        <v>0</v>
      </c>
      <c r="AU198" s="1422">
        <v>0</v>
      </c>
      <c r="AV198" s="1422">
        <v>0</v>
      </c>
      <c r="AW198" s="1422">
        <v>0</v>
      </c>
      <c r="AX198" s="1422">
        <v>0</v>
      </c>
      <c r="AY198" s="1420">
        <v>1508331.38</v>
      </c>
      <c r="AZ198" s="1420">
        <v>576528.52</v>
      </c>
      <c r="BA198" s="1423">
        <f t="shared" ref="BA198:BA243" si="36">SUM(AT198:AZ198)</f>
        <v>2084859.9</v>
      </c>
      <c r="BB198" s="1420">
        <f t="shared" ref="BB198:BB243" si="37">SUM(BA198,AR198,AQ198,T198,R198)</f>
        <v>11197564.260000002</v>
      </c>
      <c r="BC198" s="1433">
        <f t="shared" ref="BC198:BC243" si="38">BB198/C198</f>
        <v>10069.752032374103</v>
      </c>
      <c r="BD198" s="1433">
        <f t="shared" ref="BD198:BD243" si="39">R198/C198</f>
        <v>1762.3375089928059</v>
      </c>
      <c r="BE198" s="1433">
        <f t="shared" ref="BE198:BE243" si="40">T198/C198</f>
        <v>5.0407643884892082</v>
      </c>
      <c r="BF198" s="1433">
        <f t="shared" ref="BF198:BF243" si="41">AQ198/C198</f>
        <v>5662.0046582733821</v>
      </c>
      <c r="BG198" s="1433">
        <f t="shared" ref="BG198:BG243" si="42">AR198/C198</f>
        <v>765.49508992805761</v>
      </c>
      <c r="BH198" s="1434">
        <f t="shared" ref="BH198:BH243" si="43">BA198/C198</f>
        <v>1874.8740107913668</v>
      </c>
      <c r="BI198" s="1422">
        <v>7697</v>
      </c>
    </row>
    <row r="199" spans="1:61" ht="12.75" customHeight="1" thickBot="1">
      <c r="A199" s="1418" t="s">
        <v>273</v>
      </c>
      <c r="B199" s="1418" t="s">
        <v>274</v>
      </c>
      <c r="C199" s="1419">
        <v>1617</v>
      </c>
      <c r="D199" s="1420">
        <v>764.4</v>
      </c>
      <c r="E199" s="1420">
        <v>1487.76</v>
      </c>
      <c r="F199" s="1421">
        <v>-0.1</v>
      </c>
      <c r="G199" s="1420">
        <v>1620.77</v>
      </c>
      <c r="H199" s="1420">
        <v>1660.3</v>
      </c>
      <c r="I199" s="1422">
        <v>74220677</v>
      </c>
      <c r="J199" s="1422">
        <v>25</v>
      </c>
      <c r="K199" s="1422">
        <v>25</v>
      </c>
      <c r="L199" s="1422">
        <v>0</v>
      </c>
      <c r="M199" s="1422">
        <v>0</v>
      </c>
      <c r="N199" s="1420">
        <v>10.6</v>
      </c>
      <c r="O199" s="1420">
        <v>35.6</v>
      </c>
      <c r="P199" s="1438">
        <v>11115000</v>
      </c>
      <c r="Q199" s="1424">
        <v>2248428.59</v>
      </c>
      <c r="R199" s="1425">
        <f t="shared" si="33"/>
        <v>2248428.59</v>
      </c>
      <c r="S199" s="1426">
        <v>0</v>
      </c>
      <c r="T199" s="1427">
        <f t="shared" si="34"/>
        <v>0</v>
      </c>
      <c r="U199" s="1428">
        <v>7494880</v>
      </c>
      <c r="V199" s="1422">
        <v>136649</v>
      </c>
      <c r="W199" s="1422">
        <v>0</v>
      </c>
      <c r="X199" s="1422">
        <v>0</v>
      </c>
      <c r="Y199" s="1422">
        <v>0</v>
      </c>
      <c r="Z199" s="1422">
        <v>0</v>
      </c>
      <c r="AA199" s="1422">
        <v>102285</v>
      </c>
      <c r="AB199" s="1422">
        <v>0</v>
      </c>
      <c r="AC199" s="1429">
        <v>0</v>
      </c>
      <c r="AD199" s="1422">
        <v>68670</v>
      </c>
      <c r="AE199" s="1420">
        <v>18134.82</v>
      </c>
      <c r="AF199" s="1422">
        <v>1800</v>
      </c>
      <c r="AG199" s="1422">
        <v>281647</v>
      </c>
      <c r="AH199" s="1422">
        <v>44536</v>
      </c>
      <c r="AI199" s="1422">
        <v>562960</v>
      </c>
      <c r="AJ199" s="1420">
        <v>11801.62</v>
      </c>
      <c r="AK199" s="1420">
        <v>47667.12</v>
      </c>
      <c r="AL199" s="1420">
        <v>32475.57</v>
      </c>
      <c r="AM199" s="1422">
        <v>0</v>
      </c>
      <c r="AN199" s="1429">
        <v>491948</v>
      </c>
      <c r="AO199" s="1422">
        <v>0</v>
      </c>
      <c r="AP199" s="1420">
        <v>897030.24</v>
      </c>
      <c r="AQ199" s="1430">
        <f t="shared" si="35"/>
        <v>9700536.3699999992</v>
      </c>
      <c r="AR199" s="1431">
        <v>4337646.4400000004</v>
      </c>
      <c r="AS199" s="1437">
        <v>1602300</v>
      </c>
      <c r="AT199" s="1422">
        <v>0</v>
      </c>
      <c r="AU199" s="1420">
        <v>15489.9</v>
      </c>
      <c r="AV199" s="1422">
        <v>0</v>
      </c>
      <c r="AW199" s="1422">
        <v>0</v>
      </c>
      <c r="AX199" s="1422">
        <v>0</v>
      </c>
      <c r="AY199" s="1420">
        <v>1617789.9</v>
      </c>
      <c r="AZ199" s="1420">
        <v>657177.07999999996</v>
      </c>
      <c r="BA199" s="1423">
        <f t="shared" si="36"/>
        <v>2290456.88</v>
      </c>
      <c r="BB199" s="1420">
        <f t="shared" si="37"/>
        <v>18577068.280000001</v>
      </c>
      <c r="BC199" s="1433">
        <f t="shared" si="38"/>
        <v>11488.601286332716</v>
      </c>
      <c r="BD199" s="1433">
        <f t="shared" si="39"/>
        <v>1390.4938713667284</v>
      </c>
      <c r="BE199" s="1433">
        <f t="shared" si="40"/>
        <v>0</v>
      </c>
      <c r="BF199" s="1433">
        <f t="shared" si="41"/>
        <v>5999.0948484848477</v>
      </c>
      <c r="BG199" s="1433">
        <f t="shared" si="42"/>
        <v>2682.5271737786024</v>
      </c>
      <c r="BH199" s="1434">
        <f t="shared" si="43"/>
        <v>1416.4853927025356</v>
      </c>
      <c r="BI199" s="1422">
        <v>8961</v>
      </c>
    </row>
    <row r="200" spans="1:61" ht="12.75" customHeight="1" thickBot="1">
      <c r="A200" s="1418" t="s">
        <v>275</v>
      </c>
      <c r="B200" s="1418" t="s">
        <v>276</v>
      </c>
      <c r="C200" s="1419">
        <v>938</v>
      </c>
      <c r="D200" s="1422">
        <v>547</v>
      </c>
      <c r="E200" s="1420">
        <v>877.78</v>
      </c>
      <c r="F200" s="1421">
        <v>-0.05</v>
      </c>
      <c r="G200" s="1420">
        <v>929.44</v>
      </c>
      <c r="H200" s="1420">
        <v>920.84</v>
      </c>
      <c r="I200" s="1422">
        <v>47905802</v>
      </c>
      <c r="J200" s="1422">
        <v>25</v>
      </c>
      <c r="K200" s="1422">
        <v>25</v>
      </c>
      <c r="L200" s="1422">
        <v>0</v>
      </c>
      <c r="M200" s="1422">
        <v>0</v>
      </c>
      <c r="N200" s="1420">
        <v>7.75</v>
      </c>
      <c r="O200" s="1420">
        <v>32.75</v>
      </c>
      <c r="P200" s="1423">
        <v>3414572.72</v>
      </c>
      <c r="Q200" s="1424">
        <v>1698618.53</v>
      </c>
      <c r="R200" s="1425">
        <f t="shared" si="33"/>
        <v>1698618.53</v>
      </c>
      <c r="S200" s="1426">
        <v>0</v>
      </c>
      <c r="T200" s="1427">
        <f t="shared" si="34"/>
        <v>0</v>
      </c>
      <c r="U200" s="1428">
        <v>3978762</v>
      </c>
      <c r="V200" s="1422">
        <v>103966</v>
      </c>
      <c r="W200" s="1422">
        <v>53981</v>
      </c>
      <c r="X200" s="1422">
        <v>0</v>
      </c>
      <c r="Y200" s="1422">
        <v>0</v>
      </c>
      <c r="Z200" s="1422">
        <v>68207</v>
      </c>
      <c r="AA200" s="1422">
        <v>24245</v>
      </c>
      <c r="AB200" s="1422">
        <v>14667</v>
      </c>
      <c r="AC200" s="1435">
        <v>155842.95000000001</v>
      </c>
      <c r="AD200" s="1422">
        <v>38086</v>
      </c>
      <c r="AE200" s="1420">
        <v>11088.47</v>
      </c>
      <c r="AF200" s="1422">
        <v>100</v>
      </c>
      <c r="AG200" s="1422">
        <v>91133</v>
      </c>
      <c r="AH200" s="1422">
        <v>1465</v>
      </c>
      <c r="AI200" s="1422">
        <v>658688</v>
      </c>
      <c r="AJ200" s="1420">
        <v>53389.39</v>
      </c>
      <c r="AK200" s="1420">
        <v>185625.32</v>
      </c>
      <c r="AL200" s="1420">
        <v>3371.43</v>
      </c>
      <c r="AM200" s="1422">
        <v>0</v>
      </c>
      <c r="AN200" s="1429">
        <v>169950</v>
      </c>
      <c r="AO200" s="1422">
        <v>0</v>
      </c>
      <c r="AP200" s="1422">
        <v>39599</v>
      </c>
      <c r="AQ200" s="1430">
        <f t="shared" si="35"/>
        <v>5326373.6099999994</v>
      </c>
      <c r="AR200" s="1431">
        <v>2003404.61</v>
      </c>
      <c r="AS200" s="1437">
        <v>0</v>
      </c>
      <c r="AT200" s="1422">
        <v>0</v>
      </c>
      <c r="AU200" s="1420">
        <v>12191.17</v>
      </c>
      <c r="AV200" s="1420">
        <v>39422.35</v>
      </c>
      <c r="AW200" s="1420">
        <v>7120.02</v>
      </c>
      <c r="AX200" s="1422">
        <v>0</v>
      </c>
      <c r="AY200" s="1420">
        <v>58733.54</v>
      </c>
      <c r="AZ200" s="1420">
        <v>616111.56999999995</v>
      </c>
      <c r="BA200" s="1423">
        <f t="shared" si="36"/>
        <v>733578.64999999991</v>
      </c>
      <c r="BB200" s="1420">
        <f t="shared" si="37"/>
        <v>9761975.3999999985</v>
      </c>
      <c r="BC200" s="1433">
        <f t="shared" si="38"/>
        <v>10407.223240938165</v>
      </c>
      <c r="BD200" s="1433">
        <f t="shared" si="39"/>
        <v>1810.8939552238805</v>
      </c>
      <c r="BE200" s="1433">
        <f t="shared" si="40"/>
        <v>0</v>
      </c>
      <c r="BF200" s="1433">
        <f t="shared" si="41"/>
        <v>5678.436684434967</v>
      </c>
      <c r="BG200" s="1433">
        <f t="shared" si="42"/>
        <v>2135.8258102345417</v>
      </c>
      <c r="BH200" s="1434">
        <f t="shared" si="43"/>
        <v>782.06679104477598</v>
      </c>
      <c r="BI200" s="1422">
        <v>10404</v>
      </c>
    </row>
    <row r="201" spans="1:61" ht="12.75" customHeight="1" thickBot="1">
      <c r="A201" s="1418" t="s">
        <v>277</v>
      </c>
      <c r="B201" s="1418" t="s">
        <v>278</v>
      </c>
      <c r="C201" s="1419">
        <v>653</v>
      </c>
      <c r="D201" s="1420">
        <v>385.46</v>
      </c>
      <c r="E201" s="1420">
        <v>612.57000000000005</v>
      </c>
      <c r="F201" s="1421">
        <v>-0.11</v>
      </c>
      <c r="G201" s="1420">
        <v>649.03</v>
      </c>
      <c r="H201" s="1420">
        <v>679.88</v>
      </c>
      <c r="I201" s="1422">
        <v>46574777</v>
      </c>
      <c r="J201" s="1422">
        <v>25</v>
      </c>
      <c r="K201" s="1422">
        <v>25</v>
      </c>
      <c r="L201" s="1422">
        <v>0</v>
      </c>
      <c r="M201" s="1422">
        <v>0</v>
      </c>
      <c r="N201" s="1420">
        <v>11.5</v>
      </c>
      <c r="O201" s="1420">
        <v>36.5</v>
      </c>
      <c r="P201" s="1438">
        <v>2700322</v>
      </c>
      <c r="Q201" s="1424">
        <v>1588146.73</v>
      </c>
      <c r="R201" s="1425">
        <f t="shared" si="33"/>
        <v>1588146.73</v>
      </c>
      <c r="S201" s="1436">
        <v>793.33</v>
      </c>
      <c r="T201" s="1427">
        <f t="shared" si="34"/>
        <v>793.33</v>
      </c>
      <c r="U201" s="1443">
        <v>3003894.17</v>
      </c>
      <c r="V201" s="1422">
        <v>55939</v>
      </c>
      <c r="W201" s="1422">
        <v>0</v>
      </c>
      <c r="X201" s="1422">
        <v>0</v>
      </c>
      <c r="Y201" s="1422">
        <v>0</v>
      </c>
      <c r="Z201" s="1422">
        <v>576856</v>
      </c>
      <c r="AA201" s="1422">
        <v>14732</v>
      </c>
      <c r="AB201" s="1422">
        <v>5548</v>
      </c>
      <c r="AC201" s="1429">
        <v>0</v>
      </c>
      <c r="AD201" s="1422">
        <v>28120</v>
      </c>
      <c r="AE201" s="1420">
        <v>392100.64</v>
      </c>
      <c r="AF201" s="1422">
        <v>150</v>
      </c>
      <c r="AG201" s="1422">
        <v>46359</v>
      </c>
      <c r="AH201" s="1422">
        <v>0</v>
      </c>
      <c r="AI201" s="1422">
        <v>530720</v>
      </c>
      <c r="AJ201" s="1420">
        <v>107986.33</v>
      </c>
      <c r="AK201" s="1422">
        <v>24375</v>
      </c>
      <c r="AL201" s="1420">
        <v>2711.73</v>
      </c>
      <c r="AM201" s="1422">
        <v>0</v>
      </c>
      <c r="AN201" s="1429">
        <v>0</v>
      </c>
      <c r="AO201" s="1422">
        <v>0</v>
      </c>
      <c r="AP201" s="1420">
        <v>360241.64</v>
      </c>
      <c r="AQ201" s="1430">
        <f t="shared" si="35"/>
        <v>5149733.5100000007</v>
      </c>
      <c r="AR201" s="1431">
        <v>1463132.58</v>
      </c>
      <c r="AS201" s="1432">
        <v>1778.43</v>
      </c>
      <c r="AT201" s="1422">
        <v>0</v>
      </c>
      <c r="AU201" s="1422">
        <v>0</v>
      </c>
      <c r="AV201" s="1422">
        <v>11120</v>
      </c>
      <c r="AW201" s="1420">
        <v>5309.16</v>
      </c>
      <c r="AX201" s="1422">
        <v>0</v>
      </c>
      <c r="AY201" s="1420">
        <v>18207.59</v>
      </c>
      <c r="AZ201" s="1420">
        <v>291150.40999999997</v>
      </c>
      <c r="BA201" s="1423">
        <f t="shared" si="36"/>
        <v>325787.15999999997</v>
      </c>
      <c r="BB201" s="1420">
        <f t="shared" si="37"/>
        <v>8527593.3100000005</v>
      </c>
      <c r="BC201" s="1433">
        <f t="shared" si="38"/>
        <v>13059.101546707505</v>
      </c>
      <c r="BD201" s="1433">
        <f t="shared" si="39"/>
        <v>2432.0776875957122</v>
      </c>
      <c r="BE201" s="1433">
        <f t="shared" si="40"/>
        <v>1.2149004594180706</v>
      </c>
      <c r="BF201" s="1433">
        <f t="shared" si="41"/>
        <v>7886.2687748851467</v>
      </c>
      <c r="BG201" s="1433">
        <f t="shared" si="42"/>
        <v>2240.6318223583462</v>
      </c>
      <c r="BH201" s="1434">
        <f t="shared" si="43"/>
        <v>498.90836140888206</v>
      </c>
      <c r="BI201" s="1422">
        <v>12114</v>
      </c>
    </row>
    <row r="202" spans="1:61" ht="12.75" customHeight="1" thickBot="1">
      <c r="A202" s="1418" t="s">
        <v>279</v>
      </c>
      <c r="B202" s="1418" t="s">
        <v>280</v>
      </c>
      <c r="C202" s="1419">
        <v>13859</v>
      </c>
      <c r="D202" s="1420">
        <v>69.16</v>
      </c>
      <c r="E202" s="1420">
        <v>12941.49</v>
      </c>
      <c r="F202" s="1421">
        <v>0.04</v>
      </c>
      <c r="G202" s="1420">
        <v>13692.05</v>
      </c>
      <c r="H202" s="1420">
        <v>13711.29</v>
      </c>
      <c r="I202" s="1422">
        <v>1372844802</v>
      </c>
      <c r="J202" s="1422">
        <v>25</v>
      </c>
      <c r="K202" s="1422">
        <v>25</v>
      </c>
      <c r="L202" s="1422">
        <v>0</v>
      </c>
      <c r="M202" s="1422">
        <v>0</v>
      </c>
      <c r="N202" s="1420">
        <v>11.5</v>
      </c>
      <c r="O202" s="1420">
        <v>36.5</v>
      </c>
      <c r="P202" s="1423">
        <v>64613383.969999999</v>
      </c>
      <c r="Q202" s="1424">
        <v>47494789.460000001</v>
      </c>
      <c r="R202" s="1425">
        <f t="shared" si="33"/>
        <v>47494789.460000001</v>
      </c>
      <c r="S202" s="1436">
        <v>2012.67</v>
      </c>
      <c r="T202" s="1427">
        <f t="shared" si="34"/>
        <v>2012.67</v>
      </c>
      <c r="U202" s="1428">
        <v>49838972</v>
      </c>
      <c r="V202" s="1422">
        <v>240910</v>
      </c>
      <c r="W202" s="1422">
        <v>293049</v>
      </c>
      <c r="X202" s="1422">
        <v>0</v>
      </c>
      <c r="Y202" s="1422">
        <v>0</v>
      </c>
      <c r="Z202" s="1422">
        <v>0</v>
      </c>
      <c r="AA202" s="1422">
        <v>0</v>
      </c>
      <c r="AB202" s="1422">
        <v>0</v>
      </c>
      <c r="AC202" s="1435">
        <v>1250565.81</v>
      </c>
      <c r="AD202" s="1422">
        <v>567099</v>
      </c>
      <c r="AE202" s="1420">
        <v>48408.93</v>
      </c>
      <c r="AF202" s="1422">
        <v>38102</v>
      </c>
      <c r="AG202" s="1422">
        <v>349093</v>
      </c>
      <c r="AH202" s="1422">
        <v>963677</v>
      </c>
      <c r="AI202" s="1422">
        <v>4670336</v>
      </c>
      <c r="AJ202" s="1420">
        <v>1582805.47</v>
      </c>
      <c r="AK202" s="1420">
        <v>275437.5</v>
      </c>
      <c r="AL202" s="1420">
        <v>45323.95</v>
      </c>
      <c r="AM202" s="1422">
        <v>0</v>
      </c>
      <c r="AN202" s="1429">
        <v>1237480</v>
      </c>
      <c r="AO202" s="1422">
        <v>0</v>
      </c>
      <c r="AP202" s="1420">
        <v>1090157.78</v>
      </c>
      <c r="AQ202" s="1430">
        <f t="shared" si="35"/>
        <v>60003371.630000003</v>
      </c>
      <c r="AR202" s="1431">
        <v>28261982.25</v>
      </c>
      <c r="AS202" s="1437">
        <v>16270000</v>
      </c>
      <c r="AT202" s="1422">
        <v>0</v>
      </c>
      <c r="AU202" s="1420">
        <v>192199.81</v>
      </c>
      <c r="AV202" s="1422">
        <v>0</v>
      </c>
      <c r="AW202" s="1420">
        <v>148919.13</v>
      </c>
      <c r="AX202" s="1422">
        <v>0</v>
      </c>
      <c r="AY202" s="1420">
        <v>16611118.939999999</v>
      </c>
      <c r="AZ202" s="1420">
        <v>4148846.7</v>
      </c>
      <c r="BA202" s="1423">
        <f t="shared" si="36"/>
        <v>21101084.579999998</v>
      </c>
      <c r="BB202" s="1420">
        <f t="shared" si="37"/>
        <v>156863240.59</v>
      </c>
      <c r="BC202" s="1433">
        <f t="shared" si="38"/>
        <v>11318.510757630422</v>
      </c>
      <c r="BD202" s="1433">
        <f t="shared" si="39"/>
        <v>3426.9997445703152</v>
      </c>
      <c r="BE202" s="1433">
        <f t="shared" si="40"/>
        <v>0.14522476369146403</v>
      </c>
      <c r="BF202" s="1433">
        <f t="shared" si="41"/>
        <v>4329.559970416336</v>
      </c>
      <c r="BG202" s="1433">
        <f t="shared" si="42"/>
        <v>2039.2511905620895</v>
      </c>
      <c r="BH202" s="1434">
        <f t="shared" si="43"/>
        <v>1522.5546273179882</v>
      </c>
      <c r="BI202" s="1422">
        <v>9643</v>
      </c>
    </row>
    <row r="203" spans="1:61" ht="12.75" customHeight="1" thickBot="1">
      <c r="A203" s="1418" t="s">
        <v>281</v>
      </c>
      <c r="B203" s="1418" t="s">
        <v>282</v>
      </c>
      <c r="C203" s="1419">
        <v>3587</v>
      </c>
      <c r="D203" s="1420">
        <v>180.05</v>
      </c>
      <c r="E203" s="1420">
        <v>3379.32</v>
      </c>
      <c r="F203" s="1421">
        <v>0.09</v>
      </c>
      <c r="G203" s="1420">
        <v>3561.77</v>
      </c>
      <c r="H203" s="1420">
        <v>3539.76</v>
      </c>
      <c r="I203" s="1422">
        <v>284500265</v>
      </c>
      <c r="J203" s="1422">
        <v>25</v>
      </c>
      <c r="K203" s="1422">
        <v>25</v>
      </c>
      <c r="L203" s="1422">
        <v>0</v>
      </c>
      <c r="M203" s="1422">
        <v>0</v>
      </c>
      <c r="N203" s="1420">
        <v>13.7</v>
      </c>
      <c r="O203" s="1420">
        <v>38.700000000000003</v>
      </c>
      <c r="P203" s="1438">
        <v>37359647</v>
      </c>
      <c r="Q203" s="1424">
        <v>11361794.460000001</v>
      </c>
      <c r="R203" s="1425">
        <f t="shared" si="33"/>
        <v>11361794.460000001</v>
      </c>
      <c r="S203" s="1436">
        <v>519.85</v>
      </c>
      <c r="T203" s="1427">
        <f t="shared" si="34"/>
        <v>519.85</v>
      </c>
      <c r="U203" s="1428">
        <v>13977750</v>
      </c>
      <c r="V203" s="1422">
        <v>112243</v>
      </c>
      <c r="W203" s="1422">
        <v>167651</v>
      </c>
      <c r="X203" s="1422">
        <v>0</v>
      </c>
      <c r="Y203" s="1422">
        <v>0</v>
      </c>
      <c r="Z203" s="1422">
        <v>0</v>
      </c>
      <c r="AA203" s="1422">
        <v>0</v>
      </c>
      <c r="AB203" s="1422">
        <v>63950</v>
      </c>
      <c r="AC203" s="1429">
        <v>0</v>
      </c>
      <c r="AD203" s="1422">
        <v>146404</v>
      </c>
      <c r="AE203" s="1422">
        <v>7800</v>
      </c>
      <c r="AF203" s="1422">
        <v>4150</v>
      </c>
      <c r="AG203" s="1422">
        <v>108523</v>
      </c>
      <c r="AH203" s="1422">
        <v>10255</v>
      </c>
      <c r="AI203" s="1422">
        <v>528240</v>
      </c>
      <c r="AJ203" s="1420">
        <v>148612.67000000001</v>
      </c>
      <c r="AK203" s="1420">
        <v>66562.52</v>
      </c>
      <c r="AL203" s="1420">
        <v>10833.25</v>
      </c>
      <c r="AM203" s="1422">
        <v>0</v>
      </c>
      <c r="AN203" s="1429">
        <v>271188</v>
      </c>
      <c r="AO203" s="1422">
        <v>0</v>
      </c>
      <c r="AP203" s="1420">
        <v>312992.7</v>
      </c>
      <c r="AQ203" s="1430">
        <f t="shared" si="35"/>
        <v>15665967.139999999</v>
      </c>
      <c r="AR203" s="1431">
        <v>3008570.37</v>
      </c>
      <c r="AS203" s="1437">
        <v>960000</v>
      </c>
      <c r="AT203" s="1422">
        <v>0</v>
      </c>
      <c r="AU203" s="1422">
        <v>0</v>
      </c>
      <c r="AV203" s="1422">
        <v>0</v>
      </c>
      <c r="AW203" s="1420">
        <v>2500.9</v>
      </c>
      <c r="AX203" s="1422">
        <v>0</v>
      </c>
      <c r="AY203" s="1420">
        <v>962500.9</v>
      </c>
      <c r="AZ203" s="1420">
        <v>1469428.38</v>
      </c>
      <c r="BA203" s="1423">
        <f t="shared" si="36"/>
        <v>2434430.1799999997</v>
      </c>
      <c r="BB203" s="1420">
        <f t="shared" si="37"/>
        <v>32471282</v>
      </c>
      <c r="BC203" s="1433">
        <f t="shared" si="38"/>
        <v>9052.490103150265</v>
      </c>
      <c r="BD203" s="1433">
        <f t="shared" si="39"/>
        <v>3167.4921828826318</v>
      </c>
      <c r="BE203" s="1433">
        <f t="shared" si="40"/>
        <v>0.14492612210761083</v>
      </c>
      <c r="BF203" s="1433">
        <f t="shared" si="41"/>
        <v>4367.4288095901866</v>
      </c>
      <c r="BG203" s="1433">
        <f t="shared" si="42"/>
        <v>838.74278505715085</v>
      </c>
      <c r="BH203" s="1434">
        <f t="shared" si="43"/>
        <v>678.68139949818783</v>
      </c>
      <c r="BI203" s="1422">
        <v>8129</v>
      </c>
    </row>
    <row r="204" spans="1:61" ht="12.75" customHeight="1" thickBot="1">
      <c r="A204" s="1418" t="s">
        <v>283</v>
      </c>
      <c r="B204" s="1418" t="s">
        <v>284</v>
      </c>
      <c r="C204" s="1419">
        <v>611</v>
      </c>
      <c r="D204" s="1420">
        <v>30.02</v>
      </c>
      <c r="E204" s="1420">
        <v>586.83000000000004</v>
      </c>
      <c r="F204" s="1421">
        <v>0.02</v>
      </c>
      <c r="G204" s="1420">
        <v>620.59</v>
      </c>
      <c r="H204" s="1420">
        <v>636.20000000000005</v>
      </c>
      <c r="I204" s="1422">
        <v>29385407</v>
      </c>
      <c r="J204" s="1422">
        <v>25</v>
      </c>
      <c r="K204" s="1422">
        <v>25</v>
      </c>
      <c r="L204" s="1422">
        <v>0</v>
      </c>
      <c r="M204" s="1422">
        <v>0</v>
      </c>
      <c r="N204" s="1422">
        <v>13</v>
      </c>
      <c r="O204" s="1422">
        <v>38</v>
      </c>
      <c r="P204" s="1438">
        <v>3265000</v>
      </c>
      <c r="Q204" s="1441">
        <v>1022780</v>
      </c>
      <c r="R204" s="1425">
        <f t="shared" si="33"/>
        <v>1022780</v>
      </c>
      <c r="S204" s="1436">
        <v>92.56</v>
      </c>
      <c r="T204" s="1427">
        <f t="shared" si="34"/>
        <v>92.56</v>
      </c>
      <c r="U204" s="1428">
        <v>3156736</v>
      </c>
      <c r="V204" s="1422">
        <v>11906</v>
      </c>
      <c r="W204" s="1422">
        <v>0</v>
      </c>
      <c r="X204" s="1422">
        <v>0</v>
      </c>
      <c r="Y204" s="1422">
        <v>0</v>
      </c>
      <c r="Z204" s="1422">
        <v>0</v>
      </c>
      <c r="AA204" s="1422">
        <v>37124</v>
      </c>
      <c r="AB204" s="1422">
        <v>0</v>
      </c>
      <c r="AC204" s="1429">
        <v>0</v>
      </c>
      <c r="AD204" s="1422">
        <v>26313</v>
      </c>
      <c r="AE204" s="1422">
        <v>3900</v>
      </c>
      <c r="AF204" s="1422">
        <v>927</v>
      </c>
      <c r="AG204" s="1422">
        <v>52819</v>
      </c>
      <c r="AH204" s="1422">
        <v>0</v>
      </c>
      <c r="AI204" s="1422">
        <v>164176</v>
      </c>
      <c r="AJ204" s="1420">
        <v>2606.3200000000002</v>
      </c>
      <c r="AK204" s="1422">
        <v>9750</v>
      </c>
      <c r="AL204" s="1420">
        <v>2013.11</v>
      </c>
      <c r="AM204" s="1422">
        <v>0</v>
      </c>
      <c r="AN204" s="1429">
        <v>0</v>
      </c>
      <c r="AO204" s="1422">
        <v>0</v>
      </c>
      <c r="AP204" s="1420">
        <v>298533.56</v>
      </c>
      <c r="AQ204" s="1430">
        <f t="shared" si="35"/>
        <v>3766803.9899999998</v>
      </c>
      <c r="AR204" s="1440">
        <v>895374</v>
      </c>
      <c r="AS204" s="1432">
        <v>3468.17</v>
      </c>
      <c r="AT204" s="1422">
        <v>0</v>
      </c>
      <c r="AU204" s="1422">
        <v>0</v>
      </c>
      <c r="AV204" s="1422">
        <v>0</v>
      </c>
      <c r="AW204" s="1420">
        <v>33954.339999999997</v>
      </c>
      <c r="AX204" s="1422">
        <v>0</v>
      </c>
      <c r="AY204" s="1420">
        <v>37422.51</v>
      </c>
      <c r="AZ204" s="1420">
        <v>188515.67</v>
      </c>
      <c r="BA204" s="1423">
        <f t="shared" si="36"/>
        <v>259892.52000000002</v>
      </c>
      <c r="BB204" s="1420">
        <f t="shared" si="37"/>
        <v>5944943.0699999994</v>
      </c>
      <c r="BC204" s="1433">
        <f t="shared" si="38"/>
        <v>9729.8577250409162</v>
      </c>
      <c r="BD204" s="1433">
        <f t="shared" si="39"/>
        <v>1673.9443535188216</v>
      </c>
      <c r="BE204" s="1433">
        <f t="shared" si="40"/>
        <v>0.15148936170212765</v>
      </c>
      <c r="BF204" s="1433">
        <f t="shared" si="41"/>
        <v>6164.9819803600649</v>
      </c>
      <c r="BG204" s="1433">
        <f t="shared" si="42"/>
        <v>1465.4238952536825</v>
      </c>
      <c r="BH204" s="1434">
        <f t="shared" si="43"/>
        <v>425.35600654664489</v>
      </c>
      <c r="BI204" s="1422">
        <v>8364</v>
      </c>
    </row>
    <row r="205" spans="1:61" ht="12.75" customHeight="1" thickBot="1">
      <c r="A205" s="1418" t="s">
        <v>285</v>
      </c>
      <c r="B205" s="1418" t="s">
        <v>286</v>
      </c>
      <c r="C205" s="1419">
        <v>343</v>
      </c>
      <c r="D205" s="1420">
        <v>91.8</v>
      </c>
      <c r="E205" s="1420">
        <v>313.82</v>
      </c>
      <c r="F205" s="1421">
        <v>-0.22</v>
      </c>
      <c r="G205" s="1420">
        <v>339.65</v>
      </c>
      <c r="H205" s="1420">
        <v>356.47</v>
      </c>
      <c r="I205" s="1422">
        <v>27920036</v>
      </c>
      <c r="J205" s="1422">
        <v>25</v>
      </c>
      <c r="K205" s="1422">
        <v>25</v>
      </c>
      <c r="L205" s="1422">
        <v>0</v>
      </c>
      <c r="M205" s="1422">
        <v>0</v>
      </c>
      <c r="N205" s="1420">
        <v>14.3</v>
      </c>
      <c r="O205" s="1420">
        <v>39.299999999999997</v>
      </c>
      <c r="P205" s="1438">
        <v>1288104</v>
      </c>
      <c r="Q205" s="1424">
        <v>886127.19</v>
      </c>
      <c r="R205" s="1425">
        <f t="shared" si="33"/>
        <v>886127.19</v>
      </c>
      <c r="S205" s="1436">
        <v>51.91</v>
      </c>
      <c r="T205" s="1427">
        <f t="shared" si="34"/>
        <v>51.91</v>
      </c>
      <c r="U205" s="1428">
        <v>1431817</v>
      </c>
      <c r="V205" s="1422">
        <v>119582</v>
      </c>
      <c r="W205" s="1422">
        <v>0</v>
      </c>
      <c r="X205" s="1422">
        <v>64476</v>
      </c>
      <c r="Y205" s="1422">
        <v>0</v>
      </c>
      <c r="Z205" s="1422">
        <v>0</v>
      </c>
      <c r="AA205" s="1422">
        <v>25433</v>
      </c>
      <c r="AB205" s="1422">
        <v>0</v>
      </c>
      <c r="AC205" s="1429">
        <v>0</v>
      </c>
      <c r="AD205" s="1422">
        <v>14744</v>
      </c>
      <c r="AE205" s="1422">
        <v>2400</v>
      </c>
      <c r="AF205" s="1422">
        <v>0</v>
      </c>
      <c r="AG205" s="1422">
        <v>47943</v>
      </c>
      <c r="AH205" s="1422">
        <v>0</v>
      </c>
      <c r="AI205" s="1422">
        <v>183188</v>
      </c>
      <c r="AJ205" s="1420">
        <v>1460.33</v>
      </c>
      <c r="AK205" s="1420">
        <v>5416.76</v>
      </c>
      <c r="AL205" s="1420">
        <v>4013.1</v>
      </c>
      <c r="AM205" s="1422">
        <v>0</v>
      </c>
      <c r="AN205" s="1435">
        <v>92437.2</v>
      </c>
      <c r="AO205" s="1422">
        <v>0</v>
      </c>
      <c r="AP205" s="1422">
        <v>9439</v>
      </c>
      <c r="AQ205" s="1430">
        <f t="shared" si="35"/>
        <v>1909912.1900000002</v>
      </c>
      <c r="AR205" s="1431">
        <v>654770.51</v>
      </c>
      <c r="AS205" s="1432">
        <v>316.41000000000003</v>
      </c>
      <c r="AT205" s="1422">
        <v>0</v>
      </c>
      <c r="AU205" s="1422">
        <v>0</v>
      </c>
      <c r="AV205" s="1422">
        <v>550</v>
      </c>
      <c r="AW205" s="1422">
        <v>0</v>
      </c>
      <c r="AX205" s="1422">
        <v>0</v>
      </c>
      <c r="AY205" s="1420">
        <v>866.41</v>
      </c>
      <c r="AZ205" s="1420">
        <v>169540.55</v>
      </c>
      <c r="BA205" s="1423">
        <f t="shared" si="36"/>
        <v>170956.96</v>
      </c>
      <c r="BB205" s="1420">
        <f t="shared" si="37"/>
        <v>3621818.7600000002</v>
      </c>
      <c r="BC205" s="1433">
        <f t="shared" si="38"/>
        <v>10559.238367346939</v>
      </c>
      <c r="BD205" s="1433">
        <f t="shared" si="39"/>
        <v>2583.4611953352769</v>
      </c>
      <c r="BE205" s="1433">
        <f t="shared" si="40"/>
        <v>0.15134110787172012</v>
      </c>
      <c r="BF205" s="1433">
        <f t="shared" si="41"/>
        <v>5568.2571137026243</v>
      </c>
      <c r="BG205" s="1433">
        <f t="shared" si="42"/>
        <v>1908.9519241982507</v>
      </c>
      <c r="BH205" s="1434">
        <f t="shared" si="43"/>
        <v>498.41679300291543</v>
      </c>
      <c r="BI205" s="1422">
        <v>11079</v>
      </c>
    </row>
    <row r="206" spans="1:61" ht="12.75" customHeight="1" thickBot="1">
      <c r="A206" s="1418" t="s">
        <v>287</v>
      </c>
      <c r="B206" s="1418" t="s">
        <v>288</v>
      </c>
      <c r="C206" s="1419">
        <v>856</v>
      </c>
      <c r="D206" s="1420">
        <v>63.35</v>
      </c>
      <c r="E206" s="1420">
        <v>803.49</v>
      </c>
      <c r="F206" s="1421">
        <v>-0.05</v>
      </c>
      <c r="G206" s="1420">
        <v>846.71</v>
      </c>
      <c r="H206" s="1420">
        <v>832.67</v>
      </c>
      <c r="I206" s="1422">
        <v>54346830</v>
      </c>
      <c r="J206" s="1422">
        <v>25</v>
      </c>
      <c r="K206" s="1422">
        <v>25</v>
      </c>
      <c r="L206" s="1422">
        <v>0</v>
      </c>
      <c r="M206" s="1422">
        <v>0</v>
      </c>
      <c r="N206" s="1420">
        <v>16.899999999999999</v>
      </c>
      <c r="O206" s="1420">
        <v>41.9</v>
      </c>
      <c r="P206" s="1423">
        <v>12815466.800000001</v>
      </c>
      <c r="Q206" s="1424">
        <v>2269237.38</v>
      </c>
      <c r="R206" s="1425">
        <f t="shared" si="33"/>
        <v>2269237.38</v>
      </c>
      <c r="S206" s="1436">
        <v>122.56</v>
      </c>
      <c r="T206" s="1427">
        <f t="shared" si="34"/>
        <v>122.56</v>
      </c>
      <c r="U206" s="1428">
        <v>3642677</v>
      </c>
      <c r="V206" s="1422">
        <v>42648</v>
      </c>
      <c r="W206" s="1422">
        <v>0</v>
      </c>
      <c r="X206" s="1422">
        <v>138198</v>
      </c>
      <c r="Y206" s="1422">
        <v>0</v>
      </c>
      <c r="Z206" s="1422">
        <v>0</v>
      </c>
      <c r="AA206" s="1422">
        <v>11291</v>
      </c>
      <c r="AB206" s="1422">
        <v>0</v>
      </c>
      <c r="AC206" s="1429">
        <v>0</v>
      </c>
      <c r="AD206" s="1422">
        <v>34439</v>
      </c>
      <c r="AE206" s="1420">
        <v>4630.07</v>
      </c>
      <c r="AF206" s="1422">
        <v>867</v>
      </c>
      <c r="AG206" s="1422">
        <v>12920</v>
      </c>
      <c r="AH206" s="1422">
        <v>879</v>
      </c>
      <c r="AI206" s="1422">
        <v>194432</v>
      </c>
      <c r="AJ206" s="1420">
        <v>6779.15</v>
      </c>
      <c r="AK206" s="1420">
        <v>45972.52</v>
      </c>
      <c r="AL206" s="1420">
        <v>3293.71</v>
      </c>
      <c r="AM206" s="1422">
        <v>0</v>
      </c>
      <c r="AN206" s="1429">
        <v>267300</v>
      </c>
      <c r="AO206" s="1422">
        <v>0</v>
      </c>
      <c r="AP206" s="1420">
        <v>442097.84</v>
      </c>
      <c r="AQ206" s="1430">
        <f t="shared" si="35"/>
        <v>4581124.2899999991</v>
      </c>
      <c r="AR206" s="1431">
        <v>1491812.75</v>
      </c>
      <c r="AS206" s="1432">
        <v>1140630.93</v>
      </c>
      <c r="AT206" s="1422">
        <v>0</v>
      </c>
      <c r="AU206" s="1420">
        <v>14388.52</v>
      </c>
      <c r="AV206" s="1422">
        <v>0</v>
      </c>
      <c r="AW206" s="1420">
        <v>6676.92</v>
      </c>
      <c r="AX206" s="1422">
        <v>0</v>
      </c>
      <c r="AY206" s="1420">
        <v>1161696.3700000001</v>
      </c>
      <c r="AZ206" s="1420">
        <v>633297.38</v>
      </c>
      <c r="BA206" s="1423">
        <f t="shared" si="36"/>
        <v>1816059.19</v>
      </c>
      <c r="BB206" s="1420">
        <f t="shared" si="37"/>
        <v>10158356.169999998</v>
      </c>
      <c r="BC206" s="1433">
        <f t="shared" si="38"/>
        <v>11867.238516355137</v>
      </c>
      <c r="BD206" s="1433">
        <f t="shared" si="39"/>
        <v>2650.9782476635514</v>
      </c>
      <c r="BE206" s="1433">
        <f t="shared" si="40"/>
        <v>0.14317757009345794</v>
      </c>
      <c r="BF206" s="1433">
        <f t="shared" si="41"/>
        <v>5351.7807126168218</v>
      </c>
      <c r="BG206" s="1433">
        <f t="shared" si="42"/>
        <v>1742.7719042056074</v>
      </c>
      <c r="BH206" s="1434">
        <f t="shared" si="43"/>
        <v>2121.5644742990653</v>
      </c>
      <c r="BI206" s="1422">
        <v>8907</v>
      </c>
    </row>
    <row r="207" spans="1:61" ht="12.75" customHeight="1" thickBot="1">
      <c r="A207" s="1418" t="s">
        <v>289</v>
      </c>
      <c r="B207" s="1418" t="s">
        <v>290</v>
      </c>
      <c r="C207" s="1419">
        <v>958</v>
      </c>
      <c r="D207" s="1420">
        <v>154.34</v>
      </c>
      <c r="E207" s="1420">
        <v>887.06</v>
      </c>
      <c r="F207" s="1421">
        <v>-0.12</v>
      </c>
      <c r="G207" s="1420">
        <v>955.23</v>
      </c>
      <c r="H207" s="1420">
        <v>951.16</v>
      </c>
      <c r="I207" s="1422">
        <v>57421445</v>
      </c>
      <c r="J207" s="1422">
        <v>25</v>
      </c>
      <c r="K207" s="1422">
        <v>25</v>
      </c>
      <c r="L207" s="1422">
        <v>0</v>
      </c>
      <c r="M207" s="1422">
        <v>0</v>
      </c>
      <c r="N207" s="1420">
        <v>15.01</v>
      </c>
      <c r="O207" s="1420">
        <v>40.01</v>
      </c>
      <c r="P207" s="1423">
        <v>9540870.0500000007</v>
      </c>
      <c r="Q207" s="1424">
        <v>2222300.91</v>
      </c>
      <c r="R207" s="1425">
        <f t="shared" si="33"/>
        <v>2222300.91</v>
      </c>
      <c r="S207" s="1436">
        <v>138.66</v>
      </c>
      <c r="T207" s="1427">
        <f t="shared" si="34"/>
        <v>138.66</v>
      </c>
      <c r="U207" s="1428">
        <v>4298159</v>
      </c>
      <c r="V207" s="1422">
        <v>53902</v>
      </c>
      <c r="W207" s="1422">
        <v>0</v>
      </c>
      <c r="X207" s="1422">
        <v>109709</v>
      </c>
      <c r="Y207" s="1422">
        <v>0</v>
      </c>
      <c r="Z207" s="1422">
        <v>0</v>
      </c>
      <c r="AA207" s="1422">
        <v>15871</v>
      </c>
      <c r="AB207" s="1422">
        <v>0</v>
      </c>
      <c r="AC207" s="1429">
        <v>0</v>
      </c>
      <c r="AD207" s="1422">
        <v>39340</v>
      </c>
      <c r="AE207" s="1420">
        <v>1126.1500000000001</v>
      </c>
      <c r="AF207" s="1422">
        <v>250</v>
      </c>
      <c r="AG207" s="1422">
        <v>37014</v>
      </c>
      <c r="AH207" s="1422">
        <v>586</v>
      </c>
      <c r="AI207" s="1422">
        <v>248496</v>
      </c>
      <c r="AJ207" s="1420">
        <v>3896.58</v>
      </c>
      <c r="AK207" s="1422">
        <v>13000</v>
      </c>
      <c r="AL207" s="1420">
        <v>2145.81</v>
      </c>
      <c r="AM207" s="1422">
        <v>0</v>
      </c>
      <c r="AN207" s="1429">
        <v>0</v>
      </c>
      <c r="AO207" s="1422">
        <v>0</v>
      </c>
      <c r="AP207" s="1422">
        <v>125667</v>
      </c>
      <c r="AQ207" s="1430">
        <f t="shared" si="35"/>
        <v>4949162.54</v>
      </c>
      <c r="AR207" s="1431">
        <v>1279653.73</v>
      </c>
      <c r="AS207" s="1437">
        <v>0</v>
      </c>
      <c r="AT207" s="1422">
        <v>0</v>
      </c>
      <c r="AU207" s="1422">
        <v>0</v>
      </c>
      <c r="AV207" s="1422">
        <v>0</v>
      </c>
      <c r="AW207" s="1422">
        <v>0</v>
      </c>
      <c r="AX207" s="1422">
        <v>0</v>
      </c>
      <c r="AY207" s="1422">
        <v>0</v>
      </c>
      <c r="AZ207" s="1422">
        <v>400745</v>
      </c>
      <c r="BA207" s="1423">
        <f t="shared" si="36"/>
        <v>400745</v>
      </c>
      <c r="BB207" s="1420">
        <f t="shared" si="37"/>
        <v>8852000.8399999999</v>
      </c>
      <c r="BC207" s="1433">
        <f t="shared" si="38"/>
        <v>9240.0843841336118</v>
      </c>
      <c r="BD207" s="1433">
        <f t="shared" si="39"/>
        <v>2319.7295511482257</v>
      </c>
      <c r="BE207" s="1433">
        <f t="shared" si="40"/>
        <v>0.14473903966597076</v>
      </c>
      <c r="BF207" s="1433">
        <f t="shared" si="41"/>
        <v>5166.1404384133612</v>
      </c>
      <c r="BG207" s="1433">
        <f t="shared" si="42"/>
        <v>1335.7554592901879</v>
      </c>
      <c r="BH207" s="1434">
        <f t="shared" si="43"/>
        <v>418.31419624217119</v>
      </c>
      <c r="BI207" s="1422">
        <v>7684</v>
      </c>
    </row>
    <row r="208" spans="1:61" ht="12.75" customHeight="1" thickBot="1">
      <c r="A208" s="1418" t="s">
        <v>291</v>
      </c>
      <c r="B208" s="1418" t="s">
        <v>292</v>
      </c>
      <c r="C208" s="1419">
        <v>2383</v>
      </c>
      <c r="D208" s="1420">
        <v>381.44</v>
      </c>
      <c r="E208" s="1420">
        <v>2268.67</v>
      </c>
      <c r="F208" s="1421">
        <v>-0.01</v>
      </c>
      <c r="G208" s="1420">
        <v>2380.2600000000002</v>
      </c>
      <c r="H208" s="1420">
        <v>2495.6799999999998</v>
      </c>
      <c r="I208" s="1422">
        <v>112572139</v>
      </c>
      <c r="J208" s="1422">
        <v>25</v>
      </c>
      <c r="K208" s="1422">
        <v>25</v>
      </c>
      <c r="L208" s="1422">
        <v>0</v>
      </c>
      <c r="M208" s="1422">
        <v>0</v>
      </c>
      <c r="N208" s="1420">
        <v>2.2999999999999998</v>
      </c>
      <c r="O208" s="1420">
        <v>27.3</v>
      </c>
      <c r="P208" s="1438">
        <v>4715000</v>
      </c>
      <c r="Q208" s="1424">
        <v>2748640.62</v>
      </c>
      <c r="R208" s="1425">
        <f t="shared" si="33"/>
        <v>2748640.62</v>
      </c>
      <c r="S208" s="1426">
        <v>0</v>
      </c>
      <c r="T208" s="1427">
        <f t="shared" si="34"/>
        <v>0</v>
      </c>
      <c r="U208" s="1428">
        <v>12422470</v>
      </c>
      <c r="V208" s="1422">
        <v>128796</v>
      </c>
      <c r="W208" s="1422">
        <v>12089</v>
      </c>
      <c r="X208" s="1422">
        <v>0</v>
      </c>
      <c r="Y208" s="1422">
        <v>0</v>
      </c>
      <c r="Z208" s="1422">
        <v>0</v>
      </c>
      <c r="AA208" s="1422">
        <v>14220</v>
      </c>
      <c r="AB208" s="1422">
        <v>0</v>
      </c>
      <c r="AC208" s="1429">
        <v>0</v>
      </c>
      <c r="AD208" s="1422">
        <v>103221</v>
      </c>
      <c r="AE208" s="1422">
        <v>7500</v>
      </c>
      <c r="AF208" s="1422">
        <v>850</v>
      </c>
      <c r="AG208" s="1422">
        <v>56598</v>
      </c>
      <c r="AH208" s="1422">
        <v>268095</v>
      </c>
      <c r="AI208" s="1422">
        <v>1839168</v>
      </c>
      <c r="AJ208" s="1420">
        <v>27758.52</v>
      </c>
      <c r="AK208" s="1420">
        <v>47125.64</v>
      </c>
      <c r="AL208" s="1420">
        <v>9664.73</v>
      </c>
      <c r="AM208" s="1422">
        <v>0</v>
      </c>
      <c r="AN208" s="1429">
        <v>0</v>
      </c>
      <c r="AO208" s="1422">
        <v>0</v>
      </c>
      <c r="AP208" s="1420">
        <v>1996404.13</v>
      </c>
      <c r="AQ208" s="1430">
        <f t="shared" si="35"/>
        <v>16933960.02</v>
      </c>
      <c r="AR208" s="1431">
        <v>3970047.71</v>
      </c>
      <c r="AS208" s="1432">
        <v>1776076.66</v>
      </c>
      <c r="AT208" s="1422">
        <v>0</v>
      </c>
      <c r="AU208" s="1422">
        <v>0</v>
      </c>
      <c r="AV208" s="1422">
        <v>0</v>
      </c>
      <c r="AW208" s="1422">
        <v>0</v>
      </c>
      <c r="AX208" s="1422">
        <v>0</v>
      </c>
      <c r="AY208" s="1420">
        <v>1776076.66</v>
      </c>
      <c r="AZ208" s="1420">
        <v>1093321.82</v>
      </c>
      <c r="BA208" s="1423">
        <f t="shared" si="36"/>
        <v>2869398.48</v>
      </c>
      <c r="BB208" s="1420">
        <f t="shared" si="37"/>
        <v>26522046.830000002</v>
      </c>
      <c r="BC208" s="1433">
        <f t="shared" si="38"/>
        <v>11129.688136802351</v>
      </c>
      <c r="BD208" s="1433">
        <f t="shared" si="39"/>
        <v>1153.4371044901386</v>
      </c>
      <c r="BE208" s="1433">
        <f t="shared" si="40"/>
        <v>0</v>
      </c>
      <c r="BF208" s="1433">
        <f t="shared" si="41"/>
        <v>7106.1519177507344</v>
      </c>
      <c r="BG208" s="1433">
        <f t="shared" si="42"/>
        <v>1665.9872891313471</v>
      </c>
      <c r="BH208" s="1434">
        <f t="shared" si="43"/>
        <v>1204.11182543013</v>
      </c>
      <c r="BI208" s="1422">
        <v>9206</v>
      </c>
    </row>
    <row r="209" spans="1:61" ht="12.75" customHeight="1" thickBot="1">
      <c r="A209" s="1418" t="s">
        <v>293</v>
      </c>
      <c r="B209" s="1418" t="s">
        <v>294</v>
      </c>
      <c r="C209" s="1419">
        <v>871</v>
      </c>
      <c r="D209" s="1420">
        <v>153.43</v>
      </c>
      <c r="E209" s="1420">
        <v>798.98</v>
      </c>
      <c r="F209" s="1421">
        <v>0.04</v>
      </c>
      <c r="G209" s="1420">
        <v>855.35</v>
      </c>
      <c r="H209" s="1420">
        <v>826.8</v>
      </c>
      <c r="I209" s="1422">
        <v>27679478</v>
      </c>
      <c r="J209" s="1422">
        <v>25</v>
      </c>
      <c r="K209" s="1422">
        <v>25</v>
      </c>
      <c r="L209" s="1422">
        <v>0</v>
      </c>
      <c r="M209" s="1422">
        <v>0</v>
      </c>
      <c r="N209" s="1422">
        <v>19</v>
      </c>
      <c r="O209" s="1422">
        <v>44</v>
      </c>
      <c r="P209" s="1438">
        <v>6796316</v>
      </c>
      <c r="Q209" s="1424">
        <v>1141764.0900000001</v>
      </c>
      <c r="R209" s="1425">
        <f t="shared" si="33"/>
        <v>1141764.0900000001</v>
      </c>
      <c r="S209" s="1436">
        <v>144.4</v>
      </c>
      <c r="T209" s="1427">
        <f t="shared" si="34"/>
        <v>144.4</v>
      </c>
      <c r="U209" s="1428">
        <v>4304431</v>
      </c>
      <c r="V209" s="1422">
        <v>890</v>
      </c>
      <c r="W209" s="1422">
        <v>176865</v>
      </c>
      <c r="X209" s="1422">
        <v>0</v>
      </c>
      <c r="Y209" s="1422">
        <v>0</v>
      </c>
      <c r="Z209" s="1422">
        <v>0</v>
      </c>
      <c r="AA209" s="1422">
        <v>45758</v>
      </c>
      <c r="AB209" s="1422">
        <v>0</v>
      </c>
      <c r="AC209" s="1429">
        <v>0</v>
      </c>
      <c r="AD209" s="1422">
        <v>34196</v>
      </c>
      <c r="AE209" s="1420">
        <v>6298.54</v>
      </c>
      <c r="AF209" s="1422">
        <v>50</v>
      </c>
      <c r="AG209" s="1422">
        <v>0</v>
      </c>
      <c r="AH209" s="1422">
        <v>20217</v>
      </c>
      <c r="AI209" s="1422">
        <v>253456</v>
      </c>
      <c r="AJ209" s="1420">
        <v>4497.09</v>
      </c>
      <c r="AK209" s="1420">
        <v>44958.559999999998</v>
      </c>
      <c r="AL209" s="1422">
        <v>0</v>
      </c>
      <c r="AM209" s="1422">
        <v>0</v>
      </c>
      <c r="AN209" s="1429">
        <v>0</v>
      </c>
      <c r="AO209" s="1422">
        <v>0</v>
      </c>
      <c r="AP209" s="1420">
        <v>2310817.0699999998</v>
      </c>
      <c r="AQ209" s="1430">
        <f t="shared" si="35"/>
        <v>7202434.2599999998</v>
      </c>
      <c r="AR209" s="1431">
        <v>1359391.24</v>
      </c>
      <c r="AS209" s="1432">
        <v>4922555.5</v>
      </c>
      <c r="AT209" s="1422">
        <v>0</v>
      </c>
      <c r="AU209" s="1422">
        <v>0</v>
      </c>
      <c r="AV209" s="1422">
        <v>0</v>
      </c>
      <c r="AW209" s="1422">
        <v>0</v>
      </c>
      <c r="AX209" s="1422">
        <v>0</v>
      </c>
      <c r="AY209" s="1420">
        <v>4922555.5</v>
      </c>
      <c r="AZ209" s="1420">
        <v>369597.73</v>
      </c>
      <c r="BA209" s="1423">
        <f t="shared" si="36"/>
        <v>5292153.2300000004</v>
      </c>
      <c r="BB209" s="1420">
        <f t="shared" si="37"/>
        <v>14995887.220000001</v>
      </c>
      <c r="BC209" s="1433">
        <f t="shared" si="38"/>
        <v>17216.862479908152</v>
      </c>
      <c r="BD209" s="1433">
        <f t="shared" si="39"/>
        <v>1310.8657749712975</v>
      </c>
      <c r="BE209" s="1433">
        <f t="shared" si="40"/>
        <v>0.16578645235361653</v>
      </c>
      <c r="BF209" s="1433">
        <f t="shared" si="41"/>
        <v>8269.1552927669345</v>
      </c>
      <c r="BG209" s="1433">
        <f t="shared" si="42"/>
        <v>1560.7247301951779</v>
      </c>
      <c r="BH209" s="1434">
        <f t="shared" si="43"/>
        <v>6075.9508955223882</v>
      </c>
      <c r="BI209" s="1422">
        <v>8410</v>
      </c>
    </row>
    <row r="210" spans="1:61" ht="12.75" customHeight="1" thickBot="1">
      <c r="A210" s="1418" t="s">
        <v>295</v>
      </c>
      <c r="B210" s="1418" t="s">
        <v>296</v>
      </c>
      <c r="C210" s="1419">
        <v>1356</v>
      </c>
      <c r="D210" s="1420">
        <v>285.01</v>
      </c>
      <c r="E210" s="1420">
        <v>1256.27</v>
      </c>
      <c r="F210" s="1421">
        <v>0.02</v>
      </c>
      <c r="G210" s="1420">
        <v>1339.23</v>
      </c>
      <c r="H210" s="1420">
        <v>1342.4</v>
      </c>
      <c r="I210" s="1422">
        <v>60211458</v>
      </c>
      <c r="J210" s="1422">
        <v>25</v>
      </c>
      <c r="K210" s="1422">
        <v>25</v>
      </c>
      <c r="L210" s="1422">
        <v>0</v>
      </c>
      <c r="M210" s="1422">
        <v>0</v>
      </c>
      <c r="N210" s="1422">
        <v>14</v>
      </c>
      <c r="O210" s="1422">
        <v>39</v>
      </c>
      <c r="P210" s="1423">
        <v>8363349.9699999997</v>
      </c>
      <c r="Q210" s="1424">
        <v>2283145.73</v>
      </c>
      <c r="R210" s="1425">
        <f t="shared" si="33"/>
        <v>2283145.73</v>
      </c>
      <c r="S210" s="1426">
        <v>0</v>
      </c>
      <c r="T210" s="1427">
        <f t="shared" si="34"/>
        <v>0</v>
      </c>
      <c r="U210" s="1428">
        <v>6649120</v>
      </c>
      <c r="V210" s="1422">
        <v>71269</v>
      </c>
      <c r="W210" s="1422">
        <v>35310</v>
      </c>
      <c r="X210" s="1422">
        <v>0</v>
      </c>
      <c r="Y210" s="1422">
        <v>0</v>
      </c>
      <c r="Z210" s="1422">
        <v>11944</v>
      </c>
      <c r="AA210" s="1422">
        <v>37115</v>
      </c>
      <c r="AB210" s="1422">
        <v>0</v>
      </c>
      <c r="AC210" s="1429">
        <v>0</v>
      </c>
      <c r="AD210" s="1422">
        <v>55522</v>
      </c>
      <c r="AE210" s="1422">
        <v>2600</v>
      </c>
      <c r="AF210" s="1422">
        <v>150</v>
      </c>
      <c r="AG210" s="1422">
        <v>36851</v>
      </c>
      <c r="AH210" s="1422">
        <v>879</v>
      </c>
      <c r="AI210" s="1422">
        <v>459296</v>
      </c>
      <c r="AJ210" s="1420">
        <v>78206.649999999994</v>
      </c>
      <c r="AK210" s="1420">
        <v>18091.740000000002</v>
      </c>
      <c r="AL210" s="1420">
        <v>5305.84</v>
      </c>
      <c r="AM210" s="1422">
        <v>0</v>
      </c>
      <c r="AN210" s="1429">
        <v>291600</v>
      </c>
      <c r="AO210" s="1422">
        <v>0</v>
      </c>
      <c r="AP210" s="1422">
        <v>179718</v>
      </c>
      <c r="AQ210" s="1430">
        <f t="shared" si="35"/>
        <v>7641378.2300000004</v>
      </c>
      <c r="AR210" s="1431">
        <v>1893838.79</v>
      </c>
      <c r="AS210" s="1432">
        <v>683500.03</v>
      </c>
      <c r="AT210" s="1422">
        <v>0</v>
      </c>
      <c r="AU210" s="1422">
        <v>0</v>
      </c>
      <c r="AV210" s="1420">
        <v>7465.95</v>
      </c>
      <c r="AW210" s="1420">
        <v>13670.88</v>
      </c>
      <c r="AX210" s="1422">
        <v>0</v>
      </c>
      <c r="AY210" s="1420">
        <v>704636.86</v>
      </c>
      <c r="AZ210" s="1420">
        <v>658462.68000000005</v>
      </c>
      <c r="BA210" s="1423">
        <f t="shared" si="36"/>
        <v>1384236.37</v>
      </c>
      <c r="BB210" s="1420">
        <f t="shared" si="37"/>
        <v>13202599.120000001</v>
      </c>
      <c r="BC210" s="1433">
        <f t="shared" si="38"/>
        <v>9736.430029498526</v>
      </c>
      <c r="BD210" s="1433">
        <f t="shared" si="39"/>
        <v>1683.7357890855458</v>
      </c>
      <c r="BE210" s="1433">
        <f t="shared" si="40"/>
        <v>0</v>
      </c>
      <c r="BF210" s="1433">
        <f t="shared" si="41"/>
        <v>5635.2346828908558</v>
      </c>
      <c r="BG210" s="1433">
        <f t="shared" si="42"/>
        <v>1396.6362758112095</v>
      </c>
      <c r="BH210" s="1434">
        <f t="shared" si="43"/>
        <v>1020.8232817109146</v>
      </c>
      <c r="BI210" s="1422">
        <v>8205</v>
      </c>
    </row>
    <row r="211" spans="1:61" ht="12.75" customHeight="1" thickBot="1">
      <c r="A211" s="1418" t="s">
        <v>297</v>
      </c>
      <c r="B211" s="1418" t="s">
        <v>298</v>
      </c>
      <c r="C211" s="1419">
        <v>1626</v>
      </c>
      <c r="D211" s="1420">
        <v>325.64999999999998</v>
      </c>
      <c r="E211" s="1420">
        <v>1503.26</v>
      </c>
      <c r="F211" s="1421">
        <v>0.02</v>
      </c>
      <c r="G211" s="1420">
        <v>1592.39</v>
      </c>
      <c r="H211" s="1420">
        <v>1557.75</v>
      </c>
      <c r="I211" s="1422">
        <v>149377231</v>
      </c>
      <c r="J211" s="1422">
        <v>25</v>
      </c>
      <c r="K211" s="1422">
        <v>25</v>
      </c>
      <c r="L211" s="1422">
        <v>0</v>
      </c>
      <c r="M211" s="1422">
        <v>0</v>
      </c>
      <c r="N211" s="1422">
        <v>5</v>
      </c>
      <c r="O211" s="1422">
        <v>30</v>
      </c>
      <c r="P211" s="1438">
        <v>4990000</v>
      </c>
      <c r="Q211" s="1424">
        <v>3928866.92</v>
      </c>
      <c r="R211" s="1425">
        <f t="shared" si="33"/>
        <v>3928866.92</v>
      </c>
      <c r="S211" s="1426">
        <v>0</v>
      </c>
      <c r="T211" s="1427">
        <f t="shared" si="34"/>
        <v>0</v>
      </c>
      <c r="U211" s="1428">
        <v>6257137</v>
      </c>
      <c r="V211" s="1422">
        <v>200215</v>
      </c>
      <c r="W211" s="1422">
        <v>0</v>
      </c>
      <c r="X211" s="1422">
        <v>50593</v>
      </c>
      <c r="Y211" s="1422">
        <v>225863</v>
      </c>
      <c r="Z211" s="1422">
        <v>18533</v>
      </c>
      <c r="AA211" s="1422">
        <v>0</v>
      </c>
      <c r="AB211" s="1422">
        <v>0</v>
      </c>
      <c r="AC211" s="1429">
        <v>0</v>
      </c>
      <c r="AD211" s="1422">
        <v>66095</v>
      </c>
      <c r="AE211" s="1420">
        <v>35326.629999999997</v>
      </c>
      <c r="AF211" s="1422">
        <v>2918</v>
      </c>
      <c r="AG211" s="1422">
        <v>59218</v>
      </c>
      <c r="AH211" s="1422">
        <v>0</v>
      </c>
      <c r="AI211" s="1422">
        <v>504990</v>
      </c>
      <c r="AJ211" s="1420">
        <v>14297.59</v>
      </c>
      <c r="AK211" s="1422">
        <v>8000</v>
      </c>
      <c r="AL211" s="1420">
        <v>6344.53</v>
      </c>
      <c r="AM211" s="1422">
        <v>0</v>
      </c>
      <c r="AN211" s="1429">
        <v>0</v>
      </c>
      <c r="AO211" s="1422">
        <v>0</v>
      </c>
      <c r="AP211" s="1420">
        <v>44989.03</v>
      </c>
      <c r="AQ211" s="1430">
        <f t="shared" si="35"/>
        <v>7494519.7800000003</v>
      </c>
      <c r="AR211" s="1431">
        <v>3446107.52</v>
      </c>
      <c r="AS211" s="1437">
        <v>906500</v>
      </c>
      <c r="AT211" s="1422">
        <v>0</v>
      </c>
      <c r="AU211" s="1422">
        <v>8500</v>
      </c>
      <c r="AV211" s="1422">
        <v>530</v>
      </c>
      <c r="AW211" s="1422">
        <v>0</v>
      </c>
      <c r="AX211" s="1422">
        <v>0</v>
      </c>
      <c r="AY211" s="1422">
        <v>915530</v>
      </c>
      <c r="AZ211" s="1420">
        <v>712594.89</v>
      </c>
      <c r="BA211" s="1423">
        <f t="shared" si="36"/>
        <v>1637154.8900000001</v>
      </c>
      <c r="BB211" s="1420">
        <f t="shared" si="37"/>
        <v>16506649.110000001</v>
      </c>
      <c r="BC211" s="1433">
        <f t="shared" si="38"/>
        <v>10151.690719557197</v>
      </c>
      <c r="BD211" s="1433">
        <f t="shared" si="39"/>
        <v>2416.2773185731858</v>
      </c>
      <c r="BE211" s="1433">
        <f t="shared" si="40"/>
        <v>0</v>
      </c>
      <c r="BF211" s="1433">
        <f t="shared" si="41"/>
        <v>4609.1757564575646</v>
      </c>
      <c r="BG211" s="1433">
        <f t="shared" si="42"/>
        <v>2119.3773185731857</v>
      </c>
      <c r="BH211" s="1434">
        <f t="shared" si="43"/>
        <v>1006.8603259532596</v>
      </c>
      <c r="BI211" s="1422">
        <v>8296</v>
      </c>
    </row>
    <row r="212" spans="1:61" ht="12.75" customHeight="1" thickBot="1">
      <c r="A212" s="1418" t="s">
        <v>299</v>
      </c>
      <c r="B212" s="1418" t="s">
        <v>300</v>
      </c>
      <c r="C212" s="1419">
        <v>1718</v>
      </c>
      <c r="D212" s="1420">
        <v>569.32000000000005</v>
      </c>
      <c r="E212" s="1420">
        <v>1616.66</v>
      </c>
      <c r="F212" s="1421">
        <v>0.02</v>
      </c>
      <c r="G212" s="1420">
        <v>1710.57</v>
      </c>
      <c r="H212" s="1420">
        <v>1684.9</v>
      </c>
      <c r="I212" s="1422">
        <v>133473816</v>
      </c>
      <c r="J212" s="1422">
        <v>25</v>
      </c>
      <c r="K212" s="1422">
        <v>25</v>
      </c>
      <c r="L212" s="1422">
        <v>0</v>
      </c>
      <c r="M212" s="1422">
        <v>0</v>
      </c>
      <c r="N212" s="1420">
        <v>3.91</v>
      </c>
      <c r="O212" s="1420">
        <v>28.91</v>
      </c>
      <c r="P212" s="1438">
        <v>2381316</v>
      </c>
      <c r="Q212" s="1424">
        <v>3489702.24</v>
      </c>
      <c r="R212" s="1425">
        <f t="shared" si="33"/>
        <v>3489702.24</v>
      </c>
      <c r="S212" s="1436">
        <v>782.86</v>
      </c>
      <c r="T212" s="1427">
        <f t="shared" si="34"/>
        <v>782.86</v>
      </c>
      <c r="U212" s="1428">
        <v>6915718</v>
      </c>
      <c r="V212" s="1422">
        <v>244900</v>
      </c>
      <c r="W212" s="1422">
        <v>219853</v>
      </c>
      <c r="X212" s="1422">
        <v>0</v>
      </c>
      <c r="Y212" s="1422">
        <v>0</v>
      </c>
      <c r="Z212" s="1422">
        <v>461237</v>
      </c>
      <c r="AA212" s="1422">
        <v>0</v>
      </c>
      <c r="AB212" s="1422">
        <v>0</v>
      </c>
      <c r="AC212" s="1429">
        <v>0</v>
      </c>
      <c r="AD212" s="1422">
        <v>69687</v>
      </c>
      <c r="AE212" s="1420">
        <v>390647.86</v>
      </c>
      <c r="AF212" s="1422">
        <v>350</v>
      </c>
      <c r="AG212" s="1422">
        <v>3860</v>
      </c>
      <c r="AH212" s="1422">
        <v>2637</v>
      </c>
      <c r="AI212" s="1422">
        <v>513856</v>
      </c>
      <c r="AJ212" s="1420">
        <v>80886.350000000006</v>
      </c>
      <c r="AK212" s="1422">
        <v>0</v>
      </c>
      <c r="AL212" s="1420">
        <v>5620.75</v>
      </c>
      <c r="AM212" s="1422">
        <v>0</v>
      </c>
      <c r="AN212" s="1429">
        <v>257580</v>
      </c>
      <c r="AO212" s="1422">
        <v>0</v>
      </c>
      <c r="AP212" s="1422">
        <v>53279</v>
      </c>
      <c r="AQ212" s="1430">
        <f t="shared" si="35"/>
        <v>8962531.959999999</v>
      </c>
      <c r="AR212" s="1431">
        <v>3369772.7</v>
      </c>
      <c r="AS212" s="1437">
        <v>0</v>
      </c>
      <c r="AT212" s="1422">
        <v>0</v>
      </c>
      <c r="AU212" s="1422">
        <v>0</v>
      </c>
      <c r="AV212" s="1422">
        <v>0</v>
      </c>
      <c r="AW212" s="1420">
        <v>16334.07</v>
      </c>
      <c r="AX212" s="1422">
        <v>0</v>
      </c>
      <c r="AY212" s="1420">
        <v>16334.07</v>
      </c>
      <c r="AZ212" s="1420">
        <v>704840.94</v>
      </c>
      <c r="BA212" s="1423">
        <f t="shared" si="36"/>
        <v>737509.08</v>
      </c>
      <c r="BB212" s="1420">
        <f t="shared" si="37"/>
        <v>16560298.839999998</v>
      </c>
      <c r="BC212" s="1433">
        <f t="shared" si="38"/>
        <v>9639.2891967403939</v>
      </c>
      <c r="BD212" s="1433">
        <f t="shared" si="39"/>
        <v>2031.2585797438883</v>
      </c>
      <c r="BE212" s="1433">
        <f t="shared" si="40"/>
        <v>0.45568102444703146</v>
      </c>
      <c r="BF212" s="1433">
        <f t="shared" si="41"/>
        <v>5216.8404889406283</v>
      </c>
      <c r="BG212" s="1433">
        <f t="shared" si="42"/>
        <v>1961.4509313154833</v>
      </c>
      <c r="BH212" s="1434">
        <f t="shared" si="43"/>
        <v>429.28351571594874</v>
      </c>
      <c r="BI212" s="1422">
        <v>8308</v>
      </c>
    </row>
    <row r="213" spans="1:61" ht="12.75" customHeight="1" thickBot="1">
      <c r="A213" s="1418" t="s">
        <v>301</v>
      </c>
      <c r="B213" s="1418" t="s">
        <v>302</v>
      </c>
      <c r="C213" s="1419">
        <v>4646</v>
      </c>
      <c r="D213" s="1420">
        <v>273.58</v>
      </c>
      <c r="E213" s="1420">
        <v>4289.07</v>
      </c>
      <c r="F213" s="1421">
        <v>0.01</v>
      </c>
      <c r="G213" s="1420">
        <v>4598.2700000000004</v>
      </c>
      <c r="H213" s="1422">
        <v>4580</v>
      </c>
      <c r="I213" s="1422">
        <v>387032696</v>
      </c>
      <c r="J213" s="1420">
        <v>26.9</v>
      </c>
      <c r="K213" s="1422">
        <v>25</v>
      </c>
      <c r="L213" s="1420">
        <v>1.9</v>
      </c>
      <c r="M213" s="1422">
        <v>0</v>
      </c>
      <c r="N213" s="1420">
        <v>6.6</v>
      </c>
      <c r="O213" s="1420">
        <v>33.5</v>
      </c>
      <c r="P213" s="1423">
        <v>29618345.539999999</v>
      </c>
      <c r="Q213" s="1424">
        <v>12281055.4</v>
      </c>
      <c r="R213" s="1425">
        <f t="shared" si="33"/>
        <v>12281055.4</v>
      </c>
      <c r="S213" s="1436">
        <v>380567.55</v>
      </c>
      <c r="T213" s="1427">
        <f t="shared" si="34"/>
        <v>380567.55</v>
      </c>
      <c r="U213" s="1428">
        <v>18069325</v>
      </c>
      <c r="V213" s="1422">
        <v>116939</v>
      </c>
      <c r="W213" s="1422">
        <v>156854</v>
      </c>
      <c r="X213" s="1422">
        <v>0</v>
      </c>
      <c r="Y213" s="1422">
        <v>0</v>
      </c>
      <c r="Z213" s="1422">
        <v>6147</v>
      </c>
      <c r="AA213" s="1422">
        <v>0</v>
      </c>
      <c r="AB213" s="1422">
        <v>0</v>
      </c>
      <c r="AC213" s="1435">
        <v>27405.5</v>
      </c>
      <c r="AD213" s="1422">
        <v>189429</v>
      </c>
      <c r="AE213" s="1420">
        <v>26526.15</v>
      </c>
      <c r="AF213" s="1422">
        <v>6250</v>
      </c>
      <c r="AG213" s="1422">
        <v>149884</v>
      </c>
      <c r="AH213" s="1422">
        <v>42192</v>
      </c>
      <c r="AI213" s="1422">
        <v>1417568</v>
      </c>
      <c r="AJ213" s="1422">
        <v>92299</v>
      </c>
      <c r="AK213" s="1422">
        <v>86125</v>
      </c>
      <c r="AL213" s="1420">
        <v>13770.05</v>
      </c>
      <c r="AM213" s="1422">
        <v>0</v>
      </c>
      <c r="AN213" s="1429">
        <v>0</v>
      </c>
      <c r="AO213" s="1422">
        <v>0</v>
      </c>
      <c r="AP213" s="1420">
        <v>6518396.1200000001</v>
      </c>
      <c r="AQ213" s="1430">
        <f t="shared" si="35"/>
        <v>26891704.32</v>
      </c>
      <c r="AR213" s="1431">
        <v>6546940.8899999997</v>
      </c>
      <c r="AS213" s="1437">
        <v>0</v>
      </c>
      <c r="AT213" s="1422">
        <v>0</v>
      </c>
      <c r="AU213" s="1422">
        <v>41305</v>
      </c>
      <c r="AV213" s="1422">
        <v>1986</v>
      </c>
      <c r="AW213" s="1422">
        <v>0</v>
      </c>
      <c r="AX213" s="1420">
        <v>55374.68</v>
      </c>
      <c r="AY213" s="1420">
        <v>98665.68</v>
      </c>
      <c r="AZ213" s="1420">
        <v>2402476.5699999998</v>
      </c>
      <c r="BA213" s="1423">
        <f t="shared" si="36"/>
        <v>2599807.9299999997</v>
      </c>
      <c r="BB213" s="1420">
        <f t="shared" si="37"/>
        <v>48700076.089999996</v>
      </c>
      <c r="BC213" s="1433">
        <f t="shared" si="38"/>
        <v>10482.151547567799</v>
      </c>
      <c r="BD213" s="1433">
        <f t="shared" si="39"/>
        <v>2643.3610417563496</v>
      </c>
      <c r="BE213" s="1433">
        <f t="shared" si="40"/>
        <v>81.912946620749025</v>
      </c>
      <c r="BF213" s="1433">
        <f t="shared" si="41"/>
        <v>5788.1412656048215</v>
      </c>
      <c r="BG213" s="1433">
        <f t="shared" si="42"/>
        <v>1409.1564550150667</v>
      </c>
      <c r="BH213" s="1434">
        <f t="shared" si="43"/>
        <v>559.57983857081354</v>
      </c>
      <c r="BI213" s="1422">
        <v>8471</v>
      </c>
    </row>
    <row r="214" spans="1:61" ht="12.75" customHeight="1" thickBot="1">
      <c r="A214" s="1418" t="s">
        <v>303</v>
      </c>
      <c r="B214" s="1418" t="s">
        <v>304</v>
      </c>
      <c r="C214" s="1419">
        <v>547</v>
      </c>
      <c r="D214" s="1420">
        <v>203.74</v>
      </c>
      <c r="E214" s="1420">
        <v>441.24</v>
      </c>
      <c r="F214" s="1421">
        <v>-0.31</v>
      </c>
      <c r="G214" s="1420">
        <v>468.02</v>
      </c>
      <c r="H214" s="1420">
        <v>553.36</v>
      </c>
      <c r="I214" s="1422">
        <v>56772300</v>
      </c>
      <c r="J214" s="1422">
        <v>25</v>
      </c>
      <c r="K214" s="1422">
        <v>25</v>
      </c>
      <c r="L214" s="1422">
        <v>0</v>
      </c>
      <c r="M214" s="1422">
        <v>0</v>
      </c>
      <c r="N214" s="1422">
        <v>10</v>
      </c>
      <c r="O214" s="1422">
        <v>35</v>
      </c>
      <c r="P214" s="1423">
        <v>2815168.33</v>
      </c>
      <c r="Q214" s="1424">
        <v>1851282.29</v>
      </c>
      <c r="R214" s="1425">
        <f t="shared" si="33"/>
        <v>1851282.29</v>
      </c>
      <c r="S214" s="1436">
        <v>45980.56</v>
      </c>
      <c r="T214" s="1427">
        <f t="shared" si="34"/>
        <v>45980.56</v>
      </c>
      <c r="U214" s="1428">
        <v>1956985</v>
      </c>
      <c r="V214" s="1422">
        <v>33008</v>
      </c>
      <c r="W214" s="1422">
        <v>0</v>
      </c>
      <c r="X214" s="1422">
        <v>93387</v>
      </c>
      <c r="Y214" s="1422">
        <v>0</v>
      </c>
      <c r="Z214" s="1422">
        <v>0</v>
      </c>
      <c r="AA214" s="1422">
        <v>0</v>
      </c>
      <c r="AB214" s="1422">
        <v>0</v>
      </c>
      <c r="AC214" s="1429">
        <v>0</v>
      </c>
      <c r="AD214" s="1422">
        <v>22887</v>
      </c>
      <c r="AE214" s="1420">
        <v>3885.7</v>
      </c>
      <c r="AF214" s="1422">
        <v>250</v>
      </c>
      <c r="AG214" s="1422">
        <v>0</v>
      </c>
      <c r="AH214" s="1422">
        <v>0</v>
      </c>
      <c r="AI214" s="1422">
        <v>143840</v>
      </c>
      <c r="AJ214" s="1420">
        <v>39334.47</v>
      </c>
      <c r="AK214" s="1422">
        <v>17875</v>
      </c>
      <c r="AL214" s="1420">
        <v>2843.45</v>
      </c>
      <c r="AM214" s="1422">
        <v>0</v>
      </c>
      <c r="AN214" s="1429">
        <v>0</v>
      </c>
      <c r="AO214" s="1422">
        <v>0</v>
      </c>
      <c r="AP214" s="1422">
        <v>12279</v>
      </c>
      <c r="AQ214" s="1430">
        <f t="shared" si="35"/>
        <v>2326574.6200000006</v>
      </c>
      <c r="AR214" s="1431">
        <v>929830.78</v>
      </c>
      <c r="AS214" s="1437">
        <v>0</v>
      </c>
      <c r="AT214" s="1422">
        <v>0</v>
      </c>
      <c r="AU214" s="1422">
        <v>0</v>
      </c>
      <c r="AV214" s="1422">
        <v>0</v>
      </c>
      <c r="AW214" s="1422">
        <v>0</v>
      </c>
      <c r="AX214" s="1422">
        <v>0</v>
      </c>
      <c r="AY214" s="1422">
        <v>0</v>
      </c>
      <c r="AZ214" s="1420">
        <v>413770.74</v>
      </c>
      <c r="BA214" s="1423">
        <f t="shared" si="36"/>
        <v>413770.74</v>
      </c>
      <c r="BB214" s="1420">
        <f t="shared" si="37"/>
        <v>5567438.9900000002</v>
      </c>
      <c r="BC214" s="1433">
        <f t="shared" si="38"/>
        <v>10178.133436928703</v>
      </c>
      <c r="BD214" s="1433">
        <f t="shared" si="39"/>
        <v>3384.4283180987204</v>
      </c>
      <c r="BE214" s="1433">
        <f t="shared" si="40"/>
        <v>84.059524680073125</v>
      </c>
      <c r="BF214" s="1433">
        <f t="shared" si="41"/>
        <v>4253.3356855575876</v>
      </c>
      <c r="BG214" s="1433">
        <f t="shared" si="42"/>
        <v>1699.8734552102378</v>
      </c>
      <c r="BH214" s="1434">
        <f t="shared" si="43"/>
        <v>756.4364533820841</v>
      </c>
      <c r="BI214" s="1422">
        <v>11369</v>
      </c>
    </row>
    <row r="215" spans="1:61" ht="12.75" customHeight="1" thickBot="1">
      <c r="A215" s="1418" t="s">
        <v>305</v>
      </c>
      <c r="B215" s="1418" t="s">
        <v>306</v>
      </c>
      <c r="C215" s="1419">
        <v>409</v>
      </c>
      <c r="D215" s="1420">
        <v>51.29</v>
      </c>
      <c r="E215" s="1420">
        <v>395.16</v>
      </c>
      <c r="F215" s="1421">
        <v>-0.23</v>
      </c>
      <c r="G215" s="1420">
        <v>411.58</v>
      </c>
      <c r="H215" s="1420">
        <v>425.85</v>
      </c>
      <c r="I215" s="1422">
        <v>40574276</v>
      </c>
      <c r="J215" s="1422">
        <v>25</v>
      </c>
      <c r="K215" s="1422">
        <v>25</v>
      </c>
      <c r="L215" s="1422">
        <v>0</v>
      </c>
      <c r="M215" s="1422">
        <v>0</v>
      </c>
      <c r="N215" s="1422">
        <v>17</v>
      </c>
      <c r="O215" s="1422">
        <v>42</v>
      </c>
      <c r="P215" s="1438">
        <v>3415760</v>
      </c>
      <c r="Q215" s="1424">
        <v>1636330.54</v>
      </c>
      <c r="R215" s="1425">
        <f t="shared" si="33"/>
        <v>1636330.54</v>
      </c>
      <c r="S215" s="1436">
        <v>35385.31</v>
      </c>
      <c r="T215" s="1427">
        <f t="shared" si="34"/>
        <v>35385.31</v>
      </c>
      <c r="U215" s="1428">
        <v>1551744</v>
      </c>
      <c r="V215" s="1422">
        <v>412</v>
      </c>
      <c r="W215" s="1422">
        <v>0</v>
      </c>
      <c r="X215" s="1422">
        <v>45323</v>
      </c>
      <c r="Y215" s="1422">
        <v>0</v>
      </c>
      <c r="Z215" s="1422">
        <v>0</v>
      </c>
      <c r="AA215" s="1422">
        <v>8907</v>
      </c>
      <c r="AB215" s="1422">
        <v>0</v>
      </c>
      <c r="AC215" s="1429">
        <v>0</v>
      </c>
      <c r="AD215" s="1422">
        <v>17613</v>
      </c>
      <c r="AE215" s="1420">
        <v>1187.8800000000001</v>
      </c>
      <c r="AF215" s="1422">
        <v>100</v>
      </c>
      <c r="AG215" s="1422">
        <v>853</v>
      </c>
      <c r="AH215" s="1422">
        <v>0</v>
      </c>
      <c r="AI215" s="1422">
        <v>100192</v>
      </c>
      <c r="AJ215" s="1420">
        <v>1744.58</v>
      </c>
      <c r="AK215" s="1422">
        <v>0</v>
      </c>
      <c r="AL215" s="1420">
        <v>1523.12</v>
      </c>
      <c r="AM215" s="1422">
        <v>0</v>
      </c>
      <c r="AN215" s="1429">
        <v>0</v>
      </c>
      <c r="AO215" s="1422">
        <v>0</v>
      </c>
      <c r="AP215" s="1420">
        <v>527709.48</v>
      </c>
      <c r="AQ215" s="1430">
        <f t="shared" si="35"/>
        <v>2257309.06</v>
      </c>
      <c r="AR215" s="1431">
        <v>616125.55000000005</v>
      </c>
      <c r="AS215" s="1437">
        <v>75760</v>
      </c>
      <c r="AT215" s="1422">
        <v>0</v>
      </c>
      <c r="AU215" s="1422">
        <v>0</v>
      </c>
      <c r="AV215" s="1422">
        <v>0</v>
      </c>
      <c r="AW215" s="1422">
        <v>0</v>
      </c>
      <c r="AX215" s="1422">
        <v>0</v>
      </c>
      <c r="AY215" s="1422">
        <v>75760</v>
      </c>
      <c r="AZ215" s="1420">
        <v>251549.48</v>
      </c>
      <c r="BA215" s="1423">
        <f t="shared" si="36"/>
        <v>327309.48</v>
      </c>
      <c r="BB215" s="1420">
        <f t="shared" si="37"/>
        <v>4872459.9399999995</v>
      </c>
      <c r="BC215" s="1433">
        <f t="shared" si="38"/>
        <v>11913.104987775059</v>
      </c>
      <c r="BD215" s="1433">
        <f t="shared" si="39"/>
        <v>4000.808166259169</v>
      </c>
      <c r="BE215" s="1433">
        <f t="shared" si="40"/>
        <v>86.516650366748166</v>
      </c>
      <c r="BF215" s="1433">
        <f t="shared" si="41"/>
        <v>5519.0930562347194</v>
      </c>
      <c r="BG215" s="1433">
        <f t="shared" si="42"/>
        <v>1506.4194376528119</v>
      </c>
      <c r="BH215" s="1434">
        <f t="shared" si="43"/>
        <v>800.2676772616137</v>
      </c>
      <c r="BI215" s="1422">
        <v>10120</v>
      </c>
    </row>
    <row r="216" spans="1:61" ht="12.75" customHeight="1" thickBot="1">
      <c r="A216" s="1418" t="s">
        <v>115</v>
      </c>
      <c r="B216" s="1418" t="s">
        <v>116</v>
      </c>
      <c r="C216" s="1419">
        <v>654</v>
      </c>
      <c r="D216" s="1420">
        <v>45.27</v>
      </c>
      <c r="E216" s="1420">
        <v>628.69000000000005</v>
      </c>
      <c r="F216" s="1421">
        <v>-0.11</v>
      </c>
      <c r="G216" s="1420">
        <v>657.58</v>
      </c>
      <c r="H216" s="1420">
        <v>713.23</v>
      </c>
      <c r="I216" s="1422">
        <v>52270384</v>
      </c>
      <c r="J216" s="1422">
        <v>25</v>
      </c>
      <c r="K216" s="1422">
        <v>25</v>
      </c>
      <c r="L216" s="1422">
        <v>0</v>
      </c>
      <c r="M216" s="1422">
        <v>0</v>
      </c>
      <c r="N216" s="1420">
        <v>7.8</v>
      </c>
      <c r="O216" s="1420">
        <v>32.799999999999997</v>
      </c>
      <c r="P216" s="1438">
        <v>3550000</v>
      </c>
      <c r="Q216" s="1424">
        <v>1565654.13</v>
      </c>
      <c r="R216" s="1425">
        <f t="shared" si="33"/>
        <v>1565654.13</v>
      </c>
      <c r="S216" s="1436">
        <v>59264.67</v>
      </c>
      <c r="T216" s="1427">
        <f t="shared" si="34"/>
        <v>59264.67</v>
      </c>
      <c r="U216" s="1428">
        <v>3041561</v>
      </c>
      <c r="V216" s="1422">
        <v>18104</v>
      </c>
      <c r="W216" s="1422">
        <v>0</v>
      </c>
      <c r="X216" s="1422">
        <v>0</v>
      </c>
      <c r="Y216" s="1422">
        <v>0</v>
      </c>
      <c r="Z216" s="1422">
        <v>0</v>
      </c>
      <c r="AA216" s="1422">
        <v>0</v>
      </c>
      <c r="AB216" s="1422">
        <v>0</v>
      </c>
      <c r="AC216" s="1429">
        <v>0</v>
      </c>
      <c r="AD216" s="1422">
        <v>29499</v>
      </c>
      <c r="AE216" s="1420">
        <v>1989.5</v>
      </c>
      <c r="AF216" s="1422">
        <v>1450</v>
      </c>
      <c r="AG216" s="1422">
        <v>0</v>
      </c>
      <c r="AH216" s="1422">
        <v>879</v>
      </c>
      <c r="AI216" s="1422">
        <v>109120</v>
      </c>
      <c r="AJ216" s="1420">
        <v>120641.94</v>
      </c>
      <c r="AK216" s="1422">
        <v>26000</v>
      </c>
      <c r="AL216" s="1420">
        <v>2338.0700000000002</v>
      </c>
      <c r="AM216" s="1422">
        <v>0</v>
      </c>
      <c r="AN216" s="1429">
        <v>0</v>
      </c>
      <c r="AO216" s="1422">
        <v>0</v>
      </c>
      <c r="AP216" s="1420">
        <v>433606.86</v>
      </c>
      <c r="AQ216" s="1430">
        <f t="shared" si="35"/>
        <v>3785189.3699999996</v>
      </c>
      <c r="AR216" s="1431">
        <v>687196.97</v>
      </c>
      <c r="AS216" s="1437">
        <v>0</v>
      </c>
      <c r="AT216" s="1422">
        <v>0</v>
      </c>
      <c r="AU216" s="1422">
        <v>0</v>
      </c>
      <c r="AV216" s="1422">
        <v>0</v>
      </c>
      <c r="AW216" s="1422">
        <v>0</v>
      </c>
      <c r="AX216" s="1422">
        <v>0</v>
      </c>
      <c r="AY216" s="1422">
        <v>0</v>
      </c>
      <c r="AZ216" s="1420">
        <v>521555.77</v>
      </c>
      <c r="BA216" s="1423">
        <f t="shared" si="36"/>
        <v>521555.77</v>
      </c>
      <c r="BB216" s="1420">
        <f t="shared" si="37"/>
        <v>6618860.9099999992</v>
      </c>
      <c r="BC216" s="1433">
        <f t="shared" si="38"/>
        <v>10120.582431192659</v>
      </c>
      <c r="BD216" s="1433">
        <f t="shared" si="39"/>
        <v>2393.9665596330274</v>
      </c>
      <c r="BE216" s="1433">
        <f t="shared" si="40"/>
        <v>90.618761467889911</v>
      </c>
      <c r="BF216" s="1433">
        <f t="shared" si="41"/>
        <v>5787.7513302752286</v>
      </c>
      <c r="BG216" s="1433">
        <f t="shared" si="42"/>
        <v>1050.7598929663609</v>
      </c>
      <c r="BH216" s="1434">
        <f t="shared" si="43"/>
        <v>797.48588685015295</v>
      </c>
      <c r="BI216" s="1422">
        <v>8355</v>
      </c>
    </row>
    <row r="217" spans="1:61" ht="12.75" customHeight="1" thickBot="1">
      <c r="A217" s="1418" t="s">
        <v>117</v>
      </c>
      <c r="B217" s="1418" t="s">
        <v>118</v>
      </c>
      <c r="C217" s="1419">
        <v>857</v>
      </c>
      <c r="D217" s="1420">
        <v>241.7</v>
      </c>
      <c r="E217" s="1420">
        <v>807.92</v>
      </c>
      <c r="F217" s="1421">
        <v>0.03</v>
      </c>
      <c r="G217" s="1420">
        <v>850.11</v>
      </c>
      <c r="H217" s="1420">
        <v>897.38</v>
      </c>
      <c r="I217" s="1422">
        <v>76580465</v>
      </c>
      <c r="J217" s="1422">
        <v>25</v>
      </c>
      <c r="K217" s="1422">
        <v>25</v>
      </c>
      <c r="L217" s="1422">
        <v>0</v>
      </c>
      <c r="M217" s="1422">
        <v>0</v>
      </c>
      <c r="N217" s="1422">
        <v>16</v>
      </c>
      <c r="O217" s="1422">
        <v>41</v>
      </c>
      <c r="P217" s="1438">
        <v>5325000</v>
      </c>
      <c r="Q217" s="1424">
        <v>2917552.54</v>
      </c>
      <c r="R217" s="1425">
        <f t="shared" si="33"/>
        <v>2917552.54</v>
      </c>
      <c r="S217" s="1436">
        <v>74566.36</v>
      </c>
      <c r="T217" s="1427">
        <f t="shared" si="34"/>
        <v>74566.36</v>
      </c>
      <c r="U217" s="1428">
        <v>3588474</v>
      </c>
      <c r="V217" s="1422">
        <v>26612</v>
      </c>
      <c r="W217" s="1422">
        <v>0</v>
      </c>
      <c r="X217" s="1422">
        <v>0</v>
      </c>
      <c r="Y217" s="1422">
        <v>0</v>
      </c>
      <c r="Z217" s="1422">
        <v>0</v>
      </c>
      <c r="AA217" s="1422">
        <v>22348</v>
      </c>
      <c r="AB217" s="1422">
        <v>0</v>
      </c>
      <c r="AC217" s="1429">
        <v>0</v>
      </c>
      <c r="AD217" s="1422">
        <v>37116</v>
      </c>
      <c r="AE217" s="1420">
        <v>17719.68</v>
      </c>
      <c r="AF217" s="1422">
        <v>1900</v>
      </c>
      <c r="AG217" s="1422">
        <v>3819</v>
      </c>
      <c r="AH217" s="1422">
        <v>5274</v>
      </c>
      <c r="AI217" s="1422">
        <v>217744</v>
      </c>
      <c r="AJ217" s="1420">
        <v>77906.31</v>
      </c>
      <c r="AK217" s="1420">
        <v>36562.519999999997</v>
      </c>
      <c r="AL217" s="1420">
        <v>2699.78</v>
      </c>
      <c r="AM217" s="1422">
        <v>0</v>
      </c>
      <c r="AN217" s="1435">
        <v>287780.2</v>
      </c>
      <c r="AO217" s="1422">
        <v>0</v>
      </c>
      <c r="AP217" s="1422">
        <v>33701</v>
      </c>
      <c r="AQ217" s="1430">
        <f t="shared" si="35"/>
        <v>4071876.29</v>
      </c>
      <c r="AR217" s="1431">
        <v>969880.89</v>
      </c>
      <c r="AS217" s="1437">
        <v>0</v>
      </c>
      <c r="AT217" s="1422">
        <v>0</v>
      </c>
      <c r="AU217" s="1422">
        <v>0</v>
      </c>
      <c r="AV217" s="1422">
        <v>505</v>
      </c>
      <c r="AW217" s="1422">
        <v>0</v>
      </c>
      <c r="AX217" s="1422">
        <v>0</v>
      </c>
      <c r="AY217" s="1422">
        <v>505</v>
      </c>
      <c r="AZ217" s="1420">
        <v>519296.34</v>
      </c>
      <c r="BA217" s="1423">
        <f t="shared" si="36"/>
        <v>520306.34</v>
      </c>
      <c r="BB217" s="1420">
        <f t="shared" si="37"/>
        <v>8554182.4199999999</v>
      </c>
      <c r="BC217" s="1433">
        <f t="shared" si="38"/>
        <v>9981.5430805134183</v>
      </c>
      <c r="BD217" s="1433">
        <f t="shared" si="39"/>
        <v>3404.3786931155191</v>
      </c>
      <c r="BE217" s="1433">
        <f t="shared" si="40"/>
        <v>87.008588098016332</v>
      </c>
      <c r="BF217" s="1433">
        <f t="shared" si="41"/>
        <v>4751.31422403734</v>
      </c>
      <c r="BG217" s="1433">
        <f t="shared" si="42"/>
        <v>1131.7163243873979</v>
      </c>
      <c r="BH217" s="1434">
        <f t="shared" si="43"/>
        <v>607.12525087514587</v>
      </c>
      <c r="BI217" s="1422">
        <v>8774</v>
      </c>
    </row>
    <row r="218" spans="1:61" ht="12.75" customHeight="1" thickBot="1">
      <c r="A218" s="1418" t="s">
        <v>119</v>
      </c>
      <c r="B218" s="1418" t="s">
        <v>120</v>
      </c>
      <c r="C218" s="1419">
        <v>455</v>
      </c>
      <c r="D218" s="1420">
        <v>303.29000000000002</v>
      </c>
      <c r="E218" s="1420">
        <v>421.53</v>
      </c>
      <c r="F218" s="1421">
        <v>-0.33</v>
      </c>
      <c r="G218" s="1420">
        <v>445.83</v>
      </c>
      <c r="H218" s="1420">
        <v>471.55</v>
      </c>
      <c r="I218" s="1422">
        <v>39603262</v>
      </c>
      <c r="J218" s="1420">
        <v>25.7</v>
      </c>
      <c r="K218" s="1422">
        <v>25</v>
      </c>
      <c r="L218" s="1420">
        <v>0.7</v>
      </c>
      <c r="M218" s="1422">
        <v>0</v>
      </c>
      <c r="N218" s="1420">
        <v>13.3</v>
      </c>
      <c r="O218" s="1422">
        <v>39</v>
      </c>
      <c r="P218" s="1423">
        <v>1590130.05</v>
      </c>
      <c r="Q218" s="1424">
        <v>1571912.49</v>
      </c>
      <c r="R218" s="1425">
        <f t="shared" si="33"/>
        <v>1571912.49</v>
      </c>
      <c r="S218" s="1436">
        <v>39182.699999999997</v>
      </c>
      <c r="T218" s="1427">
        <f t="shared" si="34"/>
        <v>39182.699999999997</v>
      </c>
      <c r="U218" s="1428">
        <v>1762364</v>
      </c>
      <c r="V218" s="1422">
        <v>10603</v>
      </c>
      <c r="W218" s="1422">
        <v>0</v>
      </c>
      <c r="X218" s="1422">
        <v>253147</v>
      </c>
      <c r="Y218" s="1422">
        <v>0</v>
      </c>
      <c r="Z218" s="1422">
        <v>0</v>
      </c>
      <c r="AA218" s="1422">
        <v>11649</v>
      </c>
      <c r="AB218" s="1422">
        <v>0</v>
      </c>
      <c r="AC218" s="1429">
        <v>0</v>
      </c>
      <c r="AD218" s="1422">
        <v>19503</v>
      </c>
      <c r="AE218" s="1420">
        <v>152344.44</v>
      </c>
      <c r="AF218" s="1422">
        <v>0</v>
      </c>
      <c r="AG218" s="1422">
        <v>126928</v>
      </c>
      <c r="AH218" s="1422">
        <v>0</v>
      </c>
      <c r="AI218" s="1422">
        <v>391840</v>
      </c>
      <c r="AJ218" s="1420">
        <v>41255.07</v>
      </c>
      <c r="AK218" s="1420">
        <v>20312.52</v>
      </c>
      <c r="AL218" s="1420">
        <v>2090.7399999999998</v>
      </c>
      <c r="AM218" s="1422">
        <v>0</v>
      </c>
      <c r="AN218" s="1429">
        <v>0</v>
      </c>
      <c r="AO218" s="1422">
        <v>0</v>
      </c>
      <c r="AP218" s="1422">
        <v>14831</v>
      </c>
      <c r="AQ218" s="1430">
        <f t="shared" si="35"/>
        <v>2806867.77</v>
      </c>
      <c r="AR218" s="1431">
        <v>1490341.32</v>
      </c>
      <c r="AS218" s="1437">
        <v>0</v>
      </c>
      <c r="AT218" s="1422">
        <v>0</v>
      </c>
      <c r="AU218" s="1422">
        <v>0</v>
      </c>
      <c r="AV218" s="1422">
        <v>0</v>
      </c>
      <c r="AW218" s="1422">
        <v>0</v>
      </c>
      <c r="AX218" s="1422">
        <v>0</v>
      </c>
      <c r="AY218" s="1422">
        <v>0</v>
      </c>
      <c r="AZ218" s="1420">
        <v>274012.11</v>
      </c>
      <c r="BA218" s="1423">
        <f t="shared" si="36"/>
        <v>274012.11</v>
      </c>
      <c r="BB218" s="1420">
        <f t="shared" si="37"/>
        <v>6182316.3900000006</v>
      </c>
      <c r="BC218" s="1433">
        <f t="shared" si="38"/>
        <v>13587.508549450551</v>
      </c>
      <c r="BD218" s="1433">
        <f t="shared" si="39"/>
        <v>3454.7527252747254</v>
      </c>
      <c r="BE218" s="1433">
        <f t="shared" si="40"/>
        <v>86.115824175824173</v>
      </c>
      <c r="BF218" s="1433">
        <f t="shared" si="41"/>
        <v>6168.9401538461543</v>
      </c>
      <c r="BG218" s="1433">
        <f t="shared" si="42"/>
        <v>3275.4754285714289</v>
      </c>
      <c r="BH218" s="1434">
        <f t="shared" si="43"/>
        <v>602.22441758241757</v>
      </c>
      <c r="BI218" s="1422">
        <v>13135</v>
      </c>
    </row>
    <row r="219" spans="1:61" ht="12.75" customHeight="1" thickBot="1">
      <c r="A219" s="1418" t="s">
        <v>121</v>
      </c>
      <c r="B219" s="1418" t="s">
        <v>122</v>
      </c>
      <c r="C219" s="1419">
        <v>1339</v>
      </c>
      <c r="D219" s="1420">
        <v>487.62</v>
      </c>
      <c r="E219" s="1420">
        <v>1251.7</v>
      </c>
      <c r="F219" s="1421">
        <v>0.02</v>
      </c>
      <c r="G219" s="1420">
        <v>1331.54</v>
      </c>
      <c r="H219" s="1420">
        <v>1322.07</v>
      </c>
      <c r="I219" s="1422">
        <v>199480532</v>
      </c>
      <c r="J219" s="1422">
        <v>25</v>
      </c>
      <c r="K219" s="1422">
        <v>25</v>
      </c>
      <c r="L219" s="1422">
        <v>0</v>
      </c>
      <c r="M219" s="1422">
        <v>0</v>
      </c>
      <c r="N219" s="1420">
        <v>7.8</v>
      </c>
      <c r="O219" s="1420">
        <v>32.799999999999997</v>
      </c>
      <c r="P219" s="1423">
        <v>7145787.4400000004</v>
      </c>
      <c r="Q219" s="1424">
        <v>4806763.4400000004</v>
      </c>
      <c r="R219" s="1425">
        <f t="shared" si="33"/>
        <v>4806763.4400000004</v>
      </c>
      <c r="S219" s="1426">
        <v>0</v>
      </c>
      <c r="T219" s="1427">
        <f t="shared" si="34"/>
        <v>0</v>
      </c>
      <c r="U219" s="1428">
        <v>3514825</v>
      </c>
      <c r="V219" s="1422">
        <v>191347</v>
      </c>
      <c r="W219" s="1422">
        <v>104184</v>
      </c>
      <c r="X219" s="1422">
        <v>0</v>
      </c>
      <c r="Y219" s="1422">
        <v>0</v>
      </c>
      <c r="Z219" s="1422">
        <v>0</v>
      </c>
      <c r="AA219" s="1422">
        <v>0</v>
      </c>
      <c r="AB219" s="1422">
        <v>0</v>
      </c>
      <c r="AC219" s="1429">
        <v>0</v>
      </c>
      <c r="AD219" s="1422">
        <v>54681</v>
      </c>
      <c r="AE219" s="1420">
        <v>22670.58</v>
      </c>
      <c r="AF219" s="1422">
        <v>800</v>
      </c>
      <c r="AG219" s="1422">
        <v>115105</v>
      </c>
      <c r="AH219" s="1422">
        <v>4981</v>
      </c>
      <c r="AI219" s="1422">
        <v>609085</v>
      </c>
      <c r="AJ219" s="1420">
        <v>185599.65</v>
      </c>
      <c r="AK219" s="1420">
        <v>33312.519999999997</v>
      </c>
      <c r="AL219" s="1422">
        <v>5450</v>
      </c>
      <c r="AM219" s="1422">
        <v>0</v>
      </c>
      <c r="AN219" s="1429">
        <v>193914</v>
      </c>
      <c r="AO219" s="1422">
        <v>0</v>
      </c>
      <c r="AP219" s="1422">
        <v>18077</v>
      </c>
      <c r="AQ219" s="1430">
        <f t="shared" si="35"/>
        <v>4860117.75</v>
      </c>
      <c r="AR219" s="1431">
        <v>2288368.7599999998</v>
      </c>
      <c r="AS219" s="1437">
        <v>0</v>
      </c>
      <c r="AT219" s="1422">
        <v>0</v>
      </c>
      <c r="AU219" s="1422">
        <v>28688</v>
      </c>
      <c r="AV219" s="1422">
        <v>0</v>
      </c>
      <c r="AW219" s="1420">
        <v>59801.99</v>
      </c>
      <c r="AX219" s="1422">
        <v>0</v>
      </c>
      <c r="AY219" s="1420">
        <v>88489.99</v>
      </c>
      <c r="AZ219" s="1420">
        <v>688023.23</v>
      </c>
      <c r="BA219" s="1423">
        <f t="shared" si="36"/>
        <v>865003.21</v>
      </c>
      <c r="BB219" s="1420">
        <f t="shared" si="37"/>
        <v>12820253.16</v>
      </c>
      <c r="BC219" s="1433">
        <f t="shared" si="38"/>
        <v>9574.4982524271854</v>
      </c>
      <c r="BD219" s="1433">
        <f t="shared" si="39"/>
        <v>3589.8158625840183</v>
      </c>
      <c r="BE219" s="1433">
        <f t="shared" si="40"/>
        <v>0</v>
      </c>
      <c r="BF219" s="1433">
        <f t="shared" si="41"/>
        <v>3629.6622479462285</v>
      </c>
      <c r="BG219" s="1433">
        <f t="shared" si="42"/>
        <v>1709.0132636295741</v>
      </c>
      <c r="BH219" s="1434">
        <f t="shared" si="43"/>
        <v>646.00687826736373</v>
      </c>
      <c r="BI219" s="1422">
        <v>9526</v>
      </c>
    </row>
    <row r="220" spans="1:61" ht="12.75" customHeight="1" thickBot="1">
      <c r="A220" s="1418" t="s">
        <v>123</v>
      </c>
      <c r="B220" s="1418" t="s">
        <v>124</v>
      </c>
      <c r="C220" s="1419">
        <v>450</v>
      </c>
      <c r="D220" s="1420">
        <v>93.4</v>
      </c>
      <c r="E220" s="1420">
        <v>413.85</v>
      </c>
      <c r="F220" s="1421">
        <v>-0.21</v>
      </c>
      <c r="G220" s="1420">
        <v>440.6</v>
      </c>
      <c r="H220" s="1420">
        <v>466.74</v>
      </c>
      <c r="I220" s="1422">
        <v>78488959</v>
      </c>
      <c r="J220" s="1422">
        <v>25</v>
      </c>
      <c r="K220" s="1422">
        <v>25</v>
      </c>
      <c r="L220" s="1422">
        <v>0</v>
      </c>
      <c r="M220" s="1422">
        <v>0</v>
      </c>
      <c r="N220" s="1420">
        <v>10.7</v>
      </c>
      <c r="O220" s="1420">
        <v>35.700000000000003</v>
      </c>
      <c r="P220" s="1438">
        <v>2889832</v>
      </c>
      <c r="Q220" s="1424">
        <v>2564147.06</v>
      </c>
      <c r="R220" s="1425">
        <f t="shared" si="33"/>
        <v>2564147.06</v>
      </c>
      <c r="S220" s="1426">
        <v>0</v>
      </c>
      <c r="T220" s="1427">
        <f t="shared" si="34"/>
        <v>0</v>
      </c>
      <c r="U220" s="1428">
        <v>995950</v>
      </c>
      <c r="V220" s="1422">
        <v>78445</v>
      </c>
      <c r="W220" s="1422">
        <v>0</v>
      </c>
      <c r="X220" s="1422">
        <v>117840</v>
      </c>
      <c r="Y220" s="1422">
        <v>0</v>
      </c>
      <c r="Z220" s="1422">
        <v>0</v>
      </c>
      <c r="AA220" s="1422">
        <v>0</v>
      </c>
      <c r="AB220" s="1422">
        <v>0</v>
      </c>
      <c r="AC220" s="1429">
        <v>0</v>
      </c>
      <c r="AD220" s="1422">
        <v>19304</v>
      </c>
      <c r="AE220" s="1420">
        <v>21902.22</v>
      </c>
      <c r="AF220" s="1422">
        <v>1050</v>
      </c>
      <c r="AG220" s="1422">
        <v>73947</v>
      </c>
      <c r="AH220" s="1422">
        <v>0</v>
      </c>
      <c r="AI220" s="1422">
        <v>362080</v>
      </c>
      <c r="AJ220" s="1420">
        <v>29825.81</v>
      </c>
      <c r="AK220" s="1422">
        <v>0</v>
      </c>
      <c r="AL220" s="1420">
        <v>1715.06</v>
      </c>
      <c r="AM220" s="1422">
        <v>0</v>
      </c>
      <c r="AN220" s="1429">
        <v>0</v>
      </c>
      <c r="AO220" s="1422">
        <v>0</v>
      </c>
      <c r="AP220" s="1422">
        <v>2206</v>
      </c>
      <c r="AQ220" s="1430">
        <f t="shared" si="35"/>
        <v>1704265.09</v>
      </c>
      <c r="AR220" s="1431">
        <v>702863.04</v>
      </c>
      <c r="AS220" s="1437">
        <v>0</v>
      </c>
      <c r="AT220" s="1422">
        <v>0</v>
      </c>
      <c r="AU220" s="1422">
        <v>0</v>
      </c>
      <c r="AV220" s="1422">
        <v>1337</v>
      </c>
      <c r="AW220" s="1422">
        <v>0</v>
      </c>
      <c r="AX220" s="1422">
        <v>0</v>
      </c>
      <c r="AY220" s="1422">
        <v>1337</v>
      </c>
      <c r="AZ220" s="1420">
        <v>234818.77</v>
      </c>
      <c r="BA220" s="1423">
        <f t="shared" si="36"/>
        <v>237492.77</v>
      </c>
      <c r="BB220" s="1420">
        <f t="shared" si="37"/>
        <v>5208767.9600000009</v>
      </c>
      <c r="BC220" s="1433">
        <f t="shared" si="38"/>
        <v>11575.039911111113</v>
      </c>
      <c r="BD220" s="1433">
        <f t="shared" si="39"/>
        <v>5698.1045777777781</v>
      </c>
      <c r="BE220" s="1433">
        <f t="shared" si="40"/>
        <v>0</v>
      </c>
      <c r="BF220" s="1433">
        <f t="shared" si="41"/>
        <v>3787.2557555555559</v>
      </c>
      <c r="BG220" s="1433">
        <f t="shared" si="42"/>
        <v>1561.9178666666667</v>
      </c>
      <c r="BH220" s="1434">
        <f t="shared" si="43"/>
        <v>527.76171111111114</v>
      </c>
      <c r="BI220" s="1422">
        <v>10221</v>
      </c>
    </row>
    <row r="221" spans="1:61" ht="12.75" customHeight="1" thickBot="1">
      <c r="A221" s="1418" t="s">
        <v>125</v>
      </c>
      <c r="B221" s="1418" t="s">
        <v>126</v>
      </c>
      <c r="C221" s="1419">
        <v>517</v>
      </c>
      <c r="D221" s="1420">
        <v>111.4</v>
      </c>
      <c r="E221" s="1420">
        <v>480.12</v>
      </c>
      <c r="F221" s="1421">
        <v>0.01</v>
      </c>
      <c r="G221" s="1420">
        <v>510.94</v>
      </c>
      <c r="H221" s="1420">
        <v>524.88</v>
      </c>
      <c r="I221" s="1422">
        <v>178275538</v>
      </c>
      <c r="J221" s="1420">
        <v>26.7</v>
      </c>
      <c r="K221" s="1422">
        <v>25</v>
      </c>
      <c r="L221" s="1420">
        <v>1.7</v>
      </c>
      <c r="M221" s="1422">
        <v>0</v>
      </c>
      <c r="N221" s="1422">
        <v>14</v>
      </c>
      <c r="O221" s="1420">
        <v>40.700000000000003</v>
      </c>
      <c r="P221" s="1423">
        <v>2531762.7999999998</v>
      </c>
      <c r="Q221" s="1424">
        <v>5164624.09</v>
      </c>
      <c r="R221" s="1425">
        <f t="shared" si="33"/>
        <v>5164624.09</v>
      </c>
      <c r="S221" s="1426">
        <v>0</v>
      </c>
      <c r="T221" s="1427">
        <f t="shared" si="34"/>
        <v>0</v>
      </c>
      <c r="U221" s="1428">
        <v>212771</v>
      </c>
      <c r="V221" s="1422">
        <v>84944</v>
      </c>
      <c r="W221" s="1422">
        <v>0</v>
      </c>
      <c r="X221" s="1422">
        <v>0</v>
      </c>
      <c r="Y221" s="1422">
        <v>0</v>
      </c>
      <c r="Z221" s="1422">
        <v>0</v>
      </c>
      <c r="AA221" s="1422">
        <v>26681</v>
      </c>
      <c r="AB221" s="1422">
        <v>0</v>
      </c>
      <c r="AC221" s="1429">
        <v>0</v>
      </c>
      <c r="AD221" s="1422">
        <v>21709</v>
      </c>
      <c r="AE221" s="1420">
        <v>39137.129999999997</v>
      </c>
      <c r="AF221" s="1422">
        <v>200</v>
      </c>
      <c r="AG221" s="1422">
        <v>38355</v>
      </c>
      <c r="AH221" s="1422">
        <v>0</v>
      </c>
      <c r="AI221" s="1422">
        <v>146320</v>
      </c>
      <c r="AJ221" s="1420">
        <v>50033.82</v>
      </c>
      <c r="AK221" s="1422">
        <v>0</v>
      </c>
      <c r="AL221" s="1420">
        <v>1987.63</v>
      </c>
      <c r="AM221" s="1422">
        <v>0</v>
      </c>
      <c r="AN221" s="1429">
        <v>97200</v>
      </c>
      <c r="AO221" s="1422">
        <v>0</v>
      </c>
      <c r="AP221" s="1420">
        <v>1066052.8500000001</v>
      </c>
      <c r="AQ221" s="1430">
        <f t="shared" si="35"/>
        <v>1688191.4300000002</v>
      </c>
      <c r="AR221" s="1431">
        <v>943787.58</v>
      </c>
      <c r="AS221" s="1437">
        <v>0</v>
      </c>
      <c r="AT221" s="1422">
        <v>0</v>
      </c>
      <c r="AU221" s="1422">
        <v>0</v>
      </c>
      <c r="AV221" s="1422">
        <v>0</v>
      </c>
      <c r="AW221" s="1422">
        <v>0</v>
      </c>
      <c r="AX221" s="1422">
        <v>0</v>
      </c>
      <c r="AY221" s="1422">
        <v>0</v>
      </c>
      <c r="AZ221" s="1420">
        <v>360409.12</v>
      </c>
      <c r="BA221" s="1423">
        <f t="shared" si="36"/>
        <v>360409.12</v>
      </c>
      <c r="BB221" s="1420">
        <f t="shared" si="37"/>
        <v>8157012.2199999997</v>
      </c>
      <c r="BC221" s="1433">
        <f t="shared" si="38"/>
        <v>15777.586499032881</v>
      </c>
      <c r="BD221" s="1433">
        <f t="shared" si="39"/>
        <v>9989.6017214700187</v>
      </c>
      <c r="BE221" s="1433">
        <f t="shared" si="40"/>
        <v>0</v>
      </c>
      <c r="BF221" s="1433">
        <f t="shared" si="41"/>
        <v>3265.3605996131532</v>
      </c>
      <c r="BG221" s="1433">
        <f t="shared" si="42"/>
        <v>1825.5078916827852</v>
      </c>
      <c r="BH221" s="1434">
        <f t="shared" si="43"/>
        <v>697.11628626692459</v>
      </c>
      <c r="BI221" s="1422">
        <v>10376</v>
      </c>
    </row>
    <row r="222" spans="1:61" ht="12.75" customHeight="1" thickBot="1">
      <c r="A222" s="1418" t="s">
        <v>127</v>
      </c>
      <c r="B222" s="1418" t="s">
        <v>128</v>
      </c>
      <c r="C222" s="1419">
        <v>1151</v>
      </c>
      <c r="D222" s="1420">
        <v>100.81</v>
      </c>
      <c r="E222" s="1420">
        <v>1103.97</v>
      </c>
      <c r="F222" s="1421">
        <v>0.03</v>
      </c>
      <c r="G222" s="1420">
        <v>1150.97</v>
      </c>
      <c r="H222" s="1420">
        <v>1163.8</v>
      </c>
      <c r="I222" s="1422">
        <v>55493640</v>
      </c>
      <c r="J222" s="1422">
        <v>25</v>
      </c>
      <c r="K222" s="1422">
        <v>25</v>
      </c>
      <c r="L222" s="1422">
        <v>0</v>
      </c>
      <c r="M222" s="1422">
        <v>0</v>
      </c>
      <c r="N222" s="1420">
        <v>14.6</v>
      </c>
      <c r="O222" s="1420">
        <v>39.6</v>
      </c>
      <c r="P222" s="1423">
        <v>6676727.0099999998</v>
      </c>
      <c r="Q222" s="1424">
        <v>2042560.06</v>
      </c>
      <c r="R222" s="1425">
        <f t="shared" si="33"/>
        <v>2042560.06</v>
      </c>
      <c r="S222" s="1426">
        <v>0</v>
      </c>
      <c r="T222" s="1427">
        <f t="shared" si="34"/>
        <v>0</v>
      </c>
      <c r="U222" s="1428">
        <v>5673347</v>
      </c>
      <c r="V222" s="1422">
        <v>45419</v>
      </c>
      <c r="W222" s="1422">
        <v>0</v>
      </c>
      <c r="X222" s="1422">
        <v>0</v>
      </c>
      <c r="Y222" s="1422">
        <v>0</v>
      </c>
      <c r="Z222" s="1422">
        <v>0</v>
      </c>
      <c r="AA222" s="1422">
        <v>27221</v>
      </c>
      <c r="AB222" s="1420">
        <v>369.57</v>
      </c>
      <c r="AC222" s="1429">
        <v>0</v>
      </c>
      <c r="AD222" s="1422">
        <v>48135</v>
      </c>
      <c r="AE222" s="1422">
        <v>4000</v>
      </c>
      <c r="AF222" s="1422">
        <v>2838</v>
      </c>
      <c r="AG222" s="1422">
        <v>44002</v>
      </c>
      <c r="AH222" s="1422">
        <v>13771</v>
      </c>
      <c r="AI222" s="1422">
        <v>256432</v>
      </c>
      <c r="AJ222" s="1420">
        <v>5729.64</v>
      </c>
      <c r="AK222" s="1422">
        <v>0</v>
      </c>
      <c r="AL222" s="1420">
        <v>3429.26</v>
      </c>
      <c r="AM222" s="1422">
        <v>0</v>
      </c>
      <c r="AN222" s="1429">
        <v>0</v>
      </c>
      <c r="AO222" s="1422">
        <v>0</v>
      </c>
      <c r="AP222" s="1422">
        <v>131427</v>
      </c>
      <c r="AQ222" s="1430">
        <f t="shared" si="35"/>
        <v>6256120.4699999997</v>
      </c>
      <c r="AR222" s="1431">
        <v>1050002.5</v>
      </c>
      <c r="AS222" s="1437">
        <v>0</v>
      </c>
      <c r="AT222" s="1422">
        <v>0</v>
      </c>
      <c r="AU222" s="1422">
        <v>0</v>
      </c>
      <c r="AV222" s="1422">
        <v>0</v>
      </c>
      <c r="AW222" s="1422">
        <v>0</v>
      </c>
      <c r="AX222" s="1422">
        <v>0</v>
      </c>
      <c r="AY222" s="1422">
        <v>0</v>
      </c>
      <c r="AZ222" s="1420">
        <v>459303.89</v>
      </c>
      <c r="BA222" s="1423">
        <f t="shared" si="36"/>
        <v>459303.89</v>
      </c>
      <c r="BB222" s="1420">
        <f t="shared" si="37"/>
        <v>9807986.9199999999</v>
      </c>
      <c r="BC222" s="1433">
        <f t="shared" si="38"/>
        <v>8521.2744743701132</v>
      </c>
      <c r="BD222" s="1433">
        <f t="shared" si="39"/>
        <v>1774.5960556038228</v>
      </c>
      <c r="BE222" s="1433">
        <f t="shared" si="40"/>
        <v>0</v>
      </c>
      <c r="BF222" s="1433">
        <f t="shared" si="41"/>
        <v>5435.3783405734139</v>
      </c>
      <c r="BG222" s="1433">
        <f t="shared" si="42"/>
        <v>912.25238922675931</v>
      </c>
      <c r="BH222" s="1434">
        <f t="shared" si="43"/>
        <v>399.04768896611643</v>
      </c>
      <c r="BI222" s="1422">
        <v>7470</v>
      </c>
    </row>
    <row r="223" spans="1:61" ht="12.75" customHeight="1" thickBot="1">
      <c r="A223" s="1418" t="s">
        <v>129</v>
      </c>
      <c r="B223" s="1418" t="s">
        <v>130</v>
      </c>
      <c r="C223" s="1419">
        <v>2177</v>
      </c>
      <c r="D223" s="1420">
        <v>32.83</v>
      </c>
      <c r="E223" s="1420">
        <v>2057.9899999999998</v>
      </c>
      <c r="F223" s="1421">
        <v>0.05</v>
      </c>
      <c r="G223" s="1420">
        <v>2178.29</v>
      </c>
      <c r="H223" s="1420">
        <v>2133.02</v>
      </c>
      <c r="I223" s="1422">
        <v>139951326</v>
      </c>
      <c r="J223" s="1422">
        <v>25</v>
      </c>
      <c r="K223" s="1422">
        <v>25</v>
      </c>
      <c r="L223" s="1422">
        <v>0</v>
      </c>
      <c r="M223" s="1422">
        <v>0</v>
      </c>
      <c r="N223" s="1420">
        <v>17.600000000000001</v>
      </c>
      <c r="O223" s="1420">
        <v>42.6</v>
      </c>
      <c r="P223" s="1423">
        <v>20349255.469999999</v>
      </c>
      <c r="Q223" s="1424">
        <v>6190552.3300000001</v>
      </c>
      <c r="R223" s="1425">
        <f t="shared" si="33"/>
        <v>6190552.3300000001</v>
      </c>
      <c r="S223" s="1426">
        <v>0</v>
      </c>
      <c r="T223" s="1427">
        <f t="shared" si="34"/>
        <v>0</v>
      </c>
      <c r="U223" s="1428">
        <v>9186232</v>
      </c>
      <c r="V223" s="1422">
        <v>13983</v>
      </c>
      <c r="W223" s="1422">
        <v>273083</v>
      </c>
      <c r="X223" s="1422">
        <v>0</v>
      </c>
      <c r="Y223" s="1422">
        <v>0</v>
      </c>
      <c r="Z223" s="1422">
        <v>0</v>
      </c>
      <c r="AA223" s="1422">
        <v>0</v>
      </c>
      <c r="AB223" s="1422">
        <v>0</v>
      </c>
      <c r="AC223" s="1429">
        <v>0</v>
      </c>
      <c r="AD223" s="1422">
        <v>88222</v>
      </c>
      <c r="AE223" s="1420">
        <v>2983.2</v>
      </c>
      <c r="AF223" s="1422">
        <v>2760</v>
      </c>
      <c r="AG223" s="1422">
        <v>105719</v>
      </c>
      <c r="AH223" s="1422">
        <v>16408</v>
      </c>
      <c r="AI223" s="1422">
        <v>416144</v>
      </c>
      <c r="AJ223" s="1420">
        <v>12518.24</v>
      </c>
      <c r="AK223" s="1420">
        <v>11104.6</v>
      </c>
      <c r="AL223" s="1420">
        <v>7142.47</v>
      </c>
      <c r="AM223" s="1422">
        <v>0</v>
      </c>
      <c r="AN223" s="1429">
        <v>0</v>
      </c>
      <c r="AO223" s="1422">
        <v>0</v>
      </c>
      <c r="AP223" s="1422">
        <v>193154</v>
      </c>
      <c r="AQ223" s="1430">
        <f t="shared" si="35"/>
        <v>10329453.51</v>
      </c>
      <c r="AR223" s="1431">
        <v>1956679.95</v>
      </c>
      <c r="AS223" s="1432">
        <v>717675.58</v>
      </c>
      <c r="AT223" s="1422">
        <v>0</v>
      </c>
      <c r="AU223" s="1422">
        <v>0</v>
      </c>
      <c r="AV223" s="1422">
        <v>2331</v>
      </c>
      <c r="AW223" s="1422">
        <v>0</v>
      </c>
      <c r="AX223" s="1422">
        <v>0</v>
      </c>
      <c r="AY223" s="1420">
        <v>720006.58</v>
      </c>
      <c r="AZ223" s="1420">
        <v>881389.52</v>
      </c>
      <c r="BA223" s="1423">
        <f t="shared" si="36"/>
        <v>1603727.1</v>
      </c>
      <c r="BB223" s="1420">
        <f t="shared" si="37"/>
        <v>20080412.890000001</v>
      </c>
      <c r="BC223" s="1433">
        <f t="shared" si="38"/>
        <v>9223.8920027560871</v>
      </c>
      <c r="BD223" s="1433">
        <f t="shared" si="39"/>
        <v>2843.6161368856224</v>
      </c>
      <c r="BE223" s="1433">
        <f t="shared" si="40"/>
        <v>0</v>
      </c>
      <c r="BF223" s="1433">
        <f t="shared" si="41"/>
        <v>4744.810983004134</v>
      </c>
      <c r="BG223" s="1433">
        <f t="shared" si="42"/>
        <v>898.79648598989434</v>
      </c>
      <c r="BH223" s="1434">
        <f t="shared" si="43"/>
        <v>736.66839687643551</v>
      </c>
      <c r="BI223" s="1422">
        <v>7935</v>
      </c>
    </row>
    <row r="224" spans="1:61" ht="12.75" customHeight="1" thickBot="1">
      <c r="A224" s="1418" t="s">
        <v>131</v>
      </c>
      <c r="B224" s="1418" t="s">
        <v>132</v>
      </c>
      <c r="C224" s="1419">
        <v>8838</v>
      </c>
      <c r="D224" s="1420">
        <v>113.48</v>
      </c>
      <c r="E224" s="1420">
        <v>8388.2900000000009</v>
      </c>
      <c r="F224" s="1421">
        <v>7.0000000000000007E-2</v>
      </c>
      <c r="G224" s="1420">
        <v>8838.75</v>
      </c>
      <c r="H224" s="1420">
        <v>8540.91</v>
      </c>
      <c r="I224" s="1422">
        <v>1284990394</v>
      </c>
      <c r="J224" s="1422">
        <v>25</v>
      </c>
      <c r="K224" s="1422">
        <v>25</v>
      </c>
      <c r="L224" s="1422">
        <v>0</v>
      </c>
      <c r="M224" s="1422">
        <v>0</v>
      </c>
      <c r="N224" s="1420">
        <v>20.65</v>
      </c>
      <c r="O224" s="1420">
        <v>45.65</v>
      </c>
      <c r="P224" s="1423">
        <v>157509702.12</v>
      </c>
      <c r="Q224" s="1424">
        <v>55376321.899999999</v>
      </c>
      <c r="R224" s="1425">
        <f t="shared" si="33"/>
        <v>55376321.899999999</v>
      </c>
      <c r="S224" s="1426">
        <v>0</v>
      </c>
      <c r="T224" s="1427">
        <f t="shared" si="34"/>
        <v>0</v>
      </c>
      <c r="U224" s="1428">
        <v>18935683</v>
      </c>
      <c r="V224" s="1422">
        <v>0</v>
      </c>
      <c r="W224" s="1422">
        <v>1978334</v>
      </c>
      <c r="X224" s="1422">
        <v>0</v>
      </c>
      <c r="Y224" s="1422">
        <v>0</v>
      </c>
      <c r="Z224" s="1422">
        <v>0</v>
      </c>
      <c r="AA224" s="1422">
        <v>0</v>
      </c>
      <c r="AB224" s="1422">
        <v>0</v>
      </c>
      <c r="AC224" s="1435">
        <v>433286.68</v>
      </c>
      <c r="AD224" s="1422">
        <v>353252</v>
      </c>
      <c r="AE224" s="1420">
        <v>82222.55</v>
      </c>
      <c r="AF224" s="1422">
        <v>42150</v>
      </c>
      <c r="AG224" s="1422">
        <v>463466</v>
      </c>
      <c r="AH224" s="1422">
        <v>197189</v>
      </c>
      <c r="AI224" s="1422">
        <v>1616960</v>
      </c>
      <c r="AJ224" s="1420">
        <v>777833.44</v>
      </c>
      <c r="AK224" s="1420">
        <v>164670.87</v>
      </c>
      <c r="AL224" s="1420">
        <v>25092.04</v>
      </c>
      <c r="AM224" s="1422">
        <v>0</v>
      </c>
      <c r="AN224" s="1429">
        <v>577368</v>
      </c>
      <c r="AO224" s="1422">
        <v>0</v>
      </c>
      <c r="AP224" s="1422">
        <v>388976</v>
      </c>
      <c r="AQ224" s="1430">
        <f t="shared" si="35"/>
        <v>25025828.900000002</v>
      </c>
      <c r="AR224" s="1431">
        <v>16635894.66</v>
      </c>
      <c r="AS224" s="1432">
        <v>31843216.32</v>
      </c>
      <c r="AT224" s="1422">
        <v>0</v>
      </c>
      <c r="AU224" s="1422">
        <v>0</v>
      </c>
      <c r="AV224" s="1422">
        <v>0</v>
      </c>
      <c r="AW224" s="1422">
        <v>0</v>
      </c>
      <c r="AX224" s="1422">
        <v>0</v>
      </c>
      <c r="AY224" s="1420">
        <v>31843216.32</v>
      </c>
      <c r="AZ224" s="1420">
        <v>3005691.59</v>
      </c>
      <c r="BA224" s="1423">
        <f t="shared" si="36"/>
        <v>34848907.909999996</v>
      </c>
      <c r="BB224" s="1420">
        <f t="shared" si="37"/>
        <v>131886953.37</v>
      </c>
      <c r="BC224" s="1433">
        <f t="shared" si="38"/>
        <v>14922.714796334012</v>
      </c>
      <c r="BD224" s="1433">
        <f t="shared" si="39"/>
        <v>6265.7073885494456</v>
      </c>
      <c r="BE224" s="1433">
        <f t="shared" si="40"/>
        <v>0</v>
      </c>
      <c r="BF224" s="1433">
        <f t="shared" si="41"/>
        <v>2831.6167571848837</v>
      </c>
      <c r="BG224" s="1433">
        <f t="shared" si="42"/>
        <v>1882.314399185336</v>
      </c>
      <c r="BH224" s="1434">
        <f t="shared" si="43"/>
        <v>3943.0762514143466</v>
      </c>
      <c r="BI224" s="1422">
        <v>10333</v>
      </c>
    </row>
    <row r="225" spans="1:61" ht="12.75" customHeight="1" thickBot="1">
      <c r="A225" s="1418" t="s">
        <v>133</v>
      </c>
      <c r="B225" s="1418" t="s">
        <v>134</v>
      </c>
      <c r="C225" s="1419">
        <v>792</v>
      </c>
      <c r="D225" s="1420">
        <v>136.22</v>
      </c>
      <c r="E225" s="1420">
        <v>759.99</v>
      </c>
      <c r="F225" s="1421">
        <v>-0.15</v>
      </c>
      <c r="G225" s="1420">
        <v>793.66</v>
      </c>
      <c r="H225" s="1420">
        <v>821.63</v>
      </c>
      <c r="I225" s="1422">
        <v>79663115</v>
      </c>
      <c r="J225" s="1422">
        <v>25</v>
      </c>
      <c r="K225" s="1422">
        <v>25</v>
      </c>
      <c r="L225" s="1422">
        <v>0</v>
      </c>
      <c r="M225" s="1422">
        <v>0</v>
      </c>
      <c r="N225" s="1420">
        <v>14.5</v>
      </c>
      <c r="O225" s="1420">
        <v>39.5</v>
      </c>
      <c r="P225" s="1423">
        <v>6923361.4699999997</v>
      </c>
      <c r="Q225" s="1424">
        <v>3191776.56</v>
      </c>
      <c r="R225" s="1425">
        <f t="shared" si="33"/>
        <v>3191776.56</v>
      </c>
      <c r="S225" s="1436">
        <v>10179.76</v>
      </c>
      <c r="T225" s="1427">
        <f t="shared" si="34"/>
        <v>10179.76</v>
      </c>
      <c r="U225" s="1428">
        <v>2933493</v>
      </c>
      <c r="V225" s="1422">
        <v>0</v>
      </c>
      <c r="W225" s="1422">
        <v>0</v>
      </c>
      <c r="X225" s="1422">
        <v>0</v>
      </c>
      <c r="Y225" s="1422">
        <v>0</v>
      </c>
      <c r="Z225" s="1422">
        <v>0</v>
      </c>
      <c r="AA225" s="1422">
        <v>29394</v>
      </c>
      <c r="AB225" s="1422">
        <v>0</v>
      </c>
      <c r="AC225" s="1429">
        <v>0</v>
      </c>
      <c r="AD225" s="1422">
        <v>33983</v>
      </c>
      <c r="AE225" s="1420">
        <v>8893.91</v>
      </c>
      <c r="AF225" s="1422">
        <v>200</v>
      </c>
      <c r="AG225" s="1422">
        <v>31204</v>
      </c>
      <c r="AH225" s="1422">
        <v>5567</v>
      </c>
      <c r="AI225" s="1422">
        <v>213776</v>
      </c>
      <c r="AJ225" s="1420">
        <v>3365.91</v>
      </c>
      <c r="AK225" s="1422">
        <v>0</v>
      </c>
      <c r="AL225" s="1420">
        <v>2735.05</v>
      </c>
      <c r="AM225" s="1422">
        <v>0</v>
      </c>
      <c r="AN225" s="1429">
        <v>0</v>
      </c>
      <c r="AO225" s="1422">
        <v>0</v>
      </c>
      <c r="AP225" s="1420">
        <v>293430.37</v>
      </c>
      <c r="AQ225" s="1430">
        <f t="shared" si="35"/>
        <v>3556042.24</v>
      </c>
      <c r="AR225" s="1431">
        <v>1466357.92</v>
      </c>
      <c r="AS225" s="1437">
        <v>0</v>
      </c>
      <c r="AT225" s="1422">
        <v>0</v>
      </c>
      <c r="AU225" s="1422">
        <v>0</v>
      </c>
      <c r="AV225" s="1420">
        <v>6314.31</v>
      </c>
      <c r="AW225" s="1422">
        <v>0</v>
      </c>
      <c r="AX225" s="1422">
        <v>0</v>
      </c>
      <c r="AY225" s="1420">
        <v>6314.31</v>
      </c>
      <c r="AZ225" s="1420">
        <v>466972.62</v>
      </c>
      <c r="BA225" s="1423">
        <f t="shared" si="36"/>
        <v>479601.24</v>
      </c>
      <c r="BB225" s="1420">
        <f t="shared" si="37"/>
        <v>8703957.7200000007</v>
      </c>
      <c r="BC225" s="1433">
        <f t="shared" si="38"/>
        <v>10989.845606060608</v>
      </c>
      <c r="BD225" s="1433">
        <f t="shared" si="39"/>
        <v>4030.0209090909093</v>
      </c>
      <c r="BE225" s="1433">
        <f t="shared" si="40"/>
        <v>12.853232323232323</v>
      </c>
      <c r="BF225" s="1433">
        <f t="shared" si="41"/>
        <v>4489.9523232323236</v>
      </c>
      <c r="BG225" s="1433">
        <f t="shared" si="42"/>
        <v>1851.4620202020201</v>
      </c>
      <c r="BH225" s="1434">
        <f t="shared" si="43"/>
        <v>605.55712121212116</v>
      </c>
      <c r="BI225" s="1422">
        <v>8996</v>
      </c>
    </row>
    <row r="226" spans="1:61" ht="12.75" customHeight="1" thickBot="1">
      <c r="A226" s="1418" t="s">
        <v>135</v>
      </c>
      <c r="B226" s="1418" t="s">
        <v>136</v>
      </c>
      <c r="C226" s="1419">
        <v>1304</v>
      </c>
      <c r="D226" s="1420">
        <v>145.75</v>
      </c>
      <c r="E226" s="1420">
        <v>1187.6400000000001</v>
      </c>
      <c r="F226" s="1421">
        <v>0.01</v>
      </c>
      <c r="G226" s="1420">
        <v>1271.96</v>
      </c>
      <c r="H226" s="1420">
        <v>1303.48</v>
      </c>
      <c r="I226" s="1422">
        <v>66959903</v>
      </c>
      <c r="J226" s="1422">
        <v>25</v>
      </c>
      <c r="K226" s="1422">
        <v>25</v>
      </c>
      <c r="L226" s="1422">
        <v>0</v>
      </c>
      <c r="M226" s="1422">
        <v>0</v>
      </c>
      <c r="N226" s="1420">
        <v>17.7</v>
      </c>
      <c r="O226" s="1420">
        <v>42.7</v>
      </c>
      <c r="P226" s="1438">
        <v>16475000</v>
      </c>
      <c r="Q226" s="1424">
        <v>2660775.94</v>
      </c>
      <c r="R226" s="1425">
        <f t="shared" si="33"/>
        <v>2660775.94</v>
      </c>
      <c r="S226" s="1436">
        <v>285.89</v>
      </c>
      <c r="T226" s="1427">
        <f t="shared" si="34"/>
        <v>285.89</v>
      </c>
      <c r="U226" s="1428">
        <v>6155435</v>
      </c>
      <c r="V226" s="1422">
        <v>37227</v>
      </c>
      <c r="W226" s="1422">
        <v>12724</v>
      </c>
      <c r="X226" s="1422">
        <v>0</v>
      </c>
      <c r="Y226" s="1422">
        <v>0</v>
      </c>
      <c r="Z226" s="1422">
        <v>0</v>
      </c>
      <c r="AA226" s="1422">
        <v>42818</v>
      </c>
      <c r="AB226" s="1422">
        <v>3000</v>
      </c>
      <c r="AC226" s="1429">
        <v>0</v>
      </c>
      <c r="AD226" s="1422">
        <v>53912</v>
      </c>
      <c r="AE226" s="1420">
        <v>520531.48</v>
      </c>
      <c r="AF226" s="1422">
        <v>200</v>
      </c>
      <c r="AG226" s="1422">
        <v>136842</v>
      </c>
      <c r="AH226" s="1422">
        <v>31644</v>
      </c>
      <c r="AI226" s="1422">
        <v>613714</v>
      </c>
      <c r="AJ226" s="1420">
        <v>5339.9</v>
      </c>
      <c r="AK226" s="1420">
        <v>29333.56</v>
      </c>
      <c r="AL226" s="1420">
        <v>4445.71</v>
      </c>
      <c r="AM226" s="1422">
        <v>0</v>
      </c>
      <c r="AN226" s="1435">
        <v>206522.49</v>
      </c>
      <c r="AO226" s="1422">
        <v>0</v>
      </c>
      <c r="AP226" s="1420">
        <v>1230414.99</v>
      </c>
      <c r="AQ226" s="1430">
        <f t="shared" si="35"/>
        <v>8877581.6400000006</v>
      </c>
      <c r="AR226" s="1431">
        <v>2538702.33</v>
      </c>
      <c r="AS226" s="1432">
        <v>9307169.2799999993</v>
      </c>
      <c r="AT226" s="1422">
        <v>0</v>
      </c>
      <c r="AU226" s="1422">
        <v>2892</v>
      </c>
      <c r="AV226" s="1422">
        <v>0</v>
      </c>
      <c r="AW226" s="1422">
        <v>0</v>
      </c>
      <c r="AX226" s="1422">
        <v>0</v>
      </c>
      <c r="AY226" s="1420">
        <v>9310061.2799999993</v>
      </c>
      <c r="AZ226" s="1420">
        <v>1167246.5</v>
      </c>
      <c r="BA226" s="1423">
        <f t="shared" si="36"/>
        <v>10480199.779999999</v>
      </c>
      <c r="BB226" s="1420">
        <f t="shared" si="37"/>
        <v>24557545.580000002</v>
      </c>
      <c r="BC226" s="1433">
        <f t="shared" si="38"/>
        <v>18832.473604294479</v>
      </c>
      <c r="BD226" s="1433">
        <f t="shared" si="39"/>
        <v>2040.4723466257669</v>
      </c>
      <c r="BE226" s="1433">
        <f t="shared" si="40"/>
        <v>0.21924079754601225</v>
      </c>
      <c r="BF226" s="1433">
        <f t="shared" si="41"/>
        <v>6807.9613803680986</v>
      </c>
      <c r="BG226" s="1433">
        <f t="shared" si="42"/>
        <v>1946.8576150306749</v>
      </c>
      <c r="BH226" s="1434">
        <f t="shared" si="43"/>
        <v>8036.963021472392</v>
      </c>
      <c r="BI226" s="1422">
        <v>10856</v>
      </c>
    </row>
    <row r="227" spans="1:61" ht="12.75" customHeight="1" thickBot="1">
      <c r="A227" s="1418" t="s">
        <v>137</v>
      </c>
      <c r="B227" s="1418" t="s">
        <v>138</v>
      </c>
      <c r="C227" s="1419">
        <v>1741</v>
      </c>
      <c r="D227" s="1420">
        <v>105.57</v>
      </c>
      <c r="E227" s="1420">
        <v>1684.5</v>
      </c>
      <c r="F227" s="1421">
        <v>0.12</v>
      </c>
      <c r="G227" s="1420">
        <v>1747.23</v>
      </c>
      <c r="H227" s="1420">
        <v>1697.81</v>
      </c>
      <c r="I227" s="1422">
        <v>114808488</v>
      </c>
      <c r="J227" s="1422">
        <v>25</v>
      </c>
      <c r="K227" s="1422">
        <v>25</v>
      </c>
      <c r="L227" s="1422">
        <v>0</v>
      </c>
      <c r="M227" s="1422">
        <v>0</v>
      </c>
      <c r="N227" s="1420">
        <v>11.9</v>
      </c>
      <c r="O227" s="1420">
        <v>36.9</v>
      </c>
      <c r="P227" s="1438">
        <v>11625000</v>
      </c>
      <c r="Q227" s="1424">
        <v>4271373.25</v>
      </c>
      <c r="R227" s="1425">
        <f t="shared" si="33"/>
        <v>4271373.25</v>
      </c>
      <c r="S227" s="1436">
        <v>372.38</v>
      </c>
      <c r="T227" s="1427">
        <f t="shared" si="34"/>
        <v>372.38</v>
      </c>
      <c r="U227" s="1428">
        <v>7316368</v>
      </c>
      <c r="V227" s="1422">
        <v>0</v>
      </c>
      <c r="W227" s="1422">
        <v>336271</v>
      </c>
      <c r="X227" s="1422">
        <v>0</v>
      </c>
      <c r="Y227" s="1422">
        <v>0</v>
      </c>
      <c r="Z227" s="1422">
        <v>0</v>
      </c>
      <c r="AA227" s="1422">
        <v>0</v>
      </c>
      <c r="AB227" s="1422">
        <v>0</v>
      </c>
      <c r="AC227" s="1429">
        <v>0</v>
      </c>
      <c r="AD227" s="1422">
        <v>70221</v>
      </c>
      <c r="AE227" s="1420">
        <v>41876.870000000003</v>
      </c>
      <c r="AF227" s="1422">
        <v>750</v>
      </c>
      <c r="AG227" s="1422">
        <v>83413</v>
      </c>
      <c r="AH227" s="1422">
        <v>14357</v>
      </c>
      <c r="AI227" s="1422">
        <v>368528</v>
      </c>
      <c r="AJ227" s="1420">
        <v>22548.73</v>
      </c>
      <c r="AK227" s="1420">
        <v>7312.52</v>
      </c>
      <c r="AL227" s="1420">
        <v>5724.9</v>
      </c>
      <c r="AM227" s="1422">
        <v>0</v>
      </c>
      <c r="AN227" s="1429">
        <v>0</v>
      </c>
      <c r="AO227" s="1422">
        <v>0</v>
      </c>
      <c r="AP227" s="1422">
        <v>126012</v>
      </c>
      <c r="AQ227" s="1430">
        <f t="shared" si="35"/>
        <v>8393383.0199999996</v>
      </c>
      <c r="AR227" s="1431">
        <v>1778122.95</v>
      </c>
      <c r="AS227" s="1432">
        <v>5111.37</v>
      </c>
      <c r="AT227" s="1422">
        <v>0</v>
      </c>
      <c r="AU227" s="1422">
        <v>0</v>
      </c>
      <c r="AV227" s="1422">
        <v>0</v>
      </c>
      <c r="AW227" s="1422">
        <v>0</v>
      </c>
      <c r="AX227" s="1422">
        <v>0</v>
      </c>
      <c r="AY227" s="1420">
        <v>5111.37</v>
      </c>
      <c r="AZ227" s="1420">
        <v>631295.80000000005</v>
      </c>
      <c r="BA227" s="1423">
        <f t="shared" si="36"/>
        <v>636407.17000000004</v>
      </c>
      <c r="BB227" s="1420">
        <f t="shared" si="37"/>
        <v>15079658.770000001</v>
      </c>
      <c r="BC227" s="1433">
        <f t="shared" si="38"/>
        <v>8661.492688110282</v>
      </c>
      <c r="BD227" s="1433">
        <f t="shared" si="39"/>
        <v>2453.4022113727742</v>
      </c>
      <c r="BE227" s="1433">
        <f t="shared" si="40"/>
        <v>0.21388856978747844</v>
      </c>
      <c r="BF227" s="1433">
        <f t="shared" si="41"/>
        <v>4821.0126479035034</v>
      </c>
      <c r="BG227" s="1433">
        <f t="shared" si="42"/>
        <v>1021.3227742676622</v>
      </c>
      <c r="BH227" s="1434">
        <f t="shared" si="43"/>
        <v>365.54116599655373</v>
      </c>
      <c r="BI227" s="1422">
        <v>7777</v>
      </c>
    </row>
    <row r="228" spans="1:61" ht="12.75" customHeight="1" thickBot="1">
      <c r="A228" s="1418" t="s">
        <v>139</v>
      </c>
      <c r="B228" s="1418" t="s">
        <v>140</v>
      </c>
      <c r="C228" s="1419">
        <v>18810</v>
      </c>
      <c r="D228" s="1420">
        <v>184.43</v>
      </c>
      <c r="E228" s="1420">
        <v>17592.330000000002</v>
      </c>
      <c r="F228" s="1421">
        <v>0.19</v>
      </c>
      <c r="G228" s="1420">
        <v>18678.349999999999</v>
      </c>
      <c r="H228" s="1420">
        <v>18087.87</v>
      </c>
      <c r="I228" s="1422">
        <v>1415539243</v>
      </c>
      <c r="J228" s="1422">
        <v>25</v>
      </c>
      <c r="K228" s="1422">
        <v>25</v>
      </c>
      <c r="L228" s="1422">
        <v>0</v>
      </c>
      <c r="M228" s="1422">
        <v>0</v>
      </c>
      <c r="N228" s="1420">
        <v>13.6</v>
      </c>
      <c r="O228" s="1420">
        <v>38.6</v>
      </c>
      <c r="P228" s="1438">
        <v>150285000</v>
      </c>
      <c r="Q228" s="1424">
        <v>56516020.659999996</v>
      </c>
      <c r="R228" s="1425">
        <f t="shared" si="33"/>
        <v>56516020.659999996</v>
      </c>
      <c r="S228" s="1436">
        <v>6420.25</v>
      </c>
      <c r="T228" s="1427">
        <f t="shared" si="34"/>
        <v>6420.25</v>
      </c>
      <c r="U228" s="1428">
        <v>71882262</v>
      </c>
      <c r="V228" s="1422">
        <v>0</v>
      </c>
      <c r="W228" s="1422">
        <v>3584694</v>
      </c>
      <c r="X228" s="1422">
        <v>0</v>
      </c>
      <c r="Y228" s="1422">
        <v>0</v>
      </c>
      <c r="Z228" s="1422">
        <v>0</v>
      </c>
      <c r="AA228" s="1422">
        <v>0</v>
      </c>
      <c r="AB228" s="1422">
        <v>0</v>
      </c>
      <c r="AC228" s="1429">
        <v>0</v>
      </c>
      <c r="AD228" s="1422">
        <v>748114</v>
      </c>
      <c r="AE228" s="1420">
        <v>235747.1</v>
      </c>
      <c r="AF228" s="1422">
        <v>29653</v>
      </c>
      <c r="AG228" s="1422">
        <v>1076532</v>
      </c>
      <c r="AH228" s="1422">
        <v>2332280</v>
      </c>
      <c r="AI228" s="1422">
        <v>5659909</v>
      </c>
      <c r="AJ228" s="1420">
        <v>2331225.84</v>
      </c>
      <c r="AK228" s="1420">
        <v>83092.210000000006</v>
      </c>
      <c r="AL228" s="1420">
        <v>66936.100000000006</v>
      </c>
      <c r="AM228" s="1422">
        <v>0</v>
      </c>
      <c r="AN228" s="1435">
        <v>2631314.52</v>
      </c>
      <c r="AO228" s="1422">
        <v>0</v>
      </c>
      <c r="AP228" s="1420">
        <v>5101224.83</v>
      </c>
      <c r="AQ228" s="1430">
        <f t="shared" si="35"/>
        <v>93131670.079999983</v>
      </c>
      <c r="AR228" s="1431">
        <v>24318021.48</v>
      </c>
      <c r="AS228" s="1432">
        <v>12629312.189999999</v>
      </c>
      <c r="AT228" s="1422">
        <v>0</v>
      </c>
      <c r="AU228" s="1420">
        <v>96400.66</v>
      </c>
      <c r="AV228" s="1422">
        <v>526</v>
      </c>
      <c r="AW228" s="1422">
        <v>0</v>
      </c>
      <c r="AX228" s="1422">
        <v>0</v>
      </c>
      <c r="AY228" s="1420">
        <v>12726238.85</v>
      </c>
      <c r="AZ228" s="1420">
        <v>7827078.21</v>
      </c>
      <c r="BA228" s="1423">
        <f t="shared" si="36"/>
        <v>20650243.719999999</v>
      </c>
      <c r="BB228" s="1420">
        <f t="shared" si="37"/>
        <v>194622376.18999997</v>
      </c>
      <c r="BC228" s="1433">
        <f t="shared" si="38"/>
        <v>10346.750461988302</v>
      </c>
      <c r="BD228" s="1433">
        <f t="shared" si="39"/>
        <v>3004.5731345029239</v>
      </c>
      <c r="BE228" s="1433">
        <f t="shared" si="40"/>
        <v>0.34132110579479003</v>
      </c>
      <c r="BF228" s="1433">
        <f t="shared" si="41"/>
        <v>4951.1786326422107</v>
      </c>
      <c r="BG228" s="1433">
        <f t="shared" si="42"/>
        <v>1292.8241084529507</v>
      </c>
      <c r="BH228" s="1434">
        <f t="shared" si="43"/>
        <v>1097.8332652844231</v>
      </c>
      <c r="BI228" s="1422">
        <v>8577</v>
      </c>
    </row>
    <row r="229" spans="1:61" ht="12.75" customHeight="1" thickBot="1">
      <c r="A229" s="1418" t="s">
        <v>141</v>
      </c>
      <c r="B229" s="1418" t="s">
        <v>142</v>
      </c>
      <c r="C229" s="1419">
        <v>1227</v>
      </c>
      <c r="D229" s="1420">
        <v>131.1</v>
      </c>
      <c r="E229" s="1420">
        <v>1158.33</v>
      </c>
      <c r="F229" s="1421">
        <v>-0.01</v>
      </c>
      <c r="G229" s="1420">
        <v>1222.3800000000001</v>
      </c>
      <c r="H229" s="1420">
        <v>1245.71</v>
      </c>
      <c r="I229" s="1422">
        <v>53802463</v>
      </c>
      <c r="J229" s="1422">
        <v>25</v>
      </c>
      <c r="K229" s="1422">
        <v>25</v>
      </c>
      <c r="L229" s="1422">
        <v>0</v>
      </c>
      <c r="M229" s="1422">
        <v>0</v>
      </c>
      <c r="N229" s="1420">
        <v>13.6</v>
      </c>
      <c r="O229" s="1420">
        <v>38.6</v>
      </c>
      <c r="P229" s="1438">
        <v>6070000</v>
      </c>
      <c r="Q229" s="1424">
        <v>2078089.22</v>
      </c>
      <c r="R229" s="1425">
        <f t="shared" si="33"/>
        <v>2078089.22</v>
      </c>
      <c r="S229" s="1436">
        <v>272.54000000000002</v>
      </c>
      <c r="T229" s="1427">
        <f t="shared" si="34"/>
        <v>272.54000000000002</v>
      </c>
      <c r="U229" s="1428">
        <v>6122419</v>
      </c>
      <c r="V229" s="1422">
        <v>16783</v>
      </c>
      <c r="W229" s="1422">
        <v>0</v>
      </c>
      <c r="X229" s="1422">
        <v>36499</v>
      </c>
      <c r="Y229" s="1422">
        <v>0</v>
      </c>
      <c r="Z229" s="1422">
        <v>0</v>
      </c>
      <c r="AA229" s="1422">
        <v>45014</v>
      </c>
      <c r="AB229" s="1422">
        <v>0</v>
      </c>
      <c r="AC229" s="1429">
        <v>0</v>
      </c>
      <c r="AD229" s="1422">
        <v>51523</v>
      </c>
      <c r="AE229" s="1422">
        <v>2400</v>
      </c>
      <c r="AF229" s="1422">
        <v>750</v>
      </c>
      <c r="AG229" s="1422">
        <v>44571</v>
      </c>
      <c r="AH229" s="1422">
        <v>0</v>
      </c>
      <c r="AI229" s="1422">
        <v>310496</v>
      </c>
      <c r="AJ229" s="1420">
        <v>6435.22</v>
      </c>
      <c r="AK229" s="1422">
        <v>1625</v>
      </c>
      <c r="AL229" s="1420">
        <v>4674.87</v>
      </c>
      <c r="AM229" s="1422">
        <v>0</v>
      </c>
      <c r="AN229" s="1429">
        <v>0</v>
      </c>
      <c r="AO229" s="1422">
        <v>0</v>
      </c>
      <c r="AP229" s="1422">
        <v>141534</v>
      </c>
      <c r="AQ229" s="1430">
        <f t="shared" si="35"/>
        <v>6784724.0899999999</v>
      </c>
      <c r="AR229" s="1431">
        <v>1688093.79</v>
      </c>
      <c r="AS229" s="1432">
        <v>202566.44</v>
      </c>
      <c r="AT229" s="1422">
        <v>0</v>
      </c>
      <c r="AU229" s="1422">
        <v>0</v>
      </c>
      <c r="AV229" s="1422">
        <v>4000</v>
      </c>
      <c r="AW229" s="1422">
        <v>0</v>
      </c>
      <c r="AX229" s="1422">
        <v>0</v>
      </c>
      <c r="AY229" s="1420">
        <v>206566.44</v>
      </c>
      <c r="AZ229" s="1420">
        <v>464376.61</v>
      </c>
      <c r="BA229" s="1423">
        <f t="shared" si="36"/>
        <v>674943.05</v>
      </c>
      <c r="BB229" s="1420">
        <f t="shared" si="37"/>
        <v>11226122.689999999</v>
      </c>
      <c r="BC229" s="1433">
        <f t="shared" si="38"/>
        <v>9149.2442461287683</v>
      </c>
      <c r="BD229" s="1433">
        <f t="shared" si="39"/>
        <v>1693.6342461287693</v>
      </c>
      <c r="BE229" s="1433">
        <f t="shared" si="40"/>
        <v>0.22211898940505298</v>
      </c>
      <c r="BF229" s="1433">
        <f t="shared" si="41"/>
        <v>5529.5224857375715</v>
      </c>
      <c r="BG229" s="1433">
        <f t="shared" si="42"/>
        <v>1375.7895599022006</v>
      </c>
      <c r="BH229" s="1434">
        <f t="shared" si="43"/>
        <v>550.07583537082314</v>
      </c>
      <c r="BI229" s="1422">
        <v>8189</v>
      </c>
    </row>
    <row r="230" spans="1:61" ht="12.75" customHeight="1" thickBot="1">
      <c r="A230" s="1418" t="s">
        <v>143</v>
      </c>
      <c r="B230" s="1418" t="s">
        <v>144</v>
      </c>
      <c r="C230" s="1419">
        <v>1303</v>
      </c>
      <c r="D230" s="1420">
        <v>186.52</v>
      </c>
      <c r="E230" s="1420">
        <v>1220.3499999999999</v>
      </c>
      <c r="F230" s="1421">
        <v>-0.01</v>
      </c>
      <c r="G230" s="1420">
        <v>1291.47</v>
      </c>
      <c r="H230" s="1420">
        <v>1321.66</v>
      </c>
      <c r="I230" s="1422">
        <v>81849243</v>
      </c>
      <c r="J230" s="1422">
        <v>25</v>
      </c>
      <c r="K230" s="1422">
        <v>25</v>
      </c>
      <c r="L230" s="1422">
        <v>0</v>
      </c>
      <c r="M230" s="1422">
        <v>0</v>
      </c>
      <c r="N230" s="1420">
        <v>13.5</v>
      </c>
      <c r="O230" s="1420">
        <v>38.5</v>
      </c>
      <c r="P230" s="1423">
        <v>8044250.54</v>
      </c>
      <c r="Q230" s="1424">
        <v>2679779.75</v>
      </c>
      <c r="R230" s="1425">
        <f t="shared" si="33"/>
        <v>2679779.75</v>
      </c>
      <c r="S230" s="1436">
        <v>5959.12</v>
      </c>
      <c r="T230" s="1427">
        <f t="shared" si="34"/>
        <v>5959.12</v>
      </c>
      <c r="U230" s="1428">
        <v>6176175</v>
      </c>
      <c r="V230" s="1422">
        <v>36148</v>
      </c>
      <c r="W230" s="1422">
        <v>0</v>
      </c>
      <c r="X230" s="1422">
        <v>0</v>
      </c>
      <c r="Y230" s="1422">
        <v>0</v>
      </c>
      <c r="Z230" s="1422">
        <v>0</v>
      </c>
      <c r="AA230" s="1422">
        <v>27886</v>
      </c>
      <c r="AB230" s="1422">
        <v>0</v>
      </c>
      <c r="AC230" s="1429">
        <v>0</v>
      </c>
      <c r="AD230" s="1422">
        <v>54664</v>
      </c>
      <c r="AE230" s="1420">
        <v>8880.5499999999993</v>
      </c>
      <c r="AF230" s="1422">
        <v>300</v>
      </c>
      <c r="AG230" s="1422">
        <v>43962</v>
      </c>
      <c r="AH230" s="1422">
        <v>4981</v>
      </c>
      <c r="AI230" s="1422">
        <v>407712</v>
      </c>
      <c r="AJ230" s="1420">
        <v>5414.36</v>
      </c>
      <c r="AK230" s="1420">
        <v>153229.6</v>
      </c>
      <c r="AL230" s="1420">
        <v>6646.48</v>
      </c>
      <c r="AM230" s="1422">
        <v>0</v>
      </c>
      <c r="AN230" s="1429">
        <v>0</v>
      </c>
      <c r="AO230" s="1422">
        <v>0</v>
      </c>
      <c r="AP230" s="1422">
        <v>166733</v>
      </c>
      <c r="AQ230" s="1430">
        <f t="shared" si="35"/>
        <v>7092731.9900000002</v>
      </c>
      <c r="AR230" s="1431">
        <v>2740804.19</v>
      </c>
      <c r="AS230" s="1432">
        <v>-650788.49</v>
      </c>
      <c r="AT230" s="1422">
        <v>0</v>
      </c>
      <c r="AU230" s="1422">
        <v>19000</v>
      </c>
      <c r="AV230" s="1422">
        <v>1440</v>
      </c>
      <c r="AW230" s="1422">
        <v>0</v>
      </c>
      <c r="AX230" s="1422">
        <v>0</v>
      </c>
      <c r="AY230" s="1420">
        <v>-630348.49</v>
      </c>
      <c r="AZ230" s="1420">
        <v>798988.42</v>
      </c>
      <c r="BA230" s="1423">
        <f t="shared" si="36"/>
        <v>189079.93000000005</v>
      </c>
      <c r="BB230" s="1420">
        <f t="shared" si="37"/>
        <v>12708354.979999999</v>
      </c>
      <c r="BC230" s="1433">
        <f t="shared" si="38"/>
        <v>9753.1504067536443</v>
      </c>
      <c r="BD230" s="1433">
        <f t="shared" si="39"/>
        <v>2056.6229854182657</v>
      </c>
      <c r="BE230" s="1433">
        <f t="shared" si="40"/>
        <v>4.5733844973138913</v>
      </c>
      <c r="BF230" s="1433">
        <f t="shared" si="41"/>
        <v>5443.3860245587111</v>
      </c>
      <c r="BG230" s="1433">
        <f t="shared" si="42"/>
        <v>2103.4567843438217</v>
      </c>
      <c r="BH230" s="1434">
        <f t="shared" si="43"/>
        <v>145.11122793553344</v>
      </c>
      <c r="BI230" s="1422">
        <v>8787</v>
      </c>
    </row>
    <row r="231" spans="1:61" ht="12.75" customHeight="1" thickBot="1">
      <c r="A231" s="1418" t="s">
        <v>145</v>
      </c>
      <c r="B231" s="1418" t="s">
        <v>146</v>
      </c>
      <c r="C231" s="1419">
        <v>3204</v>
      </c>
      <c r="D231" s="1420">
        <v>235.55</v>
      </c>
      <c r="E231" s="1420">
        <v>3072.19</v>
      </c>
      <c r="F231" s="1421">
        <v>0.12</v>
      </c>
      <c r="G231" s="1420">
        <v>3192.6</v>
      </c>
      <c r="H231" s="1420">
        <v>3200.25</v>
      </c>
      <c r="I231" s="1422">
        <v>175867012</v>
      </c>
      <c r="J231" s="1422">
        <v>25</v>
      </c>
      <c r="K231" s="1422">
        <v>25</v>
      </c>
      <c r="L231" s="1422">
        <v>0</v>
      </c>
      <c r="M231" s="1422">
        <v>0</v>
      </c>
      <c r="N231" s="1420">
        <v>11.6</v>
      </c>
      <c r="O231" s="1420">
        <v>36.6</v>
      </c>
      <c r="P231" s="1438">
        <v>17830000</v>
      </c>
      <c r="Q231" s="1424">
        <v>5932794.8499999996</v>
      </c>
      <c r="R231" s="1425">
        <f t="shared" si="33"/>
        <v>5932794.8499999996</v>
      </c>
      <c r="S231" s="1426">
        <v>0</v>
      </c>
      <c r="T231" s="1427">
        <f t="shared" si="34"/>
        <v>0</v>
      </c>
      <c r="U231" s="1428">
        <v>15202777</v>
      </c>
      <c r="V231" s="1422">
        <v>92567</v>
      </c>
      <c r="W231" s="1422">
        <v>21261</v>
      </c>
      <c r="X231" s="1422">
        <v>0</v>
      </c>
      <c r="Y231" s="1422">
        <v>0</v>
      </c>
      <c r="Z231" s="1422">
        <v>0</v>
      </c>
      <c r="AA231" s="1422">
        <v>111910</v>
      </c>
      <c r="AB231" s="1422">
        <v>0</v>
      </c>
      <c r="AC231" s="1429">
        <v>0</v>
      </c>
      <c r="AD231" s="1422">
        <v>132362</v>
      </c>
      <c r="AE231" s="1422">
        <v>16200</v>
      </c>
      <c r="AF231" s="1422">
        <v>2750</v>
      </c>
      <c r="AG231" s="1422">
        <v>98081</v>
      </c>
      <c r="AH231" s="1422">
        <v>9376</v>
      </c>
      <c r="AI231" s="1422">
        <v>763840</v>
      </c>
      <c r="AJ231" s="1420">
        <v>40869.599999999999</v>
      </c>
      <c r="AK231" s="1420">
        <v>67959.600000000006</v>
      </c>
      <c r="AL231" s="1420">
        <v>10165.77</v>
      </c>
      <c r="AM231" s="1422">
        <v>0</v>
      </c>
      <c r="AN231" s="1429">
        <v>388314</v>
      </c>
      <c r="AO231" s="1422">
        <v>0</v>
      </c>
      <c r="AP231" s="1420">
        <v>1850118.77</v>
      </c>
      <c r="AQ231" s="1430">
        <f t="shared" si="35"/>
        <v>18420237.739999998</v>
      </c>
      <c r="AR231" s="1431">
        <v>4360838.38</v>
      </c>
      <c r="AS231" s="1432">
        <v>3549843.5</v>
      </c>
      <c r="AT231" s="1422">
        <v>0</v>
      </c>
      <c r="AU231" s="1422">
        <v>0</v>
      </c>
      <c r="AV231" s="1422">
        <v>0</v>
      </c>
      <c r="AW231" s="1422">
        <v>0</v>
      </c>
      <c r="AX231" s="1422">
        <v>0</v>
      </c>
      <c r="AY231" s="1420">
        <v>3549843.5</v>
      </c>
      <c r="AZ231" s="1420">
        <v>2567974.96</v>
      </c>
      <c r="BA231" s="1423">
        <f t="shared" si="36"/>
        <v>6117818.46</v>
      </c>
      <c r="BB231" s="1420">
        <f t="shared" si="37"/>
        <v>34831689.43</v>
      </c>
      <c r="BC231" s="1433">
        <f t="shared" si="38"/>
        <v>10871.313804619225</v>
      </c>
      <c r="BD231" s="1433">
        <f t="shared" si="39"/>
        <v>1851.683785892634</v>
      </c>
      <c r="BE231" s="1433">
        <f t="shared" si="40"/>
        <v>0</v>
      </c>
      <c r="BF231" s="1433">
        <f t="shared" si="41"/>
        <v>5749.1378714107359</v>
      </c>
      <c r="BG231" s="1433">
        <f t="shared" si="42"/>
        <v>1361.060667915106</v>
      </c>
      <c r="BH231" s="1434">
        <f t="shared" si="43"/>
        <v>1909.4314794007491</v>
      </c>
      <c r="BI231" s="1422">
        <v>7771</v>
      </c>
    </row>
    <row r="232" spans="1:61" ht="12.75" customHeight="1" thickBot="1">
      <c r="A232" s="1418" t="s">
        <v>147</v>
      </c>
      <c r="B232" s="1418" t="s">
        <v>148</v>
      </c>
      <c r="C232" s="1419">
        <v>493</v>
      </c>
      <c r="D232" s="1420">
        <v>92.65</v>
      </c>
      <c r="E232" s="1420">
        <v>455.69</v>
      </c>
      <c r="F232" s="1421">
        <v>-0.09</v>
      </c>
      <c r="G232" s="1420">
        <v>490.57</v>
      </c>
      <c r="H232" s="1420">
        <v>491.98</v>
      </c>
      <c r="I232" s="1422">
        <v>23038236</v>
      </c>
      <c r="J232" s="1422">
        <v>25</v>
      </c>
      <c r="K232" s="1422">
        <v>25</v>
      </c>
      <c r="L232" s="1422">
        <v>0</v>
      </c>
      <c r="M232" s="1422">
        <v>0</v>
      </c>
      <c r="N232" s="1422">
        <v>12</v>
      </c>
      <c r="O232" s="1422">
        <v>37</v>
      </c>
      <c r="P232" s="1438">
        <v>3220000</v>
      </c>
      <c r="Q232" s="1424">
        <v>767205.49</v>
      </c>
      <c r="R232" s="1425">
        <f t="shared" si="33"/>
        <v>767205.49</v>
      </c>
      <c r="S232" s="1436">
        <v>2276.1799999999998</v>
      </c>
      <c r="T232" s="1427">
        <f t="shared" si="34"/>
        <v>2276.1799999999998</v>
      </c>
      <c r="U232" s="1428">
        <v>2427430</v>
      </c>
      <c r="V232" s="1422">
        <v>43860</v>
      </c>
      <c r="W232" s="1422">
        <v>0</v>
      </c>
      <c r="X232" s="1422">
        <v>27164</v>
      </c>
      <c r="Y232" s="1422">
        <v>0</v>
      </c>
      <c r="Z232" s="1422">
        <v>0</v>
      </c>
      <c r="AA232" s="1422">
        <v>31731</v>
      </c>
      <c r="AB232" s="1422">
        <v>0</v>
      </c>
      <c r="AC232" s="1429">
        <v>0</v>
      </c>
      <c r="AD232" s="1422">
        <v>20348</v>
      </c>
      <c r="AE232" s="1420">
        <v>1681.64</v>
      </c>
      <c r="AF232" s="1422">
        <v>1000</v>
      </c>
      <c r="AG232" s="1422">
        <v>18568</v>
      </c>
      <c r="AH232" s="1422">
        <v>0</v>
      </c>
      <c r="AI232" s="1422">
        <v>161200</v>
      </c>
      <c r="AJ232" s="1420">
        <v>2015.46</v>
      </c>
      <c r="AK232" s="1422">
        <v>0</v>
      </c>
      <c r="AL232" s="1422">
        <v>0</v>
      </c>
      <c r="AM232" s="1422">
        <v>0</v>
      </c>
      <c r="AN232" s="1429">
        <v>97200</v>
      </c>
      <c r="AO232" s="1422">
        <v>0</v>
      </c>
      <c r="AP232" s="1420">
        <v>2286035.2599999998</v>
      </c>
      <c r="AQ232" s="1430">
        <f t="shared" si="35"/>
        <v>5021033.3599999994</v>
      </c>
      <c r="AR232" s="1431">
        <v>1035024.32</v>
      </c>
      <c r="AS232" s="1437">
        <v>0</v>
      </c>
      <c r="AT232" s="1422">
        <v>0</v>
      </c>
      <c r="AU232" s="1422">
        <v>0</v>
      </c>
      <c r="AV232" s="1422">
        <v>0</v>
      </c>
      <c r="AW232" s="1422">
        <v>0</v>
      </c>
      <c r="AX232" s="1422">
        <v>0</v>
      </c>
      <c r="AY232" s="1422">
        <v>0</v>
      </c>
      <c r="AZ232" s="1420">
        <v>218274.92</v>
      </c>
      <c r="BA232" s="1423">
        <f t="shared" si="36"/>
        <v>218274.92</v>
      </c>
      <c r="BB232" s="1420">
        <f t="shared" si="37"/>
        <v>7043814.2699999996</v>
      </c>
      <c r="BC232" s="1433">
        <f t="shared" si="38"/>
        <v>14287.655720081135</v>
      </c>
      <c r="BD232" s="1433">
        <f t="shared" si="39"/>
        <v>1556.1977484787019</v>
      </c>
      <c r="BE232" s="1433">
        <f t="shared" si="40"/>
        <v>4.6169979716024336</v>
      </c>
      <c r="BF232" s="1433">
        <f t="shared" si="41"/>
        <v>10184.651845841783</v>
      </c>
      <c r="BG232" s="1433">
        <f t="shared" si="42"/>
        <v>2099.4408113590262</v>
      </c>
      <c r="BH232" s="1434">
        <f t="shared" si="43"/>
        <v>442.74831643002028</v>
      </c>
      <c r="BI232" s="1422">
        <v>9446</v>
      </c>
    </row>
    <row r="233" spans="1:61" ht="12.75" customHeight="1" thickBot="1">
      <c r="A233" s="1418" t="s">
        <v>149</v>
      </c>
      <c r="B233" s="1418" t="s">
        <v>150</v>
      </c>
      <c r="C233" s="1419">
        <v>672</v>
      </c>
      <c r="D233" s="1420">
        <v>59.32</v>
      </c>
      <c r="E233" s="1420">
        <v>629.77</v>
      </c>
      <c r="F233" s="1421">
        <v>-0.01</v>
      </c>
      <c r="G233" s="1420">
        <v>669.46</v>
      </c>
      <c r="H233" s="1420">
        <v>693.41</v>
      </c>
      <c r="I233" s="1422">
        <v>66874221</v>
      </c>
      <c r="J233" s="1422">
        <v>25</v>
      </c>
      <c r="K233" s="1422">
        <v>25</v>
      </c>
      <c r="L233" s="1422">
        <v>0</v>
      </c>
      <c r="M233" s="1422">
        <v>0</v>
      </c>
      <c r="N233" s="1420">
        <v>13.1</v>
      </c>
      <c r="O233" s="1420">
        <v>38.1</v>
      </c>
      <c r="P233" s="1438">
        <v>2645000</v>
      </c>
      <c r="Q233" s="1424">
        <v>1934529.88</v>
      </c>
      <c r="R233" s="1425">
        <f t="shared" si="33"/>
        <v>1934529.88</v>
      </c>
      <c r="S233" s="1436">
        <v>3068.52</v>
      </c>
      <c r="T233" s="1427">
        <f t="shared" si="34"/>
        <v>3068.52</v>
      </c>
      <c r="U233" s="1428">
        <v>3038890</v>
      </c>
      <c r="V233" s="1422">
        <v>25268</v>
      </c>
      <c r="W233" s="1422">
        <v>0</v>
      </c>
      <c r="X233" s="1422">
        <v>0</v>
      </c>
      <c r="Y233" s="1422">
        <v>0</v>
      </c>
      <c r="Z233" s="1422">
        <v>0</v>
      </c>
      <c r="AA233" s="1422">
        <v>43659</v>
      </c>
      <c r="AB233" s="1422">
        <v>0</v>
      </c>
      <c r="AC233" s="1429">
        <v>0</v>
      </c>
      <c r="AD233" s="1422">
        <v>28679</v>
      </c>
      <c r="AE233" s="1420">
        <v>4543.78</v>
      </c>
      <c r="AF233" s="1422">
        <v>1966</v>
      </c>
      <c r="AG233" s="1422">
        <v>34698</v>
      </c>
      <c r="AH233" s="1422">
        <v>0</v>
      </c>
      <c r="AI233" s="1422">
        <v>208816</v>
      </c>
      <c r="AJ233" s="1420">
        <v>41625.99</v>
      </c>
      <c r="AK233" s="1420">
        <v>29521.040000000001</v>
      </c>
      <c r="AL233" s="1420">
        <v>2652.49</v>
      </c>
      <c r="AM233" s="1422">
        <v>0</v>
      </c>
      <c r="AN233" s="1429">
        <v>187596</v>
      </c>
      <c r="AO233" s="1422">
        <v>0</v>
      </c>
      <c r="AP233" s="1420">
        <v>239989.07</v>
      </c>
      <c r="AQ233" s="1430">
        <f t="shared" si="35"/>
        <v>3700308.37</v>
      </c>
      <c r="AR233" s="1431">
        <v>1179584.99</v>
      </c>
      <c r="AS233" s="1432">
        <v>6071.93</v>
      </c>
      <c r="AT233" s="1422">
        <v>0</v>
      </c>
      <c r="AU233" s="1422">
        <v>0</v>
      </c>
      <c r="AV233" s="1422">
        <v>1202</v>
      </c>
      <c r="AW233" s="1420">
        <v>8377.41</v>
      </c>
      <c r="AX233" s="1420">
        <v>47254.86</v>
      </c>
      <c r="AY233" s="1420">
        <v>62906.2</v>
      </c>
      <c r="AZ233" s="1420">
        <v>359414.58</v>
      </c>
      <c r="BA233" s="1423">
        <f t="shared" si="36"/>
        <v>479155.05000000005</v>
      </c>
      <c r="BB233" s="1420">
        <f t="shared" si="37"/>
        <v>7296646.8099999996</v>
      </c>
      <c r="BC233" s="1433">
        <f t="shared" si="38"/>
        <v>10858.105372023809</v>
      </c>
      <c r="BD233" s="1433">
        <f t="shared" si="39"/>
        <v>2878.7647023809523</v>
      </c>
      <c r="BE233" s="1433">
        <f t="shared" si="40"/>
        <v>4.5662500000000001</v>
      </c>
      <c r="BF233" s="1433">
        <f t="shared" si="41"/>
        <v>5506.4112648809523</v>
      </c>
      <c r="BG233" s="1433">
        <f t="shared" si="42"/>
        <v>1755.3348065476191</v>
      </c>
      <c r="BH233" s="1434">
        <f t="shared" si="43"/>
        <v>713.02834821428576</v>
      </c>
      <c r="BI233" s="1422">
        <v>8628</v>
      </c>
    </row>
    <row r="234" spans="1:61" ht="12.75" customHeight="1" thickBot="1">
      <c r="A234" s="1418" t="s">
        <v>151</v>
      </c>
      <c r="B234" s="1418" t="s">
        <v>152</v>
      </c>
      <c r="C234" s="1419">
        <v>1301</v>
      </c>
      <c r="D234" s="1420">
        <v>185.56</v>
      </c>
      <c r="E234" s="1420">
        <v>1218.0899999999999</v>
      </c>
      <c r="F234" s="1421">
        <v>0.04</v>
      </c>
      <c r="G234" s="1420">
        <v>1293.56</v>
      </c>
      <c r="H234" s="1420">
        <v>1310.33</v>
      </c>
      <c r="I234" s="1422">
        <v>89592853</v>
      </c>
      <c r="J234" s="1420">
        <v>27.22</v>
      </c>
      <c r="K234" s="1422">
        <v>25</v>
      </c>
      <c r="L234" s="1420">
        <v>2.2200000000000002</v>
      </c>
      <c r="M234" s="1422">
        <v>0</v>
      </c>
      <c r="N234" s="1420">
        <v>8.7799999999999994</v>
      </c>
      <c r="O234" s="1422">
        <v>36</v>
      </c>
      <c r="P234" s="1438">
        <v>2775000</v>
      </c>
      <c r="Q234" s="1424">
        <v>2984108.41</v>
      </c>
      <c r="R234" s="1425">
        <f t="shared" si="33"/>
        <v>2984108.41</v>
      </c>
      <c r="S234" s="1436">
        <v>5914.85</v>
      </c>
      <c r="T234" s="1427">
        <f t="shared" si="34"/>
        <v>5914.85</v>
      </c>
      <c r="U234" s="1428">
        <v>5784326</v>
      </c>
      <c r="V234" s="1422">
        <v>43324</v>
      </c>
      <c r="W234" s="1422">
        <v>10851</v>
      </c>
      <c r="X234" s="1422">
        <v>0</v>
      </c>
      <c r="Y234" s="1422">
        <v>0</v>
      </c>
      <c r="Z234" s="1422">
        <v>0</v>
      </c>
      <c r="AA234" s="1422">
        <v>63981</v>
      </c>
      <c r="AB234" s="1422">
        <v>0</v>
      </c>
      <c r="AC234" s="1429">
        <v>0</v>
      </c>
      <c r="AD234" s="1422">
        <v>54195</v>
      </c>
      <c r="AE234" s="1422">
        <v>2400</v>
      </c>
      <c r="AF234" s="1422">
        <v>600</v>
      </c>
      <c r="AG234" s="1422">
        <v>79188</v>
      </c>
      <c r="AH234" s="1422">
        <v>14357</v>
      </c>
      <c r="AI234" s="1422">
        <v>901728</v>
      </c>
      <c r="AJ234" s="1420">
        <v>5367.96</v>
      </c>
      <c r="AK234" s="1420">
        <v>44812.84</v>
      </c>
      <c r="AL234" s="1420">
        <v>5459.41</v>
      </c>
      <c r="AM234" s="1422">
        <v>0</v>
      </c>
      <c r="AN234" s="1429">
        <v>194400</v>
      </c>
      <c r="AO234" s="1422">
        <v>0</v>
      </c>
      <c r="AP234" s="1420">
        <v>381950.11</v>
      </c>
      <c r="AQ234" s="1430">
        <f t="shared" si="35"/>
        <v>7392540.3200000003</v>
      </c>
      <c r="AR234" s="1431">
        <v>2432498.66</v>
      </c>
      <c r="AS234" s="1437">
        <v>0</v>
      </c>
      <c r="AT234" s="1422">
        <v>0</v>
      </c>
      <c r="AU234" s="1422">
        <v>0</v>
      </c>
      <c r="AV234" s="1422">
        <v>0</v>
      </c>
      <c r="AW234" s="1422">
        <v>0</v>
      </c>
      <c r="AX234" s="1422">
        <v>0</v>
      </c>
      <c r="AY234" s="1422">
        <v>0</v>
      </c>
      <c r="AZ234" s="1420">
        <v>912588.22</v>
      </c>
      <c r="BA234" s="1423">
        <f t="shared" si="36"/>
        <v>912588.22</v>
      </c>
      <c r="BB234" s="1420">
        <f t="shared" si="37"/>
        <v>13727650.459999999</v>
      </c>
      <c r="BC234" s="1433">
        <f t="shared" si="38"/>
        <v>10551.614496541122</v>
      </c>
      <c r="BD234" s="1433">
        <f t="shared" si="39"/>
        <v>2293.7036202920831</v>
      </c>
      <c r="BE234" s="1433">
        <f t="shared" si="40"/>
        <v>4.5463873943120676</v>
      </c>
      <c r="BF234" s="1433">
        <f t="shared" si="41"/>
        <v>5682.1985549577248</v>
      </c>
      <c r="BG234" s="1433">
        <f t="shared" si="42"/>
        <v>1869.7145734050732</v>
      </c>
      <c r="BH234" s="1434">
        <f t="shared" si="43"/>
        <v>701.45136049192922</v>
      </c>
      <c r="BI234" s="1422">
        <v>9107</v>
      </c>
    </row>
    <row r="235" spans="1:61" ht="12.75" customHeight="1" thickBot="1">
      <c r="A235" s="1418" t="s">
        <v>153</v>
      </c>
      <c r="B235" s="1418" t="s">
        <v>154</v>
      </c>
      <c r="C235" s="1419">
        <v>751</v>
      </c>
      <c r="D235" s="1420">
        <v>105.9</v>
      </c>
      <c r="E235" s="1420">
        <v>709.8</v>
      </c>
      <c r="F235" s="1421">
        <v>0.04</v>
      </c>
      <c r="G235" s="1420">
        <v>745.23</v>
      </c>
      <c r="H235" s="1420">
        <v>736.66</v>
      </c>
      <c r="I235" s="1422">
        <v>78716660</v>
      </c>
      <c r="J235" s="1422">
        <v>25</v>
      </c>
      <c r="K235" s="1422">
        <v>25</v>
      </c>
      <c r="L235" s="1422">
        <v>0</v>
      </c>
      <c r="M235" s="1422">
        <v>0</v>
      </c>
      <c r="N235" s="1420">
        <v>16.399999999999999</v>
      </c>
      <c r="O235" s="1420">
        <v>41.4</v>
      </c>
      <c r="P235" s="1423">
        <v>11016131.17</v>
      </c>
      <c r="Q235" s="1424">
        <v>2180381.9</v>
      </c>
      <c r="R235" s="1425">
        <f t="shared" si="33"/>
        <v>2180381.9</v>
      </c>
      <c r="S235" s="1436">
        <v>3308.39</v>
      </c>
      <c r="T235" s="1427">
        <f t="shared" si="34"/>
        <v>3308.39</v>
      </c>
      <c r="U235" s="1428">
        <v>3174721</v>
      </c>
      <c r="V235" s="1422">
        <v>37919</v>
      </c>
      <c r="W235" s="1422">
        <v>52867</v>
      </c>
      <c r="X235" s="1422">
        <v>0</v>
      </c>
      <c r="Y235" s="1422">
        <v>0</v>
      </c>
      <c r="Z235" s="1422">
        <v>0</v>
      </c>
      <c r="AA235" s="1422">
        <v>60613</v>
      </c>
      <c r="AB235" s="1422">
        <v>0</v>
      </c>
      <c r="AC235" s="1429">
        <v>0</v>
      </c>
      <c r="AD235" s="1422">
        <v>30468</v>
      </c>
      <c r="AE235" s="1422">
        <v>0</v>
      </c>
      <c r="AF235" s="1422">
        <v>100</v>
      </c>
      <c r="AG235" s="1422">
        <v>60579</v>
      </c>
      <c r="AH235" s="1422">
        <v>0</v>
      </c>
      <c r="AI235" s="1422">
        <v>210304</v>
      </c>
      <c r="AJ235" s="1420">
        <v>3017.83</v>
      </c>
      <c r="AK235" s="1420">
        <v>81152.63</v>
      </c>
      <c r="AL235" s="1420">
        <v>2771.43</v>
      </c>
      <c r="AM235" s="1422">
        <v>0</v>
      </c>
      <c r="AN235" s="1429">
        <v>131220</v>
      </c>
      <c r="AO235" s="1422">
        <v>0</v>
      </c>
      <c r="AP235" s="1420">
        <v>1204406.67</v>
      </c>
      <c r="AQ235" s="1430">
        <f t="shared" si="35"/>
        <v>4918919.5600000005</v>
      </c>
      <c r="AR235" s="1431">
        <v>1143877.19</v>
      </c>
      <c r="AS235" s="1432">
        <v>2171371.9300000002</v>
      </c>
      <c r="AT235" s="1422">
        <v>0</v>
      </c>
      <c r="AU235" s="1422">
        <v>4002</v>
      </c>
      <c r="AV235" s="1420">
        <v>14987.67</v>
      </c>
      <c r="AW235" s="1420">
        <v>18735.689999999999</v>
      </c>
      <c r="AX235" s="1422">
        <v>0</v>
      </c>
      <c r="AY235" s="1420">
        <v>2209097.29</v>
      </c>
      <c r="AZ235" s="1420">
        <v>669761.19999999995</v>
      </c>
      <c r="BA235" s="1423">
        <f t="shared" si="36"/>
        <v>2916583.8499999996</v>
      </c>
      <c r="BB235" s="1420">
        <f t="shared" si="37"/>
        <v>11163070.890000001</v>
      </c>
      <c r="BC235" s="1433">
        <f t="shared" si="38"/>
        <v>14864.275486018643</v>
      </c>
      <c r="BD235" s="1433">
        <f t="shared" si="39"/>
        <v>2903.3047936085218</v>
      </c>
      <c r="BE235" s="1433">
        <f t="shared" si="40"/>
        <v>4.4053129161118507</v>
      </c>
      <c r="BF235" s="1433">
        <f t="shared" si="41"/>
        <v>6549.8263115845548</v>
      </c>
      <c r="BG235" s="1433">
        <f t="shared" si="42"/>
        <v>1523.1387350199732</v>
      </c>
      <c r="BH235" s="1434">
        <f t="shared" si="43"/>
        <v>3883.6003328894803</v>
      </c>
      <c r="BI235" s="1422">
        <v>8593</v>
      </c>
    </row>
    <row r="236" spans="1:61" ht="12.75" customHeight="1" thickBot="1">
      <c r="A236" s="1418" t="s">
        <v>155</v>
      </c>
      <c r="B236" s="1418" t="s">
        <v>156</v>
      </c>
      <c r="C236" s="1419">
        <v>825</v>
      </c>
      <c r="D236" s="1420">
        <v>116.68</v>
      </c>
      <c r="E236" s="1420">
        <v>779.47</v>
      </c>
      <c r="F236" s="1421">
        <v>0.02</v>
      </c>
      <c r="G236" s="1420">
        <v>815.1</v>
      </c>
      <c r="H236" s="1420">
        <v>815.56</v>
      </c>
      <c r="I236" s="1422">
        <v>64501096</v>
      </c>
      <c r="J236" s="1422">
        <v>25</v>
      </c>
      <c r="K236" s="1422">
        <v>25</v>
      </c>
      <c r="L236" s="1422">
        <v>0</v>
      </c>
      <c r="M236" s="1422">
        <v>0</v>
      </c>
      <c r="N236" s="1420">
        <v>14.3</v>
      </c>
      <c r="O236" s="1420">
        <v>39.299999999999997</v>
      </c>
      <c r="P236" s="1438">
        <v>5205000</v>
      </c>
      <c r="Q236" s="1424">
        <v>1918675.31</v>
      </c>
      <c r="R236" s="1425">
        <f t="shared" si="33"/>
        <v>1918675.31</v>
      </c>
      <c r="S236" s="1426">
        <v>0</v>
      </c>
      <c r="T236" s="1427">
        <f t="shared" si="34"/>
        <v>0</v>
      </c>
      <c r="U236" s="1428">
        <v>3802080</v>
      </c>
      <c r="V236" s="1422">
        <v>0</v>
      </c>
      <c r="W236" s="1422">
        <v>22511</v>
      </c>
      <c r="X236" s="1422">
        <v>0</v>
      </c>
      <c r="Y236" s="1422">
        <v>0</v>
      </c>
      <c r="Z236" s="1422">
        <v>0</v>
      </c>
      <c r="AA236" s="1422">
        <v>32840</v>
      </c>
      <c r="AB236" s="1422">
        <v>0</v>
      </c>
      <c r="AC236" s="1429">
        <v>0</v>
      </c>
      <c r="AD236" s="1422">
        <v>33732</v>
      </c>
      <c r="AE236" s="1420">
        <v>4692.1899999999996</v>
      </c>
      <c r="AF236" s="1422">
        <v>50</v>
      </c>
      <c r="AG236" s="1422">
        <v>32220</v>
      </c>
      <c r="AH236" s="1422">
        <v>8497</v>
      </c>
      <c r="AI236" s="1422">
        <v>212784</v>
      </c>
      <c r="AJ236" s="1420">
        <v>3341.08</v>
      </c>
      <c r="AK236" s="1420">
        <v>15708.88</v>
      </c>
      <c r="AL236" s="1420">
        <v>2982.57</v>
      </c>
      <c r="AM236" s="1422">
        <v>0</v>
      </c>
      <c r="AN236" s="1429">
        <v>105494</v>
      </c>
      <c r="AO236" s="1422">
        <v>0</v>
      </c>
      <c r="AP236" s="1420">
        <v>346189.53</v>
      </c>
      <c r="AQ236" s="1430">
        <f t="shared" si="35"/>
        <v>4517628.25</v>
      </c>
      <c r="AR236" s="1431">
        <v>1455922.27</v>
      </c>
      <c r="AS236" s="1437">
        <v>0</v>
      </c>
      <c r="AT236" s="1422">
        <v>0</v>
      </c>
      <c r="AU236" s="1422">
        <v>0</v>
      </c>
      <c r="AV236" s="1422">
        <v>200</v>
      </c>
      <c r="AW236" s="1422">
        <v>0</v>
      </c>
      <c r="AX236" s="1422">
        <v>0</v>
      </c>
      <c r="AY236" s="1422">
        <v>200</v>
      </c>
      <c r="AZ236" s="1420">
        <v>485355.83</v>
      </c>
      <c r="BA236" s="1423">
        <f t="shared" si="36"/>
        <v>485755.83</v>
      </c>
      <c r="BB236" s="1420">
        <f t="shared" si="37"/>
        <v>8377981.6600000001</v>
      </c>
      <c r="BC236" s="1433">
        <f t="shared" si="38"/>
        <v>10155.129284848485</v>
      </c>
      <c r="BD236" s="1433">
        <f t="shared" si="39"/>
        <v>2325.6670424242425</v>
      </c>
      <c r="BE236" s="1433">
        <f t="shared" si="40"/>
        <v>0</v>
      </c>
      <c r="BF236" s="1433">
        <f t="shared" si="41"/>
        <v>5475.9130303030306</v>
      </c>
      <c r="BG236" s="1433">
        <f t="shared" si="42"/>
        <v>1764.7542666666666</v>
      </c>
      <c r="BH236" s="1434">
        <f t="shared" si="43"/>
        <v>588.79494545454543</v>
      </c>
      <c r="BI236" s="1422">
        <v>8372</v>
      </c>
    </row>
    <row r="237" spans="1:61" ht="12.75" customHeight="1" thickBot="1">
      <c r="A237" s="1418" t="s">
        <v>157</v>
      </c>
      <c r="B237" s="1418" t="s">
        <v>158</v>
      </c>
      <c r="C237" s="1419">
        <v>4007</v>
      </c>
      <c r="D237" s="1420">
        <v>161.97</v>
      </c>
      <c r="E237" s="1420">
        <v>3767.43</v>
      </c>
      <c r="F237" s="1421">
        <v>0.03</v>
      </c>
      <c r="G237" s="1420">
        <v>3997.96</v>
      </c>
      <c r="H237" s="1420">
        <v>3951.29</v>
      </c>
      <c r="I237" s="1422">
        <v>518047883</v>
      </c>
      <c r="J237" s="1422">
        <v>25</v>
      </c>
      <c r="K237" s="1422">
        <v>25</v>
      </c>
      <c r="L237" s="1422">
        <v>0</v>
      </c>
      <c r="M237" s="1422">
        <v>0</v>
      </c>
      <c r="N237" s="1420">
        <v>10.7</v>
      </c>
      <c r="O237" s="1420">
        <v>35.700000000000003</v>
      </c>
      <c r="P237" s="1438">
        <v>25925000</v>
      </c>
      <c r="Q237" s="1424">
        <v>16657380.4</v>
      </c>
      <c r="R237" s="1425">
        <f t="shared" si="33"/>
        <v>16657380.4</v>
      </c>
      <c r="S237" s="1436">
        <v>17815.63</v>
      </c>
      <c r="T237" s="1427">
        <f t="shared" si="34"/>
        <v>17815.63</v>
      </c>
      <c r="U237" s="1428">
        <v>12256647</v>
      </c>
      <c r="V237" s="1422">
        <v>221899</v>
      </c>
      <c r="W237" s="1422">
        <v>223739</v>
      </c>
      <c r="X237" s="1422">
        <v>0</v>
      </c>
      <c r="Y237" s="1422">
        <v>0</v>
      </c>
      <c r="Z237" s="1422">
        <v>0</v>
      </c>
      <c r="AA237" s="1422">
        <v>0</v>
      </c>
      <c r="AB237" s="1422">
        <v>0</v>
      </c>
      <c r="AC237" s="1429">
        <v>0</v>
      </c>
      <c r="AD237" s="1422">
        <v>163425</v>
      </c>
      <c r="AE237" s="1420">
        <v>10906.16</v>
      </c>
      <c r="AF237" s="1422">
        <v>5900</v>
      </c>
      <c r="AG237" s="1422">
        <v>49244</v>
      </c>
      <c r="AH237" s="1422">
        <v>24612</v>
      </c>
      <c r="AI237" s="1422">
        <v>875440</v>
      </c>
      <c r="AJ237" s="1420">
        <v>40339.129999999997</v>
      </c>
      <c r="AK237" s="1420">
        <v>119708.88</v>
      </c>
      <c r="AL237" s="1420">
        <v>13190.11</v>
      </c>
      <c r="AM237" s="1422">
        <v>0</v>
      </c>
      <c r="AN237" s="1429">
        <v>0</v>
      </c>
      <c r="AO237" s="1422">
        <v>0</v>
      </c>
      <c r="AP237" s="1422">
        <v>37839</v>
      </c>
      <c r="AQ237" s="1430">
        <f t="shared" si="35"/>
        <v>14042889.280000001</v>
      </c>
      <c r="AR237" s="1440">
        <v>5899472</v>
      </c>
      <c r="AS237" s="1432">
        <v>3224.27</v>
      </c>
      <c r="AT237" s="1422">
        <v>0</v>
      </c>
      <c r="AU237" s="1420">
        <v>10879.98</v>
      </c>
      <c r="AV237" s="1422">
        <v>0</v>
      </c>
      <c r="AW237" s="1420">
        <v>594334.97</v>
      </c>
      <c r="AX237" s="1422">
        <v>0</v>
      </c>
      <c r="AY237" s="1420">
        <v>608439.22</v>
      </c>
      <c r="AZ237" s="1420">
        <v>1777785.61</v>
      </c>
      <c r="BA237" s="1423">
        <f t="shared" si="36"/>
        <v>2991439.7800000003</v>
      </c>
      <c r="BB237" s="1420">
        <f t="shared" si="37"/>
        <v>39608997.090000004</v>
      </c>
      <c r="BC237" s="1433">
        <f t="shared" si="38"/>
        <v>9884.9506089343649</v>
      </c>
      <c r="BD237" s="1433">
        <f t="shared" si="39"/>
        <v>4157.0702271025702</v>
      </c>
      <c r="BE237" s="1433">
        <f t="shared" si="40"/>
        <v>4.4461267781382583</v>
      </c>
      <c r="BF237" s="1433">
        <f t="shared" si="41"/>
        <v>3504.5892887446971</v>
      </c>
      <c r="BG237" s="1433">
        <f t="shared" si="42"/>
        <v>1472.2914898926879</v>
      </c>
      <c r="BH237" s="1434">
        <f t="shared" si="43"/>
        <v>746.55347641627156</v>
      </c>
      <c r="BI237" s="1422">
        <v>7585</v>
      </c>
    </row>
    <row r="238" spans="1:61" ht="12.75" customHeight="1" thickBot="1">
      <c r="A238" s="1418" t="s">
        <v>159</v>
      </c>
      <c r="B238" s="1418" t="s">
        <v>160</v>
      </c>
      <c r="C238" s="1419">
        <v>476</v>
      </c>
      <c r="D238" s="1420">
        <v>363.79</v>
      </c>
      <c r="E238" s="1420">
        <v>445.81</v>
      </c>
      <c r="F238" s="1421">
        <v>-0.28000000000000003</v>
      </c>
      <c r="G238" s="1420">
        <v>477.26</v>
      </c>
      <c r="H238" s="1420">
        <v>490.15</v>
      </c>
      <c r="I238" s="1422">
        <v>46502330</v>
      </c>
      <c r="J238" s="1422">
        <v>25</v>
      </c>
      <c r="K238" s="1422">
        <v>25</v>
      </c>
      <c r="L238" s="1422">
        <v>0</v>
      </c>
      <c r="M238" s="1422">
        <v>0</v>
      </c>
      <c r="N238" s="1420">
        <v>7.5</v>
      </c>
      <c r="O238" s="1420">
        <v>32.5</v>
      </c>
      <c r="P238" s="1438">
        <v>2226900</v>
      </c>
      <c r="Q238" s="1424">
        <v>1426833.35</v>
      </c>
      <c r="R238" s="1425">
        <f t="shared" si="33"/>
        <v>1426833.35</v>
      </c>
      <c r="S238" s="1426">
        <v>0</v>
      </c>
      <c r="T238" s="1427">
        <f t="shared" si="34"/>
        <v>0</v>
      </c>
      <c r="U238" s="1428">
        <v>1761131</v>
      </c>
      <c r="V238" s="1422">
        <v>23515</v>
      </c>
      <c r="W238" s="1422">
        <v>0</v>
      </c>
      <c r="X238" s="1422">
        <v>0</v>
      </c>
      <c r="Y238" s="1422">
        <v>0</v>
      </c>
      <c r="Z238" s="1422">
        <v>19857</v>
      </c>
      <c r="AA238" s="1422">
        <v>0</v>
      </c>
      <c r="AB238" s="1422">
        <v>0</v>
      </c>
      <c r="AC238" s="1429">
        <v>0</v>
      </c>
      <c r="AD238" s="1422">
        <v>20273</v>
      </c>
      <c r="AE238" s="1420">
        <v>293084.81</v>
      </c>
      <c r="AF238" s="1422">
        <v>1000</v>
      </c>
      <c r="AG238" s="1422">
        <v>0</v>
      </c>
      <c r="AH238" s="1422">
        <v>293</v>
      </c>
      <c r="AI238" s="1422">
        <v>417632</v>
      </c>
      <c r="AJ238" s="1420">
        <v>2007.97</v>
      </c>
      <c r="AK238" s="1422">
        <v>0</v>
      </c>
      <c r="AL238" s="1420">
        <v>2474.62</v>
      </c>
      <c r="AM238" s="1422">
        <v>0</v>
      </c>
      <c r="AN238" s="1429">
        <v>291114</v>
      </c>
      <c r="AO238" s="1422">
        <v>0</v>
      </c>
      <c r="AP238" s="1422">
        <v>39829</v>
      </c>
      <c r="AQ238" s="1430">
        <f t="shared" si="35"/>
        <v>2581097.4000000004</v>
      </c>
      <c r="AR238" s="1431">
        <v>2647816.6</v>
      </c>
      <c r="AS238" s="1432">
        <v>-2765.55</v>
      </c>
      <c r="AT238" s="1422">
        <v>0</v>
      </c>
      <c r="AU238" s="1420">
        <v>16127.79</v>
      </c>
      <c r="AV238" s="1422">
        <v>6951</v>
      </c>
      <c r="AW238" s="1422">
        <v>0</v>
      </c>
      <c r="AX238" s="1422">
        <v>0</v>
      </c>
      <c r="AY238" s="1420">
        <v>20313.240000000002</v>
      </c>
      <c r="AZ238" s="1420">
        <v>319967.98</v>
      </c>
      <c r="BA238" s="1423">
        <f t="shared" si="36"/>
        <v>363360.01</v>
      </c>
      <c r="BB238" s="1420">
        <f t="shared" si="37"/>
        <v>7019107.3600000013</v>
      </c>
      <c r="BC238" s="1433">
        <f t="shared" si="38"/>
        <v>14746.023865546222</v>
      </c>
      <c r="BD238" s="1433">
        <f t="shared" si="39"/>
        <v>2997.5490546218489</v>
      </c>
      <c r="BE238" s="1433">
        <f t="shared" si="40"/>
        <v>0</v>
      </c>
      <c r="BF238" s="1433">
        <f t="shared" si="41"/>
        <v>5422.4735294117654</v>
      </c>
      <c r="BG238" s="1433">
        <f t="shared" si="42"/>
        <v>5562.639915966387</v>
      </c>
      <c r="BH238" s="1434">
        <f t="shared" si="43"/>
        <v>763.36136554621851</v>
      </c>
      <c r="BI238" s="1422">
        <v>14620</v>
      </c>
    </row>
    <row r="239" spans="1:61" ht="12.75" customHeight="1" thickBot="1">
      <c r="A239" s="1418" t="s">
        <v>161</v>
      </c>
      <c r="B239" s="1418" t="s">
        <v>162</v>
      </c>
      <c r="C239" s="1419">
        <v>678</v>
      </c>
      <c r="D239" s="1420">
        <v>181.23</v>
      </c>
      <c r="E239" s="1420">
        <v>636.28</v>
      </c>
      <c r="F239" s="1421">
        <v>7.0000000000000007E-2</v>
      </c>
      <c r="G239" s="1420">
        <v>670.79</v>
      </c>
      <c r="H239" s="1420">
        <v>655.25</v>
      </c>
      <c r="I239" s="1422">
        <v>43318560</v>
      </c>
      <c r="J239" s="1422">
        <v>25</v>
      </c>
      <c r="K239" s="1422">
        <v>25</v>
      </c>
      <c r="L239" s="1422">
        <v>0</v>
      </c>
      <c r="M239" s="1422">
        <v>0</v>
      </c>
      <c r="N239" s="1420">
        <v>10.7</v>
      </c>
      <c r="O239" s="1420">
        <v>35.700000000000003</v>
      </c>
      <c r="P239" s="1438">
        <v>2360000</v>
      </c>
      <c r="Q239" s="1441">
        <v>1480161</v>
      </c>
      <c r="R239" s="1425">
        <f t="shared" si="33"/>
        <v>1480161</v>
      </c>
      <c r="S239" s="1426">
        <v>0</v>
      </c>
      <c r="T239" s="1427">
        <f t="shared" si="34"/>
        <v>0</v>
      </c>
      <c r="U239" s="1428">
        <v>2889052</v>
      </c>
      <c r="V239" s="1422">
        <v>35877</v>
      </c>
      <c r="W239" s="1422">
        <v>121224</v>
      </c>
      <c r="X239" s="1422">
        <v>0</v>
      </c>
      <c r="Y239" s="1422">
        <v>0</v>
      </c>
      <c r="Z239" s="1422">
        <v>0</v>
      </c>
      <c r="AA239" s="1422">
        <v>0</v>
      </c>
      <c r="AB239" s="1422">
        <v>0</v>
      </c>
      <c r="AC239" s="1429">
        <v>0</v>
      </c>
      <c r="AD239" s="1422">
        <v>27101</v>
      </c>
      <c r="AE239" s="1420">
        <v>3756.71</v>
      </c>
      <c r="AF239" s="1422">
        <v>300</v>
      </c>
      <c r="AG239" s="1422">
        <v>54282</v>
      </c>
      <c r="AH239" s="1422">
        <v>0</v>
      </c>
      <c r="AI239" s="1422">
        <v>208320</v>
      </c>
      <c r="AJ239" s="1420">
        <v>22162.68</v>
      </c>
      <c r="AK239" s="1422">
        <v>0</v>
      </c>
      <c r="AL239" s="1420">
        <v>2812.19</v>
      </c>
      <c r="AM239" s="1422">
        <v>0</v>
      </c>
      <c r="AN239" s="1429">
        <v>91368</v>
      </c>
      <c r="AO239" s="1422">
        <v>0</v>
      </c>
      <c r="AP239" s="1422">
        <v>46458</v>
      </c>
      <c r="AQ239" s="1430">
        <f t="shared" si="35"/>
        <v>3411345.58</v>
      </c>
      <c r="AR239" s="1431">
        <v>1061952.47</v>
      </c>
      <c r="AS239" s="1437">
        <v>0</v>
      </c>
      <c r="AT239" s="1422">
        <v>0</v>
      </c>
      <c r="AU239" s="1422">
        <v>0</v>
      </c>
      <c r="AV239" s="1422">
        <v>0</v>
      </c>
      <c r="AW239" s="1420">
        <v>9091.77</v>
      </c>
      <c r="AX239" s="1422">
        <v>0</v>
      </c>
      <c r="AY239" s="1420">
        <v>9091.77</v>
      </c>
      <c r="AZ239" s="1420">
        <v>345965.52</v>
      </c>
      <c r="BA239" s="1423">
        <f t="shared" si="36"/>
        <v>364149.06</v>
      </c>
      <c r="BB239" s="1420">
        <f t="shared" si="37"/>
        <v>6317608.1100000003</v>
      </c>
      <c r="BC239" s="1433">
        <f t="shared" si="38"/>
        <v>9318.0060619469023</v>
      </c>
      <c r="BD239" s="1433">
        <f t="shared" si="39"/>
        <v>2183.1283185840707</v>
      </c>
      <c r="BE239" s="1433">
        <f t="shared" si="40"/>
        <v>0</v>
      </c>
      <c r="BF239" s="1433">
        <f t="shared" si="41"/>
        <v>5031.4831563421831</v>
      </c>
      <c r="BG239" s="1433">
        <f t="shared" si="42"/>
        <v>1566.3015781710915</v>
      </c>
      <c r="BH239" s="1434">
        <f t="shared" si="43"/>
        <v>537.09300884955746</v>
      </c>
      <c r="BI239" s="1422">
        <v>8131</v>
      </c>
    </row>
    <row r="240" spans="1:61" ht="12.75" customHeight="1" thickBot="1">
      <c r="A240" s="1418" t="s">
        <v>163</v>
      </c>
      <c r="B240" s="1418" t="s">
        <v>164</v>
      </c>
      <c r="C240" s="1419">
        <v>879</v>
      </c>
      <c r="D240" s="1420">
        <v>148.08000000000001</v>
      </c>
      <c r="E240" s="1420">
        <v>839.92</v>
      </c>
      <c r="F240" s="1421">
        <v>-0.01</v>
      </c>
      <c r="G240" s="1420">
        <v>876.61</v>
      </c>
      <c r="H240" s="1420">
        <v>902.1</v>
      </c>
      <c r="I240" s="1422">
        <v>42706771</v>
      </c>
      <c r="J240" s="1422">
        <v>25</v>
      </c>
      <c r="K240" s="1422">
        <v>25</v>
      </c>
      <c r="L240" s="1422">
        <v>0</v>
      </c>
      <c r="M240" s="1422">
        <v>0</v>
      </c>
      <c r="N240" s="1422">
        <v>6</v>
      </c>
      <c r="O240" s="1422">
        <v>31</v>
      </c>
      <c r="P240" s="1423">
        <v>1635374.81</v>
      </c>
      <c r="Q240" s="1424">
        <v>1151466.17</v>
      </c>
      <c r="R240" s="1425">
        <f t="shared" si="33"/>
        <v>1151466.17</v>
      </c>
      <c r="S240" s="1426">
        <v>0</v>
      </c>
      <c r="T240" s="1427">
        <f t="shared" si="34"/>
        <v>0</v>
      </c>
      <c r="U240" s="1428">
        <v>4401309</v>
      </c>
      <c r="V240" s="1422">
        <v>36327</v>
      </c>
      <c r="W240" s="1422">
        <v>0</v>
      </c>
      <c r="X240" s="1422">
        <v>0</v>
      </c>
      <c r="Y240" s="1422">
        <v>0</v>
      </c>
      <c r="Z240" s="1422">
        <v>0</v>
      </c>
      <c r="AA240" s="1422">
        <v>30373</v>
      </c>
      <c r="AB240" s="1422">
        <v>0</v>
      </c>
      <c r="AC240" s="1429">
        <v>0</v>
      </c>
      <c r="AD240" s="1422">
        <v>37311</v>
      </c>
      <c r="AE240" s="1420">
        <v>10775.79</v>
      </c>
      <c r="AF240" s="1422">
        <v>50</v>
      </c>
      <c r="AG240" s="1422">
        <v>11336</v>
      </c>
      <c r="AH240" s="1422">
        <v>87021</v>
      </c>
      <c r="AI240" s="1422">
        <v>669600</v>
      </c>
      <c r="AJ240" s="1420">
        <v>163950.91</v>
      </c>
      <c r="AK240" s="1420">
        <v>36562.519999999997</v>
      </c>
      <c r="AL240" s="1420">
        <v>3454.91</v>
      </c>
      <c r="AM240" s="1422">
        <v>0</v>
      </c>
      <c r="AN240" s="1429">
        <v>189552</v>
      </c>
      <c r="AO240" s="1422">
        <v>0</v>
      </c>
      <c r="AP240" s="1422">
        <v>42284</v>
      </c>
      <c r="AQ240" s="1430">
        <f t="shared" si="35"/>
        <v>5530355.1299999999</v>
      </c>
      <c r="AR240" s="1431">
        <v>1337350.94</v>
      </c>
      <c r="AS240" s="1432">
        <v>1047.56</v>
      </c>
      <c r="AT240" s="1422">
        <v>0</v>
      </c>
      <c r="AU240" s="1422">
        <v>0</v>
      </c>
      <c r="AV240" s="1422">
        <v>0</v>
      </c>
      <c r="AW240" s="1422">
        <v>0</v>
      </c>
      <c r="AX240" s="1422">
        <v>0</v>
      </c>
      <c r="AY240" s="1420">
        <v>1047.56</v>
      </c>
      <c r="AZ240" s="1420">
        <v>308627.8</v>
      </c>
      <c r="BA240" s="1423">
        <f t="shared" si="36"/>
        <v>309675.36</v>
      </c>
      <c r="BB240" s="1420">
        <f t="shared" si="37"/>
        <v>8328847.5999999996</v>
      </c>
      <c r="BC240" s="1433">
        <f t="shared" si="38"/>
        <v>9475.367007963594</v>
      </c>
      <c r="BD240" s="1433">
        <f t="shared" si="39"/>
        <v>1309.9728896473264</v>
      </c>
      <c r="BE240" s="1433">
        <f t="shared" si="40"/>
        <v>0</v>
      </c>
      <c r="BF240" s="1433">
        <f t="shared" si="41"/>
        <v>6291.644061433447</v>
      </c>
      <c r="BG240" s="1433">
        <f t="shared" si="42"/>
        <v>1521.4458930602957</v>
      </c>
      <c r="BH240" s="1434">
        <f t="shared" si="43"/>
        <v>352.3041638225256</v>
      </c>
      <c r="BI240" s="1422">
        <v>9301</v>
      </c>
    </row>
    <row r="241" spans="1:61" ht="12.75" customHeight="1" thickBot="1">
      <c r="A241" s="1418" t="s">
        <v>165</v>
      </c>
      <c r="B241" s="1418" t="s">
        <v>166</v>
      </c>
      <c r="C241" s="1419">
        <v>1969</v>
      </c>
      <c r="D241" s="1420">
        <v>186.55</v>
      </c>
      <c r="E241" s="1420">
        <v>1871.78</v>
      </c>
      <c r="F241" s="1421">
        <v>0.12</v>
      </c>
      <c r="G241" s="1420">
        <v>1934.12</v>
      </c>
      <c r="H241" s="1420">
        <v>1951.63</v>
      </c>
      <c r="I241" s="1422">
        <v>94087692</v>
      </c>
      <c r="J241" s="1422">
        <v>25</v>
      </c>
      <c r="K241" s="1422">
        <v>25</v>
      </c>
      <c r="L241" s="1422">
        <v>0</v>
      </c>
      <c r="M241" s="1422">
        <v>0</v>
      </c>
      <c r="N241" s="1420">
        <v>8.6999999999999993</v>
      </c>
      <c r="O241" s="1420">
        <v>33.700000000000003</v>
      </c>
      <c r="P241" s="1438">
        <v>3785000</v>
      </c>
      <c r="Q241" s="1424">
        <v>2919933.93</v>
      </c>
      <c r="R241" s="1425">
        <f t="shared" si="33"/>
        <v>2919933.93</v>
      </c>
      <c r="S241" s="1426">
        <v>0</v>
      </c>
      <c r="T241" s="1427">
        <f t="shared" si="34"/>
        <v>0</v>
      </c>
      <c r="U241" s="1428">
        <v>9539796</v>
      </c>
      <c r="V241" s="1422">
        <v>66084</v>
      </c>
      <c r="W241" s="1422">
        <v>9592</v>
      </c>
      <c r="X241" s="1422">
        <v>0</v>
      </c>
      <c r="Y241" s="1422">
        <v>0</v>
      </c>
      <c r="Z241" s="1422">
        <v>0</v>
      </c>
      <c r="AA241" s="1422">
        <v>80375</v>
      </c>
      <c r="AB241" s="1422">
        <v>0</v>
      </c>
      <c r="AC241" s="1429">
        <v>0</v>
      </c>
      <c r="AD241" s="1422">
        <v>80719</v>
      </c>
      <c r="AE241" s="1422">
        <v>18600</v>
      </c>
      <c r="AF241" s="1422">
        <v>4555</v>
      </c>
      <c r="AG241" s="1422">
        <v>81463</v>
      </c>
      <c r="AH241" s="1422">
        <v>142105</v>
      </c>
      <c r="AI241" s="1422">
        <v>634384</v>
      </c>
      <c r="AJ241" s="1420">
        <v>82739.97</v>
      </c>
      <c r="AK241" s="1420">
        <v>78541.759999999995</v>
      </c>
      <c r="AL241" s="1420">
        <v>7571.34</v>
      </c>
      <c r="AM241" s="1422">
        <v>0</v>
      </c>
      <c r="AN241" s="1429">
        <v>0</v>
      </c>
      <c r="AO241" s="1422">
        <v>0</v>
      </c>
      <c r="AP241" s="1420">
        <v>202758.2</v>
      </c>
      <c r="AQ241" s="1430">
        <f t="shared" si="35"/>
        <v>11029284.27</v>
      </c>
      <c r="AR241" s="1431">
        <v>2591603.56</v>
      </c>
      <c r="AS241" s="1437">
        <v>0</v>
      </c>
      <c r="AT241" s="1422">
        <v>0</v>
      </c>
      <c r="AU241" s="1420">
        <v>7471.25</v>
      </c>
      <c r="AV241" s="1422">
        <v>0</v>
      </c>
      <c r="AW241" s="1422">
        <v>0</v>
      </c>
      <c r="AX241" s="1422">
        <v>0</v>
      </c>
      <c r="AY241" s="1420">
        <v>7471.25</v>
      </c>
      <c r="AZ241" s="1420">
        <v>417840.02</v>
      </c>
      <c r="BA241" s="1423">
        <f t="shared" si="36"/>
        <v>432782.52</v>
      </c>
      <c r="BB241" s="1420">
        <f t="shared" si="37"/>
        <v>16973604.280000001</v>
      </c>
      <c r="BC241" s="1433">
        <f t="shared" si="38"/>
        <v>8620.4186287455559</v>
      </c>
      <c r="BD241" s="1433">
        <f t="shared" si="39"/>
        <v>1482.9527323514476</v>
      </c>
      <c r="BE241" s="1433">
        <f t="shared" si="40"/>
        <v>0</v>
      </c>
      <c r="BF241" s="1433">
        <f t="shared" si="41"/>
        <v>5601.464840020315</v>
      </c>
      <c r="BG241" s="1433">
        <f t="shared" si="42"/>
        <v>1316.2029253428136</v>
      </c>
      <c r="BH241" s="1434">
        <f t="shared" si="43"/>
        <v>219.79813103098022</v>
      </c>
      <c r="BI241" s="1422">
        <v>8294</v>
      </c>
    </row>
    <row r="242" spans="1:61" ht="12.75" customHeight="1" thickBot="1">
      <c r="A242" s="1418" t="s">
        <v>167</v>
      </c>
      <c r="B242" s="1418" t="s">
        <v>168</v>
      </c>
      <c r="C242" s="1419">
        <v>478</v>
      </c>
      <c r="D242" s="1420">
        <v>158.80000000000001</v>
      </c>
      <c r="E242" s="1420">
        <v>450.81</v>
      </c>
      <c r="F242" s="1421">
        <v>0.08</v>
      </c>
      <c r="G242" s="1420">
        <v>475.25</v>
      </c>
      <c r="H242" s="1420">
        <v>499.85</v>
      </c>
      <c r="I242" s="1422">
        <v>37177236</v>
      </c>
      <c r="J242" s="1422">
        <v>25</v>
      </c>
      <c r="K242" s="1422">
        <v>25</v>
      </c>
      <c r="L242" s="1422">
        <v>0</v>
      </c>
      <c r="M242" s="1422">
        <v>0</v>
      </c>
      <c r="N242" s="1420">
        <v>13.8</v>
      </c>
      <c r="O242" s="1420">
        <v>38.799999999999997</v>
      </c>
      <c r="P242" s="1423">
        <v>2765637.5</v>
      </c>
      <c r="Q242" s="1424">
        <v>1559926.23</v>
      </c>
      <c r="R242" s="1425">
        <f t="shared" si="33"/>
        <v>1559926.23</v>
      </c>
      <c r="S242" s="1426">
        <v>0</v>
      </c>
      <c r="T242" s="1427">
        <f t="shared" si="34"/>
        <v>0</v>
      </c>
      <c r="U242" s="1428">
        <v>1745644</v>
      </c>
      <c r="V242" s="1422">
        <v>3608</v>
      </c>
      <c r="W242" s="1422">
        <v>13909</v>
      </c>
      <c r="X242" s="1422">
        <v>0</v>
      </c>
      <c r="Y242" s="1422">
        <v>0</v>
      </c>
      <c r="Z242" s="1422">
        <v>0</v>
      </c>
      <c r="AA242" s="1422">
        <v>19013</v>
      </c>
      <c r="AB242" s="1422">
        <v>0</v>
      </c>
      <c r="AC242" s="1429">
        <v>0</v>
      </c>
      <c r="AD242" s="1422">
        <v>20674</v>
      </c>
      <c r="AE242" s="1420">
        <v>5393.02</v>
      </c>
      <c r="AF242" s="1422">
        <v>1300</v>
      </c>
      <c r="AG242" s="1422">
        <v>20193</v>
      </c>
      <c r="AH242" s="1422">
        <v>32816</v>
      </c>
      <c r="AI242" s="1422">
        <v>387872</v>
      </c>
      <c r="AJ242" s="1420">
        <v>43229.95</v>
      </c>
      <c r="AK242" s="1420">
        <v>6500.32</v>
      </c>
      <c r="AL242" s="1420">
        <v>2343.0500000000002</v>
      </c>
      <c r="AM242" s="1422">
        <v>0</v>
      </c>
      <c r="AN242" s="1429">
        <v>126872</v>
      </c>
      <c r="AO242" s="1422">
        <v>0</v>
      </c>
      <c r="AP242" s="1420">
        <v>575623.81999999995</v>
      </c>
      <c r="AQ242" s="1430">
        <f t="shared" si="35"/>
        <v>2878119.1599999997</v>
      </c>
      <c r="AR242" s="1431">
        <v>1063598.03</v>
      </c>
      <c r="AS242" s="1437">
        <v>0</v>
      </c>
      <c r="AT242" s="1422">
        <v>0</v>
      </c>
      <c r="AU242" s="1422">
        <v>0</v>
      </c>
      <c r="AV242" s="1422">
        <v>0</v>
      </c>
      <c r="AW242" s="1422">
        <v>0</v>
      </c>
      <c r="AX242" s="1422">
        <v>0</v>
      </c>
      <c r="AY242" s="1422">
        <v>0</v>
      </c>
      <c r="AZ242" s="1420">
        <v>247193.63</v>
      </c>
      <c r="BA242" s="1423">
        <f t="shared" si="36"/>
        <v>247193.63</v>
      </c>
      <c r="BB242" s="1420">
        <f t="shared" si="37"/>
        <v>5748837.0499999998</v>
      </c>
      <c r="BC242" s="1433">
        <f t="shared" si="38"/>
        <v>12026.855753138076</v>
      </c>
      <c r="BD242" s="1433">
        <f t="shared" si="39"/>
        <v>3263.4439958158996</v>
      </c>
      <c r="BE242" s="1433">
        <f t="shared" si="40"/>
        <v>0</v>
      </c>
      <c r="BF242" s="1433">
        <f t="shared" si="41"/>
        <v>6021.1697907949783</v>
      </c>
      <c r="BG242" s="1433">
        <f t="shared" si="42"/>
        <v>2225.1004811715484</v>
      </c>
      <c r="BH242" s="1434">
        <f t="shared" si="43"/>
        <v>517.14148535564857</v>
      </c>
      <c r="BI242" s="1422">
        <v>10162</v>
      </c>
    </row>
    <row r="243" spans="1:61" ht="12.75" customHeight="1" thickBot="1">
      <c r="A243" s="1418" t="s">
        <v>169</v>
      </c>
      <c r="B243" s="1418" t="s">
        <v>170</v>
      </c>
      <c r="C243" s="1444">
        <v>909</v>
      </c>
      <c r="D243" s="1420">
        <v>614.95000000000005</v>
      </c>
      <c r="E243" s="1420">
        <v>821.07</v>
      </c>
      <c r="F243" s="1421">
        <v>-0.14000000000000001</v>
      </c>
      <c r="G243" s="1420">
        <v>887.45</v>
      </c>
      <c r="H243" s="1420">
        <v>891.04</v>
      </c>
      <c r="I243" s="1422">
        <v>64347516</v>
      </c>
      <c r="J243" s="1422">
        <v>25</v>
      </c>
      <c r="K243" s="1422">
        <v>25</v>
      </c>
      <c r="L243" s="1422">
        <v>0</v>
      </c>
      <c r="M243" s="1422">
        <v>0</v>
      </c>
      <c r="N243" s="1420">
        <v>10.6</v>
      </c>
      <c r="O243" s="1420">
        <v>35.6</v>
      </c>
      <c r="P243" s="1423">
        <v>6451196.4199999999</v>
      </c>
      <c r="Q243" s="1424">
        <v>1936716.74</v>
      </c>
      <c r="R243" s="1425">
        <f t="shared" si="33"/>
        <v>1936716.74</v>
      </c>
      <c r="S243" s="1426">
        <v>0</v>
      </c>
      <c r="T243" s="1427">
        <f t="shared" si="34"/>
        <v>0</v>
      </c>
      <c r="U243" s="1428">
        <v>2967775</v>
      </c>
      <c r="V243" s="1422">
        <v>55568</v>
      </c>
      <c r="W243" s="1422">
        <v>0</v>
      </c>
      <c r="X243" s="1422">
        <v>146931</v>
      </c>
      <c r="Y243" s="1422">
        <v>0</v>
      </c>
      <c r="Z243" s="1422">
        <v>47416</v>
      </c>
      <c r="AA243" s="1422">
        <v>40926</v>
      </c>
      <c r="AB243" s="1422">
        <v>0</v>
      </c>
      <c r="AC243" s="1429">
        <v>0</v>
      </c>
      <c r="AD243" s="1422">
        <v>36853</v>
      </c>
      <c r="AE243" s="1422">
        <v>3910</v>
      </c>
      <c r="AF243" s="1422">
        <v>0</v>
      </c>
      <c r="AG243" s="1422">
        <v>91905</v>
      </c>
      <c r="AH243" s="1422">
        <v>21389</v>
      </c>
      <c r="AI243" s="1422">
        <v>710272</v>
      </c>
      <c r="AJ243" s="1420">
        <v>76270.539999999994</v>
      </c>
      <c r="AK243" s="1420">
        <v>15167.12</v>
      </c>
      <c r="AL243" s="1420">
        <v>3875.98</v>
      </c>
      <c r="AM243" s="1422">
        <v>0</v>
      </c>
      <c r="AN243" s="1435">
        <v>388912.72</v>
      </c>
      <c r="AO243" s="1422">
        <v>0</v>
      </c>
      <c r="AP243" s="1420">
        <v>330843.96999999997</v>
      </c>
      <c r="AQ243" s="1430">
        <f t="shared" si="35"/>
        <v>4549102.6100000003</v>
      </c>
      <c r="AR243" s="1431">
        <v>3082099.3</v>
      </c>
      <c r="AS243" s="1437">
        <v>0</v>
      </c>
      <c r="AT243" s="1422">
        <v>0</v>
      </c>
      <c r="AU243" s="1420">
        <v>23579.09</v>
      </c>
      <c r="AV243" s="1422">
        <v>0</v>
      </c>
      <c r="AW243" s="1420">
        <v>10485.44</v>
      </c>
      <c r="AX243" s="1422">
        <v>0</v>
      </c>
      <c r="AY243" s="1420">
        <v>34064.53</v>
      </c>
      <c r="AZ243" s="1420">
        <v>400260.44</v>
      </c>
      <c r="BA243" s="1423">
        <f t="shared" si="36"/>
        <v>468389.5</v>
      </c>
      <c r="BB243" s="1420">
        <f t="shared" si="37"/>
        <v>10036308.15</v>
      </c>
      <c r="BC243" s="1433">
        <f t="shared" si="38"/>
        <v>11041.043069306932</v>
      </c>
      <c r="BD243" s="1433">
        <f t="shared" si="39"/>
        <v>2130.6014741474146</v>
      </c>
      <c r="BE243" s="1433">
        <f t="shared" si="40"/>
        <v>0</v>
      </c>
      <c r="BF243" s="1433">
        <f t="shared" si="41"/>
        <v>5004.5133223322337</v>
      </c>
      <c r="BG243" s="1433">
        <f t="shared" si="42"/>
        <v>3390.6482948294829</v>
      </c>
      <c r="BH243" s="1434">
        <f t="shared" si="43"/>
        <v>515.27997799779973</v>
      </c>
      <c r="BI243" s="1422">
        <v>10903</v>
      </c>
    </row>
    <row r="244" spans="1:61" ht="12.75" customHeight="1" thickBot="1">
      <c r="C244" s="1445"/>
    </row>
    <row r="245" spans="1:61" s="1371" customFormat="1" ht="12.75" customHeight="1" thickBot="1">
      <c r="A245" s="1448" t="s">
        <v>171</v>
      </c>
      <c r="C245" s="1449">
        <f>SUM(C5:C243)</f>
        <v>461519</v>
      </c>
      <c r="D245" s="1449">
        <f t="shared" ref="D245:I245" si="44">SUM(D5:D243)</f>
        <v>52683.600000000028</v>
      </c>
      <c r="E245" s="1449">
        <f t="shared" si="44"/>
        <v>433948.89000000007</v>
      </c>
      <c r="F245" s="1449">
        <f t="shared" si="44"/>
        <v>-7.9800000000000022</v>
      </c>
      <c r="G245" s="1449">
        <f t="shared" si="44"/>
        <v>457717.26000000007</v>
      </c>
      <c r="H245" s="1449">
        <f t="shared" si="44"/>
        <v>454972.26</v>
      </c>
      <c r="I245" s="1449">
        <f t="shared" si="44"/>
        <v>40284429989</v>
      </c>
      <c r="Q245" s="1449">
        <f>SUM(Q5:Q243)</f>
        <v>1449262988.8400004</v>
      </c>
      <c r="R245" s="1449">
        <f>SUM(R5:R243)</f>
        <v>1449262988.8400004</v>
      </c>
      <c r="S245" s="1449">
        <f t="shared" ref="S245:BB245" si="45">SUM(S5:S243)</f>
        <v>3137887.5700000008</v>
      </c>
      <c r="T245" s="1449">
        <f t="shared" si="45"/>
        <v>3137887.5700000008</v>
      </c>
      <c r="U245" s="1449">
        <f t="shared" si="45"/>
        <v>1777352409.1700001</v>
      </c>
      <c r="V245" s="1449">
        <f t="shared" si="45"/>
        <v>22433883</v>
      </c>
      <c r="W245" s="1449">
        <f t="shared" si="45"/>
        <v>29001290</v>
      </c>
      <c r="X245" s="1449">
        <f t="shared" si="45"/>
        <v>10046881</v>
      </c>
      <c r="Y245" s="1449">
        <f t="shared" si="45"/>
        <v>9413982</v>
      </c>
      <c r="Z245" s="1449">
        <f t="shared" si="45"/>
        <v>5740772</v>
      </c>
      <c r="AA245" s="1449">
        <f t="shared" si="45"/>
        <v>4985551</v>
      </c>
      <c r="AB245" s="1449">
        <f t="shared" si="45"/>
        <v>1070904.9600000002</v>
      </c>
      <c r="AC245" s="1449">
        <f t="shared" si="45"/>
        <v>10083251.6</v>
      </c>
      <c r="AD245" s="1449">
        <f t="shared" si="45"/>
        <v>18914362</v>
      </c>
      <c r="AE245" s="1449">
        <f t="shared" si="45"/>
        <v>11655419.65</v>
      </c>
      <c r="AF245" s="1449">
        <f t="shared" si="45"/>
        <v>935587.12</v>
      </c>
      <c r="AG245" s="1449">
        <f t="shared" si="45"/>
        <v>21089282</v>
      </c>
      <c r="AH245" s="1449">
        <f t="shared" si="45"/>
        <v>9178225</v>
      </c>
      <c r="AI245" s="1449">
        <f t="shared" si="45"/>
        <v>170093114.65000001</v>
      </c>
      <c r="AJ245" s="1449">
        <f t="shared" si="45"/>
        <v>32343092.87999998</v>
      </c>
      <c r="AK245" s="1449">
        <f t="shared" si="45"/>
        <v>16031110.849999985</v>
      </c>
      <c r="AL245" s="1449">
        <f t="shared" si="45"/>
        <v>2441741.02</v>
      </c>
      <c r="AM245" s="1449">
        <f t="shared" si="45"/>
        <v>50000</v>
      </c>
      <c r="AN245" s="1449">
        <f t="shared" si="45"/>
        <v>53908317.000000007</v>
      </c>
      <c r="AO245" s="1449">
        <f t="shared" si="45"/>
        <v>84110656.780000001</v>
      </c>
      <c r="AP245" s="1449">
        <f t="shared" si="45"/>
        <v>145723666.02999994</v>
      </c>
      <c r="AQ245" s="1449">
        <f t="shared" si="45"/>
        <v>2372611931.1099997</v>
      </c>
      <c r="AR245" s="1449">
        <f t="shared" si="45"/>
        <v>815268896.76000047</v>
      </c>
      <c r="AS245" s="1449">
        <f t="shared" si="45"/>
        <v>352491514.34999985</v>
      </c>
      <c r="AT245" s="1449">
        <f t="shared" si="45"/>
        <v>1128827.02</v>
      </c>
      <c r="AU245" s="1449">
        <f t="shared" si="45"/>
        <v>3073634.8299999996</v>
      </c>
      <c r="AV245" s="1449">
        <f t="shared" si="45"/>
        <v>2096148.6999999997</v>
      </c>
      <c r="AW245" s="1449">
        <f t="shared" si="45"/>
        <v>6257310.4400000004</v>
      </c>
      <c r="AX245" s="1449">
        <f t="shared" si="45"/>
        <v>652431.42000000004</v>
      </c>
      <c r="AY245" s="1449">
        <f t="shared" si="45"/>
        <v>365699866.75999993</v>
      </c>
      <c r="AZ245" s="1449">
        <f t="shared" si="45"/>
        <v>230007269.5800001</v>
      </c>
      <c r="BA245" s="1449">
        <f t="shared" si="45"/>
        <v>608915488.74999976</v>
      </c>
      <c r="BB245" s="1449">
        <f t="shared" si="45"/>
        <v>5249197193.0300007</v>
      </c>
      <c r="BC245" s="1433">
        <f>BB245/C245</f>
        <v>11373.740177609157</v>
      </c>
      <c r="BD245" s="1433">
        <f>R245/C245</f>
        <v>3140.2022210136538</v>
      </c>
      <c r="BE245" s="1433">
        <f>T245/C245</f>
        <v>6.7990430946504929</v>
      </c>
      <c r="BF245" s="1433">
        <f>AQ245/C245</f>
        <v>5140.8759576745479</v>
      </c>
      <c r="BG245" s="1433">
        <f>AR245/C245</f>
        <v>1766.4904299931325</v>
      </c>
      <c r="BH245" s="1433">
        <f>BA245/C245</f>
        <v>1319.3725258331722</v>
      </c>
    </row>
    <row r="246" spans="1:61" ht="12.75" customHeight="1" thickBot="1"/>
    <row r="247" spans="1:61" s="1314" customFormat="1" ht="12.75" customHeight="1" thickBot="1">
      <c r="A247" s="1450" t="s">
        <v>249</v>
      </c>
      <c r="B247" s="1450" t="s">
        <v>250</v>
      </c>
      <c r="C247" s="1419">
        <v>24226</v>
      </c>
      <c r="D247" s="1420">
        <v>97.35</v>
      </c>
      <c r="E247" s="1420">
        <v>22994.71</v>
      </c>
      <c r="F247" s="1421">
        <v>-0.04</v>
      </c>
      <c r="G247" s="1420">
        <v>23788.44</v>
      </c>
      <c r="H247" s="1420">
        <v>22774.59</v>
      </c>
      <c r="I247" s="1422">
        <v>3176216510</v>
      </c>
      <c r="J247" s="1422">
        <v>32</v>
      </c>
      <c r="K247" s="1422">
        <v>25</v>
      </c>
      <c r="L247" s="1422">
        <v>7</v>
      </c>
      <c r="M247" s="1422">
        <v>2</v>
      </c>
      <c r="N247" s="1420">
        <v>12.4</v>
      </c>
      <c r="O247" s="1420">
        <v>46.4</v>
      </c>
      <c r="P247" s="1423">
        <v>203182402.15000001</v>
      </c>
      <c r="Q247" s="1424">
        <v>139616052.41</v>
      </c>
      <c r="R247" s="1425">
        <f>Q247</f>
        <v>139616052.41</v>
      </c>
      <c r="S247" s="1436">
        <v>21614.02</v>
      </c>
      <c r="T247" s="1427">
        <f>S247</f>
        <v>21614.02</v>
      </c>
      <c r="U247" s="1428">
        <v>58441252</v>
      </c>
      <c r="V247" s="1422">
        <v>2765444</v>
      </c>
      <c r="W247" s="1422">
        <v>89426</v>
      </c>
      <c r="X247" s="1422">
        <v>0</v>
      </c>
      <c r="Y247" s="1422">
        <v>0</v>
      </c>
      <c r="Z247" s="1422">
        <v>0</v>
      </c>
      <c r="AA247" s="1422">
        <v>0</v>
      </c>
      <c r="AB247" s="1422">
        <v>0</v>
      </c>
      <c r="AC247" s="1435">
        <v>976293.62</v>
      </c>
      <c r="AD247" s="1422">
        <v>941957</v>
      </c>
      <c r="AE247" s="1422">
        <v>0</v>
      </c>
      <c r="AF247" s="1422">
        <v>4620</v>
      </c>
      <c r="AG247" s="1422">
        <v>2634287</v>
      </c>
      <c r="AH247" s="1422">
        <v>572815</v>
      </c>
      <c r="AI247" s="1422">
        <v>11243933</v>
      </c>
      <c r="AJ247" s="1420">
        <v>3487080.92</v>
      </c>
      <c r="AK247" s="1420">
        <v>1571238.25</v>
      </c>
      <c r="AL247" s="1420">
        <v>75215.27</v>
      </c>
      <c r="AM247" s="1422">
        <v>0</v>
      </c>
      <c r="AN247" s="1429">
        <v>5260561</v>
      </c>
      <c r="AO247" s="1420">
        <v>54336504.710000001</v>
      </c>
      <c r="AP247" s="1422">
        <v>37976</v>
      </c>
      <c r="AQ247" s="1430">
        <f>SUM(U247:AP247)-(AC247+AN247)</f>
        <v>136201749.15000001</v>
      </c>
      <c r="AR247" s="1431">
        <v>56665217.240000002</v>
      </c>
      <c r="AS247" s="1437">
        <v>0</v>
      </c>
      <c r="AT247" s="1422">
        <v>0</v>
      </c>
      <c r="AU247" s="1420">
        <v>777113.15</v>
      </c>
      <c r="AV247" s="1422">
        <v>0</v>
      </c>
      <c r="AW247" s="1422">
        <v>0</v>
      </c>
      <c r="AX247" s="1422">
        <v>0</v>
      </c>
      <c r="AY247" s="1420">
        <v>777113.15</v>
      </c>
      <c r="AZ247" s="1420">
        <v>15071921.68</v>
      </c>
      <c r="BA247" s="1423">
        <f>SUM(AT247:AZ247)</f>
        <v>16626147.98</v>
      </c>
      <c r="BB247" s="1420">
        <f>SUM(BA247,AR247,AQ247,T247,R247)</f>
        <v>349130780.80000001</v>
      </c>
      <c r="BC247" s="1433">
        <f>BB247/C247</f>
        <v>14411.408437216214</v>
      </c>
      <c r="BD247" s="1433">
        <f>R247/C247</f>
        <v>5763.0666395608023</v>
      </c>
      <c r="BE247" s="1433">
        <f>T247/C247</f>
        <v>0.89218277883265917</v>
      </c>
      <c r="BF247" s="1433">
        <f>AQ247/C247</f>
        <v>5622.1311462891108</v>
      </c>
      <c r="BG247" s="1433">
        <f>AR247/C247</f>
        <v>2339.0249005201026</v>
      </c>
      <c r="BH247" s="1434">
        <f>BA247/C247</f>
        <v>686.29356806736564</v>
      </c>
      <c r="BI247" s="1420">
        <v>12851.3777304</v>
      </c>
    </row>
    <row r="248" spans="1:61" s="1314" customFormat="1" ht="12.75" customHeight="1">
      <c r="C248" s="359"/>
      <c r="Q248" s="1375"/>
      <c r="R248" s="1319"/>
      <c r="S248" s="1375"/>
      <c r="T248" s="1376"/>
      <c r="U248" s="1319"/>
      <c r="AC248" s="1377"/>
      <c r="AN248" s="1377"/>
      <c r="AQ248" s="1446"/>
      <c r="AR248" s="1447"/>
      <c r="AS248" s="1377"/>
    </row>
    <row r="249" spans="1:61" s="1314" customFormat="1" ht="12.75" customHeight="1">
      <c r="B249" s="1314" t="s">
        <v>47</v>
      </c>
      <c r="C249" s="1474">
        <f>C245-C247</f>
        <v>437293</v>
      </c>
      <c r="D249" s="1474">
        <f t="shared" ref="D249:BB249" si="46">D245-D247</f>
        <v>52586.250000000029</v>
      </c>
      <c r="E249" s="1474">
        <f t="shared" si="46"/>
        <v>410954.18000000005</v>
      </c>
      <c r="F249" s="1474">
        <f t="shared" si="46"/>
        <v>-7.9400000000000022</v>
      </c>
      <c r="G249" s="1474">
        <f t="shared" si="46"/>
        <v>433928.82000000007</v>
      </c>
      <c r="H249" s="1474">
        <f t="shared" si="46"/>
        <v>432197.67</v>
      </c>
      <c r="I249" s="1474">
        <f t="shared" si="46"/>
        <v>37108213479</v>
      </c>
      <c r="J249" s="1474">
        <f t="shared" si="46"/>
        <v>-32</v>
      </c>
      <c r="K249" s="1474">
        <f t="shared" si="46"/>
        <v>-25</v>
      </c>
      <c r="L249" s="1474">
        <f t="shared" si="46"/>
        <v>-7</v>
      </c>
      <c r="M249" s="1474">
        <f t="shared" si="46"/>
        <v>-2</v>
      </c>
      <c r="N249" s="1474">
        <f t="shared" si="46"/>
        <v>-12.4</v>
      </c>
      <c r="O249" s="1474">
        <f t="shared" si="46"/>
        <v>-46.4</v>
      </c>
      <c r="P249" s="1474">
        <f t="shared" si="46"/>
        <v>-203182402.15000001</v>
      </c>
      <c r="Q249" s="1474">
        <f t="shared" si="46"/>
        <v>1309646936.4300003</v>
      </c>
      <c r="R249" s="1474">
        <f t="shared" si="46"/>
        <v>1309646936.4300003</v>
      </c>
      <c r="S249" s="1474">
        <f t="shared" si="46"/>
        <v>3116273.5500000007</v>
      </c>
      <c r="T249" s="1474">
        <f t="shared" si="46"/>
        <v>3116273.5500000007</v>
      </c>
      <c r="U249" s="1474">
        <f t="shared" si="46"/>
        <v>1718911157.1700001</v>
      </c>
      <c r="V249" s="1474">
        <f t="shared" si="46"/>
        <v>19668439</v>
      </c>
      <c r="W249" s="1474">
        <f t="shared" si="46"/>
        <v>28911864</v>
      </c>
      <c r="X249" s="1474">
        <f t="shared" si="46"/>
        <v>10046881</v>
      </c>
      <c r="Y249" s="1474">
        <f t="shared" si="46"/>
        <v>9413982</v>
      </c>
      <c r="Z249" s="1474">
        <f t="shared" si="46"/>
        <v>5740772</v>
      </c>
      <c r="AA249" s="1474">
        <f t="shared" si="46"/>
        <v>4985551</v>
      </c>
      <c r="AB249" s="1474">
        <f t="shared" si="46"/>
        <v>1070904.9600000002</v>
      </c>
      <c r="AC249" s="1474">
        <f t="shared" si="46"/>
        <v>9106957.9800000004</v>
      </c>
      <c r="AD249" s="1474">
        <f t="shared" si="46"/>
        <v>17972405</v>
      </c>
      <c r="AE249" s="1474">
        <f t="shared" si="46"/>
        <v>11655419.65</v>
      </c>
      <c r="AF249" s="1474">
        <f t="shared" si="46"/>
        <v>930967.12</v>
      </c>
      <c r="AG249" s="1474">
        <f t="shared" si="46"/>
        <v>18454995</v>
      </c>
      <c r="AH249" s="1474">
        <f t="shared" si="46"/>
        <v>8605410</v>
      </c>
      <c r="AI249" s="1474">
        <f t="shared" si="46"/>
        <v>158849181.65000001</v>
      </c>
      <c r="AJ249" s="1474">
        <f t="shared" si="46"/>
        <v>28856011.959999979</v>
      </c>
      <c r="AK249" s="1474">
        <f t="shared" si="46"/>
        <v>14459872.599999985</v>
      </c>
      <c r="AL249" s="1474">
        <f t="shared" si="46"/>
        <v>2366525.75</v>
      </c>
      <c r="AM249" s="1474">
        <f t="shared" si="46"/>
        <v>50000</v>
      </c>
      <c r="AN249" s="1474">
        <f t="shared" si="46"/>
        <v>48647756.000000007</v>
      </c>
      <c r="AO249" s="1474">
        <f t="shared" si="46"/>
        <v>29774152.07</v>
      </c>
      <c r="AP249" s="1474">
        <f t="shared" si="46"/>
        <v>145685690.02999994</v>
      </c>
      <c r="AQ249" s="1474">
        <f t="shared" si="46"/>
        <v>2236410181.9599996</v>
      </c>
      <c r="AR249" s="1474">
        <f t="shared" si="46"/>
        <v>758603679.52000046</v>
      </c>
      <c r="AS249" s="1474">
        <f t="shared" si="46"/>
        <v>352491514.34999985</v>
      </c>
      <c r="AT249" s="1474">
        <f t="shared" si="46"/>
        <v>1128827.02</v>
      </c>
      <c r="AU249" s="1474">
        <f t="shared" si="46"/>
        <v>2296521.6799999997</v>
      </c>
      <c r="AV249" s="1474">
        <f t="shared" si="46"/>
        <v>2096148.6999999997</v>
      </c>
      <c r="AW249" s="1474">
        <f t="shared" si="46"/>
        <v>6257310.4400000004</v>
      </c>
      <c r="AX249" s="1474">
        <f t="shared" si="46"/>
        <v>652431.42000000004</v>
      </c>
      <c r="AY249" s="1474">
        <f t="shared" si="46"/>
        <v>364922753.60999995</v>
      </c>
      <c r="AZ249" s="1474">
        <f t="shared" si="46"/>
        <v>214935347.9000001</v>
      </c>
      <c r="BA249" s="1474">
        <f t="shared" si="46"/>
        <v>592289340.76999974</v>
      </c>
      <c r="BB249" s="1474">
        <f t="shared" si="46"/>
        <v>4900066412.2300005</v>
      </c>
    </row>
    <row r="250" spans="1:61" s="1314" customFormat="1" ht="12.75" customHeight="1">
      <c r="C250" s="359"/>
      <c r="Q250" s="1375"/>
      <c r="R250" s="1319"/>
      <c r="S250" s="1375"/>
      <c r="T250" s="1376"/>
      <c r="U250" s="1319"/>
      <c r="AC250" s="1377"/>
      <c r="AN250" s="1377"/>
      <c r="AQ250" s="1446"/>
      <c r="AR250" s="1447"/>
      <c r="AS250" s="1377"/>
    </row>
    <row r="251" spans="1:61" ht="12.75" customHeight="1">
      <c r="B251" s="1313" t="s">
        <v>789</v>
      </c>
      <c r="C251" s="359">
        <v>24226</v>
      </c>
    </row>
    <row r="252" spans="1:61" ht="12.75" customHeight="1">
      <c r="B252" s="1313" t="s">
        <v>44</v>
      </c>
      <c r="C252" s="1474">
        <f>C245-C251</f>
        <v>437293</v>
      </c>
    </row>
    <row r="253" spans="1:61" ht="12.75" customHeight="1">
      <c r="B253" s="1483" t="s">
        <v>7</v>
      </c>
      <c r="AG253" s="1486">
        <f>SUM(AG249,AH249,AI249,AK249)</f>
        <v>200369459.25</v>
      </c>
    </row>
    <row r="254" spans="1:61" ht="12.75" customHeight="1">
      <c r="B254" s="1313" t="s">
        <v>1468</v>
      </c>
      <c r="AG254" s="1475">
        <f>AG253/C245</f>
        <v>434.15213512336436</v>
      </c>
    </row>
  </sheetData>
  <mergeCells count="2">
    <mergeCell ref="U1:AQ1"/>
    <mergeCell ref="AS1:AZ1"/>
  </mergeCells>
  <phoneticPr fontId="153" type="noConversion"/>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topLeftCell="B1"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V549"/>
  <sheetViews>
    <sheetView topLeftCell="A2" workbookViewId="0"/>
  </sheetViews>
  <sheetFormatPr baseColWidth="10" defaultColWidth="8.83203125" defaultRowHeight="11" x14ac:dyDescent="0"/>
  <cols>
    <col min="1" max="1" width="4.83203125" style="277" customWidth="1"/>
    <col min="2" max="11" width="9.83203125" style="277" customWidth="1"/>
    <col min="12" max="12" width="4.83203125" style="277" customWidth="1"/>
    <col min="13" max="13" width="6.83203125" style="277" customWidth="1"/>
    <col min="14" max="14" width="9.83203125" style="277" customWidth="1"/>
    <col min="15" max="15" width="13.1640625" style="277" customWidth="1"/>
    <col min="16" max="21" width="9.83203125" style="277" customWidth="1"/>
    <col min="22" max="22" width="6.83203125" style="277" customWidth="1"/>
    <col min="23" max="42" width="9.83203125" style="277" customWidth="1"/>
    <col min="43" max="16384" width="8.83203125" style="277"/>
  </cols>
  <sheetData>
    <row r="1" spans="1:22" s="373" customFormat="1" ht="18" customHeight="1">
      <c r="A1" s="390"/>
      <c r="B1" s="726" t="s">
        <v>1066</v>
      </c>
      <c r="C1" s="726"/>
      <c r="D1" s="726"/>
      <c r="E1" s="726"/>
      <c r="F1" s="726"/>
      <c r="G1" s="726"/>
      <c r="H1" s="726"/>
      <c r="I1" s="726"/>
      <c r="J1" s="726"/>
      <c r="K1" s="726"/>
      <c r="L1" s="390"/>
      <c r="M1" s="1565"/>
      <c r="N1" s="1565"/>
      <c r="O1" s="1565"/>
      <c r="P1" s="1565"/>
      <c r="Q1" s="1565"/>
      <c r="R1" s="1565"/>
      <c r="S1" s="1565"/>
      <c r="T1" s="1565"/>
      <c r="U1" s="1565"/>
      <c r="V1" s="1565"/>
    </row>
    <row r="2" spans="1:22" ht="20" customHeight="1">
      <c r="A2" s="1563" t="s">
        <v>1066</v>
      </c>
      <c r="B2" s="1564" t="s">
        <v>1199</v>
      </c>
      <c r="C2" s="1564"/>
      <c r="D2" s="1564"/>
      <c r="E2" s="1564"/>
      <c r="F2" s="1564"/>
      <c r="G2" s="1564"/>
      <c r="H2" s="1564"/>
      <c r="I2" s="1564"/>
      <c r="J2" s="1564"/>
      <c r="K2" s="1564"/>
      <c r="L2" s="1563" t="s">
        <v>1066</v>
      </c>
      <c r="M2" s="727" t="str">
        <f>N40</f>
        <v>AR</v>
      </c>
      <c r="N2" s="1567" t="s">
        <v>1201</v>
      </c>
      <c r="O2" s="1567"/>
      <c r="P2" s="1567"/>
      <c r="Q2" s="1567"/>
      <c r="R2" s="1567"/>
      <c r="S2" s="1567"/>
      <c r="T2" s="1567"/>
      <c r="U2" s="1567"/>
      <c r="V2" s="728"/>
    </row>
    <row r="3" spans="1:22" ht="16" customHeight="1">
      <c r="A3" s="1563"/>
      <c r="B3" s="391"/>
      <c r="C3" s="391"/>
      <c r="D3" s="391"/>
      <c r="E3" s="391"/>
      <c r="F3" s="391"/>
      <c r="G3" s="391"/>
      <c r="H3" s="391"/>
      <c r="I3" s="391"/>
      <c r="J3" s="391"/>
      <c r="K3" s="391"/>
      <c r="L3" s="1563"/>
      <c r="M3" s="1525" t="s">
        <v>1070</v>
      </c>
      <c r="N3" s="1526"/>
      <c r="O3" s="1526"/>
      <c r="P3" s="1526"/>
      <c r="Q3" s="1526"/>
      <c r="R3" s="1526"/>
      <c r="S3" s="1526"/>
      <c r="T3" s="1526"/>
      <c r="U3" s="1526"/>
      <c r="V3" s="1527"/>
    </row>
    <row r="4" spans="1:22" ht="16" customHeight="1">
      <c r="A4" s="1563"/>
      <c r="B4" s="391"/>
      <c r="C4" s="391"/>
      <c r="D4" s="391"/>
      <c r="E4" s="391"/>
      <c r="F4" s="391"/>
      <c r="G4" s="391"/>
      <c r="H4" s="391"/>
      <c r="I4" s="391"/>
      <c r="J4" s="391"/>
      <c r="K4" s="391"/>
      <c r="L4" s="1563"/>
      <c r="M4" s="1525"/>
      <c r="N4" s="1526"/>
      <c r="O4" s="1526"/>
      <c r="P4" s="1526"/>
      <c r="Q4" s="1526"/>
      <c r="R4" s="1526"/>
      <c r="S4" s="1526"/>
      <c r="T4" s="1526"/>
      <c r="U4" s="1526"/>
      <c r="V4" s="1527"/>
    </row>
    <row r="5" spans="1:22" s="373" customFormat="1" ht="16" customHeight="1">
      <c r="A5" s="1563"/>
      <c r="B5" s="391"/>
      <c r="C5" s="391"/>
      <c r="D5" s="391"/>
      <c r="E5" s="391"/>
      <c r="F5" s="391"/>
      <c r="G5" s="391"/>
      <c r="H5" s="391"/>
      <c r="I5" s="391"/>
      <c r="J5" s="391"/>
      <c r="K5" s="391"/>
      <c r="L5" s="1563"/>
      <c r="M5" s="1525"/>
      <c r="N5" s="1526"/>
      <c r="O5" s="1526"/>
      <c r="P5" s="1526"/>
      <c r="Q5" s="1526"/>
      <c r="R5" s="1526"/>
      <c r="S5" s="1526"/>
      <c r="T5" s="1526"/>
      <c r="U5" s="1526"/>
      <c r="V5" s="1527"/>
    </row>
    <row r="6" spans="1:22" s="373" customFormat="1" ht="16" customHeight="1">
      <c r="A6" s="1563"/>
      <c r="B6" s="391"/>
      <c r="C6" s="391"/>
      <c r="D6" s="391"/>
      <c r="E6" s="391"/>
      <c r="F6" s="391"/>
      <c r="G6" s="391"/>
      <c r="H6" s="391"/>
      <c r="I6" s="391"/>
      <c r="J6" s="391"/>
      <c r="K6" s="391"/>
      <c r="L6" s="1563"/>
      <c r="M6" s="1525"/>
      <c r="N6" s="1526"/>
      <c r="O6" s="1526"/>
      <c r="P6" s="1526"/>
      <c r="Q6" s="1526"/>
      <c r="R6" s="1526"/>
      <c r="S6" s="1526"/>
      <c r="T6" s="1526"/>
      <c r="U6" s="1526"/>
      <c r="V6" s="1527"/>
    </row>
    <row r="7" spans="1:22" ht="16" customHeight="1">
      <c r="A7" s="1563"/>
      <c r="B7" s="391"/>
      <c r="C7" s="391"/>
      <c r="D7" s="391"/>
      <c r="E7" s="391"/>
      <c r="F7" s="391"/>
      <c r="G7" s="391"/>
      <c r="H7" s="391"/>
      <c r="I7" s="391"/>
      <c r="J7" s="391"/>
      <c r="K7" s="391"/>
      <c r="L7" s="1563"/>
      <c r="M7" s="1525"/>
      <c r="N7" s="1526"/>
      <c r="O7" s="1526"/>
      <c r="P7" s="1526"/>
      <c r="Q7" s="1526"/>
      <c r="R7" s="1526"/>
      <c r="S7" s="1526"/>
      <c r="T7" s="1526"/>
      <c r="U7" s="1526"/>
      <c r="V7" s="1527"/>
    </row>
    <row r="8" spans="1:22" ht="16" customHeight="1">
      <c r="A8" s="1563"/>
      <c r="B8" s="391"/>
      <c r="C8" s="391"/>
      <c r="D8" s="391"/>
      <c r="E8" s="391"/>
      <c r="F8" s="391"/>
      <c r="G8" s="391"/>
      <c r="H8" s="391"/>
      <c r="I8" s="391"/>
      <c r="J8" s="391"/>
      <c r="K8" s="391"/>
      <c r="L8" s="1563"/>
      <c r="M8" s="1528"/>
      <c r="N8" s="1529"/>
      <c r="O8" s="1529"/>
      <c r="P8" s="1529"/>
      <c r="Q8" s="1529"/>
      <c r="R8" s="1529"/>
      <c r="S8" s="1529"/>
      <c r="T8" s="1529"/>
      <c r="U8" s="1529"/>
      <c r="V8" s="1530"/>
    </row>
    <row r="9" spans="1:22" ht="16" customHeight="1">
      <c r="A9" s="1563"/>
      <c r="B9" s="391"/>
      <c r="C9" s="391"/>
      <c r="D9" s="391"/>
      <c r="E9" s="391"/>
      <c r="F9" s="391"/>
      <c r="G9" s="391"/>
      <c r="H9" s="391"/>
      <c r="I9" s="391"/>
      <c r="J9" s="391"/>
      <c r="K9" s="391"/>
      <c r="L9" s="1563"/>
      <c r="M9" s="1522"/>
      <c r="N9" s="1523"/>
      <c r="O9" s="1523"/>
      <c r="P9" s="1523"/>
      <c r="Q9" s="1523"/>
      <c r="R9" s="1523"/>
      <c r="S9" s="1523"/>
      <c r="T9" s="1523"/>
      <c r="U9" s="1523"/>
      <c r="V9" s="1524"/>
    </row>
    <row r="10" spans="1:22" s="373" customFormat="1" ht="16" customHeight="1">
      <c r="A10" s="1563"/>
      <c r="B10" s="391"/>
      <c r="C10" s="391"/>
      <c r="D10" s="391"/>
      <c r="E10" s="391"/>
      <c r="F10" s="391"/>
      <c r="G10" s="391"/>
      <c r="H10" s="391"/>
      <c r="I10" s="391"/>
      <c r="J10" s="391"/>
      <c r="K10" s="391"/>
      <c r="L10" s="1563"/>
      <c r="M10" s="1525"/>
      <c r="N10" s="1526"/>
      <c r="O10" s="1526"/>
      <c r="P10" s="1526"/>
      <c r="Q10" s="1526"/>
      <c r="R10" s="1526"/>
      <c r="S10" s="1526"/>
      <c r="T10" s="1526"/>
      <c r="U10" s="1526"/>
      <c r="V10" s="1527"/>
    </row>
    <row r="11" spans="1:22" s="373" customFormat="1" ht="16" customHeight="1">
      <c r="A11" s="1563"/>
      <c r="B11" s="391"/>
      <c r="C11" s="391"/>
      <c r="D11" s="391"/>
      <c r="E11" s="391"/>
      <c r="F11" s="391"/>
      <c r="G11" s="391"/>
      <c r="H11" s="391"/>
      <c r="I11" s="391"/>
      <c r="J11" s="391"/>
      <c r="K11" s="391"/>
      <c r="L11" s="1563"/>
      <c r="M11" s="1525"/>
      <c r="N11" s="1526"/>
      <c r="O11" s="1526"/>
      <c r="P11" s="1526"/>
      <c r="Q11" s="1526"/>
      <c r="R11" s="1526"/>
      <c r="S11" s="1526"/>
      <c r="T11" s="1526"/>
      <c r="U11" s="1526"/>
      <c r="V11" s="1527"/>
    </row>
    <row r="12" spans="1:22" s="373" customFormat="1" ht="16" customHeight="1">
      <c r="A12" s="1563"/>
      <c r="B12" s="391"/>
      <c r="C12" s="391"/>
      <c r="D12" s="391"/>
      <c r="E12" s="391"/>
      <c r="F12" s="391"/>
      <c r="G12" s="391"/>
      <c r="H12" s="391"/>
      <c r="I12" s="391"/>
      <c r="J12" s="391"/>
      <c r="K12" s="391"/>
      <c r="L12" s="1563"/>
      <c r="M12" s="1525"/>
      <c r="N12" s="1526"/>
      <c r="O12" s="1526"/>
      <c r="P12" s="1526"/>
      <c r="Q12" s="1526"/>
      <c r="R12" s="1526"/>
      <c r="S12" s="1526"/>
      <c r="T12" s="1526"/>
      <c r="U12" s="1526"/>
      <c r="V12" s="1527"/>
    </row>
    <row r="13" spans="1:22" ht="16" customHeight="1">
      <c r="A13" s="1563"/>
      <c r="B13" s="391"/>
      <c r="C13" s="391"/>
      <c r="D13" s="391"/>
      <c r="E13" s="391"/>
      <c r="F13" s="391"/>
      <c r="G13" s="391"/>
      <c r="H13" s="391"/>
      <c r="I13" s="391"/>
      <c r="J13" s="391"/>
      <c r="K13" s="391"/>
      <c r="L13" s="1563"/>
      <c r="M13" s="1525"/>
      <c r="N13" s="1526"/>
      <c r="O13" s="1526"/>
      <c r="P13" s="1526"/>
      <c r="Q13" s="1526"/>
      <c r="R13" s="1526"/>
      <c r="S13" s="1526"/>
      <c r="T13" s="1526"/>
      <c r="U13" s="1526"/>
      <c r="V13" s="1527"/>
    </row>
    <row r="14" spans="1:22" ht="16" customHeight="1">
      <c r="A14" s="1563"/>
      <c r="B14" s="391"/>
      <c r="C14" s="391"/>
      <c r="D14" s="391"/>
      <c r="E14" s="391"/>
      <c r="F14" s="391"/>
      <c r="G14" s="391"/>
      <c r="H14" s="391"/>
      <c r="I14" s="391"/>
      <c r="J14" s="391"/>
      <c r="K14" s="391"/>
      <c r="L14" s="1563"/>
      <c r="M14" s="1525"/>
      <c r="N14" s="1526"/>
      <c r="O14" s="1526"/>
      <c r="P14" s="1526"/>
      <c r="Q14" s="1526"/>
      <c r="R14" s="1526"/>
      <c r="S14" s="1526"/>
      <c r="T14" s="1526"/>
      <c r="U14" s="1526"/>
      <c r="V14" s="1527"/>
    </row>
    <row r="15" spans="1:22" ht="16" customHeight="1">
      <c r="A15" s="1563"/>
      <c r="B15" s="391"/>
      <c r="C15" s="391"/>
      <c r="D15" s="391"/>
      <c r="E15" s="391"/>
      <c r="F15" s="391"/>
      <c r="G15" s="391"/>
      <c r="H15" s="391"/>
      <c r="I15" s="391"/>
      <c r="J15" s="391"/>
      <c r="K15" s="391"/>
      <c r="L15" s="1563"/>
      <c r="M15" s="1528"/>
      <c r="N15" s="1529"/>
      <c r="O15" s="1529"/>
      <c r="P15" s="1529"/>
      <c r="Q15" s="1529"/>
      <c r="R15" s="1529"/>
      <c r="S15" s="1529"/>
      <c r="T15" s="1529"/>
      <c r="U15" s="1529"/>
      <c r="V15" s="1530"/>
    </row>
    <row r="16" spans="1:22" ht="16" customHeight="1">
      <c r="A16" s="1563"/>
      <c r="B16" s="391"/>
      <c r="C16" s="391"/>
      <c r="D16" s="391"/>
      <c r="E16" s="391"/>
      <c r="F16" s="391"/>
      <c r="G16" s="391"/>
      <c r="H16" s="391"/>
      <c r="I16" s="391"/>
      <c r="J16" s="391"/>
      <c r="K16" s="391"/>
      <c r="L16" s="1563"/>
      <c r="M16" s="1522"/>
      <c r="N16" s="1523"/>
      <c r="O16" s="1523"/>
      <c r="P16" s="1523"/>
      <c r="Q16" s="1523"/>
      <c r="R16" s="1523"/>
      <c r="S16" s="1523"/>
      <c r="T16" s="1523"/>
      <c r="U16" s="1523"/>
      <c r="V16" s="1524"/>
    </row>
    <row r="17" spans="1:22" ht="16" customHeight="1">
      <c r="A17" s="1563"/>
      <c r="B17" s="391"/>
      <c r="C17" s="391"/>
      <c r="D17" s="391"/>
      <c r="E17" s="391"/>
      <c r="F17" s="391"/>
      <c r="G17" s="391"/>
      <c r="H17" s="391"/>
      <c r="I17" s="391"/>
      <c r="J17" s="391"/>
      <c r="K17" s="391"/>
      <c r="L17" s="1563"/>
      <c r="M17" s="1525"/>
      <c r="N17" s="1526"/>
      <c r="O17" s="1526"/>
      <c r="P17" s="1526"/>
      <c r="Q17" s="1526"/>
      <c r="R17" s="1526"/>
      <c r="S17" s="1526"/>
      <c r="T17" s="1526"/>
      <c r="U17" s="1526"/>
      <c r="V17" s="1527"/>
    </row>
    <row r="18" spans="1:22" ht="16" customHeight="1">
      <c r="A18" s="1563"/>
      <c r="B18" s="391"/>
      <c r="C18" s="391"/>
      <c r="D18" s="391"/>
      <c r="E18" s="391"/>
      <c r="F18" s="391"/>
      <c r="G18" s="391"/>
      <c r="H18" s="391"/>
      <c r="I18" s="391"/>
      <c r="J18" s="391"/>
      <c r="K18" s="391"/>
      <c r="L18" s="1563"/>
      <c r="M18" s="1525"/>
      <c r="N18" s="1526"/>
      <c r="O18" s="1526"/>
      <c r="P18" s="1526"/>
      <c r="Q18" s="1526"/>
      <c r="R18" s="1526"/>
      <c r="S18" s="1526"/>
      <c r="T18" s="1526"/>
      <c r="U18" s="1526"/>
      <c r="V18" s="1527"/>
    </row>
    <row r="19" spans="1:22" ht="16" customHeight="1">
      <c r="A19" s="1563"/>
      <c r="B19" s="391"/>
      <c r="C19" s="391"/>
      <c r="D19" s="391"/>
      <c r="E19" s="391"/>
      <c r="F19" s="391"/>
      <c r="G19" s="391"/>
      <c r="H19" s="391"/>
      <c r="I19" s="391"/>
      <c r="J19" s="391"/>
      <c r="K19" s="391"/>
      <c r="L19" s="1563"/>
      <c r="M19" s="1525"/>
      <c r="N19" s="1526"/>
      <c r="O19" s="1526"/>
      <c r="P19" s="1526"/>
      <c r="Q19" s="1526"/>
      <c r="R19" s="1526"/>
      <c r="S19" s="1526"/>
      <c r="T19" s="1526"/>
      <c r="U19" s="1526"/>
      <c r="V19" s="1527"/>
    </row>
    <row r="20" spans="1:22" ht="16" customHeight="1">
      <c r="A20" s="1563"/>
      <c r="B20" s="391"/>
      <c r="C20" s="391"/>
      <c r="D20" s="391"/>
      <c r="E20" s="391"/>
      <c r="F20" s="391"/>
      <c r="G20" s="391"/>
      <c r="H20" s="391"/>
      <c r="I20" s="391"/>
      <c r="J20" s="391"/>
      <c r="K20" s="391"/>
      <c r="L20" s="1563"/>
      <c r="M20" s="1525"/>
      <c r="N20" s="1526"/>
      <c r="O20" s="1526"/>
      <c r="P20" s="1526"/>
      <c r="Q20" s="1526"/>
      <c r="R20" s="1526"/>
      <c r="S20" s="1526"/>
      <c r="T20" s="1526"/>
      <c r="U20" s="1526"/>
      <c r="V20" s="1527"/>
    </row>
    <row r="21" spans="1:22" ht="16" customHeight="1">
      <c r="A21" s="1563"/>
      <c r="B21" s="391"/>
      <c r="C21" s="391"/>
      <c r="D21" s="391"/>
      <c r="E21" s="391"/>
      <c r="F21" s="391"/>
      <c r="G21" s="391"/>
      <c r="H21" s="391"/>
      <c r="I21" s="391"/>
      <c r="J21" s="391"/>
      <c r="K21" s="391"/>
      <c r="L21" s="1563"/>
      <c r="M21" s="1525"/>
      <c r="N21" s="1526"/>
      <c r="O21" s="1526"/>
      <c r="P21" s="1526"/>
      <c r="Q21" s="1526"/>
      <c r="R21" s="1526"/>
      <c r="S21" s="1526"/>
      <c r="T21" s="1526"/>
      <c r="U21" s="1526"/>
      <c r="V21" s="1527"/>
    </row>
    <row r="22" spans="1:22" ht="16" customHeight="1">
      <c r="A22" s="1563"/>
      <c r="B22" s="391"/>
      <c r="C22" s="391"/>
      <c r="D22" s="391"/>
      <c r="E22" s="391"/>
      <c r="F22" s="391"/>
      <c r="G22" s="391"/>
      <c r="H22" s="391"/>
      <c r="I22" s="391"/>
      <c r="J22" s="391"/>
      <c r="K22" s="391"/>
      <c r="L22" s="1563"/>
      <c r="M22" s="1525"/>
      <c r="N22" s="1526"/>
      <c r="O22" s="1526"/>
      <c r="P22" s="1526"/>
      <c r="Q22" s="1526"/>
      <c r="R22" s="1526"/>
      <c r="S22" s="1526"/>
      <c r="T22" s="1526"/>
      <c r="U22" s="1526"/>
      <c r="V22" s="1527"/>
    </row>
    <row r="23" spans="1:22" ht="16" customHeight="1">
      <c r="A23" s="1563"/>
      <c r="B23" s="391"/>
      <c r="C23" s="391"/>
      <c r="D23" s="391"/>
      <c r="E23" s="391"/>
      <c r="F23" s="391"/>
      <c r="G23" s="391"/>
      <c r="H23" s="391"/>
      <c r="I23" s="391"/>
      <c r="J23" s="391"/>
      <c r="K23" s="391"/>
      <c r="L23" s="1563"/>
      <c r="M23" s="1525"/>
      <c r="N23" s="1526"/>
      <c r="O23" s="1526"/>
      <c r="P23" s="1526"/>
      <c r="Q23" s="1526"/>
      <c r="R23" s="1526"/>
      <c r="S23" s="1526"/>
      <c r="T23" s="1526"/>
      <c r="U23" s="1526"/>
      <c r="V23" s="1527"/>
    </row>
    <row r="24" spans="1:22" ht="16" customHeight="1">
      <c r="A24" s="1563"/>
      <c r="B24" s="391"/>
      <c r="C24" s="391"/>
      <c r="D24" s="391"/>
      <c r="E24" s="391"/>
      <c r="F24" s="391"/>
      <c r="G24" s="391"/>
      <c r="H24" s="391"/>
      <c r="I24" s="391"/>
      <c r="J24" s="391"/>
      <c r="K24" s="391"/>
      <c r="L24" s="1563"/>
      <c r="M24" s="1525"/>
      <c r="N24" s="1526"/>
      <c r="O24" s="1526"/>
      <c r="P24" s="1526"/>
      <c r="Q24" s="1526"/>
      <c r="R24" s="1526"/>
      <c r="S24" s="1526"/>
      <c r="T24" s="1526"/>
      <c r="U24" s="1526"/>
      <c r="V24" s="1527"/>
    </row>
    <row r="25" spans="1:22" s="373" customFormat="1" ht="16" customHeight="1">
      <c r="A25" s="1563"/>
      <c r="B25" s="391"/>
      <c r="C25" s="391"/>
      <c r="D25" s="391"/>
      <c r="E25" s="391"/>
      <c r="F25" s="391"/>
      <c r="G25" s="391"/>
      <c r="H25" s="391"/>
      <c r="I25" s="391"/>
      <c r="J25" s="391"/>
      <c r="K25" s="391"/>
      <c r="L25" s="1563"/>
      <c r="M25" s="1525"/>
      <c r="N25" s="1526"/>
      <c r="O25" s="1526"/>
      <c r="P25" s="1526"/>
      <c r="Q25" s="1526"/>
      <c r="R25" s="1526"/>
      <c r="S25" s="1526"/>
      <c r="T25" s="1526"/>
      <c r="U25" s="1526"/>
      <c r="V25" s="1527"/>
    </row>
    <row r="26" spans="1:22" s="373" customFormat="1" ht="16" customHeight="1">
      <c r="A26" s="1563"/>
      <c r="B26" s="391"/>
      <c r="C26" s="391"/>
      <c r="D26" s="391"/>
      <c r="E26" s="391"/>
      <c r="F26" s="391"/>
      <c r="G26" s="391"/>
      <c r="H26" s="391"/>
      <c r="I26" s="391"/>
      <c r="J26" s="391"/>
      <c r="K26" s="391"/>
      <c r="L26" s="1563"/>
      <c r="M26" s="1525"/>
      <c r="N26" s="1526"/>
      <c r="O26" s="1526"/>
      <c r="P26" s="1526"/>
      <c r="Q26" s="1526"/>
      <c r="R26" s="1526"/>
      <c r="S26" s="1526"/>
      <c r="T26" s="1526"/>
      <c r="U26" s="1526"/>
      <c r="V26" s="1527"/>
    </row>
    <row r="27" spans="1:22" s="373" customFormat="1" ht="16" customHeight="1">
      <c r="A27" s="1563"/>
      <c r="B27" s="391"/>
      <c r="C27" s="1566"/>
      <c r="D27" s="1566"/>
      <c r="E27" s="1566"/>
      <c r="F27" s="1566"/>
      <c r="G27" s="1566"/>
      <c r="H27" s="1566"/>
      <c r="I27" s="1566"/>
      <c r="J27" s="1566"/>
      <c r="K27" s="391"/>
      <c r="L27" s="1563"/>
      <c r="M27" s="1525"/>
      <c r="N27" s="1526"/>
      <c r="O27" s="1526"/>
      <c r="P27" s="1526"/>
      <c r="Q27" s="1526"/>
      <c r="R27" s="1526"/>
      <c r="S27" s="1526"/>
      <c r="T27" s="1526"/>
      <c r="U27" s="1526"/>
      <c r="V27" s="1527"/>
    </row>
    <row r="28" spans="1:22" s="373" customFormat="1" ht="16" customHeight="1">
      <c r="A28" s="1563"/>
      <c r="B28" s="391"/>
      <c r="C28" s="1566"/>
      <c r="D28" s="1566"/>
      <c r="E28" s="1566"/>
      <c r="F28" s="1566"/>
      <c r="G28" s="1566"/>
      <c r="H28" s="1566"/>
      <c r="I28" s="1566"/>
      <c r="J28" s="1566"/>
      <c r="K28" s="391"/>
      <c r="L28" s="1563"/>
      <c r="M28" s="1528"/>
      <c r="N28" s="1529"/>
      <c r="O28" s="1529"/>
      <c r="P28" s="1529"/>
      <c r="Q28" s="1529"/>
      <c r="R28" s="1529"/>
      <c r="S28" s="1529"/>
      <c r="T28" s="1529"/>
      <c r="U28" s="1529"/>
      <c r="V28" s="1530"/>
    </row>
    <row r="29" spans="1:22" s="373" customFormat="1" ht="16" customHeight="1">
      <c r="A29" s="1563"/>
      <c r="B29" s="391"/>
      <c r="C29" s="1566"/>
      <c r="D29" s="1566"/>
      <c r="E29" s="1566"/>
      <c r="F29" s="1566"/>
      <c r="G29" s="1566"/>
      <c r="H29" s="1566"/>
      <c r="I29" s="1566"/>
      <c r="J29" s="1566"/>
      <c r="K29" s="391"/>
      <c r="L29" s="1563"/>
      <c r="M29" s="1571" t="s">
        <v>1042</v>
      </c>
      <c r="N29" s="1572"/>
      <c r="O29" s="1572"/>
      <c r="P29" s="1572"/>
      <c r="Q29" s="1572"/>
      <c r="R29" s="1572"/>
      <c r="S29" s="1572"/>
      <c r="T29" s="1572"/>
      <c r="U29" s="1572"/>
      <c r="V29" s="1573"/>
    </row>
    <row r="30" spans="1:22" ht="16" customHeight="1">
      <c r="A30" s="1563"/>
      <c r="B30" s="391"/>
      <c r="C30" s="1566"/>
      <c r="D30" s="1566"/>
      <c r="E30" s="1566"/>
      <c r="F30" s="1566"/>
      <c r="G30" s="1566"/>
      <c r="H30" s="1566"/>
      <c r="I30" s="1566"/>
      <c r="J30" s="1566"/>
      <c r="K30" s="391"/>
      <c r="L30" s="1563"/>
      <c r="M30" s="1568"/>
      <c r="N30" s="1569"/>
      <c r="O30" s="1569"/>
      <c r="P30" s="1569"/>
      <c r="Q30" s="1569"/>
      <c r="R30" s="1569"/>
      <c r="S30" s="1569"/>
      <c r="T30" s="1569"/>
      <c r="U30" s="1569"/>
      <c r="V30" s="1570"/>
    </row>
    <row r="31" spans="1:22" ht="16" customHeight="1">
      <c r="A31" s="1563"/>
      <c r="B31" s="391"/>
      <c r="C31" s="1566"/>
      <c r="D31" s="1566"/>
      <c r="E31" s="1566"/>
      <c r="F31" s="1566"/>
      <c r="G31" s="1566"/>
      <c r="H31" s="1566"/>
      <c r="I31" s="1566"/>
      <c r="J31" s="1566"/>
      <c r="K31" s="391"/>
      <c r="L31" s="1563"/>
      <c r="M31" s="1568"/>
      <c r="N31" s="1569"/>
      <c r="O31" s="1569"/>
      <c r="P31" s="1569"/>
      <c r="Q31" s="1569"/>
      <c r="R31" s="1569"/>
      <c r="S31" s="1569"/>
      <c r="T31" s="1569"/>
      <c r="U31" s="1569"/>
      <c r="V31" s="1570"/>
    </row>
    <row r="32" spans="1:22" ht="16" customHeight="1">
      <c r="A32" s="1563"/>
      <c r="B32" s="391"/>
      <c r="C32" s="1566"/>
      <c r="D32" s="1566"/>
      <c r="E32" s="1566"/>
      <c r="F32" s="1566"/>
      <c r="G32" s="1566"/>
      <c r="H32" s="1566"/>
      <c r="I32" s="1566"/>
      <c r="J32" s="1566"/>
      <c r="K32" s="391"/>
      <c r="L32" s="1563"/>
      <c r="M32" s="1574"/>
      <c r="N32" s="1575"/>
      <c r="O32" s="1575"/>
      <c r="P32" s="1575"/>
      <c r="Q32" s="1575"/>
      <c r="R32" s="1575"/>
      <c r="S32" s="1575"/>
      <c r="T32" s="1575"/>
      <c r="U32" s="1575"/>
      <c r="V32" s="1576"/>
    </row>
    <row r="33" spans="1:22" ht="16" customHeight="1">
      <c r="A33" s="1563"/>
      <c r="B33" s="391"/>
      <c r="C33" s="1566"/>
      <c r="D33" s="1566"/>
      <c r="E33" s="1566"/>
      <c r="F33" s="1566"/>
      <c r="G33" s="1566"/>
      <c r="H33" s="1566"/>
      <c r="I33" s="1566"/>
      <c r="J33" s="1566"/>
      <c r="K33" s="391"/>
      <c r="L33" s="1563"/>
      <c r="M33" s="1574"/>
      <c r="N33" s="1575"/>
      <c r="O33" s="1575"/>
      <c r="P33" s="1575"/>
      <c r="Q33" s="1575"/>
      <c r="R33" s="1575"/>
      <c r="S33" s="1575"/>
      <c r="T33" s="1575"/>
      <c r="U33" s="1575"/>
      <c r="V33" s="1576"/>
    </row>
    <row r="34" spans="1:22" ht="16" customHeight="1">
      <c r="A34" s="1563"/>
      <c r="B34" s="391"/>
      <c r="C34" s="1566"/>
      <c r="D34" s="1566"/>
      <c r="E34" s="1566"/>
      <c r="F34" s="1566"/>
      <c r="G34" s="1566"/>
      <c r="H34" s="1566"/>
      <c r="I34" s="1566"/>
      <c r="J34" s="1566"/>
      <c r="K34" s="391"/>
      <c r="L34" s="1563"/>
      <c r="M34" s="1553"/>
      <c r="N34" s="1554"/>
      <c r="O34" s="1554"/>
      <c r="P34" s="1554"/>
      <c r="Q34" s="1554"/>
      <c r="R34" s="1554"/>
      <c r="S34" s="1554"/>
      <c r="T34" s="1554"/>
      <c r="U34" s="1554"/>
      <c r="V34" s="1555"/>
    </row>
    <row r="35" spans="1:22" ht="16" customHeight="1">
      <c r="A35" s="1563"/>
      <c r="B35" s="391"/>
      <c r="C35" s="391"/>
      <c r="D35" s="391"/>
      <c r="E35" s="391"/>
      <c r="F35" s="391"/>
      <c r="G35" s="391"/>
      <c r="H35" s="391"/>
      <c r="I35" s="391"/>
      <c r="J35" s="391"/>
      <c r="K35" s="391"/>
      <c r="L35" s="1563"/>
      <c r="M35" s="1553"/>
      <c r="N35" s="1554"/>
      <c r="O35" s="1554"/>
      <c r="P35" s="1554"/>
      <c r="Q35" s="1554"/>
      <c r="R35" s="1554"/>
      <c r="S35" s="1554"/>
      <c r="T35" s="1554"/>
      <c r="U35" s="1554"/>
      <c r="V35" s="1555"/>
    </row>
    <row r="36" spans="1:22" ht="20" customHeight="1">
      <c r="A36" s="1563"/>
      <c r="B36" s="1564" t="s">
        <v>1199</v>
      </c>
      <c r="C36" s="1564"/>
      <c r="D36" s="1564"/>
      <c r="E36" s="1564"/>
      <c r="F36" s="1564"/>
      <c r="G36" s="1564"/>
      <c r="H36" s="1564"/>
      <c r="I36" s="1564"/>
      <c r="J36" s="1564"/>
      <c r="K36" s="1564"/>
      <c r="L36" s="1563"/>
      <c r="M36" s="729" t="str">
        <f>N40</f>
        <v>AR</v>
      </c>
      <c r="N36" s="1559" t="s">
        <v>1200</v>
      </c>
      <c r="O36" s="1559"/>
      <c r="P36" s="1559"/>
      <c r="Q36" s="1559"/>
      <c r="R36" s="1559"/>
      <c r="S36" s="1559"/>
      <c r="T36" s="1559"/>
      <c r="U36" s="1559"/>
      <c r="V36" s="729"/>
    </row>
    <row r="37" spans="1:22" ht="18" customHeight="1">
      <c r="A37" s="390"/>
      <c r="B37" s="1549" t="s">
        <v>1066</v>
      </c>
      <c r="C37" s="1549"/>
      <c r="D37" s="1549"/>
      <c r="E37" s="1549"/>
      <c r="F37" s="1549"/>
      <c r="G37" s="1549"/>
      <c r="H37" s="1549"/>
      <c r="I37" s="1549"/>
      <c r="J37" s="1549"/>
      <c r="K37" s="1549"/>
      <c r="L37" s="390"/>
      <c r="M37" s="1521" t="s">
        <v>1001</v>
      </c>
      <c r="N37" s="1521"/>
      <c r="O37" s="1521"/>
      <c r="P37" s="1521"/>
      <c r="Q37" s="1521"/>
      <c r="R37" s="1521"/>
      <c r="S37" s="1521"/>
      <c r="T37" s="1521"/>
      <c r="U37" s="1521"/>
      <c r="V37" s="1521"/>
    </row>
    <row r="38" spans="1:22" ht="16" customHeight="1">
      <c r="A38" s="446"/>
      <c r="B38" s="446"/>
      <c r="C38" s="446"/>
      <c r="D38" s="446"/>
      <c r="E38" s="446"/>
      <c r="F38" s="446"/>
      <c r="G38" s="446"/>
      <c r="H38" s="446"/>
      <c r="I38" s="446"/>
      <c r="J38" s="446"/>
      <c r="K38" s="446"/>
      <c r="L38" s="392"/>
      <c r="M38" s="394"/>
      <c r="N38" s="394"/>
      <c r="O38" s="394"/>
      <c r="P38" s="394"/>
      <c r="Q38" s="393"/>
      <c r="R38" s="393"/>
      <c r="S38" s="393"/>
      <c r="T38" s="393"/>
      <c r="U38" s="393"/>
      <c r="V38" s="393"/>
    </row>
    <row r="39" spans="1:22" ht="16" customHeight="1">
      <c r="A39" s="446"/>
      <c r="B39" s="446"/>
      <c r="C39" s="446"/>
      <c r="D39" s="446"/>
      <c r="E39" s="446"/>
      <c r="F39" s="446"/>
      <c r="G39" s="446"/>
      <c r="H39" s="446"/>
      <c r="I39" s="446"/>
      <c r="J39" s="446"/>
      <c r="K39" s="446"/>
      <c r="L39" s="392"/>
      <c r="M39" s="394"/>
      <c r="N39" s="394"/>
      <c r="O39" s="394"/>
      <c r="P39" s="394"/>
      <c r="Q39" s="393"/>
      <c r="R39" s="393"/>
      <c r="S39" s="393"/>
      <c r="T39" s="393"/>
      <c r="U39" s="393"/>
      <c r="V39" s="393"/>
    </row>
    <row r="40" spans="1:22" ht="16" customHeight="1">
      <c r="A40" s="446"/>
      <c r="B40" s="446"/>
      <c r="C40" s="1548" t="s">
        <v>1007</v>
      </c>
      <c r="D40" s="1548"/>
      <c r="E40" s="1548"/>
      <c r="F40" s="1548"/>
      <c r="G40" s="1548"/>
      <c r="H40" s="1548"/>
      <c r="I40" s="1548"/>
      <c r="J40" s="1548"/>
      <c r="K40" s="446"/>
      <c r="L40" s="392"/>
      <c r="M40" s="394"/>
      <c r="N40" s="593" t="str">
        <f>'FIG3'!W49</f>
        <v>AR</v>
      </c>
      <c r="O40" s="586" t="s">
        <v>1351</v>
      </c>
      <c r="P40" s="586" t="s">
        <v>1198</v>
      </c>
      <c r="Q40" s="393"/>
      <c r="R40" s="393"/>
      <c r="S40" s="393"/>
      <c r="T40" s="393"/>
      <c r="U40" s="393"/>
      <c r="V40" s="393"/>
    </row>
    <row r="41" spans="1:22" ht="16" customHeight="1">
      <c r="A41" s="446"/>
      <c r="B41" s="446"/>
      <c r="C41" s="1548"/>
      <c r="D41" s="1548"/>
      <c r="E41" s="1548"/>
      <c r="F41" s="1548"/>
      <c r="G41" s="1548"/>
      <c r="H41" s="1548"/>
      <c r="I41" s="1548"/>
      <c r="J41" s="1548"/>
      <c r="K41" s="446"/>
      <c r="L41" s="392"/>
      <c r="M41" s="394"/>
      <c r="N41" s="585"/>
      <c r="O41" s="586" t="s">
        <v>1374</v>
      </c>
      <c r="P41" s="586" t="s">
        <v>1346</v>
      </c>
      <c r="Q41" s="393"/>
      <c r="R41" s="393"/>
      <c r="S41" s="393"/>
      <c r="T41" s="393"/>
      <c r="U41" s="393"/>
      <c r="V41" s="393"/>
    </row>
    <row r="42" spans="1:22" ht="16" customHeight="1">
      <c r="A42" s="446"/>
      <c r="B42" s="446"/>
      <c r="C42" s="1548"/>
      <c r="D42" s="1548"/>
      <c r="E42" s="1548"/>
      <c r="F42" s="1548"/>
      <c r="G42" s="1548"/>
      <c r="H42" s="1548"/>
      <c r="I42" s="1548"/>
      <c r="J42" s="1548"/>
      <c r="K42" s="446"/>
      <c r="L42" s="392"/>
      <c r="M42" s="394"/>
      <c r="N42" s="590" t="s">
        <v>1365</v>
      </c>
      <c r="O42" s="730">
        <f>'FIG3'!E21</f>
        <v>461519</v>
      </c>
      <c r="P42" s="731">
        <f>O42/O45</f>
        <v>0.9864489087524233</v>
      </c>
      <c r="Q42" s="393"/>
      <c r="R42" s="393"/>
      <c r="S42" s="393"/>
      <c r="T42" s="393"/>
      <c r="U42" s="393"/>
      <c r="V42" s="393"/>
    </row>
    <row r="43" spans="1:22" ht="16" customHeight="1">
      <c r="A43" s="446"/>
      <c r="B43" s="446"/>
      <c r="C43" s="1548"/>
      <c r="D43" s="1548"/>
      <c r="E43" s="1548"/>
      <c r="F43" s="1548"/>
      <c r="G43" s="1548"/>
      <c r="H43" s="1548"/>
      <c r="I43" s="1548"/>
      <c r="J43" s="1548"/>
      <c r="K43" s="446"/>
      <c r="L43" s="392"/>
      <c r="M43" s="394"/>
      <c r="N43" s="590" t="s">
        <v>1364</v>
      </c>
      <c r="O43" s="730">
        <f>'FIG3'!E23</f>
        <v>6340</v>
      </c>
      <c r="P43" s="731">
        <f>O43/O45</f>
        <v>1.3551091247576728E-2</v>
      </c>
      <c r="Q43" s="393"/>
      <c r="R43" s="393"/>
      <c r="S43" s="393"/>
      <c r="T43" s="393"/>
      <c r="U43" s="393"/>
      <c r="V43" s="393"/>
    </row>
    <row r="44" spans="1:22" ht="16" customHeight="1">
      <c r="A44" s="446"/>
      <c r="B44" s="446"/>
      <c r="C44" s="1548"/>
      <c r="D44" s="1548"/>
      <c r="E44" s="1548"/>
      <c r="F44" s="1548"/>
      <c r="G44" s="1548"/>
      <c r="H44" s="1548"/>
      <c r="I44" s="1548"/>
      <c r="J44" s="1548"/>
      <c r="K44" s="446"/>
      <c r="L44" s="392"/>
      <c r="M44" s="394"/>
      <c r="N44" s="585"/>
      <c r="O44" s="585"/>
      <c r="P44" s="587"/>
      <c r="Q44" s="393"/>
      <c r="R44" s="393"/>
      <c r="S44" s="393"/>
      <c r="T44" s="393"/>
      <c r="U44" s="393"/>
      <c r="V44" s="393"/>
    </row>
    <row r="45" spans="1:22" ht="16" customHeight="1">
      <c r="A45" s="446"/>
      <c r="B45" s="446"/>
      <c r="C45" s="1548"/>
      <c r="D45" s="1548"/>
      <c r="E45" s="1548"/>
      <c r="F45" s="1548"/>
      <c r="G45" s="1548"/>
      <c r="H45" s="1548"/>
      <c r="I45" s="1548"/>
      <c r="J45" s="1548"/>
      <c r="K45" s="446"/>
      <c r="L45" s="392"/>
      <c r="M45" s="394"/>
      <c r="N45" s="585" t="s">
        <v>1346</v>
      </c>
      <c r="O45" s="588">
        <f>SUM(O42:O44)</f>
        <v>467859</v>
      </c>
      <c r="P45" s="587"/>
      <c r="Q45" s="393"/>
      <c r="R45" s="393"/>
      <c r="S45" s="393"/>
      <c r="T45" s="393"/>
      <c r="U45" s="393"/>
      <c r="V45" s="393"/>
    </row>
    <row r="46" spans="1:22" ht="16" customHeight="1">
      <c r="A46" s="446"/>
      <c r="B46" s="446"/>
      <c r="C46" s="1548"/>
      <c r="D46" s="1548"/>
      <c r="E46" s="1548"/>
      <c r="F46" s="1548"/>
      <c r="G46" s="1548"/>
      <c r="H46" s="1548"/>
      <c r="I46" s="1548"/>
      <c r="J46" s="1548"/>
      <c r="K46" s="446"/>
      <c r="L46" s="392"/>
      <c r="M46" s="394"/>
      <c r="N46" s="393"/>
      <c r="O46" s="393"/>
      <c r="P46" s="393"/>
      <c r="Q46" s="393"/>
      <c r="R46" s="393"/>
      <c r="S46" s="393"/>
      <c r="T46" s="393"/>
      <c r="U46" s="393"/>
      <c r="V46" s="393"/>
    </row>
    <row r="47" spans="1:22" ht="16" customHeight="1">
      <c r="A47" s="446"/>
      <c r="B47" s="446"/>
      <c r="C47" s="446"/>
      <c r="D47" s="446"/>
      <c r="E47" s="446"/>
      <c r="F47" s="446"/>
      <c r="G47" s="446"/>
      <c r="H47" s="446"/>
      <c r="I47" s="446"/>
      <c r="J47" s="446"/>
      <c r="K47" s="446"/>
      <c r="L47" s="392"/>
      <c r="M47" s="394"/>
      <c r="N47" s="1531" t="s">
        <v>1002</v>
      </c>
      <c r="O47" s="1531"/>
      <c r="P47" s="1531"/>
      <c r="Q47" s="1531"/>
      <c r="R47" s="1531"/>
      <c r="S47" s="1531"/>
      <c r="T47" s="1531"/>
      <c r="U47" s="1531"/>
      <c r="V47" s="393"/>
    </row>
    <row r="48" spans="1:22" ht="16" customHeight="1">
      <c r="A48" s="446"/>
      <c r="B48" s="446"/>
      <c r="C48" s="1532" t="s">
        <v>1071</v>
      </c>
      <c r="D48" s="1532"/>
      <c r="E48" s="1532"/>
      <c r="F48" s="1532"/>
      <c r="G48" s="1532"/>
      <c r="H48" s="1532"/>
      <c r="I48" s="1532"/>
      <c r="J48" s="1532"/>
      <c r="K48" s="446"/>
      <c r="L48" s="392"/>
      <c r="M48" s="394"/>
      <c r="N48" s="393"/>
      <c r="O48" s="393"/>
      <c r="P48" s="393"/>
      <c r="Q48" s="393"/>
      <c r="R48" s="393"/>
      <c r="S48" s="393"/>
      <c r="T48" s="393"/>
      <c r="U48" s="393"/>
      <c r="V48" s="393"/>
    </row>
    <row r="49" spans="1:22" ht="16" customHeight="1">
      <c r="A49" s="446"/>
      <c r="B49" s="446"/>
      <c r="C49" s="1532"/>
      <c r="D49" s="1532"/>
      <c r="E49" s="1532"/>
      <c r="F49" s="1532"/>
      <c r="G49" s="1532"/>
      <c r="H49" s="1532"/>
      <c r="I49" s="1532"/>
      <c r="J49" s="1532"/>
      <c r="K49" s="446"/>
      <c r="L49" s="392"/>
      <c r="M49" s="394"/>
      <c r="N49" s="393"/>
      <c r="O49" s="393"/>
      <c r="P49" s="393"/>
      <c r="Q49" s="393"/>
      <c r="R49" s="393"/>
      <c r="S49" s="393"/>
      <c r="T49" s="393"/>
      <c r="U49" s="393"/>
      <c r="V49" s="393"/>
    </row>
    <row r="50" spans="1:22" ht="16" customHeight="1">
      <c r="A50" s="446"/>
      <c r="B50" s="446"/>
      <c r="C50" s="1532"/>
      <c r="D50" s="1532"/>
      <c r="E50" s="1532"/>
      <c r="F50" s="1532"/>
      <c r="G50" s="1532"/>
      <c r="H50" s="1532"/>
      <c r="I50" s="1532"/>
      <c r="J50" s="1532"/>
      <c r="K50" s="446"/>
      <c r="L50" s="392"/>
      <c r="M50" s="394"/>
      <c r="N50" s="393"/>
      <c r="O50" s="393"/>
      <c r="P50" s="393"/>
      <c r="Q50" s="393"/>
      <c r="R50" s="393"/>
      <c r="S50" s="393"/>
      <c r="T50" s="393"/>
      <c r="U50" s="393"/>
      <c r="V50" s="393"/>
    </row>
    <row r="51" spans="1:22" ht="16" customHeight="1">
      <c r="A51" s="446"/>
      <c r="B51" s="446"/>
      <c r="C51" s="1532"/>
      <c r="D51" s="1532"/>
      <c r="E51" s="1532"/>
      <c r="F51" s="1532"/>
      <c r="G51" s="1532"/>
      <c r="H51" s="1532"/>
      <c r="I51" s="1532"/>
      <c r="J51" s="1532"/>
      <c r="K51" s="446"/>
      <c r="L51" s="392"/>
      <c r="M51" s="394"/>
      <c r="N51" s="393"/>
      <c r="O51" s="393"/>
      <c r="P51" s="393"/>
      <c r="Q51" s="393"/>
      <c r="R51" s="393"/>
      <c r="S51" s="393"/>
      <c r="T51" s="393"/>
      <c r="U51" s="393"/>
      <c r="V51" s="393"/>
    </row>
    <row r="52" spans="1:22" ht="16" customHeight="1">
      <c r="A52" s="446"/>
      <c r="B52" s="446"/>
      <c r="C52" s="1532"/>
      <c r="D52" s="1532"/>
      <c r="E52" s="1532"/>
      <c r="F52" s="1532"/>
      <c r="G52" s="1532"/>
      <c r="H52" s="1532"/>
      <c r="I52" s="1532"/>
      <c r="J52" s="1532"/>
      <c r="K52" s="446"/>
      <c r="L52" s="392"/>
      <c r="M52" s="394"/>
      <c r="N52" s="393"/>
      <c r="O52" s="393"/>
      <c r="P52" s="393"/>
      <c r="Q52" s="393"/>
      <c r="R52" s="393"/>
      <c r="S52" s="393"/>
      <c r="T52" s="393"/>
      <c r="U52" s="393"/>
      <c r="V52" s="393"/>
    </row>
    <row r="53" spans="1:22" ht="16" customHeight="1">
      <c r="A53" s="446"/>
      <c r="B53" s="446"/>
      <c r="C53" s="1532"/>
      <c r="D53" s="1532"/>
      <c r="E53" s="1532"/>
      <c r="F53" s="1532"/>
      <c r="G53" s="1532"/>
      <c r="H53" s="1532"/>
      <c r="I53" s="1532"/>
      <c r="J53" s="1532"/>
      <c r="K53" s="446"/>
      <c r="L53" s="392"/>
      <c r="M53" s="394"/>
      <c r="N53" s="393"/>
      <c r="O53" s="393"/>
      <c r="P53" s="393"/>
      <c r="Q53" s="393"/>
      <c r="R53" s="393"/>
      <c r="S53" s="393"/>
      <c r="T53" s="393"/>
      <c r="U53" s="393"/>
      <c r="V53" s="393"/>
    </row>
    <row r="54" spans="1:22" ht="16" customHeight="1">
      <c r="A54" s="446"/>
      <c r="B54" s="446"/>
      <c r="C54" s="1532"/>
      <c r="D54" s="1532"/>
      <c r="E54" s="1532"/>
      <c r="F54" s="1532"/>
      <c r="G54" s="1532"/>
      <c r="H54" s="1532"/>
      <c r="I54" s="1532"/>
      <c r="J54" s="1532"/>
      <c r="K54" s="446"/>
      <c r="L54" s="392"/>
      <c r="M54" s="394"/>
      <c r="N54" s="394"/>
      <c r="O54" s="394"/>
      <c r="P54" s="394"/>
      <c r="Q54" s="394"/>
      <c r="R54" s="394"/>
      <c r="S54" s="394"/>
      <c r="T54" s="394"/>
      <c r="U54" s="394"/>
      <c r="V54" s="394"/>
    </row>
    <row r="55" spans="1:22" ht="16" customHeight="1">
      <c r="A55" s="446"/>
      <c r="B55" s="446"/>
      <c r="C55" s="418"/>
      <c r="D55" s="418"/>
      <c r="E55" s="418"/>
      <c r="F55" s="418"/>
      <c r="G55" s="418"/>
      <c r="H55" s="418"/>
      <c r="I55" s="418"/>
      <c r="J55" s="418"/>
      <c r="K55" s="446"/>
      <c r="L55" s="392"/>
      <c r="M55" s="394"/>
      <c r="N55" s="394"/>
      <c r="O55" s="394"/>
      <c r="P55" s="394"/>
      <c r="Q55" s="394"/>
      <c r="R55" s="394"/>
      <c r="S55" s="394"/>
      <c r="T55" s="394"/>
      <c r="U55" s="394"/>
      <c r="V55" s="394"/>
    </row>
    <row r="56" spans="1:22" ht="13" customHeight="1"/>
    <row r="57" spans="1:22" ht="13" customHeight="1"/>
    <row r="58" spans="1:22" ht="13" customHeight="1"/>
    <row r="59" spans="1:22" ht="13" customHeight="1"/>
    <row r="60" spans="1:22" ht="13" customHeight="1"/>
    <row r="61" spans="1:22" ht="13" customHeight="1"/>
    <row r="62" spans="1:22" ht="13" customHeight="1"/>
    <row r="63" spans="1:22" ht="13" customHeight="1"/>
    <row r="64" spans="1:22" ht="13" customHeight="1"/>
    <row r="65" ht="13" customHeight="1"/>
    <row r="66" ht="13" customHeight="1"/>
    <row r="67" ht="13" customHeight="1"/>
    <row r="68" ht="13" customHeight="1"/>
    <row r="69" ht="13" customHeight="1"/>
    <row r="70" ht="13" customHeight="1"/>
    <row r="71" ht="13" customHeight="1"/>
    <row r="72" ht="13" customHeight="1"/>
    <row r="73" ht="13" customHeight="1"/>
    <row r="74" ht="13" customHeight="1"/>
    <row r="75" ht="13" customHeight="1"/>
    <row r="76" ht="13" customHeight="1"/>
    <row r="77" ht="13" customHeight="1"/>
    <row r="78" ht="13" customHeight="1"/>
    <row r="79" ht="13" customHeight="1"/>
    <row r="80" ht="13" customHeight="1"/>
    <row r="81" ht="13" customHeight="1"/>
    <row r="82" ht="13" customHeight="1"/>
    <row r="83" ht="13" customHeight="1"/>
    <row r="84" ht="13" customHeight="1"/>
    <row r="85" ht="13" customHeight="1"/>
    <row r="86" ht="13" customHeight="1"/>
    <row r="87" ht="13" customHeight="1"/>
    <row r="88" ht="13" customHeight="1"/>
    <row r="89" ht="13" customHeight="1"/>
    <row r="90" ht="13" customHeight="1"/>
    <row r="91" ht="13" customHeight="1"/>
    <row r="92" ht="13" customHeight="1"/>
    <row r="93" ht="13" customHeight="1"/>
    <row r="94" ht="13" customHeight="1"/>
    <row r="95" ht="13" customHeight="1"/>
    <row r="96" ht="13" customHeight="1"/>
    <row r="97" ht="13" customHeight="1"/>
    <row r="98" ht="13" customHeight="1"/>
    <row r="99" ht="13" customHeight="1"/>
    <row r="100" ht="13" customHeight="1"/>
    <row r="101" ht="13" customHeight="1"/>
    <row r="102" ht="13" customHeight="1"/>
    <row r="103" ht="13" customHeight="1"/>
    <row r="104" ht="13" customHeight="1"/>
    <row r="105" ht="13" customHeight="1"/>
    <row r="106" ht="13" customHeight="1"/>
    <row r="107" ht="13" customHeight="1"/>
    <row r="108" ht="13" customHeight="1"/>
    <row r="109" ht="13" customHeight="1"/>
    <row r="110" ht="13" customHeight="1"/>
    <row r="111" ht="13" customHeight="1"/>
    <row r="112" ht="13" customHeight="1"/>
    <row r="113" ht="13" customHeight="1"/>
    <row r="114" ht="13" customHeight="1"/>
    <row r="115" ht="13" customHeight="1"/>
    <row r="116" ht="13" customHeight="1"/>
    <row r="117" ht="13" customHeight="1"/>
    <row r="118" ht="13" customHeight="1"/>
    <row r="119" ht="13" customHeight="1"/>
    <row r="120" ht="13" customHeight="1"/>
    <row r="121" ht="13" customHeight="1"/>
    <row r="122" ht="13" customHeight="1"/>
    <row r="123" ht="13" customHeight="1"/>
    <row r="124" ht="13" customHeight="1"/>
    <row r="125" ht="13" customHeight="1"/>
    <row r="126" ht="13" customHeight="1"/>
    <row r="127" ht="13" customHeight="1"/>
    <row r="128" ht="13" customHeight="1"/>
    <row r="129" ht="13" customHeight="1"/>
    <row r="130" ht="13" customHeight="1"/>
    <row r="131" ht="13" customHeight="1"/>
    <row r="132" ht="13" customHeight="1"/>
    <row r="133" ht="13" customHeight="1"/>
    <row r="134" ht="13" customHeight="1"/>
    <row r="135" ht="13" customHeight="1"/>
    <row r="136" ht="13" customHeight="1"/>
    <row r="137" ht="13" customHeight="1"/>
    <row r="138" ht="13" customHeight="1"/>
    <row r="139" ht="13" customHeight="1"/>
    <row r="140" ht="13" customHeight="1"/>
    <row r="141" ht="13" customHeight="1"/>
    <row r="142" ht="13" customHeight="1"/>
    <row r="143" ht="13" customHeight="1"/>
    <row r="144" ht="13" customHeight="1"/>
    <row r="145" ht="13" customHeight="1"/>
    <row r="146" ht="13" customHeight="1"/>
    <row r="147" ht="13" customHeight="1"/>
    <row r="148" ht="13" customHeight="1"/>
    <row r="149" ht="13" customHeight="1"/>
    <row r="150" ht="13" customHeight="1"/>
    <row r="151" ht="13" customHeight="1"/>
    <row r="152" ht="13" customHeight="1"/>
    <row r="153" ht="13" customHeight="1"/>
    <row r="154" ht="13" customHeight="1"/>
    <row r="155" ht="13" customHeight="1"/>
    <row r="156" ht="13" customHeight="1"/>
    <row r="157" ht="13" customHeight="1"/>
    <row r="158" ht="13" customHeight="1"/>
    <row r="159" ht="13" customHeight="1"/>
    <row r="160" ht="13" customHeight="1"/>
    <row r="161" ht="13" customHeight="1"/>
    <row r="162" ht="13" customHeight="1"/>
    <row r="163" ht="13" customHeight="1"/>
    <row r="164" ht="13" customHeight="1"/>
    <row r="165" ht="13" customHeight="1"/>
    <row r="166" ht="13" customHeight="1"/>
    <row r="167" ht="13" customHeight="1"/>
    <row r="168" ht="13" customHeight="1"/>
    <row r="169" ht="13" customHeight="1"/>
    <row r="170" ht="13" customHeight="1"/>
    <row r="171" ht="13" customHeight="1"/>
    <row r="172" ht="13" customHeight="1"/>
    <row r="173" ht="13" customHeight="1"/>
    <row r="174" ht="13" customHeight="1"/>
    <row r="175" ht="13" customHeight="1"/>
    <row r="176" ht="13" customHeight="1"/>
    <row r="177" ht="13" customHeight="1"/>
    <row r="178" ht="13" customHeight="1"/>
    <row r="179" ht="13" customHeight="1"/>
    <row r="180" ht="13" customHeight="1"/>
    <row r="181" ht="13" customHeight="1"/>
    <row r="182" ht="13" customHeight="1"/>
    <row r="183" ht="13" customHeight="1"/>
    <row r="184" ht="13" customHeight="1"/>
    <row r="185" ht="13" customHeight="1"/>
    <row r="186" ht="13" customHeight="1"/>
    <row r="187" ht="13" customHeight="1"/>
    <row r="188" ht="13" customHeight="1"/>
    <row r="189" ht="13" customHeight="1"/>
    <row r="190" ht="13" customHeight="1"/>
    <row r="191" ht="13" customHeight="1"/>
    <row r="192" ht="13" customHeight="1"/>
    <row r="193" ht="13" customHeight="1"/>
    <row r="194" ht="13" customHeight="1"/>
    <row r="195" ht="13" customHeight="1"/>
    <row r="196" ht="13" customHeight="1"/>
    <row r="197" ht="13" customHeight="1"/>
    <row r="198" ht="13" customHeight="1"/>
    <row r="199" ht="13" customHeight="1"/>
    <row r="200" ht="13" customHeight="1"/>
    <row r="201" ht="13" customHeight="1"/>
    <row r="202" ht="13" customHeight="1"/>
    <row r="203" ht="13" customHeight="1"/>
    <row r="204" ht="13" customHeight="1"/>
    <row r="205" ht="13" customHeight="1"/>
    <row r="206" ht="13" customHeight="1"/>
    <row r="207" ht="13" customHeight="1"/>
    <row r="208" ht="13" customHeight="1"/>
    <row r="209" ht="13" customHeight="1"/>
    <row r="210" ht="13" customHeight="1"/>
    <row r="211" ht="13" customHeight="1"/>
    <row r="212" ht="13" customHeight="1"/>
    <row r="213" ht="13" customHeight="1"/>
    <row r="214" ht="13" customHeight="1"/>
    <row r="215" ht="13" customHeight="1"/>
    <row r="216" ht="13" customHeight="1"/>
    <row r="217" ht="13" customHeight="1"/>
    <row r="218" ht="13" customHeight="1"/>
    <row r="219" ht="13" customHeight="1"/>
    <row r="220" ht="13" customHeight="1"/>
    <row r="221" ht="13" customHeight="1"/>
    <row r="222" ht="13" customHeight="1"/>
    <row r="223" ht="13" customHeight="1"/>
    <row r="224" ht="13" customHeight="1"/>
    <row r="225" ht="13" customHeight="1"/>
    <row r="226" ht="13" customHeight="1"/>
    <row r="227" ht="13" customHeight="1"/>
    <row r="228" ht="13" customHeight="1"/>
    <row r="229" ht="13" customHeight="1"/>
    <row r="230" ht="13" customHeight="1"/>
    <row r="231" ht="13" customHeight="1"/>
    <row r="232" ht="13" customHeight="1"/>
    <row r="233" ht="13" customHeight="1"/>
    <row r="234" ht="13" customHeight="1"/>
    <row r="235" ht="13" customHeight="1"/>
    <row r="236" ht="13" customHeight="1"/>
    <row r="237" ht="13" customHeight="1"/>
    <row r="238" ht="13" customHeight="1"/>
    <row r="239" ht="13" customHeight="1"/>
    <row r="240" ht="13" customHeight="1"/>
    <row r="241" ht="13" customHeight="1"/>
    <row r="242" ht="13" customHeight="1"/>
    <row r="243" ht="13" customHeight="1"/>
    <row r="244" ht="13" customHeight="1"/>
    <row r="245" ht="13" customHeight="1"/>
    <row r="246" ht="13" customHeight="1"/>
    <row r="247" ht="13" customHeight="1"/>
    <row r="248" ht="13" customHeight="1"/>
    <row r="249" ht="13" customHeight="1"/>
    <row r="250" ht="13" customHeight="1"/>
    <row r="251" ht="13" customHeight="1"/>
    <row r="252" ht="13" customHeight="1"/>
    <row r="253" ht="13" customHeight="1"/>
    <row r="254" ht="13" customHeight="1"/>
    <row r="255" ht="13" customHeight="1"/>
    <row r="256" ht="13" customHeight="1"/>
    <row r="257" ht="13" customHeight="1"/>
    <row r="258" ht="13" customHeight="1"/>
    <row r="259" ht="13" customHeight="1"/>
    <row r="260" ht="13" customHeight="1"/>
    <row r="261" ht="13" customHeight="1"/>
    <row r="262" ht="13" customHeight="1"/>
    <row r="263" ht="13" customHeight="1"/>
    <row r="264" ht="13" customHeight="1"/>
    <row r="265" ht="13" customHeight="1"/>
    <row r="266" ht="13" customHeight="1"/>
    <row r="267" ht="13" customHeight="1"/>
    <row r="268" ht="13" customHeight="1"/>
    <row r="269" ht="13" customHeight="1"/>
    <row r="270" ht="13" customHeight="1"/>
    <row r="271" ht="13" customHeight="1"/>
    <row r="272" ht="13" customHeight="1"/>
    <row r="273" ht="13" customHeight="1"/>
    <row r="274" ht="13" customHeight="1"/>
    <row r="275" ht="13" customHeight="1"/>
    <row r="276" ht="13" customHeight="1"/>
    <row r="277" ht="13" customHeight="1"/>
    <row r="278" ht="13" customHeight="1"/>
    <row r="279" ht="13" customHeight="1"/>
    <row r="280" ht="13" customHeight="1"/>
    <row r="281" ht="13" customHeight="1"/>
    <row r="282" ht="13" customHeight="1"/>
    <row r="283" ht="13" customHeight="1"/>
    <row r="284" ht="13" customHeight="1"/>
    <row r="285" ht="13" customHeight="1"/>
    <row r="286" ht="13" customHeight="1"/>
    <row r="287" ht="13" customHeight="1"/>
    <row r="288" ht="13" customHeight="1"/>
    <row r="289" ht="13" customHeight="1"/>
    <row r="290" ht="13" customHeight="1"/>
    <row r="291" ht="13" customHeight="1"/>
    <row r="292" ht="13" customHeight="1"/>
    <row r="293" ht="13" customHeight="1"/>
    <row r="294" ht="13" customHeight="1"/>
    <row r="295" ht="13" customHeight="1"/>
    <row r="296" ht="13" customHeight="1"/>
    <row r="297" ht="13" customHeight="1"/>
    <row r="298" ht="13" customHeight="1"/>
    <row r="299" ht="13" customHeight="1"/>
    <row r="300" ht="13" customHeight="1"/>
    <row r="301" ht="13" customHeight="1"/>
    <row r="302" ht="13" customHeight="1"/>
    <row r="303" ht="13" customHeight="1"/>
    <row r="304" ht="13" customHeight="1"/>
    <row r="305" ht="13" customHeight="1"/>
    <row r="306" ht="13" customHeight="1"/>
    <row r="307" ht="13" customHeight="1"/>
    <row r="308" ht="13" customHeight="1"/>
    <row r="309" ht="13" customHeight="1"/>
    <row r="310" ht="13" customHeight="1"/>
    <row r="311" ht="13" customHeight="1"/>
    <row r="312" ht="13" customHeight="1"/>
    <row r="313" ht="13" customHeight="1"/>
    <row r="314" ht="13" customHeight="1"/>
    <row r="315" ht="13" customHeight="1"/>
    <row r="316" ht="13" customHeight="1"/>
    <row r="317" ht="13" customHeight="1"/>
    <row r="318" ht="13" customHeight="1"/>
    <row r="319" ht="13" customHeight="1"/>
    <row r="320" ht="13" customHeight="1"/>
    <row r="321" ht="13" customHeight="1"/>
    <row r="322" ht="13" customHeight="1"/>
    <row r="323" ht="13" customHeight="1"/>
    <row r="324" ht="13" customHeight="1"/>
    <row r="325" ht="13" customHeight="1"/>
    <row r="326" ht="13" customHeight="1"/>
    <row r="327" ht="13" customHeight="1"/>
    <row r="328" ht="13" customHeight="1"/>
    <row r="329" ht="13" customHeight="1"/>
    <row r="330" ht="13" customHeight="1"/>
    <row r="331" ht="13" customHeight="1"/>
    <row r="332" ht="13" customHeight="1"/>
    <row r="333" ht="13" customHeight="1"/>
    <row r="334" ht="13" customHeight="1"/>
    <row r="335" ht="13" customHeight="1"/>
    <row r="336" ht="13" customHeight="1"/>
    <row r="337" ht="13" customHeight="1"/>
    <row r="338" ht="13" customHeight="1"/>
    <row r="339" ht="13" customHeight="1"/>
    <row r="340" ht="13" customHeight="1"/>
    <row r="341" ht="13" customHeight="1"/>
    <row r="342" ht="13" customHeight="1"/>
    <row r="343" ht="13" customHeight="1"/>
    <row r="344" ht="13" customHeight="1"/>
    <row r="345" ht="13" customHeight="1"/>
    <row r="346" ht="13" customHeight="1"/>
    <row r="347" ht="13" customHeight="1"/>
    <row r="348" ht="13" customHeight="1"/>
    <row r="349" ht="13" customHeight="1"/>
    <row r="350" ht="13" customHeight="1"/>
    <row r="351" ht="13" customHeight="1"/>
    <row r="352" ht="13" customHeight="1"/>
    <row r="353" ht="13" customHeight="1"/>
    <row r="354" ht="13" customHeight="1"/>
    <row r="355" ht="13" customHeight="1"/>
    <row r="356" ht="13" customHeight="1"/>
    <row r="357" ht="13" customHeight="1"/>
    <row r="358" ht="13" customHeight="1"/>
    <row r="359" ht="13" customHeight="1"/>
    <row r="360" ht="13" customHeight="1"/>
    <row r="361" ht="13" customHeight="1"/>
    <row r="362" ht="13" customHeight="1"/>
    <row r="363" ht="13" customHeight="1"/>
    <row r="364" ht="13" customHeight="1"/>
    <row r="365" ht="13" customHeight="1"/>
    <row r="366" ht="13" customHeight="1"/>
    <row r="367" ht="13" customHeight="1"/>
    <row r="368" ht="13" customHeight="1"/>
    <row r="369" ht="13" customHeight="1"/>
    <row r="370" ht="13" customHeight="1"/>
    <row r="371" ht="13" customHeight="1"/>
    <row r="372" ht="13" customHeight="1"/>
    <row r="373" ht="13" customHeight="1"/>
    <row r="374" ht="13" customHeight="1"/>
    <row r="375" ht="13" customHeight="1"/>
    <row r="376" ht="13" customHeight="1"/>
    <row r="377" ht="13" customHeight="1"/>
    <row r="378" ht="13" customHeight="1"/>
    <row r="379" ht="13" customHeight="1"/>
    <row r="380" ht="13" customHeight="1"/>
    <row r="381" ht="13" customHeight="1"/>
    <row r="382" ht="13" customHeight="1"/>
    <row r="383" ht="13" customHeight="1"/>
    <row r="384" ht="13" customHeight="1"/>
    <row r="385" ht="13" customHeight="1"/>
    <row r="386" ht="13" customHeight="1"/>
    <row r="387" ht="13" customHeight="1"/>
    <row r="388" ht="13" customHeight="1"/>
    <row r="389" ht="13" customHeight="1"/>
    <row r="390" ht="13" customHeight="1"/>
    <row r="391" ht="13" customHeight="1"/>
    <row r="392" ht="13" customHeight="1"/>
    <row r="393" ht="13" customHeight="1"/>
    <row r="394" ht="13" customHeight="1"/>
    <row r="395" ht="13" customHeight="1"/>
    <row r="396" ht="13" customHeight="1"/>
    <row r="397" ht="13" customHeight="1"/>
    <row r="398" ht="13" customHeight="1"/>
    <row r="399" ht="13" customHeight="1"/>
    <row r="400" ht="13" customHeight="1"/>
    <row r="401" ht="13" customHeight="1"/>
    <row r="402" ht="13" customHeight="1"/>
    <row r="403" ht="13" customHeight="1"/>
    <row r="404" ht="13" customHeight="1"/>
    <row r="405" ht="13" customHeight="1"/>
    <row r="406" ht="13" customHeight="1"/>
    <row r="407" ht="13" customHeight="1"/>
    <row r="408" ht="13" customHeight="1"/>
    <row r="409" ht="13" customHeight="1"/>
    <row r="410" ht="13" customHeight="1"/>
    <row r="411" ht="13" customHeight="1"/>
    <row r="412" ht="13" customHeight="1"/>
    <row r="413" ht="13" customHeight="1"/>
    <row r="414" ht="13" customHeight="1"/>
    <row r="415" ht="13" customHeight="1"/>
    <row r="416" ht="13" customHeight="1"/>
    <row r="417" ht="13" customHeight="1"/>
    <row r="418" ht="13" customHeight="1"/>
    <row r="419" ht="13" customHeight="1"/>
    <row r="420" ht="13" customHeight="1"/>
    <row r="421" ht="13" customHeight="1"/>
    <row r="422" ht="13" customHeight="1"/>
    <row r="423" ht="13" customHeight="1"/>
    <row r="424" ht="13" customHeight="1"/>
    <row r="425" ht="13" customHeight="1"/>
    <row r="426" ht="13" customHeight="1"/>
    <row r="427" ht="13" customHeight="1"/>
    <row r="428" ht="13" customHeight="1"/>
    <row r="429" ht="13" customHeight="1"/>
    <row r="430" ht="13" customHeight="1"/>
    <row r="431" ht="13" customHeight="1"/>
    <row r="432" ht="13" customHeight="1"/>
    <row r="433" ht="13" customHeight="1"/>
    <row r="434" ht="13" customHeight="1"/>
    <row r="435" ht="13" customHeight="1"/>
    <row r="436" ht="13" customHeight="1"/>
    <row r="437" ht="13" customHeight="1"/>
    <row r="438" ht="13" customHeight="1"/>
    <row r="439" ht="13" customHeight="1"/>
    <row r="440" ht="13" customHeight="1"/>
    <row r="441" ht="13" customHeight="1"/>
    <row r="442" ht="13" customHeight="1"/>
    <row r="443" ht="13" customHeight="1"/>
    <row r="444" ht="13" customHeight="1"/>
    <row r="445" ht="13" customHeight="1"/>
    <row r="446" ht="13" customHeight="1"/>
    <row r="447" ht="13" customHeight="1"/>
    <row r="448" ht="13" customHeight="1"/>
    <row r="449" ht="13" customHeight="1"/>
    <row r="450" ht="13" customHeight="1"/>
    <row r="451" ht="13" customHeight="1"/>
    <row r="452" ht="13" customHeight="1"/>
    <row r="453" ht="13" customHeight="1"/>
    <row r="454" ht="13" customHeight="1"/>
    <row r="455" ht="13" customHeight="1"/>
    <row r="456" ht="13" customHeight="1"/>
    <row r="457" ht="13" customHeight="1"/>
    <row r="458" ht="13" customHeight="1"/>
    <row r="459" ht="13" customHeight="1"/>
    <row r="460" ht="13" customHeight="1"/>
    <row r="461" ht="13" customHeight="1"/>
    <row r="462" ht="13" customHeight="1"/>
    <row r="463" ht="13" customHeight="1"/>
    <row r="464" ht="13" customHeight="1"/>
    <row r="465" ht="13" customHeight="1"/>
    <row r="466" ht="13" customHeight="1"/>
    <row r="467" ht="13" customHeight="1"/>
    <row r="468" ht="13" customHeight="1"/>
    <row r="469" ht="13" customHeight="1"/>
    <row r="470" ht="13" customHeight="1"/>
    <row r="471" ht="13" customHeight="1"/>
    <row r="472" ht="13" customHeight="1"/>
    <row r="473" ht="13" customHeight="1"/>
    <row r="474" ht="13" customHeight="1"/>
    <row r="475" ht="13" customHeight="1"/>
    <row r="476" ht="13" customHeight="1"/>
    <row r="477" ht="13" customHeight="1"/>
    <row r="478" ht="13" customHeight="1"/>
    <row r="479" ht="13" customHeight="1"/>
    <row r="480" ht="13" customHeight="1"/>
    <row r="481" ht="13" customHeight="1"/>
    <row r="482" ht="13" customHeight="1"/>
    <row r="483" ht="13" customHeight="1"/>
    <row r="484" ht="13" customHeight="1"/>
    <row r="485" ht="13" customHeight="1"/>
    <row r="486" ht="13" customHeight="1"/>
    <row r="487" ht="13" customHeight="1"/>
    <row r="488" ht="13" customHeight="1"/>
    <row r="489" ht="13" customHeight="1"/>
    <row r="490" ht="13" customHeight="1"/>
    <row r="491" ht="13" customHeight="1"/>
    <row r="492" ht="13" customHeight="1"/>
    <row r="493" ht="13" customHeight="1"/>
    <row r="494" ht="13" customHeight="1"/>
    <row r="495" ht="13" customHeight="1"/>
    <row r="496" ht="13" customHeight="1"/>
    <row r="497" ht="13" customHeight="1"/>
    <row r="498" ht="13" customHeight="1"/>
    <row r="499" ht="13" customHeight="1"/>
    <row r="500" ht="13" customHeight="1"/>
    <row r="501" ht="13" customHeight="1"/>
    <row r="502" ht="13" customHeight="1"/>
    <row r="503" ht="13" customHeight="1"/>
    <row r="504" ht="13" customHeight="1"/>
    <row r="505" ht="13" customHeight="1"/>
    <row r="506" ht="13" customHeight="1"/>
    <row r="507" ht="13" customHeight="1"/>
    <row r="508" ht="13" customHeight="1"/>
    <row r="509" ht="13" customHeight="1"/>
    <row r="510" ht="13" customHeight="1"/>
    <row r="511" ht="13" customHeight="1"/>
    <row r="512" ht="13" customHeight="1"/>
    <row r="513" ht="13" customHeight="1"/>
    <row r="514" ht="13" customHeight="1"/>
    <row r="515" ht="13" customHeight="1"/>
    <row r="516" ht="13" customHeight="1"/>
    <row r="517" ht="13" customHeight="1"/>
    <row r="518" ht="13" customHeight="1"/>
    <row r="519" ht="13" customHeight="1"/>
    <row r="520" ht="13" customHeight="1"/>
    <row r="521" ht="13" customHeight="1"/>
    <row r="522" ht="13" customHeight="1"/>
    <row r="523" ht="13" customHeight="1"/>
    <row r="524" ht="13" customHeight="1"/>
    <row r="525" ht="13" customHeight="1"/>
    <row r="526" ht="13" customHeight="1"/>
    <row r="527" ht="13" customHeight="1"/>
    <row r="528" ht="13" customHeight="1"/>
    <row r="529" ht="13" customHeight="1"/>
    <row r="530" ht="13" customHeight="1"/>
    <row r="531" ht="13" customHeight="1"/>
    <row r="532" ht="13" customHeight="1"/>
    <row r="533" ht="13" customHeight="1"/>
    <row r="534" ht="13" customHeight="1"/>
    <row r="535" ht="13" customHeight="1"/>
    <row r="536" ht="13" customHeight="1"/>
    <row r="537" ht="13" customHeight="1"/>
    <row r="538" ht="13" customHeight="1"/>
    <row r="539" ht="13" customHeight="1"/>
    <row r="540" ht="13" customHeight="1"/>
    <row r="541" ht="13" customHeight="1"/>
    <row r="542" ht="13" customHeight="1"/>
    <row r="543" ht="13" customHeight="1"/>
    <row r="544" ht="13" customHeight="1"/>
    <row r="545" ht="13" customHeight="1"/>
    <row r="546" ht="13" customHeight="1"/>
    <row r="547" ht="13" customHeight="1"/>
    <row r="548" ht="13" customHeight="1"/>
    <row r="549" ht="13" customHeight="1"/>
  </sheetData>
  <mergeCells count="23">
    <mergeCell ref="C40:J46"/>
    <mergeCell ref="C48:J54"/>
    <mergeCell ref="M32:V32"/>
    <mergeCell ref="M33:V33"/>
    <mergeCell ref="M34:V34"/>
    <mergeCell ref="M35:V35"/>
    <mergeCell ref="B36:K36"/>
    <mergeCell ref="B2:K2"/>
    <mergeCell ref="A2:A36"/>
    <mergeCell ref="L2:L36"/>
    <mergeCell ref="N47:U47"/>
    <mergeCell ref="M1:V1"/>
    <mergeCell ref="C27:J34"/>
    <mergeCell ref="N2:U2"/>
    <mergeCell ref="N36:U36"/>
    <mergeCell ref="M37:V37"/>
    <mergeCell ref="M30:V30"/>
    <mergeCell ref="M31:V31"/>
    <mergeCell ref="M3:V8"/>
    <mergeCell ref="M9:V15"/>
    <mergeCell ref="B37:K37"/>
    <mergeCell ref="M29:V29"/>
    <mergeCell ref="M16:V28"/>
  </mergeCells>
  <phoneticPr fontId="153" type="noConversion"/>
  <pageMargins left="1.25" right="1.25" top="1.25" bottom="1.25" header="0.3" footer="0.3"/>
  <rowBreaks count="1" manualBreakCount="1">
    <brk id="35" max="16383" man="1"/>
  </rowBreaks>
  <colBreaks count="1" manualBreakCount="1">
    <brk id="22" max="1048575" man="1"/>
  </colBreaks>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J210"/>
  <sheetViews>
    <sheetView topLeftCell="B1" workbookViewId="0">
      <selection activeCell="C4" sqref="C4:J42"/>
    </sheetView>
  </sheetViews>
  <sheetFormatPr baseColWidth="10" defaultColWidth="8.83203125" defaultRowHeight="11" x14ac:dyDescent="0"/>
  <cols>
    <col min="1" max="1" width="4.83203125" style="3" customWidth="1"/>
    <col min="2" max="2" width="5.5" style="3" customWidth="1"/>
    <col min="3" max="3" width="4.83203125" style="3" customWidth="1"/>
    <col min="4" max="4" width="12.83203125" style="3" customWidth="1"/>
    <col min="5" max="6" width="11.33203125" style="3" customWidth="1"/>
    <col min="7" max="8" width="12" style="3" customWidth="1"/>
    <col min="9" max="10" width="10.83203125" style="3" customWidth="1"/>
    <col min="11" max="11" width="9.83203125" style="3" customWidth="1"/>
    <col min="12" max="12" width="10" style="3" customWidth="1"/>
    <col min="13" max="18" width="9.83203125" style="3" customWidth="1"/>
    <col min="19" max="19" width="6.1640625" style="3" customWidth="1"/>
    <col min="20" max="20" width="4.83203125" style="3" customWidth="1"/>
    <col min="21" max="21" width="6.83203125" style="3" customWidth="1"/>
    <col min="22" max="22" width="14.83203125" style="3" customWidth="1"/>
    <col min="23" max="24" width="28.83203125" style="3" customWidth="1"/>
    <col min="25" max="25" width="14.83203125" style="3" customWidth="1"/>
    <col min="26" max="26" width="8.1640625" style="3" customWidth="1"/>
    <col min="27" max="27" width="9.5" style="3" customWidth="1"/>
    <col min="28" max="28" width="6.83203125" style="3" customWidth="1"/>
    <col min="29" max="29" width="5.6640625" style="3" customWidth="1"/>
    <col min="30" max="31" width="28.83203125" style="3" customWidth="1"/>
    <col min="32" max="16384" width="8.83203125" style="3"/>
  </cols>
  <sheetData>
    <row r="1" spans="1:34" ht="18" customHeight="1">
      <c r="A1" s="402"/>
      <c r="B1" s="1549" t="s">
        <v>1066</v>
      </c>
      <c r="C1" s="1549"/>
      <c r="D1" s="1549"/>
      <c r="E1" s="1549"/>
      <c r="F1" s="1549"/>
      <c r="G1" s="1549"/>
      <c r="H1" s="1549"/>
      <c r="I1" s="1549"/>
      <c r="J1" s="1549"/>
      <c r="K1" s="1549"/>
      <c r="L1" s="1549"/>
      <c r="M1" s="1549"/>
      <c r="N1" s="1549"/>
      <c r="O1" s="1549"/>
      <c r="P1" s="1549"/>
      <c r="Q1" s="1549"/>
      <c r="R1" s="1549"/>
      <c r="S1" s="1549"/>
      <c r="T1" s="402"/>
      <c r="U1" s="403"/>
      <c r="V1" s="404"/>
      <c r="W1" s="404"/>
      <c r="X1" s="404"/>
      <c r="Y1" s="404"/>
      <c r="Z1" s="404"/>
      <c r="AA1" s="404"/>
      <c r="AB1" s="405"/>
      <c r="AC1" s="272"/>
      <c r="AD1" s="272"/>
      <c r="AE1" s="272"/>
      <c r="AF1" s="265"/>
      <c r="AG1" s="265"/>
      <c r="AH1" s="265"/>
    </row>
    <row r="2" spans="1:34" ht="20" customHeight="1">
      <c r="A2" s="1597" t="s">
        <v>1066</v>
      </c>
      <c r="B2" s="1564" t="s">
        <v>1203</v>
      </c>
      <c r="C2" s="1564"/>
      <c r="D2" s="1564"/>
      <c r="E2" s="1564"/>
      <c r="F2" s="1564"/>
      <c r="G2" s="1564"/>
      <c r="H2" s="1564"/>
      <c r="I2" s="1564"/>
      <c r="J2" s="1564"/>
      <c r="K2" s="1564"/>
      <c r="L2" s="1564"/>
      <c r="M2" s="1564"/>
      <c r="N2" s="1564"/>
      <c r="O2" s="1564"/>
      <c r="P2" s="1564"/>
      <c r="Q2" s="1564"/>
      <c r="R2" s="1564"/>
      <c r="S2" s="1564"/>
      <c r="T2" s="1597" t="s">
        <v>1066</v>
      </c>
      <c r="U2" s="400" t="str">
        <f>W49</f>
        <v>AR</v>
      </c>
      <c r="V2" s="1565" t="s">
        <v>1204</v>
      </c>
      <c r="W2" s="1565"/>
      <c r="X2" s="1565"/>
      <c r="Y2" s="1565"/>
      <c r="Z2" s="1565"/>
      <c r="AA2" s="1565"/>
      <c r="AB2" s="401"/>
      <c r="AC2" s="272"/>
      <c r="AD2" s="272"/>
      <c r="AE2" s="272"/>
      <c r="AF2" s="265"/>
      <c r="AG2" s="265"/>
      <c r="AH2" s="265"/>
    </row>
    <row r="3" spans="1:34" ht="21" customHeight="1">
      <c r="A3" s="1597"/>
      <c r="B3" s="406"/>
      <c r="C3" s="407"/>
      <c r="D3" s="407"/>
      <c r="E3" s="407"/>
      <c r="F3" s="407"/>
      <c r="G3" s="407"/>
      <c r="H3" s="407"/>
      <c r="I3" s="1598" t="s">
        <v>1352</v>
      </c>
      <c r="J3" s="1598"/>
      <c r="K3" s="1598" t="s">
        <v>1353</v>
      </c>
      <c r="L3" s="1598"/>
      <c r="M3" s="1598" t="s">
        <v>1354</v>
      </c>
      <c r="N3" s="1598"/>
      <c r="O3" s="1598" t="s">
        <v>1355</v>
      </c>
      <c r="P3" s="1598"/>
      <c r="Q3" s="1598" t="s">
        <v>1356</v>
      </c>
      <c r="R3" s="1598"/>
      <c r="S3" s="407"/>
      <c r="T3" s="1597"/>
      <c r="U3" s="1533" t="s">
        <v>1195</v>
      </c>
      <c r="V3" s="1534"/>
      <c r="W3" s="1534"/>
      <c r="X3" s="1534"/>
      <c r="Y3" s="1534"/>
      <c r="Z3" s="1534"/>
      <c r="AA3" s="1534"/>
      <c r="AB3" s="1535"/>
      <c r="AC3" s="738"/>
      <c r="AD3" s="738"/>
      <c r="AE3" s="738"/>
      <c r="AF3" s="265"/>
      <c r="AG3" s="265"/>
      <c r="AH3" s="265"/>
    </row>
    <row r="4" spans="1:34" ht="22" customHeight="1">
      <c r="A4" s="1597"/>
      <c r="B4" s="406"/>
      <c r="C4" s="1501" t="str">
        <f>W49</f>
        <v>AR</v>
      </c>
      <c r="D4" s="1652" t="s">
        <v>1027</v>
      </c>
      <c r="E4" s="1653"/>
      <c r="F4" s="1653"/>
      <c r="G4" s="1653"/>
      <c r="H4" s="1653"/>
      <c r="I4" s="1500"/>
      <c r="J4" s="1502"/>
      <c r="K4" s="538"/>
      <c r="L4" s="538"/>
      <c r="M4" s="538"/>
      <c r="N4" s="538"/>
      <c r="O4" s="538"/>
      <c r="P4" s="538"/>
      <c r="Q4" s="538"/>
      <c r="R4" s="538"/>
      <c r="S4" s="407"/>
      <c r="T4" s="1597"/>
      <c r="U4" s="1536"/>
      <c r="V4" s="1537"/>
      <c r="W4" s="1537"/>
      <c r="X4" s="1537"/>
      <c r="Y4" s="1537"/>
      <c r="Z4" s="1537"/>
      <c r="AA4" s="1537"/>
      <c r="AB4" s="1538"/>
      <c r="AC4" s="738"/>
      <c r="AD4" s="738"/>
      <c r="AE4" s="738"/>
      <c r="AF4" s="265"/>
      <c r="AG4" s="265"/>
      <c r="AH4" s="265"/>
    </row>
    <row r="5" spans="1:34" ht="15" customHeight="1">
      <c r="A5" s="1597"/>
      <c r="B5" s="406"/>
      <c r="C5" s="1648" t="str">
        <f>W50</f>
        <v>FY2010-11</v>
      </c>
      <c r="D5" s="1649"/>
      <c r="E5" s="1613"/>
      <c r="F5" s="1614"/>
      <c r="G5" s="1613" t="s">
        <v>1366</v>
      </c>
      <c r="H5" s="1614"/>
      <c r="I5" s="1607" t="str">
        <f>W52</f>
        <v>Little Rock</v>
      </c>
      <c r="J5" s="1608"/>
      <c r="K5" s="1609" t="str">
        <f>W53</f>
        <v>FA2L1</v>
      </c>
      <c r="L5" s="1610"/>
      <c r="M5" s="1609" t="str">
        <f>W54</f>
        <v>FA3L1</v>
      </c>
      <c r="N5" s="1610"/>
      <c r="O5" s="1609" t="str">
        <f>W55</f>
        <v>FA4L1</v>
      </c>
      <c r="P5" s="1610"/>
      <c r="Q5" s="1609" t="str">
        <f>W56</f>
        <v>FA5L1</v>
      </c>
      <c r="R5" s="1610"/>
      <c r="S5" s="407"/>
      <c r="T5" s="1597"/>
      <c r="U5" s="1536"/>
      <c r="V5" s="1537"/>
      <c r="W5" s="1537"/>
      <c r="X5" s="1537"/>
      <c r="Y5" s="1537"/>
      <c r="Z5" s="1537"/>
      <c r="AA5" s="1537"/>
      <c r="AB5" s="1538"/>
      <c r="AC5" s="738"/>
      <c r="AD5" s="738"/>
      <c r="AE5" s="738"/>
      <c r="AF5" s="265"/>
      <c r="AG5" s="265"/>
      <c r="AH5" s="265"/>
    </row>
    <row r="6" spans="1:34" ht="15" customHeight="1" thickBot="1">
      <c r="A6" s="1597"/>
      <c r="B6" s="406"/>
      <c r="C6" s="1650"/>
      <c r="D6" s="1651"/>
      <c r="E6" s="1595" t="s">
        <v>1351</v>
      </c>
      <c r="F6" s="1596"/>
      <c r="G6" s="1595" t="s">
        <v>1170</v>
      </c>
      <c r="H6" s="1596"/>
      <c r="I6" s="1605" t="str">
        <f>X52</f>
        <v>School District</v>
      </c>
      <c r="J6" s="1606"/>
      <c r="K6" s="1611" t="str">
        <f>X53</f>
        <v>FA2L2</v>
      </c>
      <c r="L6" s="1612"/>
      <c r="M6" s="1615" t="str">
        <f>X54</f>
        <v>FA3L2</v>
      </c>
      <c r="N6" s="1616"/>
      <c r="O6" s="1615" t="str">
        <f>X55</f>
        <v>FA4L2</v>
      </c>
      <c r="P6" s="1616"/>
      <c r="Q6" s="1611" t="str">
        <f>X56</f>
        <v>FA5L2</v>
      </c>
      <c r="R6" s="1612"/>
      <c r="S6" s="407"/>
      <c r="T6" s="1597"/>
      <c r="U6" s="1536"/>
      <c r="V6" s="1537"/>
      <c r="W6" s="1537"/>
      <c r="X6" s="1537"/>
      <c r="Y6" s="1537"/>
      <c r="Z6" s="1537"/>
      <c r="AA6" s="1537"/>
      <c r="AB6" s="1538"/>
      <c r="AC6" s="738"/>
      <c r="AD6" s="738"/>
      <c r="AE6" s="738"/>
      <c r="AF6" s="265"/>
      <c r="AG6" s="265"/>
      <c r="AH6" s="265"/>
    </row>
    <row r="7" spans="1:34" ht="15" customHeight="1">
      <c r="A7" s="1597"/>
      <c r="B7" s="409"/>
      <c r="C7" s="1503" t="s">
        <v>1370</v>
      </c>
      <c r="D7" s="575"/>
      <c r="E7" s="573"/>
      <c r="F7" s="573"/>
      <c r="G7" s="573"/>
      <c r="H7" s="573"/>
      <c r="I7" s="573"/>
      <c r="J7" s="1504"/>
      <c r="K7" s="573"/>
      <c r="L7" s="573"/>
      <c r="M7" s="573"/>
      <c r="N7" s="573"/>
      <c r="O7" s="573"/>
      <c r="P7" s="573"/>
      <c r="Q7" s="573"/>
      <c r="R7" s="573"/>
      <c r="S7" s="410"/>
      <c r="T7" s="1597"/>
      <c r="U7" s="1536"/>
      <c r="V7" s="1537"/>
      <c r="W7" s="1537"/>
      <c r="X7" s="1537"/>
      <c r="Y7" s="1537"/>
      <c r="Z7" s="1537"/>
      <c r="AA7" s="1537"/>
      <c r="AB7" s="1538"/>
      <c r="AC7" s="738"/>
      <c r="AD7" s="738"/>
      <c r="AE7" s="738"/>
      <c r="AF7" s="265"/>
      <c r="AG7" s="265"/>
      <c r="AH7" s="265"/>
    </row>
    <row r="8" spans="1:34" ht="15" customHeight="1">
      <c r="A8" s="1597"/>
      <c r="B8" s="406"/>
      <c r="C8" s="1638" t="s">
        <v>1365</v>
      </c>
      <c r="D8" s="1639"/>
      <c r="E8" s="1498"/>
      <c r="F8" s="525">
        <f>E19</f>
        <v>11373.740177609156</v>
      </c>
      <c r="G8" s="531"/>
      <c r="H8" s="515">
        <f>G19</f>
        <v>12521.209816178927</v>
      </c>
      <c r="I8" s="518"/>
      <c r="J8" s="1505">
        <f>I19</f>
        <v>14411.408437216214</v>
      </c>
      <c r="K8" s="545"/>
      <c r="L8" s="564" t="e">
        <f>K19</f>
        <v>#DIV/0!</v>
      </c>
      <c r="M8" s="545"/>
      <c r="N8" s="564" t="e">
        <f>M19</f>
        <v>#DIV/0!</v>
      </c>
      <c r="O8" s="545"/>
      <c r="P8" s="564" t="e">
        <f>O19</f>
        <v>#DIV/0!</v>
      </c>
      <c r="Q8" s="545"/>
      <c r="R8" s="564" t="e">
        <f>Q19</f>
        <v>#DIV/0!</v>
      </c>
      <c r="S8" s="407"/>
      <c r="T8" s="1597"/>
      <c r="U8" s="1536"/>
      <c r="V8" s="1537"/>
      <c r="W8" s="1537"/>
      <c r="X8" s="1537"/>
      <c r="Y8" s="1537"/>
      <c r="Z8" s="1537"/>
      <c r="AA8" s="1537"/>
      <c r="AB8" s="1538"/>
      <c r="AC8" s="738"/>
      <c r="AD8" s="738"/>
      <c r="AE8" s="738"/>
      <c r="AF8" s="265"/>
      <c r="AG8" s="265"/>
      <c r="AH8" s="265"/>
    </row>
    <row r="9" spans="1:34" ht="15" customHeight="1">
      <c r="A9" s="1597"/>
      <c r="B9" s="406"/>
      <c r="C9" s="1640" t="s">
        <v>1364</v>
      </c>
      <c r="D9" s="1641"/>
      <c r="E9" s="539"/>
      <c r="F9" s="526">
        <f>F19</f>
        <v>8391.5664842271308</v>
      </c>
      <c r="G9" s="532"/>
      <c r="H9" s="516">
        <f>H19</f>
        <v>8391.5664842271308</v>
      </c>
      <c r="I9" s="519"/>
      <c r="J9" s="1506">
        <f>J19</f>
        <v>8150.9314335126828</v>
      </c>
      <c r="K9" s="540"/>
      <c r="L9" s="565" t="e">
        <f>L19</f>
        <v>#DIV/0!</v>
      </c>
      <c r="M9" s="540"/>
      <c r="N9" s="565" t="e">
        <f>N19</f>
        <v>#DIV/0!</v>
      </c>
      <c r="O9" s="540"/>
      <c r="P9" s="565" t="e">
        <f>P19</f>
        <v>#DIV/0!</v>
      </c>
      <c r="Q9" s="540"/>
      <c r="R9" s="565" t="e">
        <f>R19</f>
        <v>#DIV/0!</v>
      </c>
      <c r="S9" s="407"/>
      <c r="T9" s="1597"/>
      <c r="U9" s="1536"/>
      <c r="V9" s="1537"/>
      <c r="W9" s="1537"/>
      <c r="X9" s="1537"/>
      <c r="Y9" s="1537"/>
      <c r="Z9" s="1537"/>
      <c r="AA9" s="1537"/>
      <c r="AB9" s="1538"/>
      <c r="AC9" s="738"/>
      <c r="AD9" s="738"/>
      <c r="AE9" s="738"/>
      <c r="AF9" s="265"/>
      <c r="AG9" s="265"/>
      <c r="AH9" s="265"/>
    </row>
    <row r="10" spans="1:34" ht="15" customHeight="1">
      <c r="A10" s="1597"/>
      <c r="B10" s="406"/>
      <c r="C10" s="1640" t="s">
        <v>1371</v>
      </c>
      <c r="D10" s="1641"/>
      <c r="E10" s="540"/>
      <c r="F10" s="527">
        <f>F9-F8</f>
        <v>-2982.1736933820248</v>
      </c>
      <c r="G10" s="532"/>
      <c r="H10" s="517">
        <f>H9-H8</f>
        <v>-4129.6433319517964</v>
      </c>
      <c r="I10" s="519"/>
      <c r="J10" s="1507">
        <f>J9-J8</f>
        <v>-6260.4770037035314</v>
      </c>
      <c r="K10" s="540"/>
      <c r="L10" s="566" t="e">
        <f>L9-L8</f>
        <v>#DIV/0!</v>
      </c>
      <c r="M10" s="540"/>
      <c r="N10" s="566" t="e">
        <f>N9-N8</f>
        <v>#DIV/0!</v>
      </c>
      <c r="O10" s="540"/>
      <c r="P10" s="566" t="e">
        <f>P9-P8</f>
        <v>#DIV/0!</v>
      </c>
      <c r="Q10" s="540"/>
      <c r="R10" s="566" t="e">
        <f>R9-R8</f>
        <v>#DIV/0!</v>
      </c>
      <c r="S10" s="407"/>
      <c r="T10" s="1597"/>
      <c r="U10" s="1539"/>
      <c r="V10" s="1540"/>
      <c r="W10" s="1540"/>
      <c r="X10" s="1540"/>
      <c r="Y10" s="1540"/>
      <c r="Z10" s="1540"/>
      <c r="AA10" s="1540"/>
      <c r="AB10" s="1541"/>
      <c r="AC10" s="738"/>
      <c r="AD10" s="738"/>
      <c r="AE10" s="738"/>
      <c r="AF10" s="265"/>
      <c r="AG10" s="265"/>
      <c r="AH10" s="265"/>
    </row>
    <row r="11" spans="1:34" ht="15" customHeight="1" thickBot="1">
      <c r="A11" s="1597"/>
      <c r="B11" s="406"/>
      <c r="C11" s="1640" t="s">
        <v>1372</v>
      </c>
      <c r="D11" s="1641"/>
      <c r="E11" s="546"/>
      <c r="F11" s="547">
        <f>F10/F8</f>
        <v>-0.26219815529572787</v>
      </c>
      <c r="G11" s="548"/>
      <c r="H11" s="549">
        <f>H10/H8</f>
        <v>-0.32981184666483221</v>
      </c>
      <c r="I11" s="550"/>
      <c r="J11" s="1508">
        <f>J10/J8</f>
        <v>-0.43441118409609375</v>
      </c>
      <c r="K11" s="551"/>
      <c r="L11" s="567" t="e">
        <f>L10/L8</f>
        <v>#DIV/0!</v>
      </c>
      <c r="M11" s="551"/>
      <c r="N11" s="567" t="e">
        <f>N10/N8</f>
        <v>#DIV/0!</v>
      </c>
      <c r="O11" s="551"/>
      <c r="P11" s="567" t="e">
        <f>P10/P8</f>
        <v>#DIV/0!</v>
      </c>
      <c r="Q11" s="551"/>
      <c r="R11" s="567" t="e">
        <f>R10/R8</f>
        <v>#DIV/0!</v>
      </c>
      <c r="S11" s="407"/>
      <c r="T11" s="1597"/>
      <c r="U11" s="1522"/>
      <c r="V11" s="1523"/>
      <c r="W11" s="1523"/>
      <c r="X11" s="1523"/>
      <c r="Y11" s="1523"/>
      <c r="Z11" s="1523"/>
      <c r="AA11" s="1523"/>
      <c r="AB11" s="1524"/>
      <c r="AC11" s="738"/>
      <c r="AD11" s="738"/>
      <c r="AE11" s="738"/>
      <c r="AF11" s="265"/>
      <c r="AG11" s="265"/>
      <c r="AH11" s="265"/>
    </row>
    <row r="12" spans="1:34" ht="42" customHeight="1">
      <c r="A12" s="1597"/>
      <c r="B12" s="406"/>
      <c r="C12" s="1662" t="s">
        <v>1373</v>
      </c>
      <c r="D12" s="1663"/>
      <c r="E12" s="552" t="s">
        <v>1365</v>
      </c>
      <c r="F12" s="553" t="s">
        <v>1364</v>
      </c>
      <c r="G12" s="552" t="s">
        <v>1365</v>
      </c>
      <c r="H12" s="555" t="s">
        <v>1364</v>
      </c>
      <c r="I12" s="554" t="s">
        <v>1365</v>
      </c>
      <c r="J12" s="1509" t="s">
        <v>1364</v>
      </c>
      <c r="K12" s="552" t="s">
        <v>1365</v>
      </c>
      <c r="L12" s="568" t="s">
        <v>1364</v>
      </c>
      <c r="M12" s="552" t="s">
        <v>1365</v>
      </c>
      <c r="N12" s="568" t="s">
        <v>1364</v>
      </c>
      <c r="O12" s="552" t="s">
        <v>1365</v>
      </c>
      <c r="P12" s="568" t="s">
        <v>1364</v>
      </c>
      <c r="Q12" s="552" t="s">
        <v>1365</v>
      </c>
      <c r="R12" s="568" t="s">
        <v>1364</v>
      </c>
      <c r="S12" s="407"/>
      <c r="T12" s="1597"/>
      <c r="U12" s="1525"/>
      <c r="V12" s="1526"/>
      <c r="W12" s="1526"/>
      <c r="X12" s="1526"/>
      <c r="Y12" s="1526"/>
      <c r="Z12" s="1526"/>
      <c r="AA12" s="1526"/>
      <c r="AB12" s="1527"/>
      <c r="AC12" s="738"/>
      <c r="AD12" s="738"/>
      <c r="AE12" s="738"/>
      <c r="AF12" s="265"/>
      <c r="AG12" s="265"/>
      <c r="AH12" s="265"/>
    </row>
    <row r="13" spans="1:34" ht="15" customHeight="1">
      <c r="A13" s="1597"/>
      <c r="B13" s="406"/>
      <c r="C13" s="1510" t="s">
        <v>1345</v>
      </c>
      <c r="D13" s="578"/>
      <c r="E13" s="541">
        <f>'$REV-DSUM'!B26/E21</f>
        <v>1766.4904299931325</v>
      </c>
      <c r="F13" s="498">
        <f>'$REV-DSUM'!B96/E23</f>
        <v>1211.0079085173504</v>
      </c>
      <c r="G13" s="533">
        <f>'$REV-DB'!AS22</f>
        <v>1982.763526927457</v>
      </c>
      <c r="H13" s="559">
        <f t="shared" ref="H13:H18" si="0">F13</f>
        <v>1211.0079085173504</v>
      </c>
      <c r="I13" s="520">
        <f>'$REV-DSUM'!B166/I21</f>
        <v>2339.0249005201026</v>
      </c>
      <c r="J13" s="1511">
        <f>'$REV-DSUM'!B236/I23</f>
        <v>1294.6825941583397</v>
      </c>
      <c r="K13" s="541" t="e">
        <f>'$REV-DSUM'!B306/K21</f>
        <v>#DIV/0!</v>
      </c>
      <c r="L13" s="569" t="e">
        <f>'$REV-DSUM'!B376/K23</f>
        <v>#DIV/0!</v>
      </c>
      <c r="M13" s="541" t="e">
        <f>'$REV-DSUM'!B446/M21</f>
        <v>#DIV/0!</v>
      </c>
      <c r="N13" s="569" t="e">
        <f>'$REV-DSUM'!B516/M23</f>
        <v>#DIV/0!</v>
      </c>
      <c r="O13" s="541" t="e">
        <f>'$REV-DSUM'!B586/O21</f>
        <v>#DIV/0!</v>
      </c>
      <c r="P13" s="569" t="e">
        <f>'$REV-DSUM'!B656/O23</f>
        <v>#DIV/0!</v>
      </c>
      <c r="Q13" s="541" t="e">
        <f>'$REV-DSUM'!B726/Q21</f>
        <v>#DIV/0!</v>
      </c>
      <c r="R13" s="569" t="e">
        <f>'$REV-DSUM'!B796/Q23</f>
        <v>#DIV/0!</v>
      </c>
      <c r="S13" s="407"/>
      <c r="T13" s="1597"/>
      <c r="U13" s="1525"/>
      <c r="V13" s="1526"/>
      <c r="W13" s="1526"/>
      <c r="X13" s="1526"/>
      <c r="Y13" s="1526"/>
      <c r="Z13" s="1526"/>
      <c r="AA13" s="1526"/>
      <c r="AB13" s="1527"/>
      <c r="AC13" s="738"/>
      <c r="AD13" s="738"/>
      <c r="AE13" s="738"/>
      <c r="AF13" s="265"/>
      <c r="AG13" s="265"/>
      <c r="AH13" s="265"/>
    </row>
    <row r="14" spans="1:34" ht="15" customHeight="1">
      <c r="A14" s="1597"/>
      <c r="B14" s="406"/>
      <c r="C14" s="1512" t="s">
        <v>1344</v>
      </c>
      <c r="D14" s="580"/>
      <c r="E14" s="542">
        <f>'$REV-DSUM'!B36/E21</f>
        <v>5140.8759576745479</v>
      </c>
      <c r="F14" s="528">
        <f>'$REV-DSUM'!B106/E23</f>
        <v>6239.4890867507893</v>
      </c>
      <c r="G14" s="534">
        <f>'$REV-DB'!AS23</f>
        <v>5322.6685927303633</v>
      </c>
      <c r="H14" s="560">
        <f t="shared" si="0"/>
        <v>6239.4890867507893</v>
      </c>
      <c r="I14" s="521">
        <f>'$REV-DSUM'!B176/I21</f>
        <v>5622.1311462891108</v>
      </c>
      <c r="J14" s="1513">
        <f>'$REV-DSUM'!B246/I23</f>
        <v>6138.5867025365105</v>
      </c>
      <c r="K14" s="542" t="e">
        <f>'$REV-DSUM'!B316/K21</f>
        <v>#DIV/0!</v>
      </c>
      <c r="L14" s="570" t="e">
        <f>'$REV-DSUM'!B386/K23</f>
        <v>#DIV/0!</v>
      </c>
      <c r="M14" s="542" t="e">
        <f>'$REV-DSUM'!B456/M21</f>
        <v>#DIV/0!</v>
      </c>
      <c r="N14" s="570" t="e">
        <f>'$REV-DSUM'!B526/M23</f>
        <v>#DIV/0!</v>
      </c>
      <c r="O14" s="542" t="e">
        <f>'$REV-DSUM'!B596/O21</f>
        <v>#DIV/0!</v>
      </c>
      <c r="P14" s="570" t="e">
        <f>'$REV-DSUM'!B666/O23</f>
        <v>#DIV/0!</v>
      </c>
      <c r="Q14" s="542" t="e">
        <f>'$REV-DSUM'!B736/Q21</f>
        <v>#DIV/0!</v>
      </c>
      <c r="R14" s="570" t="e">
        <f>'$REV-DSUM'!B806/Q23</f>
        <v>#DIV/0!</v>
      </c>
      <c r="S14" s="407"/>
      <c r="T14" s="1597"/>
      <c r="U14" s="1525"/>
      <c r="V14" s="1526"/>
      <c r="W14" s="1526"/>
      <c r="X14" s="1526"/>
      <c r="Y14" s="1526"/>
      <c r="Z14" s="1526"/>
      <c r="AA14" s="1526"/>
      <c r="AB14" s="1527"/>
      <c r="AC14" s="738"/>
      <c r="AD14" s="738"/>
      <c r="AE14" s="738"/>
      <c r="AF14" s="265"/>
      <c r="AG14" s="265"/>
      <c r="AH14" s="265"/>
    </row>
    <row r="15" spans="1:34" ht="15" customHeight="1">
      <c r="A15" s="1597"/>
      <c r="B15" s="406"/>
      <c r="C15" s="1512" t="s">
        <v>1343</v>
      </c>
      <c r="D15" s="580"/>
      <c r="E15" s="542">
        <f>'$REV-DSUM'!B46/E21</f>
        <v>3140.2022210136538</v>
      </c>
      <c r="F15" s="528">
        <f>'$REV-DSUM'!B116/E23</f>
        <v>0</v>
      </c>
      <c r="G15" s="534">
        <f>'$REV-DB'!AS24</f>
        <v>4130.9810122293638</v>
      </c>
      <c r="H15" s="560">
        <f t="shared" si="0"/>
        <v>0</v>
      </c>
      <c r="I15" s="521">
        <f>'$REV-DSUM'!B186/I21</f>
        <v>5763.0666395608023</v>
      </c>
      <c r="J15" s="1513">
        <f>'$REV-DSUM'!B256/I23</f>
        <v>0</v>
      </c>
      <c r="K15" s="542" t="e">
        <f>'$REV-DSUM'!B326/K21</f>
        <v>#DIV/0!</v>
      </c>
      <c r="L15" s="570" t="e">
        <f>'$REV-DSUM'!B396/K23</f>
        <v>#DIV/0!</v>
      </c>
      <c r="M15" s="542" t="e">
        <f>'$REV-DSUM'!B466/M21</f>
        <v>#DIV/0!</v>
      </c>
      <c r="N15" s="570" t="e">
        <f>'$REV-DSUM'!B536/M23</f>
        <v>#DIV/0!</v>
      </c>
      <c r="O15" s="542" t="e">
        <f>'$REV-DSUM'!B606/O21</f>
        <v>#DIV/0!</v>
      </c>
      <c r="P15" s="570" t="e">
        <f>'$REV-DSUM'!B676/O23</f>
        <v>#DIV/0!</v>
      </c>
      <c r="Q15" s="542" t="e">
        <f>'$REV-DSUM'!B746/Q21</f>
        <v>#DIV/0!</v>
      </c>
      <c r="R15" s="570" t="e">
        <f>'$REV-DSUM'!B816/Q23</f>
        <v>#DIV/0!</v>
      </c>
      <c r="S15" s="407"/>
      <c r="T15" s="1597"/>
      <c r="U15" s="1525"/>
      <c r="V15" s="1526"/>
      <c r="W15" s="1526"/>
      <c r="X15" s="1526"/>
      <c r="Y15" s="1526"/>
      <c r="Z15" s="1526"/>
      <c r="AA15" s="1526"/>
      <c r="AB15" s="1527"/>
      <c r="AC15" s="738"/>
      <c r="AD15" s="738"/>
      <c r="AE15" s="738"/>
      <c r="AF15" s="265"/>
      <c r="AG15" s="265"/>
      <c r="AH15" s="265"/>
    </row>
    <row r="16" spans="1:34" ht="15" customHeight="1">
      <c r="A16" s="1597"/>
      <c r="B16" s="406"/>
      <c r="C16" s="1512" t="s">
        <v>1349</v>
      </c>
      <c r="D16" s="580"/>
      <c r="E16" s="542">
        <f>'$REV-DSUM'!B56/E21</f>
        <v>1319.3725258331722</v>
      </c>
      <c r="F16" s="528">
        <f>'$REV-DSUM'!B126/E23</f>
        <v>941.06948895899052</v>
      </c>
      <c r="G16" s="534">
        <f>'$REV-DB'!AS25</f>
        <v>1080.2289391178711</v>
      </c>
      <c r="H16" s="560">
        <f t="shared" si="0"/>
        <v>941.06948895899052</v>
      </c>
      <c r="I16" s="521">
        <f>'$REV-DSUM'!B196/I21</f>
        <v>686.29356806736564</v>
      </c>
      <c r="J16" s="1513">
        <f>'$REV-DSUM'!B266/I23</f>
        <v>717.66213681783245</v>
      </c>
      <c r="K16" s="542" t="e">
        <f>'$REV-DSUM'!B336/K21</f>
        <v>#DIV/0!</v>
      </c>
      <c r="L16" s="570" t="e">
        <f>'$REV-DSUM'!B406/K23</f>
        <v>#DIV/0!</v>
      </c>
      <c r="M16" s="542" t="e">
        <f>'$REV-DSUM'!B476/M21</f>
        <v>#DIV/0!</v>
      </c>
      <c r="N16" s="570" t="e">
        <f>'$REV-DSUM'!B546/M23</f>
        <v>#DIV/0!</v>
      </c>
      <c r="O16" s="542" t="e">
        <f>'$REV-DSUM'!B616/O21</f>
        <v>#DIV/0!</v>
      </c>
      <c r="P16" s="570" t="e">
        <f>'$REV-DSUM'!B686/O23</f>
        <v>#DIV/0!</v>
      </c>
      <c r="Q16" s="542" t="e">
        <f>'$REV-DSUM'!B756/Q21</f>
        <v>#DIV/0!</v>
      </c>
      <c r="R16" s="570" t="e">
        <f>'$REV-DSUM'!B826/Q23</f>
        <v>#DIV/0!</v>
      </c>
      <c r="S16" s="407"/>
      <c r="T16" s="1597"/>
      <c r="U16" s="1525"/>
      <c r="V16" s="1526"/>
      <c r="W16" s="1526"/>
      <c r="X16" s="1526"/>
      <c r="Y16" s="1526"/>
      <c r="Z16" s="1526"/>
      <c r="AA16" s="1526"/>
      <c r="AB16" s="1527"/>
      <c r="AC16" s="738"/>
      <c r="AD16" s="738"/>
      <c r="AE16" s="738"/>
      <c r="AF16" s="265"/>
      <c r="AG16" s="265"/>
      <c r="AH16" s="265"/>
    </row>
    <row r="17" spans="1:34" ht="15" customHeight="1">
      <c r="A17" s="1597"/>
      <c r="B17" s="406"/>
      <c r="C17" s="1512" t="s">
        <v>1177</v>
      </c>
      <c r="D17" s="580"/>
      <c r="E17" s="542">
        <f>'$REV-DSUM'!B66/E21</f>
        <v>6.7990430946504929</v>
      </c>
      <c r="F17" s="528">
        <f>'$REV-DSUM'!B136/E23</f>
        <v>0</v>
      </c>
      <c r="G17" s="534">
        <f>'$REV-DB'!AS26</f>
        <v>4.5677451738728001</v>
      </c>
      <c r="H17" s="560">
        <f t="shared" si="0"/>
        <v>0</v>
      </c>
      <c r="I17" s="521">
        <f>'$REV-DSUM'!B206/I21</f>
        <v>0.89218277883265917</v>
      </c>
      <c r="J17" s="1513">
        <f>'$REV-DSUM'!B276/I23</f>
        <v>0</v>
      </c>
      <c r="K17" s="542" t="e">
        <f>'$REV-DSUM'!B346/K21</f>
        <v>#DIV/0!</v>
      </c>
      <c r="L17" s="570" t="e">
        <f>'$REV-DSUM'!B416/K23</f>
        <v>#DIV/0!</v>
      </c>
      <c r="M17" s="542" t="e">
        <f>'$REV-DSUM'!B486/M21</f>
        <v>#DIV/0!</v>
      </c>
      <c r="N17" s="570" t="e">
        <f>'$REV-DSUM'!B556/M23</f>
        <v>#DIV/0!</v>
      </c>
      <c r="O17" s="542" t="e">
        <f>'$REV-DSUM'!B626/O21</f>
        <v>#DIV/0!</v>
      </c>
      <c r="P17" s="570" t="e">
        <f>'$REV-DSUM'!B696/O23</f>
        <v>#DIV/0!</v>
      </c>
      <c r="Q17" s="542" t="e">
        <f>'$REV-DSUM'!B766/Q21</f>
        <v>#DIV/0!</v>
      </c>
      <c r="R17" s="570" t="e">
        <f>'$REV-DSUM'!B836/Q23</f>
        <v>#DIV/0!</v>
      </c>
      <c r="S17" s="407"/>
      <c r="T17" s="1597"/>
      <c r="U17" s="1525"/>
      <c r="V17" s="1526"/>
      <c r="W17" s="1526"/>
      <c r="X17" s="1526"/>
      <c r="Y17" s="1526"/>
      <c r="Z17" s="1526"/>
      <c r="AA17" s="1526"/>
      <c r="AB17" s="1527"/>
      <c r="AC17" s="738"/>
      <c r="AD17" s="738"/>
      <c r="AE17" s="738"/>
      <c r="AF17" s="265"/>
      <c r="AG17" s="265"/>
      <c r="AH17" s="265"/>
    </row>
    <row r="18" spans="1:34" ht="15" customHeight="1">
      <c r="A18" s="1597"/>
      <c r="B18" s="406"/>
      <c r="C18" s="1512" t="s">
        <v>1350</v>
      </c>
      <c r="D18" s="580"/>
      <c r="E18" s="542">
        <f>'$REV-DSUM'!B76/E21</f>
        <v>0</v>
      </c>
      <c r="F18" s="528">
        <f>'$REV-DSUM'!B146/E23</f>
        <v>0</v>
      </c>
      <c r="G18" s="534">
        <f>'$REV-DB'!AS27</f>
        <v>0</v>
      </c>
      <c r="H18" s="560">
        <f t="shared" si="0"/>
        <v>0</v>
      </c>
      <c r="I18" s="521">
        <f>'$REV-DSUM'!B216/I21</f>
        <v>0</v>
      </c>
      <c r="J18" s="1513">
        <f>'$REV-DSUM'!B286/I23</f>
        <v>0</v>
      </c>
      <c r="K18" s="542" t="e">
        <f>'$REV-DSUM'!B356/K21</f>
        <v>#DIV/0!</v>
      </c>
      <c r="L18" s="570" t="e">
        <f>'$REV-DSUM'!B426/K23</f>
        <v>#DIV/0!</v>
      </c>
      <c r="M18" s="542" t="e">
        <f>'$REV-DSUM'!B496/M21</f>
        <v>#DIV/0!</v>
      </c>
      <c r="N18" s="570" t="e">
        <f>'$REV-DSUM'!B566/M23</f>
        <v>#DIV/0!</v>
      </c>
      <c r="O18" s="542" t="e">
        <f>'$REV-DSUM'!B636/O21</f>
        <v>#DIV/0!</v>
      </c>
      <c r="P18" s="570" t="e">
        <f>'$REV-DSUM'!B706/O23</f>
        <v>#DIV/0!</v>
      </c>
      <c r="Q18" s="542" t="e">
        <f>'$REV-DSUM'!B776/Q21</f>
        <v>#DIV/0!</v>
      </c>
      <c r="R18" s="570" t="e">
        <f>'$REV-DSUM'!B846/Q23</f>
        <v>#DIV/0!</v>
      </c>
      <c r="S18" s="407"/>
      <c r="T18" s="1597"/>
      <c r="U18" s="1528"/>
      <c r="V18" s="1529"/>
      <c r="W18" s="1529"/>
      <c r="X18" s="1529"/>
      <c r="Y18" s="1529"/>
      <c r="Z18" s="1529"/>
      <c r="AA18" s="1529"/>
      <c r="AB18" s="1530"/>
      <c r="AC18" s="738"/>
      <c r="AD18" s="738"/>
      <c r="AE18" s="738"/>
      <c r="AF18" s="265"/>
      <c r="AG18" s="265"/>
      <c r="AH18" s="265"/>
    </row>
    <row r="19" spans="1:34" ht="15" customHeight="1" thickBot="1">
      <c r="A19" s="1597"/>
      <c r="B19" s="406"/>
      <c r="C19" s="1512" t="s">
        <v>1346</v>
      </c>
      <c r="D19" s="580"/>
      <c r="E19" s="542">
        <f>SUM(E13:E18)</f>
        <v>11373.740177609156</v>
      </c>
      <c r="F19" s="528">
        <f>SUM(F13:F18)</f>
        <v>8391.5664842271308</v>
      </c>
      <c r="G19" s="562">
        <f>SUM(G13:G18)</f>
        <v>12521.209816178927</v>
      </c>
      <c r="H19" s="561">
        <f>SUM(H13:H18)</f>
        <v>8391.5664842271308</v>
      </c>
      <c r="I19" s="521">
        <f t="shared" ref="I19:R19" si="1">SUM(I13:I18)</f>
        <v>14411.408437216214</v>
      </c>
      <c r="J19" s="1514">
        <f t="shared" si="1"/>
        <v>8150.9314335126828</v>
      </c>
      <c r="K19" s="542" t="e">
        <f t="shared" si="1"/>
        <v>#DIV/0!</v>
      </c>
      <c r="L19" s="570" t="e">
        <f t="shared" si="1"/>
        <v>#DIV/0!</v>
      </c>
      <c r="M19" s="542" t="e">
        <f t="shared" si="1"/>
        <v>#DIV/0!</v>
      </c>
      <c r="N19" s="863" t="e">
        <f t="shared" si="1"/>
        <v>#DIV/0!</v>
      </c>
      <c r="O19" s="542" t="e">
        <f t="shared" si="1"/>
        <v>#DIV/0!</v>
      </c>
      <c r="P19" s="863" t="e">
        <f t="shared" si="1"/>
        <v>#DIV/0!</v>
      </c>
      <c r="Q19" s="542" t="e">
        <f t="shared" si="1"/>
        <v>#DIV/0!</v>
      </c>
      <c r="R19" s="570" t="e">
        <f t="shared" si="1"/>
        <v>#DIV/0!</v>
      </c>
      <c r="S19" s="407"/>
      <c r="T19" s="1597"/>
      <c r="U19" s="1522"/>
      <c r="V19" s="1523"/>
      <c r="W19" s="1523"/>
      <c r="X19" s="1523"/>
      <c r="Y19" s="1523"/>
      <c r="Z19" s="1523"/>
      <c r="AA19" s="1523"/>
      <c r="AB19" s="1524"/>
      <c r="AC19" s="738"/>
      <c r="AD19" s="1491" t="s">
        <v>1473</v>
      </c>
      <c r="AE19" s="738"/>
      <c r="AF19" s="265"/>
      <c r="AG19" s="265"/>
      <c r="AH19" s="265"/>
    </row>
    <row r="20" spans="1:34" ht="15" customHeight="1">
      <c r="A20" s="1597"/>
      <c r="B20" s="409"/>
      <c r="C20" s="1503" t="s">
        <v>1374</v>
      </c>
      <c r="D20" s="575"/>
      <c r="E20" s="573"/>
      <c r="F20" s="573"/>
      <c r="G20" s="573"/>
      <c r="H20" s="573"/>
      <c r="I20" s="573"/>
      <c r="J20" s="1504"/>
      <c r="K20" s="573"/>
      <c r="L20" s="573"/>
      <c r="M20" s="573"/>
      <c r="N20" s="573"/>
      <c r="O20" s="573"/>
      <c r="P20" s="573"/>
      <c r="Q20" s="573"/>
      <c r="R20" s="573"/>
      <c r="S20" s="410"/>
      <c r="T20" s="1597"/>
      <c r="U20" s="1525"/>
      <c r="V20" s="1526"/>
      <c r="W20" s="1526"/>
      <c r="X20" s="1526"/>
      <c r="Y20" s="1526"/>
      <c r="Z20" s="1526"/>
      <c r="AA20" s="1526"/>
      <c r="AB20" s="1527"/>
      <c r="AC20" s="738"/>
      <c r="AD20" s="1492" t="s">
        <v>1474</v>
      </c>
      <c r="AE20" s="738"/>
      <c r="AF20" s="265"/>
      <c r="AG20" s="265"/>
      <c r="AH20" s="265"/>
    </row>
    <row r="21" spans="1:34" ht="22" customHeight="1">
      <c r="A21" s="1597"/>
      <c r="B21" s="406"/>
      <c r="C21" s="1664" t="s">
        <v>1365</v>
      </c>
      <c r="D21" s="1665"/>
      <c r="E21" s="1583">
        <f>'ENR#-DSUM'!B13</f>
        <v>461519</v>
      </c>
      <c r="F21" s="1625"/>
      <c r="G21" s="1617" t="s">
        <v>1477</v>
      </c>
      <c r="H21" s="1618"/>
      <c r="I21" s="1591">
        <f>'ENR#-DSUM'!B33</f>
        <v>24226</v>
      </c>
      <c r="J21" s="1592"/>
      <c r="K21" s="1583">
        <f>'ENR#-DSUM'!B53</f>
        <v>0</v>
      </c>
      <c r="L21" s="1584"/>
      <c r="M21" s="1583">
        <f>'ENR#-DSUM'!B73</f>
        <v>0</v>
      </c>
      <c r="N21" s="1584"/>
      <c r="O21" s="1583">
        <f>'ENR#-DSUM'!B93</f>
        <v>0</v>
      </c>
      <c r="P21" s="1584"/>
      <c r="Q21" s="1583">
        <f>'ENR#-DSUM'!B113</f>
        <v>0</v>
      </c>
      <c r="R21" s="1584"/>
      <c r="S21" s="407"/>
      <c r="T21" s="1597"/>
      <c r="U21" s="1525"/>
      <c r="V21" s="1526"/>
      <c r="W21" s="1526"/>
      <c r="X21" s="1526"/>
      <c r="Y21" s="1526"/>
      <c r="Z21" s="1526"/>
      <c r="AA21" s="1526"/>
      <c r="AB21" s="1527"/>
      <c r="AC21" s="738"/>
      <c r="AD21" s="1493">
        <f>I21/E21</f>
        <v>5.2491880074276465E-2</v>
      </c>
      <c r="AE21" s="738"/>
      <c r="AF21" s="265"/>
      <c r="AG21" s="265"/>
      <c r="AH21" s="265"/>
    </row>
    <row r="22" spans="1:34" ht="22" customHeight="1">
      <c r="A22" s="1597"/>
      <c r="B22" s="406"/>
      <c r="C22" s="1666"/>
      <c r="D22" s="1667"/>
      <c r="E22" s="1581">
        <f>E21/(E21+E23)</f>
        <v>0.9864489087524233</v>
      </c>
      <c r="F22" s="1626"/>
      <c r="G22" s="1619"/>
      <c r="H22" s="1620"/>
      <c r="I22" s="1593">
        <f>I21/(I21+I23)</f>
        <v>0.90301177873863125</v>
      </c>
      <c r="J22" s="1594"/>
      <c r="K22" s="1581" t="e">
        <f>K21/(K21+K23)</f>
        <v>#DIV/0!</v>
      </c>
      <c r="L22" s="1582"/>
      <c r="M22" s="1581" t="e">
        <f>M21/(M21+M23)</f>
        <v>#DIV/0!</v>
      </c>
      <c r="N22" s="1582"/>
      <c r="O22" s="1581" t="e">
        <f>O21/(O21+O23)</f>
        <v>#DIV/0!</v>
      </c>
      <c r="P22" s="1582"/>
      <c r="Q22" s="1581" t="e">
        <f>Q21/(Q21+Q23)</f>
        <v>#DIV/0!</v>
      </c>
      <c r="R22" s="1582"/>
      <c r="S22" s="407"/>
      <c r="T22" s="1597"/>
      <c r="U22" s="1525"/>
      <c r="V22" s="1526"/>
      <c r="W22" s="1526"/>
      <c r="X22" s="1526"/>
      <c r="Y22" s="1526"/>
      <c r="Z22" s="1526"/>
      <c r="AA22" s="1526"/>
      <c r="AB22" s="1527"/>
      <c r="AC22" s="738"/>
      <c r="AD22" s="1493"/>
      <c r="AE22" s="738"/>
      <c r="AF22" s="265"/>
      <c r="AG22" s="265"/>
      <c r="AH22" s="265"/>
    </row>
    <row r="23" spans="1:34" ht="22" customHeight="1">
      <c r="A23" s="1597"/>
      <c r="B23" s="406"/>
      <c r="C23" s="1664" t="s">
        <v>1375</v>
      </c>
      <c r="D23" s="1665"/>
      <c r="E23" s="1583">
        <f>'ENR#-DSUM'!B23</f>
        <v>6340</v>
      </c>
      <c r="F23" s="1625"/>
      <c r="G23" s="1617" t="s">
        <v>1478</v>
      </c>
      <c r="H23" s="1618"/>
      <c r="I23" s="1591">
        <f>'ENR#-DSUM'!B43</f>
        <v>2602</v>
      </c>
      <c r="J23" s="1592"/>
      <c r="K23" s="1583">
        <f>'ENR#-DSUM'!B63</f>
        <v>0</v>
      </c>
      <c r="L23" s="1584"/>
      <c r="M23" s="1583">
        <f>'ENR#-DSUM'!B83</f>
        <v>0</v>
      </c>
      <c r="N23" s="1584"/>
      <c r="O23" s="1583">
        <f>'ENR#-DSUM'!B103</f>
        <v>0</v>
      </c>
      <c r="P23" s="1584"/>
      <c r="Q23" s="1583">
        <f>'ENR#-DSUM'!B123</f>
        <v>0</v>
      </c>
      <c r="R23" s="1584"/>
      <c r="S23" s="407"/>
      <c r="T23" s="1597"/>
      <c r="U23" s="1525"/>
      <c r="V23" s="1526"/>
      <c r="W23" s="1526"/>
      <c r="X23" s="1526"/>
      <c r="Y23" s="1526"/>
      <c r="Z23" s="1526"/>
      <c r="AA23" s="1526"/>
      <c r="AB23" s="1527"/>
      <c r="AC23" s="738"/>
      <c r="AD23" s="1493">
        <f>I23/E23</f>
        <v>0.410410094637224</v>
      </c>
      <c r="AE23" s="738"/>
      <c r="AF23" s="265"/>
      <c r="AG23" s="265"/>
      <c r="AH23" s="265"/>
    </row>
    <row r="24" spans="1:34" ht="22" customHeight="1">
      <c r="A24" s="1597"/>
      <c r="B24" s="406"/>
      <c r="C24" s="1666"/>
      <c r="D24" s="1667"/>
      <c r="E24" s="1581">
        <f>E23/(E23+E21)</f>
        <v>1.3551091247576728E-2</v>
      </c>
      <c r="F24" s="1626"/>
      <c r="G24" s="1619"/>
      <c r="H24" s="1620"/>
      <c r="I24" s="1593">
        <f>I23/(I23+I21)</f>
        <v>9.6988221261368718E-2</v>
      </c>
      <c r="J24" s="1594"/>
      <c r="K24" s="1581" t="e">
        <f>K23/(K23+K21)</f>
        <v>#DIV/0!</v>
      </c>
      <c r="L24" s="1582"/>
      <c r="M24" s="1581" t="e">
        <f>M23/(M23+M21)</f>
        <v>#DIV/0!</v>
      </c>
      <c r="N24" s="1582"/>
      <c r="O24" s="1581" t="e">
        <f>O23/(O23+O21)</f>
        <v>#DIV/0!</v>
      </c>
      <c r="P24" s="1582"/>
      <c r="Q24" s="1581" t="e">
        <f>Q23/(Q23+Q21)</f>
        <v>#DIV/0!</v>
      </c>
      <c r="R24" s="1582"/>
      <c r="S24" s="407"/>
      <c r="T24" s="1597"/>
      <c r="U24" s="1525"/>
      <c r="V24" s="1526"/>
      <c r="W24" s="1526"/>
      <c r="X24" s="1526"/>
      <c r="Y24" s="1526"/>
      <c r="Z24" s="1526"/>
      <c r="AA24" s="1526"/>
      <c r="AB24" s="1527"/>
      <c r="AC24" s="738"/>
      <c r="AD24" s="738"/>
      <c r="AE24" s="738"/>
      <c r="AF24" s="265"/>
      <c r="AG24" s="265"/>
      <c r="AH24" s="265"/>
    </row>
    <row r="25" spans="1:34" ht="15" customHeight="1">
      <c r="A25" s="1597"/>
      <c r="B25" s="406"/>
      <c r="C25" s="1515" t="s">
        <v>1475</v>
      </c>
      <c r="D25" s="1499"/>
      <c r="E25" s="1494"/>
      <c r="F25" s="1497">
        <f>E21+E23</f>
        <v>467859</v>
      </c>
      <c r="G25" s="1631" t="s">
        <v>1357</v>
      </c>
      <c r="H25" s="1632"/>
      <c r="I25" s="1495"/>
      <c r="J25" s="1516">
        <f>I21+I23</f>
        <v>26828</v>
      </c>
      <c r="K25" s="1494"/>
      <c r="L25" s="1496"/>
      <c r="M25" s="1494"/>
      <c r="N25" s="1496"/>
      <c r="O25" s="1494"/>
      <c r="P25" s="1496"/>
      <c r="Q25" s="1494"/>
      <c r="R25" s="1496"/>
      <c r="S25" s="407"/>
      <c r="T25" s="1597"/>
      <c r="U25" s="1525"/>
      <c r="V25" s="1526"/>
      <c r="W25" s="1526"/>
      <c r="X25" s="1526"/>
      <c r="Y25" s="1526"/>
      <c r="Z25" s="1526"/>
      <c r="AA25" s="1526"/>
      <c r="AB25" s="1527"/>
      <c r="AC25" s="738"/>
      <c r="AD25" s="738"/>
      <c r="AE25" s="738"/>
      <c r="AF25" s="265"/>
      <c r="AG25" s="265"/>
      <c r="AH25" s="265"/>
    </row>
    <row r="26" spans="1:34" ht="15" customHeight="1">
      <c r="A26" s="1597"/>
      <c r="B26" s="406"/>
      <c r="C26" s="1658" t="s">
        <v>1467</v>
      </c>
      <c r="D26" s="1659"/>
      <c r="E26" s="1585"/>
      <c r="F26" s="1599"/>
      <c r="G26" s="1621" t="s">
        <v>1357</v>
      </c>
      <c r="H26" s="1622"/>
      <c r="I26" s="1627"/>
      <c r="J26" s="1628"/>
      <c r="K26" s="1585"/>
      <c r="L26" s="1586"/>
      <c r="M26" s="1585"/>
      <c r="N26" s="1586"/>
      <c r="O26" s="1585"/>
      <c r="P26" s="1586"/>
      <c r="Q26" s="1585"/>
      <c r="R26" s="1586"/>
      <c r="S26" s="407"/>
      <c r="T26" s="1597"/>
      <c r="U26" s="1525"/>
      <c r="V26" s="1526"/>
      <c r="W26" s="1526"/>
      <c r="X26" s="1526"/>
      <c r="Y26" s="1526"/>
      <c r="Z26" s="1526"/>
      <c r="AA26" s="1526"/>
      <c r="AB26" s="1527"/>
      <c r="AC26" s="738"/>
      <c r="AD26" s="738"/>
      <c r="AE26" s="738"/>
      <c r="AF26" s="265"/>
      <c r="AG26" s="265"/>
      <c r="AH26" s="265"/>
    </row>
    <row r="27" spans="1:34" ht="15" customHeight="1" thickBot="1">
      <c r="A27" s="1597"/>
      <c r="B27" s="406"/>
      <c r="C27" s="1660"/>
      <c r="D27" s="1661"/>
      <c r="E27" s="1587">
        <f>Y57</f>
        <v>17</v>
      </c>
      <c r="F27" s="1600"/>
      <c r="G27" s="1623" t="s">
        <v>1357</v>
      </c>
      <c r="H27" s="1624"/>
      <c r="I27" s="1629">
        <f>Y52</f>
        <v>7</v>
      </c>
      <c r="J27" s="1630"/>
      <c r="K27" s="1587" t="str">
        <f>Y53</f>
        <v>#</v>
      </c>
      <c r="L27" s="1588"/>
      <c r="M27" s="1601" t="str">
        <f>Y54</f>
        <v>#</v>
      </c>
      <c r="N27" s="1602"/>
      <c r="O27" s="1601" t="str">
        <f>Y55</f>
        <v>#</v>
      </c>
      <c r="P27" s="1602"/>
      <c r="Q27" s="1587" t="str">
        <f>Y56</f>
        <v>#</v>
      </c>
      <c r="R27" s="1588"/>
      <c r="S27" s="407"/>
      <c r="T27" s="1597"/>
      <c r="U27" s="1525"/>
      <c r="V27" s="1526"/>
      <c r="W27" s="1526"/>
      <c r="X27" s="1526"/>
      <c r="Y27" s="1526"/>
      <c r="Z27" s="1526"/>
      <c r="AA27" s="1526"/>
      <c r="AB27" s="1527"/>
      <c r="AC27" s="738"/>
      <c r="AD27" s="738"/>
      <c r="AE27" s="738"/>
      <c r="AF27" s="265"/>
      <c r="AG27" s="265"/>
      <c r="AH27" s="265"/>
    </row>
    <row r="28" spans="1:34" ht="15" customHeight="1">
      <c r="A28" s="1597"/>
      <c r="B28" s="409"/>
      <c r="C28" s="1503" t="s">
        <v>1476</v>
      </c>
      <c r="D28" s="575"/>
      <c r="E28" s="574"/>
      <c r="F28" s="574"/>
      <c r="G28" s="576"/>
      <c r="H28" s="576"/>
      <c r="I28" s="574"/>
      <c r="J28" s="1517"/>
      <c r="K28" s="574"/>
      <c r="L28" s="574"/>
      <c r="M28" s="574"/>
      <c r="N28" s="574"/>
      <c r="O28" s="574"/>
      <c r="P28" s="574"/>
      <c r="Q28" s="574"/>
      <c r="R28" s="574"/>
      <c r="S28" s="410"/>
      <c r="T28" s="1597"/>
      <c r="U28" s="1525"/>
      <c r="V28" s="1526"/>
      <c r="W28" s="1526"/>
      <c r="X28" s="1526"/>
      <c r="Y28" s="1526"/>
      <c r="Z28" s="1526"/>
      <c r="AA28" s="1526"/>
      <c r="AB28" s="1527"/>
      <c r="AC28" s="738"/>
      <c r="AD28" s="738"/>
      <c r="AE28" s="738"/>
      <c r="AF28" s="265"/>
      <c r="AG28" s="265"/>
      <c r="AH28" s="265"/>
    </row>
    <row r="29" spans="1:34" ht="15" customHeight="1">
      <c r="A29" s="1597"/>
      <c r="B29" s="406"/>
      <c r="C29" s="1654" t="s">
        <v>1365</v>
      </c>
      <c r="D29" s="1655"/>
      <c r="E29" s="1603">
        <f>'$REV-DSUM'!B16</f>
        <v>5249197193.0299997</v>
      </c>
      <c r="F29" s="1604"/>
      <c r="G29" s="1589" t="s">
        <v>1357</v>
      </c>
      <c r="H29" s="1590"/>
      <c r="I29" s="1634">
        <f>'$REV-DSUM'!B156</f>
        <v>349130780.80000001</v>
      </c>
      <c r="J29" s="1635"/>
      <c r="K29" s="1603">
        <f>'$REV-DSUM'!B296</f>
        <v>0</v>
      </c>
      <c r="L29" s="1633"/>
      <c r="M29" s="1603">
        <f>'$REV-DSUM'!B436</f>
        <v>0</v>
      </c>
      <c r="N29" s="1633"/>
      <c r="O29" s="1603">
        <f>'$REV-DSUM'!B576</f>
        <v>0</v>
      </c>
      <c r="P29" s="1633"/>
      <c r="Q29" s="1603">
        <f>'$REV-DSUM'!B716</f>
        <v>0</v>
      </c>
      <c r="R29" s="1633"/>
      <c r="S29" s="407"/>
      <c r="T29" s="1597"/>
      <c r="U29" s="1525"/>
      <c r="V29" s="1526"/>
      <c r="W29" s="1526"/>
      <c r="X29" s="1526"/>
      <c r="Y29" s="1526"/>
      <c r="Z29" s="1526"/>
      <c r="AA29" s="1526"/>
      <c r="AB29" s="1527"/>
      <c r="AC29" s="738"/>
      <c r="AD29" s="738"/>
      <c r="AE29" s="738"/>
      <c r="AF29" s="265"/>
      <c r="AG29" s="265"/>
      <c r="AH29" s="265"/>
    </row>
    <row r="30" spans="1:34" ht="15" customHeight="1">
      <c r="A30" s="1597"/>
      <c r="B30" s="406"/>
      <c r="C30" s="1656"/>
      <c r="D30" s="1657"/>
      <c r="E30" s="1581">
        <f>E29/E33</f>
        <v>0.98996632953495112</v>
      </c>
      <c r="F30" s="1626"/>
      <c r="G30" s="1636" t="s">
        <v>1357</v>
      </c>
      <c r="H30" s="1637"/>
      <c r="I30" s="1593">
        <f>I29/I33</f>
        <v>0.94273167367080202</v>
      </c>
      <c r="J30" s="1594"/>
      <c r="K30" s="1581" t="e">
        <f>K29/K33</f>
        <v>#DIV/0!</v>
      </c>
      <c r="L30" s="1582"/>
      <c r="M30" s="1581" t="e">
        <f>M29/M33</f>
        <v>#DIV/0!</v>
      </c>
      <c r="N30" s="1582"/>
      <c r="O30" s="1581" t="e">
        <f>O29/O33</f>
        <v>#DIV/0!</v>
      </c>
      <c r="P30" s="1582"/>
      <c r="Q30" s="1581" t="e">
        <f>Q29/Q33</f>
        <v>#DIV/0!</v>
      </c>
      <c r="R30" s="1582"/>
      <c r="S30" s="407"/>
      <c r="T30" s="1597"/>
      <c r="U30" s="1525"/>
      <c r="V30" s="1526"/>
      <c r="W30" s="1526"/>
      <c r="X30" s="1526"/>
      <c r="Y30" s="1526"/>
      <c r="Z30" s="1526"/>
      <c r="AA30" s="1526"/>
      <c r="AB30" s="1527"/>
      <c r="AC30" s="738"/>
      <c r="AD30" s="738"/>
      <c r="AE30" s="738"/>
      <c r="AF30" s="265"/>
      <c r="AG30" s="265"/>
      <c r="AH30" s="265"/>
    </row>
    <row r="31" spans="1:34" ht="15" customHeight="1">
      <c r="A31" s="1597"/>
      <c r="B31" s="406"/>
      <c r="C31" s="1654" t="s">
        <v>1364</v>
      </c>
      <c r="D31" s="1655"/>
      <c r="E31" s="1603">
        <f>'$REV-DSUM'!B86</f>
        <v>53202531.510000013</v>
      </c>
      <c r="F31" s="1604"/>
      <c r="G31" s="1589" t="s">
        <v>1357</v>
      </c>
      <c r="H31" s="1590"/>
      <c r="I31" s="1634">
        <f>'$REV-DSUM'!B226</f>
        <v>21208723.59</v>
      </c>
      <c r="J31" s="1635"/>
      <c r="K31" s="1603">
        <f>'$REV-DSUM'!B366</f>
        <v>0</v>
      </c>
      <c r="L31" s="1633"/>
      <c r="M31" s="1603">
        <f>'$REV-DSUM'!B506</f>
        <v>0</v>
      </c>
      <c r="N31" s="1633"/>
      <c r="O31" s="1603">
        <f>'$REV-DSUM'!B646</f>
        <v>0</v>
      </c>
      <c r="P31" s="1633"/>
      <c r="Q31" s="1603">
        <f>'$REV-DSUM'!B786</f>
        <v>0</v>
      </c>
      <c r="R31" s="1633"/>
      <c r="S31" s="407"/>
      <c r="T31" s="1597"/>
      <c r="U31" s="1525"/>
      <c r="V31" s="1526"/>
      <c r="W31" s="1526"/>
      <c r="X31" s="1526"/>
      <c r="Y31" s="1526"/>
      <c r="Z31" s="1526"/>
      <c r="AA31" s="1526"/>
      <c r="AB31" s="1527"/>
      <c r="AC31" s="738"/>
      <c r="AD31" s="738"/>
      <c r="AE31" s="738"/>
      <c r="AF31" s="265"/>
      <c r="AG31" s="265"/>
      <c r="AH31" s="265"/>
    </row>
    <row r="32" spans="1:34" ht="15" customHeight="1">
      <c r="A32" s="1597"/>
      <c r="B32" s="406"/>
      <c r="C32" s="1656"/>
      <c r="D32" s="1657"/>
      <c r="E32" s="1581">
        <f>E31/E33</f>
        <v>1.0033670465048824E-2</v>
      </c>
      <c r="F32" s="1626"/>
      <c r="G32" s="1636" t="s">
        <v>1357</v>
      </c>
      <c r="H32" s="1637"/>
      <c r="I32" s="1593">
        <f>I31/I33</f>
        <v>5.7268326329198066E-2</v>
      </c>
      <c r="J32" s="1594"/>
      <c r="K32" s="1581" t="e">
        <f>K31/K33</f>
        <v>#DIV/0!</v>
      </c>
      <c r="L32" s="1582"/>
      <c r="M32" s="1581" t="e">
        <f>M31/M33</f>
        <v>#DIV/0!</v>
      </c>
      <c r="N32" s="1582"/>
      <c r="O32" s="1581" t="e">
        <f>O31/O33</f>
        <v>#DIV/0!</v>
      </c>
      <c r="P32" s="1582"/>
      <c r="Q32" s="1581" t="e">
        <f>Q31/Q33</f>
        <v>#DIV/0!</v>
      </c>
      <c r="R32" s="1582"/>
      <c r="S32" s="407"/>
      <c r="T32" s="1597"/>
      <c r="U32" s="1525"/>
      <c r="V32" s="1526"/>
      <c r="W32" s="1526"/>
      <c r="X32" s="1526"/>
      <c r="Y32" s="1526"/>
      <c r="Z32" s="1526"/>
      <c r="AA32" s="1526"/>
      <c r="AB32" s="1527"/>
      <c r="AC32" s="738"/>
      <c r="AD32" s="738"/>
      <c r="AE32" s="738"/>
      <c r="AF32" s="265"/>
      <c r="AG32" s="265"/>
      <c r="AH32" s="265"/>
    </row>
    <row r="33" spans="1:34" ht="15" customHeight="1" thickBot="1">
      <c r="A33" s="1597"/>
      <c r="B33" s="406"/>
      <c r="C33" s="1668" t="s">
        <v>1376</v>
      </c>
      <c r="D33" s="1669"/>
      <c r="E33" s="1603">
        <f>E29+E31</f>
        <v>5302399724.54</v>
      </c>
      <c r="F33" s="1604"/>
      <c r="G33" s="1589" t="s">
        <v>1357</v>
      </c>
      <c r="H33" s="1590"/>
      <c r="I33" s="1634">
        <f>I29+I31</f>
        <v>370339504.38999999</v>
      </c>
      <c r="J33" s="1635"/>
      <c r="K33" s="1603">
        <f>K29+K31</f>
        <v>0</v>
      </c>
      <c r="L33" s="1633"/>
      <c r="M33" s="1603">
        <f>M29+M31</f>
        <v>0</v>
      </c>
      <c r="N33" s="1633"/>
      <c r="O33" s="1603">
        <f>O29+O31</f>
        <v>0</v>
      </c>
      <c r="P33" s="1633"/>
      <c r="Q33" s="1603">
        <f>Q29+Q31</f>
        <v>0</v>
      </c>
      <c r="R33" s="1633"/>
      <c r="S33" s="407"/>
      <c r="T33" s="1597"/>
      <c r="U33" s="1525"/>
      <c r="V33" s="1526"/>
      <c r="W33" s="1526"/>
      <c r="X33" s="1526"/>
      <c r="Y33" s="1526"/>
      <c r="Z33" s="1526"/>
      <c r="AA33" s="1526"/>
      <c r="AB33" s="1527"/>
      <c r="AC33" s="738"/>
      <c r="AD33" s="738"/>
      <c r="AE33" s="738"/>
      <c r="AF33" s="265"/>
      <c r="AG33" s="265"/>
      <c r="AH33" s="265"/>
    </row>
    <row r="34" spans="1:34" ht="43.5" customHeight="1">
      <c r="A34" s="1597"/>
      <c r="B34" s="406"/>
      <c r="C34" s="1662" t="s">
        <v>1377</v>
      </c>
      <c r="D34" s="1663"/>
      <c r="E34" s="552" t="s">
        <v>1365</v>
      </c>
      <c r="F34" s="553" t="s">
        <v>1364</v>
      </c>
      <c r="G34" s="552" t="s">
        <v>1365</v>
      </c>
      <c r="H34" s="555" t="s">
        <v>1364</v>
      </c>
      <c r="I34" s="554" t="s">
        <v>1365</v>
      </c>
      <c r="J34" s="1509" t="s">
        <v>1364</v>
      </c>
      <c r="K34" s="552" t="s">
        <v>1365</v>
      </c>
      <c r="L34" s="568" t="s">
        <v>1364</v>
      </c>
      <c r="M34" s="552" t="s">
        <v>1365</v>
      </c>
      <c r="N34" s="568" t="s">
        <v>1364</v>
      </c>
      <c r="O34" s="552" t="s">
        <v>1365</v>
      </c>
      <c r="P34" s="568" t="s">
        <v>1364</v>
      </c>
      <c r="Q34" s="552" t="s">
        <v>1365</v>
      </c>
      <c r="R34" s="568" t="s">
        <v>1364</v>
      </c>
      <c r="S34" s="407"/>
      <c r="T34" s="1597"/>
      <c r="U34" s="1528"/>
      <c r="V34" s="1529"/>
      <c r="W34" s="1529"/>
      <c r="X34" s="1529"/>
      <c r="Y34" s="1529"/>
      <c r="Z34" s="1529"/>
      <c r="AA34" s="1529"/>
      <c r="AB34" s="1530"/>
      <c r="AC34" s="738"/>
      <c r="AD34" s="738"/>
      <c r="AE34" s="738"/>
      <c r="AF34" s="265"/>
      <c r="AG34" s="265"/>
      <c r="AH34" s="265"/>
    </row>
    <row r="35" spans="1:34" ht="15" customHeight="1">
      <c r="A35" s="1597"/>
      <c r="B35" s="406"/>
      <c r="C35" s="1638" t="s">
        <v>1345</v>
      </c>
      <c r="D35" s="1639"/>
      <c r="E35" s="543">
        <f t="shared" ref="E35:R35" si="2">E13/E19</f>
        <v>0.15531306346092932</v>
      </c>
      <c r="F35" s="529">
        <f t="shared" si="2"/>
        <v>0.14431249645624242</v>
      </c>
      <c r="G35" s="535">
        <f t="shared" si="2"/>
        <v>0.15835239214388733</v>
      </c>
      <c r="H35" s="556">
        <f t="shared" si="2"/>
        <v>0.14431249645624242</v>
      </c>
      <c r="I35" s="522">
        <f t="shared" si="2"/>
        <v>0.16230369923315568</v>
      </c>
      <c r="J35" s="1518">
        <f t="shared" si="2"/>
        <v>0.15883860693947588</v>
      </c>
      <c r="K35" s="543" t="e">
        <f t="shared" si="2"/>
        <v>#DIV/0!</v>
      </c>
      <c r="L35" s="571" t="e">
        <f t="shared" si="2"/>
        <v>#DIV/0!</v>
      </c>
      <c r="M35" s="543" t="e">
        <f t="shared" si="2"/>
        <v>#DIV/0!</v>
      </c>
      <c r="N35" s="571" t="e">
        <f t="shared" si="2"/>
        <v>#DIV/0!</v>
      </c>
      <c r="O35" s="543" t="e">
        <f t="shared" si="2"/>
        <v>#DIV/0!</v>
      </c>
      <c r="P35" s="571" t="e">
        <f t="shared" si="2"/>
        <v>#DIV/0!</v>
      </c>
      <c r="Q35" s="543" t="e">
        <f t="shared" si="2"/>
        <v>#DIV/0!</v>
      </c>
      <c r="R35" s="571" t="e">
        <f t="shared" si="2"/>
        <v>#DIV/0!</v>
      </c>
      <c r="S35" s="407"/>
      <c r="T35" s="1597"/>
      <c r="U35" s="1580" t="s">
        <v>1041</v>
      </c>
      <c r="V35" s="1580"/>
      <c r="W35" s="1580"/>
      <c r="X35" s="1580"/>
      <c r="Y35" s="1580"/>
      <c r="Z35" s="1580"/>
      <c r="AA35" s="1580"/>
      <c r="AB35" s="1580"/>
      <c r="AC35" s="738"/>
      <c r="AD35" s="738"/>
      <c r="AE35" s="738"/>
      <c r="AF35" s="265"/>
      <c r="AG35" s="265"/>
      <c r="AH35" s="265"/>
    </row>
    <row r="36" spans="1:34" ht="15" customHeight="1">
      <c r="A36" s="1597"/>
      <c r="B36" s="406"/>
      <c r="C36" s="1640" t="s">
        <v>1344</v>
      </c>
      <c r="D36" s="1641"/>
      <c r="E36" s="544">
        <f t="shared" ref="E36:R36" si="3">E14/E19</f>
        <v>0.45199519923930581</v>
      </c>
      <c r="F36" s="530">
        <f t="shared" si="3"/>
        <v>0.74354282939646521</v>
      </c>
      <c r="G36" s="536">
        <f t="shared" si="3"/>
        <v>0.42509219722944247</v>
      </c>
      <c r="H36" s="557">
        <f t="shared" si="3"/>
        <v>0.74354282939646521</v>
      </c>
      <c r="I36" s="523">
        <f t="shared" si="3"/>
        <v>0.39011670308159779</v>
      </c>
      <c r="J36" s="1519">
        <f t="shared" si="3"/>
        <v>0.75311475168317754</v>
      </c>
      <c r="K36" s="544" t="e">
        <f t="shared" si="3"/>
        <v>#DIV/0!</v>
      </c>
      <c r="L36" s="572" t="e">
        <f t="shared" si="3"/>
        <v>#DIV/0!</v>
      </c>
      <c r="M36" s="544" t="e">
        <f t="shared" si="3"/>
        <v>#DIV/0!</v>
      </c>
      <c r="N36" s="572" t="e">
        <f t="shared" si="3"/>
        <v>#DIV/0!</v>
      </c>
      <c r="O36" s="544" t="e">
        <f t="shared" si="3"/>
        <v>#DIV/0!</v>
      </c>
      <c r="P36" s="572" t="e">
        <f t="shared" si="3"/>
        <v>#DIV/0!</v>
      </c>
      <c r="Q36" s="544" t="e">
        <f t="shared" si="3"/>
        <v>#DIV/0!</v>
      </c>
      <c r="R36" s="572" t="e">
        <f t="shared" si="3"/>
        <v>#DIV/0!</v>
      </c>
      <c r="S36" s="407"/>
      <c r="T36" s="1597"/>
      <c r="U36" s="1580"/>
      <c r="V36" s="1580"/>
      <c r="W36" s="1580"/>
      <c r="X36" s="1580"/>
      <c r="Y36" s="1580"/>
      <c r="Z36" s="1580"/>
      <c r="AA36" s="1580"/>
      <c r="AB36" s="1580"/>
      <c r="AC36" s="738"/>
      <c r="AD36" s="738"/>
      <c r="AE36" s="738"/>
      <c r="AF36" s="265"/>
      <c r="AG36" s="265"/>
      <c r="AH36" s="265"/>
    </row>
    <row r="37" spans="1:34" ht="15" customHeight="1">
      <c r="A37" s="1597"/>
      <c r="B37" s="406"/>
      <c r="C37" s="1640" t="s">
        <v>1343</v>
      </c>
      <c r="D37" s="1641"/>
      <c r="E37" s="544">
        <f t="shared" ref="E37:R37" si="4">E15/E19</f>
        <v>0.27609231193759759</v>
      </c>
      <c r="F37" s="530">
        <f t="shared" si="4"/>
        <v>0</v>
      </c>
      <c r="G37" s="536">
        <f t="shared" si="4"/>
        <v>0.32991867981412099</v>
      </c>
      <c r="H37" s="557">
        <f t="shared" si="4"/>
        <v>0</v>
      </c>
      <c r="I37" s="523">
        <f t="shared" si="4"/>
        <v>0.39989614232833631</v>
      </c>
      <c r="J37" s="1519">
        <f t="shared" si="4"/>
        <v>0</v>
      </c>
      <c r="K37" s="544" t="e">
        <f t="shared" si="4"/>
        <v>#DIV/0!</v>
      </c>
      <c r="L37" s="572" t="e">
        <f t="shared" si="4"/>
        <v>#DIV/0!</v>
      </c>
      <c r="M37" s="544" t="e">
        <f t="shared" si="4"/>
        <v>#DIV/0!</v>
      </c>
      <c r="N37" s="572" t="e">
        <f t="shared" si="4"/>
        <v>#DIV/0!</v>
      </c>
      <c r="O37" s="544" t="e">
        <f t="shared" si="4"/>
        <v>#DIV/0!</v>
      </c>
      <c r="P37" s="572" t="e">
        <f t="shared" si="4"/>
        <v>#DIV/0!</v>
      </c>
      <c r="Q37" s="544" t="e">
        <f t="shared" si="4"/>
        <v>#DIV/0!</v>
      </c>
      <c r="R37" s="572" t="e">
        <f t="shared" si="4"/>
        <v>#DIV/0!</v>
      </c>
      <c r="S37" s="407"/>
      <c r="T37" s="1597"/>
      <c r="U37" s="1580"/>
      <c r="V37" s="1580"/>
      <c r="W37" s="1580"/>
      <c r="X37" s="1580"/>
      <c r="Y37" s="1580"/>
      <c r="Z37" s="1580"/>
      <c r="AA37" s="1580"/>
      <c r="AB37" s="1580"/>
      <c r="AC37" s="738"/>
      <c r="AD37" s="738"/>
      <c r="AE37" s="738"/>
      <c r="AF37" s="265"/>
      <c r="AG37" s="265"/>
      <c r="AH37" s="265"/>
    </row>
    <row r="38" spans="1:34" ht="15" customHeight="1">
      <c r="A38" s="1597"/>
      <c r="B38" s="406"/>
      <c r="C38" s="1640" t="s">
        <v>1349</v>
      </c>
      <c r="D38" s="1641"/>
      <c r="E38" s="544">
        <f>E16/E19</f>
        <v>0.11600164108114118</v>
      </c>
      <c r="F38" s="530">
        <f t="shared" ref="F38:R38" si="5">F16/F19</f>
        <v>0.11214467414729226</v>
      </c>
      <c r="G38" s="536">
        <f t="shared" si="5"/>
        <v>8.627193018697632E-2</v>
      </c>
      <c r="H38" s="557">
        <f t="shared" si="5"/>
        <v>0.11214467414729226</v>
      </c>
      <c r="I38" s="523">
        <f t="shared" si="5"/>
        <v>4.7621547266336016E-2</v>
      </c>
      <c r="J38" s="1519">
        <f t="shared" si="5"/>
        <v>8.8046641377346552E-2</v>
      </c>
      <c r="K38" s="544" t="e">
        <f t="shared" si="5"/>
        <v>#DIV/0!</v>
      </c>
      <c r="L38" s="572" t="e">
        <f t="shared" si="5"/>
        <v>#DIV/0!</v>
      </c>
      <c r="M38" s="544" t="e">
        <f t="shared" si="5"/>
        <v>#DIV/0!</v>
      </c>
      <c r="N38" s="572" t="e">
        <f t="shared" si="5"/>
        <v>#DIV/0!</v>
      </c>
      <c r="O38" s="544" t="e">
        <f t="shared" si="5"/>
        <v>#DIV/0!</v>
      </c>
      <c r="P38" s="572" t="e">
        <f t="shared" si="5"/>
        <v>#DIV/0!</v>
      </c>
      <c r="Q38" s="544" t="e">
        <f t="shared" si="5"/>
        <v>#DIV/0!</v>
      </c>
      <c r="R38" s="572" t="e">
        <f t="shared" si="5"/>
        <v>#DIV/0!</v>
      </c>
      <c r="S38" s="407"/>
      <c r="T38" s="1597"/>
      <c r="U38" s="1580"/>
      <c r="V38" s="1580"/>
      <c r="W38" s="1580"/>
      <c r="X38" s="1580"/>
      <c r="Y38" s="1580"/>
      <c r="Z38" s="1580"/>
      <c r="AA38" s="1580"/>
      <c r="AB38" s="1580"/>
      <c r="AC38" s="738"/>
      <c r="AD38" s="738"/>
      <c r="AE38" s="738"/>
      <c r="AF38" s="265"/>
      <c r="AG38" s="265"/>
      <c r="AH38" s="265"/>
    </row>
    <row r="39" spans="1:34" ht="15" customHeight="1">
      <c r="A39" s="1597"/>
      <c r="B39" s="406"/>
      <c r="C39" s="1640" t="s">
        <v>1177</v>
      </c>
      <c r="D39" s="1641"/>
      <c r="E39" s="544">
        <f t="shared" ref="E39:R39" si="6">E17/E19</f>
        <v>5.9778428102616476E-4</v>
      </c>
      <c r="F39" s="530">
        <f t="shared" si="6"/>
        <v>0</v>
      </c>
      <c r="G39" s="536">
        <f t="shared" si="6"/>
        <v>3.6480062557299513E-4</v>
      </c>
      <c r="H39" s="557">
        <f t="shared" si="6"/>
        <v>0</v>
      </c>
      <c r="I39" s="523">
        <f t="shared" si="6"/>
        <v>6.1908090574178329E-5</v>
      </c>
      <c r="J39" s="1519">
        <f t="shared" si="6"/>
        <v>0</v>
      </c>
      <c r="K39" s="544" t="e">
        <f t="shared" si="6"/>
        <v>#DIV/0!</v>
      </c>
      <c r="L39" s="572" t="e">
        <f t="shared" si="6"/>
        <v>#DIV/0!</v>
      </c>
      <c r="M39" s="544" t="e">
        <f t="shared" si="6"/>
        <v>#DIV/0!</v>
      </c>
      <c r="N39" s="572" t="e">
        <f t="shared" si="6"/>
        <v>#DIV/0!</v>
      </c>
      <c r="O39" s="544" t="e">
        <f t="shared" si="6"/>
        <v>#DIV/0!</v>
      </c>
      <c r="P39" s="572" t="e">
        <f t="shared" si="6"/>
        <v>#DIV/0!</v>
      </c>
      <c r="Q39" s="544" t="e">
        <f t="shared" si="6"/>
        <v>#DIV/0!</v>
      </c>
      <c r="R39" s="572" t="e">
        <f t="shared" si="6"/>
        <v>#DIV/0!</v>
      </c>
      <c r="S39" s="407"/>
      <c r="T39" s="1597"/>
      <c r="U39" s="1580"/>
      <c r="V39" s="1580"/>
      <c r="W39" s="1580"/>
      <c r="X39" s="1580"/>
      <c r="Y39" s="1580"/>
      <c r="Z39" s="1580"/>
      <c r="AA39" s="1580"/>
      <c r="AB39" s="1580"/>
      <c r="AC39" s="738"/>
      <c r="AD39" s="738"/>
      <c r="AE39" s="738"/>
      <c r="AF39" s="265"/>
      <c r="AG39" s="265"/>
      <c r="AH39" s="265"/>
    </row>
    <row r="40" spans="1:34" ht="15" customHeight="1" thickBot="1">
      <c r="A40" s="1597"/>
      <c r="B40" s="406"/>
      <c r="C40" s="1640" t="s">
        <v>1350</v>
      </c>
      <c r="D40" s="1641"/>
      <c r="E40" s="544">
        <f t="shared" ref="E40:R40" si="7">E18/E19</f>
        <v>0</v>
      </c>
      <c r="F40" s="530">
        <f t="shared" si="7"/>
        <v>0</v>
      </c>
      <c r="G40" s="563">
        <f t="shared" si="7"/>
        <v>0</v>
      </c>
      <c r="H40" s="558">
        <f t="shared" si="7"/>
        <v>0</v>
      </c>
      <c r="I40" s="864">
        <f t="shared" si="7"/>
        <v>0</v>
      </c>
      <c r="J40" s="1520">
        <f t="shared" si="7"/>
        <v>0</v>
      </c>
      <c r="K40" s="544" t="e">
        <f t="shared" si="7"/>
        <v>#DIV/0!</v>
      </c>
      <c r="L40" s="572" t="e">
        <f t="shared" si="7"/>
        <v>#DIV/0!</v>
      </c>
      <c r="M40" s="866" t="e">
        <f t="shared" si="7"/>
        <v>#DIV/0!</v>
      </c>
      <c r="N40" s="865" t="e">
        <f t="shared" si="7"/>
        <v>#DIV/0!</v>
      </c>
      <c r="O40" s="866" t="e">
        <f t="shared" si="7"/>
        <v>#DIV/0!</v>
      </c>
      <c r="P40" s="865" t="e">
        <f t="shared" si="7"/>
        <v>#DIV/0!</v>
      </c>
      <c r="Q40" s="544" t="e">
        <f t="shared" si="7"/>
        <v>#DIV/0!</v>
      </c>
      <c r="R40" s="572" t="e">
        <f t="shared" si="7"/>
        <v>#DIV/0!</v>
      </c>
      <c r="S40" s="407"/>
      <c r="T40" s="1597"/>
      <c r="U40" s="1550"/>
      <c r="V40" s="1551"/>
      <c r="W40" s="1551"/>
      <c r="X40" s="1551"/>
      <c r="Y40" s="1551"/>
      <c r="Z40" s="1551"/>
      <c r="AA40" s="1551"/>
      <c r="AB40" s="1552"/>
      <c r="AC40" s="738"/>
      <c r="AD40" s="738"/>
      <c r="AE40" s="738"/>
      <c r="AF40" s="265"/>
      <c r="AG40" s="265"/>
      <c r="AH40" s="265"/>
    </row>
    <row r="41" spans="1:34" ht="15" customHeight="1">
      <c r="A41" s="1597"/>
      <c r="B41" s="409"/>
      <c r="C41" s="1503" t="s">
        <v>1479</v>
      </c>
      <c r="D41" s="575"/>
      <c r="E41" s="573"/>
      <c r="F41" s="573"/>
      <c r="G41" s="573"/>
      <c r="H41" s="573"/>
      <c r="I41" s="573"/>
      <c r="J41" s="1504"/>
      <c r="K41" s="573"/>
      <c r="L41" s="573"/>
      <c r="M41" s="573"/>
      <c r="N41" s="573"/>
      <c r="O41" s="573"/>
      <c r="P41" s="573"/>
      <c r="Q41" s="573"/>
      <c r="R41" s="573"/>
      <c r="S41" s="410"/>
      <c r="T41" s="1597"/>
      <c r="U41" s="1550"/>
      <c r="V41" s="1551"/>
      <c r="W41" s="1551"/>
      <c r="X41" s="1551"/>
      <c r="Y41" s="1551"/>
      <c r="Z41" s="1551"/>
      <c r="AA41" s="1551"/>
      <c r="AB41" s="1552"/>
      <c r="AC41" s="738"/>
      <c r="AD41" s="738"/>
      <c r="AE41" s="738"/>
      <c r="AF41" s="265"/>
      <c r="AG41" s="265"/>
      <c r="AH41" s="265"/>
    </row>
    <row r="42" spans="1:34" ht="15" customHeight="1">
      <c r="A42" s="1597"/>
      <c r="B42" s="406"/>
      <c r="C42" s="1670"/>
      <c r="D42" s="1671"/>
      <c r="E42" s="1642">
        <f>F10*E21</f>
        <v>-1376329820.7959788</v>
      </c>
      <c r="F42" s="1643"/>
      <c r="G42" s="537"/>
      <c r="H42" s="524"/>
      <c r="I42" s="1644">
        <f>J10*I21</f>
        <v>-151666315.89172176</v>
      </c>
      <c r="J42" s="1645"/>
      <c r="K42" s="1646" t="e">
        <f>L10*K21</f>
        <v>#DIV/0!</v>
      </c>
      <c r="L42" s="1647"/>
      <c r="M42" s="1646" t="e">
        <f>N10*M21</f>
        <v>#DIV/0!</v>
      </c>
      <c r="N42" s="1647"/>
      <c r="O42" s="1646" t="e">
        <f>P10*O21</f>
        <v>#DIV/0!</v>
      </c>
      <c r="P42" s="1647"/>
      <c r="Q42" s="1646" t="e">
        <f>R10*Q21</f>
        <v>#DIV/0!</v>
      </c>
      <c r="R42" s="1647"/>
      <c r="S42" s="407"/>
      <c r="T42" s="1597"/>
      <c r="U42" s="1550"/>
      <c r="V42" s="1551"/>
      <c r="W42" s="1551"/>
      <c r="X42" s="1551"/>
      <c r="Y42" s="1551"/>
      <c r="Z42" s="1551"/>
      <c r="AA42" s="1551"/>
      <c r="AB42" s="1552"/>
      <c r="AC42" s="738"/>
      <c r="AD42" s="738"/>
      <c r="AE42" s="738"/>
      <c r="AF42" s="265"/>
      <c r="AG42" s="265"/>
      <c r="AH42" s="265"/>
    </row>
    <row r="43" spans="1:34" ht="15" customHeight="1">
      <c r="A43" s="1597"/>
      <c r="B43" s="407"/>
      <c r="C43" s="407"/>
      <c r="D43" s="407"/>
      <c r="E43" s="407"/>
      <c r="F43" s="407"/>
      <c r="G43" s="407"/>
      <c r="H43" s="407"/>
      <c r="I43" s="407"/>
      <c r="J43" s="407"/>
      <c r="K43" s="407"/>
      <c r="L43" s="407"/>
      <c r="M43" s="407"/>
      <c r="N43" s="407"/>
      <c r="O43" s="407"/>
      <c r="P43" s="407"/>
      <c r="Q43" s="407"/>
      <c r="R43" s="407"/>
      <c r="S43" s="407"/>
      <c r="T43" s="1597"/>
      <c r="U43" s="1550"/>
      <c r="V43" s="1551"/>
      <c r="W43" s="1551"/>
      <c r="X43" s="1551"/>
      <c r="Y43" s="1551"/>
      <c r="Z43" s="1551"/>
      <c r="AA43" s="1551"/>
      <c r="AB43" s="1552"/>
      <c r="AC43" s="738"/>
      <c r="AD43" s="738"/>
      <c r="AE43" s="738"/>
      <c r="AF43" s="265"/>
      <c r="AG43" s="265"/>
      <c r="AH43" s="265"/>
    </row>
    <row r="44" spans="1:34" ht="18" customHeight="1">
      <c r="A44" s="1597"/>
      <c r="B44" s="1564" t="s">
        <v>1203</v>
      </c>
      <c r="C44" s="1564"/>
      <c r="D44" s="1564"/>
      <c r="E44" s="1564"/>
      <c r="F44" s="1564"/>
      <c r="G44" s="1564"/>
      <c r="H44" s="1564"/>
      <c r="I44" s="1564"/>
      <c r="J44" s="1564"/>
      <c r="K44" s="1564"/>
      <c r="L44" s="1564"/>
      <c r="M44" s="1564"/>
      <c r="N44" s="1564"/>
      <c r="O44" s="1564"/>
      <c r="P44" s="1564"/>
      <c r="Q44" s="1564"/>
      <c r="R44" s="1564"/>
      <c r="S44" s="1564"/>
      <c r="T44" s="1597"/>
      <c r="U44" s="395" t="str">
        <f>W49</f>
        <v>AR</v>
      </c>
      <c r="V44" s="1565" t="s">
        <v>1205</v>
      </c>
      <c r="W44" s="1565"/>
      <c r="X44" s="1565"/>
      <c r="Y44" s="1565"/>
      <c r="Z44" s="1565"/>
      <c r="AA44" s="1565"/>
      <c r="AB44" s="395"/>
      <c r="AC44" s="272"/>
      <c r="AD44" s="739"/>
      <c r="AE44" s="272"/>
      <c r="AF44" s="265"/>
      <c r="AG44" s="265"/>
      <c r="AH44" s="265"/>
    </row>
    <row r="45" spans="1:34" ht="18" customHeight="1">
      <c r="A45" s="402"/>
      <c r="B45" s="1549" t="s">
        <v>1066</v>
      </c>
      <c r="C45" s="1549"/>
      <c r="D45" s="1549"/>
      <c r="E45" s="1549"/>
      <c r="F45" s="1549"/>
      <c r="G45" s="1549"/>
      <c r="H45" s="1549"/>
      <c r="I45" s="1549"/>
      <c r="J45" s="1549"/>
      <c r="K45" s="1549"/>
      <c r="L45" s="1549"/>
      <c r="M45" s="1549"/>
      <c r="N45" s="1549"/>
      <c r="O45" s="1549"/>
      <c r="P45" s="1549"/>
      <c r="Q45" s="1549"/>
      <c r="R45" s="1549"/>
      <c r="S45" s="1549"/>
      <c r="T45" s="402"/>
      <c r="U45" s="411" t="s">
        <v>1141</v>
      </c>
      <c r="V45" s="411"/>
      <c r="W45" s="411"/>
      <c r="X45" s="411"/>
      <c r="Y45" s="411"/>
      <c r="Z45" s="411"/>
      <c r="AA45" s="411"/>
      <c r="AB45" s="411"/>
      <c r="AC45" s="740"/>
      <c r="AD45" s="740"/>
      <c r="AE45" s="740"/>
      <c r="AF45" s="265"/>
      <c r="AG45" s="265"/>
      <c r="AH45" s="265"/>
    </row>
    <row r="46" spans="1:34" ht="15" customHeight="1">
      <c r="A46" s="412"/>
      <c r="B46" s="412"/>
      <c r="C46" s="412"/>
      <c r="D46" s="412"/>
      <c r="E46" s="412"/>
      <c r="F46" s="412"/>
      <c r="G46" s="412"/>
      <c r="H46" s="412"/>
      <c r="I46" s="412"/>
      <c r="J46" s="412"/>
      <c r="K46" s="412"/>
      <c r="L46" s="412"/>
      <c r="M46" s="412"/>
      <c r="N46" s="412"/>
      <c r="O46" s="412"/>
      <c r="P46" s="412"/>
      <c r="Q46" s="412"/>
      <c r="R46" s="412"/>
      <c r="S46" s="412"/>
      <c r="T46" s="413"/>
      <c r="U46" s="408"/>
      <c r="V46" s="408"/>
      <c r="W46" s="408"/>
      <c r="X46" s="408"/>
      <c r="Y46" s="408"/>
      <c r="Z46" s="408"/>
      <c r="AA46" s="408"/>
      <c r="AB46" s="408"/>
      <c r="AC46" s="265"/>
      <c r="AD46" s="265"/>
      <c r="AE46" s="265"/>
      <c r="AF46" s="265"/>
      <c r="AG46" s="265"/>
      <c r="AH46" s="265"/>
    </row>
    <row r="47" spans="1:34" ht="15" customHeight="1">
      <c r="A47" s="412"/>
      <c r="B47" s="412"/>
      <c r="C47" s="412"/>
      <c r="D47" s="412"/>
      <c r="E47" s="412"/>
      <c r="F47" s="412"/>
      <c r="G47" s="412"/>
      <c r="H47" s="412"/>
      <c r="I47" s="412"/>
      <c r="J47" s="412"/>
      <c r="K47" s="412"/>
      <c r="L47" s="412"/>
      <c r="M47" s="412"/>
      <c r="N47" s="412"/>
      <c r="O47" s="412"/>
      <c r="P47" s="412"/>
      <c r="Q47" s="412"/>
      <c r="R47" s="412"/>
      <c r="S47" s="412"/>
      <c r="T47" s="413"/>
      <c r="U47" s="408"/>
      <c r="V47" s="414"/>
      <c r="W47" s="414"/>
      <c r="X47" s="408"/>
      <c r="Y47" s="408"/>
      <c r="Z47" s="408"/>
      <c r="AA47" s="408"/>
      <c r="AB47" s="408"/>
      <c r="AC47" s="265"/>
      <c r="AD47" s="265"/>
      <c r="AE47" s="265"/>
      <c r="AF47" s="265"/>
      <c r="AG47" s="265"/>
      <c r="AH47" s="265"/>
    </row>
    <row r="48" spans="1:34" ht="15" customHeight="1">
      <c r="A48" s="412"/>
      <c r="B48" s="412"/>
      <c r="C48" s="415"/>
      <c r="D48" s="415"/>
      <c r="E48" s="412"/>
      <c r="F48" s="412"/>
      <c r="G48" s="412"/>
      <c r="H48" s="412"/>
      <c r="I48" s="412"/>
      <c r="J48" s="412"/>
      <c r="K48" s="412"/>
      <c r="L48" s="412"/>
      <c r="M48" s="412"/>
      <c r="N48" s="412"/>
      <c r="O48" s="412"/>
      <c r="P48" s="412"/>
      <c r="Q48" s="412"/>
      <c r="R48" s="412"/>
      <c r="S48" s="412"/>
      <c r="T48" s="413"/>
      <c r="U48" s="408"/>
      <c r="V48" s="414"/>
      <c r="W48" s="414"/>
      <c r="X48" s="408"/>
      <c r="Y48" s="408"/>
      <c r="Z48" s="408"/>
      <c r="AA48" s="408"/>
      <c r="AB48" s="408"/>
      <c r="AC48" s="265"/>
      <c r="AD48" s="1577" t="s">
        <v>985</v>
      </c>
      <c r="AE48" s="1577"/>
      <c r="AF48" s="1577"/>
      <c r="AG48" s="1577"/>
      <c r="AH48" s="1577"/>
    </row>
    <row r="49" spans="1:36" ht="15" customHeight="1">
      <c r="A49" s="412"/>
      <c r="B49" s="412"/>
      <c r="C49" s="1532" t="s">
        <v>950</v>
      </c>
      <c r="D49" s="1532"/>
      <c r="E49" s="1532"/>
      <c r="F49" s="1532"/>
      <c r="G49" s="1532"/>
      <c r="H49" s="1532"/>
      <c r="I49" s="1532"/>
      <c r="J49" s="1532"/>
      <c r="K49" s="412"/>
      <c r="L49" s="1548" t="s">
        <v>1037</v>
      </c>
      <c r="M49" s="1548"/>
      <c r="N49" s="1548"/>
      <c r="O49" s="1548"/>
      <c r="P49" s="1548"/>
      <c r="Q49" s="1548"/>
      <c r="R49" s="1548"/>
      <c r="S49" s="412"/>
      <c r="T49" s="413"/>
      <c r="U49" s="408"/>
      <c r="V49" s="594" t="s">
        <v>1361</v>
      </c>
      <c r="W49" s="460" t="s">
        <v>43</v>
      </c>
      <c r="X49" s="455"/>
      <c r="Y49" s="456"/>
      <c r="Z49" s="456"/>
      <c r="AA49" s="414"/>
      <c r="AB49" s="408"/>
      <c r="AC49" s="265"/>
      <c r="AD49" s="1577"/>
      <c r="AE49" s="1577"/>
      <c r="AF49" s="1577"/>
      <c r="AG49" s="1577"/>
      <c r="AH49" s="1577"/>
    </row>
    <row r="50" spans="1:36" ht="15" customHeight="1">
      <c r="A50" s="412"/>
      <c r="B50" s="412"/>
      <c r="C50" s="1532"/>
      <c r="D50" s="1532"/>
      <c r="E50" s="1532"/>
      <c r="F50" s="1532"/>
      <c r="G50" s="1532"/>
      <c r="H50" s="1532"/>
      <c r="I50" s="1532"/>
      <c r="J50" s="1532"/>
      <c r="K50" s="412"/>
      <c r="L50" s="1548"/>
      <c r="M50" s="1548"/>
      <c r="N50" s="1548"/>
      <c r="O50" s="1548"/>
      <c r="P50" s="1548"/>
      <c r="Q50" s="1548"/>
      <c r="R50" s="1548"/>
      <c r="S50" s="412"/>
      <c r="T50" s="413"/>
      <c r="U50" s="408"/>
      <c r="V50" s="594" t="s">
        <v>1362</v>
      </c>
      <c r="W50" s="460" t="s">
        <v>1363</v>
      </c>
      <c r="X50" s="455"/>
      <c r="Y50" s="456"/>
      <c r="Z50" s="456"/>
      <c r="AA50" s="414"/>
      <c r="AB50" s="408"/>
      <c r="AC50" s="265"/>
      <c r="AD50" s="265"/>
      <c r="AE50" s="265"/>
      <c r="AF50" s="265"/>
      <c r="AG50" s="265"/>
      <c r="AH50" s="265"/>
    </row>
    <row r="51" spans="1:36" ht="15" customHeight="1">
      <c r="A51" s="412"/>
      <c r="B51" s="412"/>
      <c r="C51" s="1532"/>
      <c r="D51" s="1532"/>
      <c r="E51" s="1532"/>
      <c r="F51" s="1532"/>
      <c r="G51" s="1532"/>
      <c r="H51" s="1532"/>
      <c r="I51" s="1532"/>
      <c r="J51" s="1532"/>
      <c r="K51" s="412"/>
      <c r="L51" s="1548"/>
      <c r="M51" s="1548"/>
      <c r="N51" s="1548"/>
      <c r="O51" s="1548"/>
      <c r="P51" s="1548"/>
      <c r="Q51" s="1548"/>
      <c r="R51" s="1548"/>
      <c r="S51" s="412"/>
      <c r="T51" s="413"/>
      <c r="U51" s="408"/>
      <c r="V51" s="594"/>
      <c r="W51" s="596" t="s">
        <v>1368</v>
      </c>
      <c r="X51" s="596" t="s">
        <v>1369</v>
      </c>
      <c r="Y51" s="597" t="s">
        <v>1228</v>
      </c>
      <c r="Z51" s="597"/>
      <c r="AA51" s="416"/>
      <c r="AB51" s="408"/>
      <c r="AC51" s="265"/>
      <c r="AD51" s="742"/>
      <c r="AE51" s="271"/>
      <c r="AF51" s="271"/>
      <c r="AG51" s="271"/>
      <c r="AH51" s="271"/>
      <c r="AI51" s="1"/>
      <c r="AJ51" s="1"/>
    </row>
    <row r="52" spans="1:36" ht="15" customHeight="1">
      <c r="A52" s="412"/>
      <c r="B52" s="412"/>
      <c r="C52" s="1532"/>
      <c r="D52" s="1532"/>
      <c r="E52" s="1532"/>
      <c r="F52" s="1532"/>
      <c r="G52" s="1532"/>
      <c r="H52" s="1532"/>
      <c r="I52" s="1532"/>
      <c r="J52" s="1532"/>
      <c r="K52" s="412"/>
      <c r="L52" s="1548"/>
      <c r="M52" s="1548"/>
      <c r="N52" s="1548"/>
      <c r="O52" s="1548"/>
      <c r="P52" s="1548"/>
      <c r="Q52" s="1548"/>
      <c r="R52" s="1548"/>
      <c r="S52" s="412"/>
      <c r="T52" s="413"/>
      <c r="U52" s="408"/>
      <c r="V52" s="594" t="s">
        <v>1352</v>
      </c>
      <c r="W52" s="460" t="s">
        <v>789</v>
      </c>
      <c r="X52" s="460" t="s">
        <v>1471</v>
      </c>
      <c r="Y52" s="461">
        <v>7</v>
      </c>
      <c r="Z52" s="460"/>
      <c r="AA52" s="417"/>
      <c r="AB52" s="408"/>
      <c r="AC52" s="265"/>
      <c r="AD52" s="732" t="s">
        <v>1120</v>
      </c>
      <c r="AE52" s="732" t="s">
        <v>1121</v>
      </c>
      <c r="AF52" s="733" t="s">
        <v>1295</v>
      </c>
      <c r="AG52" s="732"/>
      <c r="AH52" s="271"/>
      <c r="AI52" s="1"/>
      <c r="AJ52" s="1"/>
    </row>
    <row r="53" spans="1:36" ht="15" customHeight="1">
      <c r="A53" s="412"/>
      <c r="B53" s="412"/>
      <c r="C53" s="1532"/>
      <c r="D53" s="1532"/>
      <c r="E53" s="1532"/>
      <c r="F53" s="1532"/>
      <c r="G53" s="1532"/>
      <c r="H53" s="1532"/>
      <c r="I53" s="1532"/>
      <c r="J53" s="1532"/>
      <c r="K53" s="412"/>
      <c r="L53" s="1548"/>
      <c r="M53" s="1548"/>
      <c r="N53" s="1548"/>
      <c r="O53" s="1548"/>
      <c r="P53" s="1548"/>
      <c r="Q53" s="1548"/>
      <c r="R53" s="1548"/>
      <c r="S53" s="412"/>
      <c r="T53" s="413"/>
      <c r="U53" s="408"/>
      <c r="V53" s="594" t="s">
        <v>1353</v>
      </c>
      <c r="W53" s="460" t="s">
        <v>1175</v>
      </c>
      <c r="X53" s="460" t="s">
        <v>1176</v>
      </c>
      <c r="Y53" s="461" t="s">
        <v>1295</v>
      </c>
      <c r="Z53" s="460"/>
      <c r="AA53" s="417"/>
      <c r="AB53" s="408"/>
      <c r="AC53" s="265"/>
      <c r="AD53" s="732" t="s">
        <v>1175</v>
      </c>
      <c r="AE53" s="732" t="s">
        <v>1176</v>
      </c>
      <c r="AF53" s="733" t="s">
        <v>1295</v>
      </c>
      <c r="AG53" s="732"/>
      <c r="AH53" s="271"/>
      <c r="AI53" s="1"/>
      <c r="AJ53" s="1"/>
    </row>
    <row r="54" spans="1:36" ht="15" customHeight="1">
      <c r="A54" s="412"/>
      <c r="B54" s="412"/>
      <c r="C54" s="1532"/>
      <c r="D54" s="1532"/>
      <c r="E54" s="1532"/>
      <c r="F54" s="1532"/>
      <c r="G54" s="1532"/>
      <c r="H54" s="1532"/>
      <c r="I54" s="1532"/>
      <c r="J54" s="1532"/>
      <c r="K54" s="412"/>
      <c r="L54" s="1548"/>
      <c r="M54" s="1548"/>
      <c r="N54" s="1548"/>
      <c r="O54" s="1548"/>
      <c r="P54" s="1548"/>
      <c r="Q54" s="1548"/>
      <c r="R54" s="1548"/>
      <c r="S54" s="412"/>
      <c r="T54" s="413"/>
      <c r="U54" s="408"/>
      <c r="V54" s="594" t="s">
        <v>1354</v>
      </c>
      <c r="W54" s="460" t="s">
        <v>1171</v>
      </c>
      <c r="X54" s="460" t="s">
        <v>1225</v>
      </c>
      <c r="Y54" s="461" t="s">
        <v>1295</v>
      </c>
      <c r="Z54" s="460"/>
      <c r="AA54" s="417"/>
      <c r="AB54" s="408"/>
      <c r="AC54" s="265"/>
      <c r="AD54" s="732" t="s">
        <v>1171</v>
      </c>
      <c r="AE54" s="732" t="s">
        <v>1225</v>
      </c>
      <c r="AF54" s="733" t="s">
        <v>1295</v>
      </c>
      <c r="AG54" s="732"/>
      <c r="AH54" s="271"/>
      <c r="AI54" s="1"/>
      <c r="AJ54" s="1"/>
    </row>
    <row r="55" spans="1:36" ht="15" customHeight="1">
      <c r="A55" s="412"/>
      <c r="B55" s="412"/>
      <c r="C55" s="1532"/>
      <c r="D55" s="1532"/>
      <c r="E55" s="1532"/>
      <c r="F55" s="1532"/>
      <c r="G55" s="1532"/>
      <c r="H55" s="1532"/>
      <c r="I55" s="1532"/>
      <c r="J55" s="1532"/>
      <c r="K55" s="412"/>
      <c r="L55" s="1548"/>
      <c r="M55" s="1548"/>
      <c r="N55" s="1548"/>
      <c r="O55" s="1548"/>
      <c r="P55" s="1548"/>
      <c r="Q55" s="1548"/>
      <c r="R55" s="1548"/>
      <c r="S55" s="412"/>
      <c r="T55" s="413"/>
      <c r="U55" s="408"/>
      <c r="V55" s="594" t="s">
        <v>1355</v>
      </c>
      <c r="W55" s="460" t="s">
        <v>1172</v>
      </c>
      <c r="X55" s="460" t="s">
        <v>1227</v>
      </c>
      <c r="Y55" s="461" t="s">
        <v>1295</v>
      </c>
      <c r="Z55" s="460"/>
      <c r="AA55" s="417"/>
      <c r="AB55" s="408"/>
      <c r="AC55" s="265"/>
      <c r="AD55" s="732" t="s">
        <v>1172</v>
      </c>
      <c r="AE55" s="732" t="s">
        <v>1227</v>
      </c>
      <c r="AF55" s="733" t="s">
        <v>1295</v>
      </c>
      <c r="AG55" s="732"/>
      <c r="AH55" s="271"/>
      <c r="AI55" s="1"/>
      <c r="AJ55" s="1"/>
    </row>
    <row r="56" spans="1:36" ht="15" customHeight="1">
      <c r="A56" s="412"/>
      <c r="B56" s="412"/>
      <c r="C56" s="1532"/>
      <c r="D56" s="1532"/>
      <c r="E56" s="1532"/>
      <c r="F56" s="1532"/>
      <c r="G56" s="1532"/>
      <c r="H56" s="1532"/>
      <c r="I56" s="1532"/>
      <c r="J56" s="1532"/>
      <c r="K56" s="412"/>
      <c r="L56" s="1548"/>
      <c r="M56" s="1548"/>
      <c r="N56" s="1548"/>
      <c r="O56" s="1548"/>
      <c r="P56" s="1548"/>
      <c r="Q56" s="1548"/>
      <c r="R56" s="1548"/>
      <c r="S56" s="412"/>
      <c r="T56" s="413"/>
      <c r="U56" s="408"/>
      <c r="V56" s="594" t="s">
        <v>1356</v>
      </c>
      <c r="W56" s="460" t="s">
        <v>1173</v>
      </c>
      <c r="X56" s="460" t="s">
        <v>1226</v>
      </c>
      <c r="Y56" s="461" t="s">
        <v>1295</v>
      </c>
      <c r="Z56" s="460"/>
      <c r="AA56" s="417"/>
      <c r="AB56" s="408"/>
      <c r="AC56" s="265"/>
      <c r="AD56" s="732" t="s">
        <v>1173</v>
      </c>
      <c r="AE56" s="732" t="s">
        <v>1226</v>
      </c>
      <c r="AF56" s="733" t="s">
        <v>1295</v>
      </c>
      <c r="AG56" s="732"/>
      <c r="AH56" s="271"/>
      <c r="AI56" s="1"/>
      <c r="AJ56" s="1"/>
    </row>
    <row r="57" spans="1:36" ht="15" customHeight="1">
      <c r="A57" s="412"/>
      <c r="B57" s="412"/>
      <c r="C57" s="1532"/>
      <c r="D57" s="1532"/>
      <c r="E57" s="1532"/>
      <c r="F57" s="1532"/>
      <c r="G57" s="1532"/>
      <c r="H57" s="1532"/>
      <c r="I57" s="1532"/>
      <c r="J57" s="1532"/>
      <c r="K57" s="412"/>
      <c r="L57" s="1548"/>
      <c r="M57" s="1548"/>
      <c r="N57" s="1548"/>
      <c r="O57" s="1548"/>
      <c r="P57" s="1548"/>
      <c r="Q57" s="1548"/>
      <c r="R57" s="1548"/>
      <c r="S57" s="412"/>
      <c r="T57" s="413"/>
      <c r="U57" s="408"/>
      <c r="V57" s="595"/>
      <c r="W57" s="462"/>
      <c r="X57" s="594" t="s">
        <v>1351</v>
      </c>
      <c r="Y57" s="461">
        <v>17</v>
      </c>
      <c r="Z57" s="741"/>
      <c r="AA57" s="417"/>
      <c r="AB57" s="408"/>
      <c r="AC57" s="265"/>
      <c r="AD57" s="745"/>
      <c r="AE57" s="746" t="s">
        <v>1351</v>
      </c>
      <c r="AF57" s="733" t="s">
        <v>1295</v>
      </c>
      <c r="AG57" s="460"/>
      <c r="AH57" s="271"/>
      <c r="AI57" s="1"/>
      <c r="AJ57" s="1"/>
    </row>
    <row r="58" spans="1:36" ht="15" customHeight="1">
      <c r="A58" s="412"/>
      <c r="B58" s="412"/>
      <c r="C58" s="418"/>
      <c r="D58" s="418"/>
      <c r="E58" s="418"/>
      <c r="F58" s="418"/>
      <c r="G58" s="418"/>
      <c r="H58" s="418"/>
      <c r="I58" s="418"/>
      <c r="J58" s="418"/>
      <c r="K58" s="412"/>
      <c r="L58" s="437"/>
      <c r="M58" s="437"/>
      <c r="N58" s="437"/>
      <c r="O58" s="437"/>
      <c r="P58" s="437"/>
      <c r="Q58" s="437"/>
      <c r="R58" s="437"/>
      <c r="S58" s="412"/>
      <c r="T58" s="413"/>
      <c r="U58" s="408"/>
      <c r="V58" s="408"/>
      <c r="W58" s="408"/>
      <c r="X58" s="408"/>
      <c r="Y58" s="408"/>
      <c r="Z58" s="408"/>
      <c r="AA58" s="408"/>
      <c r="AB58" s="408"/>
      <c r="AC58" s="265"/>
      <c r="AD58" s="271"/>
      <c r="AE58" s="271"/>
      <c r="AF58" s="271"/>
      <c r="AG58" s="271"/>
      <c r="AH58" s="271"/>
      <c r="AI58" s="1"/>
      <c r="AJ58" s="1"/>
    </row>
    <row r="59" spans="1:36" ht="15" customHeight="1">
      <c r="A59" s="412"/>
      <c r="B59" s="412"/>
      <c r="C59" s="418"/>
      <c r="D59" s="418"/>
      <c r="E59" s="418"/>
      <c r="F59" s="418"/>
      <c r="G59" s="418"/>
      <c r="H59" s="418"/>
      <c r="I59" s="418"/>
      <c r="J59" s="418"/>
      <c r="K59" s="412"/>
      <c r="L59" s="437"/>
      <c r="M59" s="437"/>
      <c r="N59" s="437"/>
      <c r="O59" s="437"/>
      <c r="P59" s="437"/>
      <c r="Q59" s="437"/>
      <c r="R59" s="437"/>
      <c r="S59" s="412"/>
      <c r="T59" s="413"/>
      <c r="U59" s="408"/>
      <c r="V59" s="1579" t="s">
        <v>1040</v>
      </c>
      <c r="W59" s="1579"/>
      <c r="X59" s="1579"/>
      <c r="Y59" s="1579"/>
      <c r="Z59" s="1579"/>
      <c r="AA59" s="419"/>
      <c r="AB59" s="419"/>
      <c r="AC59" s="265"/>
      <c r="AD59" s="271"/>
      <c r="AE59" s="271"/>
      <c r="AF59" s="271"/>
      <c r="AG59" s="271"/>
      <c r="AH59" s="271"/>
      <c r="AI59" s="1"/>
      <c r="AJ59" s="1"/>
    </row>
    <row r="60" spans="1:36" ht="15" customHeight="1">
      <c r="A60" s="412"/>
      <c r="B60" s="412"/>
      <c r="C60" s="412"/>
      <c r="D60" s="412"/>
      <c r="E60" s="412"/>
      <c r="F60" s="412"/>
      <c r="G60" s="412"/>
      <c r="H60" s="412"/>
      <c r="I60" s="412"/>
      <c r="J60" s="412"/>
      <c r="K60" s="412"/>
      <c r="L60" s="412"/>
      <c r="M60" s="412"/>
      <c r="N60" s="412"/>
      <c r="O60" s="412"/>
      <c r="P60" s="412"/>
      <c r="Q60" s="412"/>
      <c r="R60" s="412"/>
      <c r="S60" s="412"/>
      <c r="T60" s="413"/>
      <c r="U60" s="408"/>
      <c r="V60" s="1579"/>
      <c r="W60" s="1579"/>
      <c r="X60" s="1579"/>
      <c r="Y60" s="1579"/>
      <c r="Z60" s="1579"/>
      <c r="AA60" s="419"/>
      <c r="AB60" s="419"/>
      <c r="AC60" s="265"/>
      <c r="AD60" s="743"/>
      <c r="AE60" s="743"/>
      <c r="AF60" s="744"/>
      <c r="AG60" s="743"/>
      <c r="AH60" s="272"/>
    </row>
    <row r="61" spans="1:36" ht="15" customHeight="1">
      <c r="A61" s="412"/>
      <c r="B61" s="412"/>
      <c r="C61" s="412"/>
      <c r="D61" s="412"/>
      <c r="E61" s="412"/>
      <c r="F61" s="412"/>
      <c r="G61" s="412"/>
      <c r="H61" s="412"/>
      <c r="I61" s="412"/>
      <c r="J61" s="412"/>
      <c r="K61" s="412"/>
      <c r="L61" s="412"/>
      <c r="M61" s="412"/>
      <c r="N61" s="412"/>
      <c r="O61" s="412"/>
      <c r="P61" s="412"/>
      <c r="Q61" s="412"/>
      <c r="R61" s="412"/>
      <c r="S61" s="412"/>
      <c r="T61" s="413"/>
      <c r="U61" s="408"/>
      <c r="V61" s="1579"/>
      <c r="W61" s="1579"/>
      <c r="X61" s="1579"/>
      <c r="Y61" s="1579"/>
      <c r="Z61" s="1579"/>
      <c r="AA61" s="419"/>
      <c r="AB61" s="419"/>
      <c r="AC61" s="265"/>
      <c r="AD61" s="743"/>
      <c r="AE61" s="743"/>
      <c r="AF61" s="744"/>
      <c r="AG61" s="743"/>
      <c r="AH61" s="272"/>
    </row>
    <row r="62" spans="1:36" ht="15" customHeight="1">
      <c r="A62" s="412"/>
      <c r="B62" s="412"/>
      <c r="C62" s="412"/>
      <c r="D62" s="412"/>
      <c r="E62" s="412"/>
      <c r="F62" s="412"/>
      <c r="G62" s="412"/>
      <c r="H62" s="412"/>
      <c r="I62" s="412"/>
      <c r="J62" s="412"/>
      <c r="K62" s="412"/>
      <c r="L62" s="412"/>
      <c r="M62" s="412"/>
      <c r="N62" s="412"/>
      <c r="O62" s="412"/>
      <c r="P62" s="412"/>
      <c r="Q62" s="412"/>
      <c r="R62" s="412"/>
      <c r="S62" s="412"/>
      <c r="T62" s="413"/>
      <c r="U62" s="408"/>
      <c r="V62" s="1579"/>
      <c r="W62" s="1579"/>
      <c r="X62" s="1579"/>
      <c r="Y62" s="1579"/>
      <c r="Z62" s="1579"/>
      <c r="AA62" s="419"/>
      <c r="AB62" s="419"/>
      <c r="AC62" s="265"/>
      <c r="AD62" s="743"/>
      <c r="AE62" s="743"/>
      <c r="AF62" s="744"/>
      <c r="AG62" s="743"/>
      <c r="AH62" s="272"/>
    </row>
    <row r="63" spans="1:36" ht="15" customHeight="1">
      <c r="A63" s="412"/>
      <c r="B63" s="412"/>
      <c r="C63" s="412"/>
      <c r="D63" s="412"/>
      <c r="E63" s="412"/>
      <c r="F63" s="412"/>
      <c r="G63" s="412"/>
      <c r="H63" s="412"/>
      <c r="I63" s="412"/>
      <c r="J63" s="412"/>
      <c r="K63" s="412"/>
      <c r="L63" s="412"/>
      <c r="M63" s="412"/>
      <c r="N63" s="412"/>
      <c r="O63" s="412"/>
      <c r="P63" s="412"/>
      <c r="Q63" s="412"/>
      <c r="R63" s="412"/>
      <c r="S63" s="412"/>
      <c r="T63" s="413"/>
      <c r="U63" s="408"/>
      <c r="V63" s="1579"/>
      <c r="W63" s="1579"/>
      <c r="X63" s="1579"/>
      <c r="Y63" s="1579"/>
      <c r="Z63" s="1579"/>
      <c r="AA63" s="419"/>
      <c r="AB63" s="419"/>
      <c r="AC63" s="265"/>
      <c r="AD63" s="743"/>
      <c r="AE63" s="743"/>
      <c r="AF63" s="744"/>
      <c r="AG63" s="743"/>
      <c r="AH63" s="272"/>
    </row>
    <row r="64" spans="1:36" ht="16" customHeight="1">
      <c r="A64" s="412"/>
      <c r="B64" s="412"/>
      <c r="C64" s="412"/>
      <c r="D64" s="412"/>
      <c r="E64" s="412"/>
      <c r="F64" s="412"/>
      <c r="G64" s="412"/>
      <c r="H64" s="412"/>
      <c r="I64" s="412"/>
      <c r="J64" s="412"/>
      <c r="K64" s="412"/>
      <c r="L64" s="412"/>
      <c r="M64" s="412"/>
      <c r="N64" s="412"/>
      <c r="O64" s="412"/>
      <c r="P64" s="412"/>
      <c r="Q64" s="412"/>
      <c r="R64" s="412"/>
      <c r="S64" s="412"/>
      <c r="T64" s="413"/>
      <c r="U64" s="408"/>
      <c r="V64" s="408"/>
      <c r="W64" s="408"/>
      <c r="X64" s="408"/>
      <c r="Y64" s="408"/>
      <c r="Z64" s="408"/>
      <c r="AA64" s="408"/>
      <c r="AB64" s="408"/>
      <c r="AC64" s="265"/>
      <c r="AD64" s="743"/>
      <c r="AE64" s="743"/>
      <c r="AF64" s="744"/>
      <c r="AG64" s="743"/>
      <c r="AH64" s="272"/>
    </row>
    <row r="65" spans="1:34" ht="16" customHeight="1">
      <c r="A65" s="412"/>
      <c r="B65" s="412"/>
      <c r="C65" s="412"/>
      <c r="D65" s="412"/>
      <c r="E65" s="412"/>
      <c r="F65" s="412"/>
      <c r="G65" s="412"/>
      <c r="H65" s="412"/>
      <c r="I65" s="412"/>
      <c r="J65" s="412"/>
      <c r="K65" s="412"/>
      <c r="L65" s="412"/>
      <c r="M65" s="412"/>
      <c r="N65" s="412"/>
      <c r="O65" s="412"/>
      <c r="P65" s="412"/>
      <c r="Q65" s="412"/>
      <c r="R65" s="412"/>
      <c r="S65" s="412"/>
      <c r="T65" s="413"/>
      <c r="U65" s="408"/>
      <c r="V65" s="408"/>
      <c r="W65" s="408"/>
      <c r="X65" s="408"/>
      <c r="Y65" s="408"/>
      <c r="Z65" s="408"/>
      <c r="AA65" s="408"/>
      <c r="AB65" s="408"/>
      <c r="AC65" s="265"/>
      <c r="AD65" s="736"/>
      <c r="AE65" s="737"/>
      <c r="AF65" s="744"/>
      <c r="AG65" s="743"/>
      <c r="AH65" s="272"/>
    </row>
    <row r="66" spans="1:34" ht="16" customHeight="1">
      <c r="A66" s="412"/>
      <c r="B66" s="412"/>
      <c r="C66" s="412"/>
      <c r="D66" s="412"/>
      <c r="E66" s="412"/>
      <c r="F66" s="412"/>
      <c r="G66" s="412"/>
      <c r="H66" s="412"/>
      <c r="I66" s="412"/>
      <c r="J66" s="412"/>
      <c r="K66" s="412"/>
      <c r="L66" s="412"/>
      <c r="M66" s="412"/>
      <c r="N66" s="412"/>
      <c r="O66" s="412"/>
      <c r="P66" s="412"/>
      <c r="Q66" s="412"/>
      <c r="R66" s="412"/>
      <c r="S66" s="412"/>
      <c r="T66" s="413"/>
      <c r="U66" s="408"/>
      <c r="V66" s="408"/>
      <c r="W66" s="1578"/>
      <c r="X66" s="1578"/>
      <c r="Y66" s="1578"/>
      <c r="Z66" s="1578"/>
      <c r="AA66" s="408"/>
      <c r="AB66" s="408"/>
      <c r="AC66" s="265"/>
      <c r="AD66" s="272"/>
      <c r="AE66" s="272"/>
      <c r="AF66" s="272"/>
      <c r="AG66" s="272"/>
      <c r="AH66" s="272"/>
    </row>
    <row r="67" spans="1:34" ht="16" customHeight="1">
      <c r="A67" s="412"/>
      <c r="B67" s="412"/>
      <c r="C67" s="412"/>
      <c r="D67" s="412"/>
      <c r="E67" s="412"/>
      <c r="F67" s="412"/>
      <c r="G67" s="412"/>
      <c r="H67" s="412"/>
      <c r="I67" s="412"/>
      <c r="J67" s="412"/>
      <c r="K67" s="412"/>
      <c r="L67" s="412"/>
      <c r="M67" s="412"/>
      <c r="N67" s="412"/>
      <c r="O67" s="412"/>
      <c r="P67" s="412"/>
      <c r="Q67" s="412"/>
      <c r="R67" s="412"/>
      <c r="S67" s="412"/>
      <c r="T67" s="413"/>
      <c r="U67" s="408"/>
      <c r="V67" s="420"/>
      <c r="W67" s="734"/>
      <c r="X67" s="734"/>
      <c r="Y67" s="735"/>
      <c r="Z67" s="735"/>
      <c r="AA67" s="408"/>
      <c r="AB67" s="408"/>
      <c r="AC67" s="265"/>
      <c r="AD67" s="265"/>
      <c r="AE67" s="265"/>
      <c r="AF67" s="265"/>
      <c r="AG67" s="265"/>
      <c r="AH67" s="265"/>
    </row>
    <row r="68" spans="1:34" ht="16" customHeight="1">
      <c r="A68" s="412"/>
      <c r="B68" s="412"/>
      <c r="C68" s="412"/>
      <c r="D68" s="412"/>
      <c r="E68" s="412"/>
      <c r="F68" s="412"/>
      <c r="G68" s="412"/>
      <c r="H68" s="412"/>
      <c r="I68" s="412"/>
      <c r="J68" s="412"/>
      <c r="K68" s="412"/>
      <c r="L68" s="412"/>
      <c r="M68" s="412"/>
      <c r="N68" s="412"/>
      <c r="O68" s="412"/>
      <c r="P68" s="412"/>
      <c r="Q68" s="412"/>
      <c r="R68" s="412"/>
      <c r="S68" s="412"/>
      <c r="T68" s="413"/>
      <c r="U68" s="408"/>
      <c r="V68" s="420"/>
      <c r="W68" s="734"/>
      <c r="X68" s="734"/>
      <c r="Y68" s="735"/>
      <c r="Z68" s="735"/>
      <c r="AA68" s="408"/>
      <c r="AB68" s="408"/>
      <c r="AC68" s="265"/>
      <c r="AD68" s="265"/>
      <c r="AE68" s="265"/>
      <c r="AF68" s="265"/>
      <c r="AG68" s="265"/>
      <c r="AH68" s="265"/>
    </row>
    <row r="69" spans="1:34" ht="16" customHeight="1">
      <c r="A69" s="412"/>
      <c r="B69" s="412"/>
      <c r="C69" s="412"/>
      <c r="D69" s="412"/>
      <c r="E69" s="412"/>
      <c r="F69" s="412"/>
      <c r="G69" s="412"/>
      <c r="H69" s="412"/>
      <c r="I69" s="412"/>
      <c r="J69" s="412"/>
      <c r="K69" s="412"/>
      <c r="L69" s="412"/>
      <c r="M69" s="412"/>
      <c r="N69" s="412"/>
      <c r="O69" s="412"/>
      <c r="P69" s="412"/>
      <c r="Q69" s="412"/>
      <c r="R69" s="412"/>
      <c r="S69" s="412"/>
      <c r="T69" s="413"/>
      <c r="U69" s="408"/>
      <c r="V69" s="420"/>
      <c r="W69" s="734"/>
      <c r="X69" s="734"/>
      <c r="Y69" s="735"/>
      <c r="Z69" s="735"/>
      <c r="AA69" s="408"/>
      <c r="AB69" s="408"/>
      <c r="AC69" s="265"/>
      <c r="AD69" s="265"/>
      <c r="AE69" s="265"/>
      <c r="AF69" s="265"/>
      <c r="AG69" s="265"/>
      <c r="AH69" s="265"/>
    </row>
    <row r="70" spans="1:34" ht="16" customHeight="1">
      <c r="A70" s="412"/>
      <c r="B70" s="412"/>
      <c r="C70" s="412"/>
      <c r="D70" s="412"/>
      <c r="E70" s="412"/>
      <c r="F70" s="412"/>
      <c r="G70" s="412"/>
      <c r="H70" s="412"/>
      <c r="I70" s="412"/>
      <c r="J70" s="412"/>
      <c r="K70" s="412"/>
      <c r="L70" s="412"/>
      <c r="M70" s="412"/>
      <c r="N70" s="412"/>
      <c r="O70" s="412"/>
      <c r="P70" s="412"/>
      <c r="Q70" s="412"/>
      <c r="R70" s="412"/>
      <c r="S70" s="412"/>
      <c r="T70" s="413"/>
      <c r="U70" s="421"/>
      <c r="V70" s="420"/>
      <c r="W70" s="734"/>
      <c r="X70" s="734"/>
      <c r="Y70" s="735"/>
      <c r="Z70" s="735"/>
      <c r="AA70" s="408"/>
      <c r="AB70" s="408"/>
      <c r="AC70" s="265"/>
      <c r="AD70" s="265"/>
      <c r="AE70" s="265"/>
      <c r="AF70" s="265"/>
      <c r="AG70" s="265"/>
      <c r="AH70" s="265"/>
    </row>
    <row r="71" spans="1:34" ht="16" customHeight="1">
      <c r="A71" s="412"/>
      <c r="B71" s="412"/>
      <c r="C71" s="412"/>
      <c r="D71" s="412"/>
      <c r="E71" s="412"/>
      <c r="F71" s="412"/>
      <c r="G71" s="412"/>
      <c r="H71" s="412"/>
      <c r="I71" s="412"/>
      <c r="J71" s="412"/>
      <c r="K71" s="412"/>
      <c r="L71" s="412"/>
      <c r="M71" s="412"/>
      <c r="N71" s="412"/>
      <c r="O71" s="412"/>
      <c r="P71" s="412"/>
      <c r="Q71" s="412"/>
      <c r="R71" s="412"/>
      <c r="S71" s="412"/>
      <c r="T71" s="413"/>
      <c r="U71" s="421"/>
      <c r="V71" s="420"/>
      <c r="W71" s="734"/>
      <c r="X71" s="734"/>
      <c r="Y71" s="735"/>
      <c r="Z71" s="735"/>
      <c r="AA71" s="408"/>
      <c r="AB71" s="408"/>
      <c r="AC71" s="265"/>
      <c r="AD71" s="265"/>
      <c r="AE71" s="265"/>
      <c r="AF71" s="265"/>
      <c r="AG71" s="265"/>
      <c r="AH71" s="265"/>
    </row>
    <row r="72" spans="1:34" ht="16" customHeight="1">
      <c r="A72" s="412"/>
      <c r="B72" s="412"/>
      <c r="C72" s="412"/>
      <c r="D72" s="412"/>
      <c r="E72" s="412"/>
      <c r="F72" s="412"/>
      <c r="G72" s="412"/>
      <c r="H72" s="412"/>
      <c r="I72" s="412"/>
      <c r="J72" s="412"/>
      <c r="K72" s="412"/>
      <c r="L72" s="412"/>
      <c r="M72" s="412"/>
      <c r="N72" s="412"/>
      <c r="O72" s="412"/>
      <c r="P72" s="412"/>
      <c r="Q72" s="412"/>
      <c r="R72" s="412"/>
      <c r="S72" s="412"/>
      <c r="T72" s="413"/>
      <c r="U72" s="421"/>
      <c r="V72" s="408"/>
      <c r="W72" s="408"/>
      <c r="X72" s="408"/>
      <c r="Y72" s="408"/>
      <c r="Z72" s="408"/>
      <c r="AA72" s="408"/>
      <c r="AB72" s="408"/>
      <c r="AC72" s="265"/>
      <c r="AD72" s="265"/>
      <c r="AE72" s="265"/>
      <c r="AF72" s="265"/>
      <c r="AG72" s="265"/>
      <c r="AH72" s="265"/>
    </row>
    <row r="73" spans="1:34" ht="16" customHeight="1">
      <c r="A73" s="412"/>
      <c r="B73" s="412"/>
      <c r="C73" s="412"/>
      <c r="D73" s="412"/>
      <c r="E73" s="412"/>
      <c r="F73" s="412"/>
      <c r="G73" s="412"/>
      <c r="H73" s="412"/>
      <c r="I73" s="412"/>
      <c r="J73" s="412"/>
      <c r="K73" s="412"/>
      <c r="L73" s="412"/>
      <c r="M73" s="412"/>
      <c r="N73" s="412"/>
      <c r="O73" s="412"/>
      <c r="P73" s="412"/>
      <c r="Q73" s="412"/>
      <c r="R73" s="412"/>
      <c r="S73" s="412"/>
      <c r="T73" s="413"/>
      <c r="U73" s="421"/>
      <c r="V73" s="421"/>
      <c r="W73" s="421"/>
      <c r="X73" s="408"/>
      <c r="Y73" s="408"/>
      <c r="Z73" s="408"/>
      <c r="AA73" s="408"/>
      <c r="AB73" s="408"/>
      <c r="AC73" s="265"/>
      <c r="AD73" s="265"/>
      <c r="AE73" s="265"/>
      <c r="AF73" s="265"/>
      <c r="AG73" s="265"/>
      <c r="AH73" s="265"/>
    </row>
    <row r="74" spans="1:34" ht="16" customHeight="1">
      <c r="A74" s="412"/>
      <c r="B74" s="412"/>
      <c r="C74" s="412"/>
      <c r="D74" s="412"/>
      <c r="E74" s="412"/>
      <c r="F74" s="412"/>
      <c r="G74" s="412"/>
      <c r="H74" s="412"/>
      <c r="I74" s="412"/>
      <c r="J74" s="412"/>
      <c r="K74" s="412"/>
      <c r="L74" s="412"/>
      <c r="M74" s="412"/>
      <c r="N74" s="412"/>
      <c r="O74" s="412"/>
      <c r="P74" s="412"/>
      <c r="Q74" s="412"/>
      <c r="R74" s="412"/>
      <c r="S74" s="412"/>
      <c r="T74" s="413"/>
      <c r="U74" s="421"/>
      <c r="V74" s="421"/>
      <c r="W74" s="421"/>
      <c r="X74" s="408"/>
      <c r="Y74" s="408"/>
      <c r="Z74" s="408"/>
      <c r="AA74" s="408"/>
      <c r="AB74" s="408"/>
      <c r="AC74" s="265"/>
      <c r="AD74" s="265"/>
      <c r="AE74" s="265"/>
      <c r="AF74" s="265"/>
      <c r="AG74" s="265"/>
      <c r="AH74" s="265"/>
    </row>
    <row r="75" spans="1:34">
      <c r="T75" s="120"/>
      <c r="U75" s="399"/>
      <c r="V75" s="399"/>
      <c r="W75" s="399"/>
      <c r="X75" s="120"/>
      <c r="Y75" s="120"/>
      <c r="Z75" s="120"/>
      <c r="AA75" s="120"/>
      <c r="AB75" s="120"/>
    </row>
    <row r="76" spans="1:34">
      <c r="T76" s="120"/>
      <c r="U76" s="399"/>
      <c r="V76" s="399"/>
      <c r="W76" s="399"/>
    </row>
    <row r="77" spans="1:34">
      <c r="T77" s="120"/>
      <c r="U77" s="399"/>
      <c r="V77" s="399"/>
      <c r="W77" s="399"/>
    </row>
    <row r="78" spans="1:34">
      <c r="T78" s="120"/>
      <c r="U78" s="399"/>
      <c r="V78" s="399"/>
      <c r="W78" s="399"/>
    </row>
    <row r="79" spans="1:34">
      <c r="T79" s="120"/>
      <c r="U79" s="399"/>
      <c r="V79" s="399"/>
      <c r="W79" s="399"/>
    </row>
    <row r="80" spans="1:34">
      <c r="T80" s="120"/>
      <c r="U80" s="399"/>
      <c r="V80" s="399"/>
      <c r="W80" s="399"/>
    </row>
    <row r="81" spans="20:23">
      <c r="T81" s="120"/>
      <c r="U81" s="399"/>
      <c r="V81" s="399"/>
      <c r="W81" s="399"/>
    </row>
    <row r="82" spans="20:23">
      <c r="T82" s="120"/>
      <c r="U82" s="399"/>
      <c r="V82" s="399"/>
      <c r="W82" s="399"/>
    </row>
    <row r="83" spans="20:23">
      <c r="T83" s="120"/>
      <c r="U83" s="399"/>
      <c r="V83" s="399"/>
      <c r="W83" s="399"/>
    </row>
    <row r="84" spans="20:23">
      <c r="T84" s="120"/>
      <c r="U84" s="399"/>
      <c r="V84" s="399"/>
      <c r="W84" s="399"/>
    </row>
    <row r="85" spans="20:23">
      <c r="T85" s="120"/>
      <c r="U85" s="399"/>
      <c r="V85" s="399"/>
      <c r="W85" s="399"/>
    </row>
    <row r="86" spans="20:23">
      <c r="T86" s="120"/>
      <c r="U86" s="120"/>
    </row>
    <row r="87" spans="20:23">
      <c r="T87" s="120"/>
      <c r="U87" s="120"/>
    </row>
    <row r="88" spans="20:23">
      <c r="T88" s="120"/>
      <c r="U88" s="120"/>
    </row>
    <row r="89" spans="20:23">
      <c r="T89" s="120"/>
      <c r="U89" s="120"/>
    </row>
    <row r="90" spans="20:23">
      <c r="T90" s="120"/>
      <c r="U90" s="120"/>
    </row>
    <row r="91" spans="20:23">
      <c r="T91" s="120"/>
      <c r="U91" s="120"/>
    </row>
    <row r="92" spans="20:23">
      <c r="T92" s="120"/>
      <c r="U92" s="120"/>
    </row>
    <row r="93" spans="20:23">
      <c r="T93" s="120"/>
      <c r="U93" s="120"/>
    </row>
    <row r="94" spans="20:23">
      <c r="T94" s="120"/>
      <c r="U94" s="120"/>
    </row>
    <row r="95" spans="20:23">
      <c r="T95" s="120"/>
      <c r="U95" s="120"/>
    </row>
    <row r="96" spans="20:23">
      <c r="T96" s="120"/>
      <c r="U96" s="120"/>
    </row>
    <row r="97" spans="20:21">
      <c r="T97" s="120"/>
      <c r="U97" s="120"/>
    </row>
    <row r="98" spans="20:21">
      <c r="T98" s="120"/>
      <c r="U98" s="120"/>
    </row>
    <row r="99" spans="20:21">
      <c r="T99" s="120"/>
      <c r="U99" s="120"/>
    </row>
    <row r="100" spans="20:21">
      <c r="T100" s="120"/>
      <c r="U100" s="120"/>
    </row>
    <row r="101" spans="20:21">
      <c r="T101" s="120"/>
      <c r="U101" s="120"/>
    </row>
    <row r="102" spans="20:21">
      <c r="T102" s="120"/>
      <c r="U102" s="120"/>
    </row>
    <row r="103" spans="20:21">
      <c r="T103" s="120"/>
      <c r="U103" s="120"/>
    </row>
    <row r="104" spans="20:21">
      <c r="T104" s="120"/>
      <c r="U104" s="120"/>
    </row>
    <row r="105" spans="20:21">
      <c r="T105" s="120"/>
      <c r="U105" s="120"/>
    </row>
    <row r="106" spans="20:21">
      <c r="T106" s="120"/>
      <c r="U106" s="120"/>
    </row>
    <row r="107" spans="20:21">
      <c r="T107" s="120"/>
      <c r="U107" s="120"/>
    </row>
    <row r="108" spans="20:21">
      <c r="T108" s="120"/>
      <c r="U108" s="120"/>
    </row>
    <row r="109" spans="20:21">
      <c r="T109" s="120"/>
      <c r="U109" s="120"/>
    </row>
    <row r="110" spans="20:21">
      <c r="T110" s="120"/>
      <c r="U110" s="120"/>
    </row>
    <row r="111" spans="20:21">
      <c r="T111" s="120"/>
      <c r="U111" s="120"/>
    </row>
    <row r="112" spans="20:21">
      <c r="T112" s="120"/>
      <c r="U112" s="120"/>
    </row>
    <row r="113" spans="20:21">
      <c r="T113" s="120"/>
      <c r="U113" s="120"/>
    </row>
    <row r="114" spans="20:21">
      <c r="T114" s="120"/>
      <c r="U114" s="120"/>
    </row>
    <row r="115" spans="20:21">
      <c r="T115" s="120"/>
      <c r="U115" s="120"/>
    </row>
    <row r="116" spans="20:21">
      <c r="T116" s="120"/>
      <c r="U116" s="120"/>
    </row>
    <row r="117" spans="20:21">
      <c r="T117" s="120"/>
      <c r="U117" s="120"/>
    </row>
    <row r="118" spans="20:21">
      <c r="T118" s="120"/>
      <c r="U118" s="120"/>
    </row>
    <row r="119" spans="20:21">
      <c r="T119" s="120"/>
    </row>
    <row r="120" spans="20:21">
      <c r="T120" s="120"/>
    </row>
    <row r="121" spans="20:21">
      <c r="T121" s="120"/>
    </row>
    <row r="122" spans="20:21">
      <c r="T122" s="120"/>
    </row>
    <row r="123" spans="20:21">
      <c r="T123" s="120"/>
    </row>
    <row r="124" spans="20:21">
      <c r="T124" s="120"/>
    </row>
    <row r="125" spans="20:21">
      <c r="T125" s="120"/>
    </row>
    <row r="126" spans="20:21">
      <c r="T126" s="120"/>
    </row>
    <row r="127" spans="20:21">
      <c r="T127" s="120"/>
    </row>
    <row r="128" spans="20:21">
      <c r="T128" s="120"/>
    </row>
    <row r="129" spans="20:20">
      <c r="T129" s="120"/>
    </row>
    <row r="130" spans="20:20">
      <c r="T130" s="120"/>
    </row>
    <row r="131" spans="20:20">
      <c r="T131" s="120"/>
    </row>
    <row r="132" spans="20:20">
      <c r="T132" s="120"/>
    </row>
    <row r="133" spans="20:20">
      <c r="T133" s="120"/>
    </row>
    <row r="134" spans="20:20">
      <c r="T134" s="120"/>
    </row>
    <row r="135" spans="20:20">
      <c r="T135" s="120"/>
    </row>
    <row r="136" spans="20:20">
      <c r="T136" s="120"/>
    </row>
    <row r="137" spans="20:20">
      <c r="T137" s="120"/>
    </row>
    <row r="138" spans="20:20">
      <c r="T138" s="120"/>
    </row>
    <row r="139" spans="20:20">
      <c r="T139" s="120"/>
    </row>
    <row r="140" spans="20:20">
      <c r="T140" s="120"/>
    </row>
    <row r="141" spans="20:20">
      <c r="T141" s="120"/>
    </row>
    <row r="142" spans="20:20">
      <c r="T142" s="120"/>
    </row>
    <row r="143" spans="20:20">
      <c r="T143" s="120"/>
    </row>
    <row r="144" spans="20:20">
      <c r="T144" s="120"/>
    </row>
    <row r="145" spans="20:20">
      <c r="T145" s="120"/>
    </row>
    <row r="146" spans="20:20">
      <c r="T146" s="120"/>
    </row>
    <row r="147" spans="20:20">
      <c r="T147" s="120"/>
    </row>
    <row r="148" spans="20:20">
      <c r="T148" s="120"/>
    </row>
    <row r="149" spans="20:20">
      <c r="T149" s="120"/>
    </row>
    <row r="150" spans="20:20">
      <c r="T150" s="120"/>
    </row>
    <row r="151" spans="20:20">
      <c r="T151" s="120"/>
    </row>
    <row r="152" spans="20:20">
      <c r="T152" s="120"/>
    </row>
    <row r="153" spans="20:20">
      <c r="T153" s="120"/>
    </row>
    <row r="154" spans="20:20">
      <c r="T154" s="120"/>
    </row>
    <row r="155" spans="20:20">
      <c r="T155" s="120"/>
    </row>
    <row r="156" spans="20:20">
      <c r="T156" s="120"/>
    </row>
    <row r="157" spans="20:20">
      <c r="T157" s="120"/>
    </row>
    <row r="158" spans="20:20">
      <c r="T158" s="120"/>
    </row>
    <row r="159" spans="20:20">
      <c r="T159" s="120"/>
    </row>
    <row r="160" spans="20:20">
      <c r="T160" s="120"/>
    </row>
    <row r="161" spans="20:20">
      <c r="T161" s="120"/>
    </row>
    <row r="162" spans="20:20">
      <c r="T162" s="120"/>
    </row>
    <row r="163" spans="20:20">
      <c r="T163" s="120"/>
    </row>
    <row r="164" spans="20:20">
      <c r="T164" s="120"/>
    </row>
    <row r="165" spans="20:20">
      <c r="T165" s="120"/>
    </row>
    <row r="166" spans="20:20">
      <c r="T166" s="120"/>
    </row>
    <row r="167" spans="20:20">
      <c r="T167" s="120"/>
    </row>
    <row r="168" spans="20:20">
      <c r="T168" s="120"/>
    </row>
    <row r="169" spans="20:20">
      <c r="T169" s="120"/>
    </row>
    <row r="170" spans="20:20">
      <c r="T170" s="120"/>
    </row>
    <row r="171" spans="20:20">
      <c r="T171" s="120"/>
    </row>
    <row r="172" spans="20:20">
      <c r="T172" s="120"/>
    </row>
    <row r="173" spans="20:20">
      <c r="T173" s="120"/>
    </row>
    <row r="174" spans="20:20">
      <c r="T174" s="120"/>
    </row>
    <row r="175" spans="20:20">
      <c r="T175" s="120"/>
    </row>
    <row r="176" spans="20:20">
      <c r="T176" s="120"/>
    </row>
    <row r="177" spans="20:20">
      <c r="T177" s="120"/>
    </row>
    <row r="178" spans="20:20">
      <c r="T178" s="120"/>
    </row>
    <row r="179" spans="20:20">
      <c r="T179" s="120"/>
    </row>
    <row r="180" spans="20:20">
      <c r="T180" s="120"/>
    </row>
    <row r="181" spans="20:20">
      <c r="T181" s="120"/>
    </row>
    <row r="182" spans="20:20">
      <c r="T182" s="120"/>
    </row>
    <row r="183" spans="20:20">
      <c r="T183" s="120"/>
    </row>
    <row r="184" spans="20:20">
      <c r="T184" s="120"/>
    </row>
    <row r="185" spans="20:20">
      <c r="T185" s="120"/>
    </row>
    <row r="186" spans="20:20">
      <c r="T186" s="120"/>
    </row>
    <row r="187" spans="20:20">
      <c r="T187" s="120"/>
    </row>
    <row r="188" spans="20:20">
      <c r="T188" s="120"/>
    </row>
    <row r="189" spans="20:20">
      <c r="T189" s="120"/>
    </row>
    <row r="190" spans="20:20">
      <c r="T190" s="120"/>
    </row>
    <row r="191" spans="20:20">
      <c r="T191" s="120"/>
    </row>
    <row r="192" spans="20:20">
      <c r="T192" s="120"/>
    </row>
    <row r="193" spans="20:20">
      <c r="T193" s="120"/>
    </row>
    <row r="194" spans="20:20">
      <c r="T194" s="120"/>
    </row>
    <row r="195" spans="20:20">
      <c r="T195" s="120"/>
    </row>
    <row r="196" spans="20:20">
      <c r="T196" s="120"/>
    </row>
    <row r="197" spans="20:20">
      <c r="T197" s="120"/>
    </row>
    <row r="198" spans="20:20">
      <c r="T198" s="120"/>
    </row>
    <row r="199" spans="20:20">
      <c r="T199" s="120"/>
    </row>
    <row r="200" spans="20:20">
      <c r="T200" s="120"/>
    </row>
    <row r="201" spans="20:20">
      <c r="T201" s="120"/>
    </row>
    <row r="202" spans="20:20">
      <c r="T202" s="120"/>
    </row>
    <row r="203" spans="20:20">
      <c r="T203" s="120"/>
    </row>
    <row r="204" spans="20:20">
      <c r="T204" s="120"/>
    </row>
    <row r="205" spans="20:20">
      <c r="T205" s="120"/>
    </row>
    <row r="206" spans="20:20">
      <c r="T206" s="120"/>
    </row>
    <row r="207" spans="20:20">
      <c r="T207" s="120"/>
    </row>
    <row r="208" spans="20:20">
      <c r="T208" s="120"/>
    </row>
    <row r="209" spans="20:20">
      <c r="T209" s="120"/>
    </row>
    <row r="210" spans="20:20">
      <c r="T210" s="120"/>
    </row>
  </sheetData>
  <mergeCells count="147">
    <mergeCell ref="C11:D11"/>
    <mergeCell ref="U40:AB40"/>
    <mergeCell ref="U41:AB41"/>
    <mergeCell ref="U42:AB42"/>
    <mergeCell ref="U43:AB43"/>
    <mergeCell ref="L49:R57"/>
    <mergeCell ref="C49:J57"/>
    <mergeCell ref="C5:D6"/>
    <mergeCell ref="D4:H4"/>
    <mergeCell ref="C29:D30"/>
    <mergeCell ref="C26:D27"/>
    <mergeCell ref="C12:D12"/>
    <mergeCell ref="C21:D22"/>
    <mergeCell ref="C23:D24"/>
    <mergeCell ref="C31:D32"/>
    <mergeCell ref="C33:D33"/>
    <mergeCell ref="C34:D34"/>
    <mergeCell ref="C35:D35"/>
    <mergeCell ref="C36:D36"/>
    <mergeCell ref="C37:D37"/>
    <mergeCell ref="C38:D38"/>
    <mergeCell ref="C39:D39"/>
    <mergeCell ref="C40:D40"/>
    <mergeCell ref="C42:D42"/>
    <mergeCell ref="C8:D8"/>
    <mergeCell ref="C9:D9"/>
    <mergeCell ref="C10:D10"/>
    <mergeCell ref="E42:F42"/>
    <mergeCell ref="I42:J42"/>
    <mergeCell ref="K42:L42"/>
    <mergeCell ref="M42:N42"/>
    <mergeCell ref="O42:P42"/>
    <mergeCell ref="Q42:R42"/>
    <mergeCell ref="Q32:R32"/>
    <mergeCell ref="E33:F33"/>
    <mergeCell ref="G33:H33"/>
    <mergeCell ref="I33:J33"/>
    <mergeCell ref="K33:L33"/>
    <mergeCell ref="M33:N33"/>
    <mergeCell ref="O33:P33"/>
    <mergeCell ref="Q33:R33"/>
    <mergeCell ref="E30:F30"/>
    <mergeCell ref="G30:H30"/>
    <mergeCell ref="I30:J30"/>
    <mergeCell ref="K30:L30"/>
    <mergeCell ref="M30:N30"/>
    <mergeCell ref="O30:P30"/>
    <mergeCell ref="Q30:R30"/>
    <mergeCell ref="E32:F32"/>
    <mergeCell ref="G32:H32"/>
    <mergeCell ref="I32:J32"/>
    <mergeCell ref="K32:L32"/>
    <mergeCell ref="M32:N32"/>
    <mergeCell ref="O32:P32"/>
    <mergeCell ref="E31:F31"/>
    <mergeCell ref="G31:H31"/>
    <mergeCell ref="I31:J31"/>
    <mergeCell ref="K31:L31"/>
    <mergeCell ref="M31:N31"/>
    <mergeCell ref="O31:P31"/>
    <mergeCell ref="Q31:R31"/>
    <mergeCell ref="I29:J29"/>
    <mergeCell ref="Q21:R21"/>
    <mergeCell ref="Q22:R22"/>
    <mergeCell ref="Q23:R23"/>
    <mergeCell ref="Q24:R24"/>
    <mergeCell ref="Q26:R26"/>
    <mergeCell ref="Q27:R27"/>
    <mergeCell ref="O21:P21"/>
    <mergeCell ref="O22:P22"/>
    <mergeCell ref="O23:P23"/>
    <mergeCell ref="O24:P24"/>
    <mergeCell ref="O26:P26"/>
    <mergeCell ref="O27:P27"/>
    <mergeCell ref="K29:L29"/>
    <mergeCell ref="M29:N29"/>
    <mergeCell ref="O29:P29"/>
    <mergeCell ref="Q29:R29"/>
    <mergeCell ref="K21:L21"/>
    <mergeCell ref="G26:H26"/>
    <mergeCell ref="G27:H27"/>
    <mergeCell ref="E21:F21"/>
    <mergeCell ref="E22:F22"/>
    <mergeCell ref="E23:F23"/>
    <mergeCell ref="I23:J23"/>
    <mergeCell ref="E24:F24"/>
    <mergeCell ref="I24:J24"/>
    <mergeCell ref="I26:J26"/>
    <mergeCell ref="I27:J27"/>
    <mergeCell ref="G25:H25"/>
    <mergeCell ref="M5:N5"/>
    <mergeCell ref="M6:N6"/>
    <mergeCell ref="O5:P5"/>
    <mergeCell ref="O6:P6"/>
    <mergeCell ref="Q5:R5"/>
    <mergeCell ref="Q6:R6"/>
    <mergeCell ref="E6:F6"/>
    <mergeCell ref="G21:H22"/>
    <mergeCell ref="G23:H24"/>
    <mergeCell ref="A2:A44"/>
    <mergeCell ref="B2:S2"/>
    <mergeCell ref="I3:J3"/>
    <mergeCell ref="K3:L3"/>
    <mergeCell ref="M3:N3"/>
    <mergeCell ref="O3:P3"/>
    <mergeCell ref="Q3:R3"/>
    <mergeCell ref="T2:T44"/>
    <mergeCell ref="B44:S44"/>
    <mergeCell ref="E26:F26"/>
    <mergeCell ref="E27:F27"/>
    <mergeCell ref="M22:N22"/>
    <mergeCell ref="M23:N23"/>
    <mergeCell ref="M24:N24"/>
    <mergeCell ref="M26:N26"/>
    <mergeCell ref="M27:N27"/>
    <mergeCell ref="E29:F29"/>
    <mergeCell ref="M21:N21"/>
    <mergeCell ref="I6:J6"/>
    <mergeCell ref="I5:J5"/>
    <mergeCell ref="K5:L5"/>
    <mergeCell ref="K6:L6"/>
    <mergeCell ref="G5:H5"/>
    <mergeCell ref="E5:F5"/>
    <mergeCell ref="AD48:AH49"/>
    <mergeCell ref="V44:AA44"/>
    <mergeCell ref="W66:Z66"/>
    <mergeCell ref="V59:Z63"/>
    <mergeCell ref="B1:S1"/>
    <mergeCell ref="B45:S45"/>
    <mergeCell ref="U3:AB10"/>
    <mergeCell ref="U11:AB18"/>
    <mergeCell ref="U19:AB34"/>
    <mergeCell ref="U35:AB35"/>
    <mergeCell ref="U36:AB36"/>
    <mergeCell ref="U37:AB37"/>
    <mergeCell ref="U38:AB38"/>
    <mergeCell ref="U39:AB39"/>
    <mergeCell ref="K22:L22"/>
    <mergeCell ref="K23:L23"/>
    <mergeCell ref="K24:L24"/>
    <mergeCell ref="K26:L26"/>
    <mergeCell ref="K27:L27"/>
    <mergeCell ref="G29:H29"/>
    <mergeCell ref="I21:J21"/>
    <mergeCell ref="I22:J22"/>
    <mergeCell ref="V2:AA2"/>
    <mergeCell ref="G6:H6"/>
  </mergeCells>
  <phoneticPr fontId="153" type="noConversion"/>
  <conditionalFormatting sqref="G42:H42 K42:R42">
    <cfRule type="cellIs" dxfId="119" priority="7" operator="between">
      <formula>999999</formula>
      <formula>1000000000</formula>
    </cfRule>
  </conditionalFormatting>
  <conditionalFormatting sqref="Q4:R42">
    <cfRule type="expression" dxfId="118" priority="6">
      <formula>$W$56="FA5L1"</formula>
    </cfRule>
  </conditionalFormatting>
  <conditionalFormatting sqref="O4:P42">
    <cfRule type="expression" dxfId="117" priority="5">
      <formula>$W$55="FA4L1"</formula>
    </cfRule>
  </conditionalFormatting>
  <conditionalFormatting sqref="M4:N42">
    <cfRule type="expression" dxfId="116" priority="4">
      <formula>$W$54="FA3L1"</formula>
    </cfRule>
  </conditionalFormatting>
  <conditionalFormatting sqref="K4:L42">
    <cfRule type="expression" dxfId="115" priority="3">
      <formula>$W$53="FA2L1"</formula>
    </cfRule>
  </conditionalFormatting>
  <conditionalFormatting sqref="I5:J41">
    <cfRule type="expression" dxfId="114" priority="2">
      <formula>$W$52="FA1L1"</formula>
    </cfRule>
  </conditionalFormatting>
  <conditionalFormatting sqref="I4:J4">
    <cfRule type="expression" dxfId="113" priority="1">
      <formula>$W$52="FA1L1"</formula>
    </cfRule>
  </conditionalFormatting>
  <pageMargins left="0.25" right="0.25" top="1" bottom="1" header="0.3" footer="0.3"/>
  <pageSetup orientation="portrait" horizontalDpi="4294967292" verticalDpi="4294967292"/>
  <rowBreaks count="1" manualBreakCount="1">
    <brk id="43" max="16383" man="1"/>
  </rowBreaks>
  <colBreaks count="1" manualBreakCount="1">
    <brk id="28" max="1048575" man="1"/>
  </colBreaks>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54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BF997"/>
  </sheetPr>
  <dimension ref="A1:AT103"/>
  <sheetViews>
    <sheetView workbookViewId="0">
      <selection sqref="A1:I2"/>
    </sheetView>
  </sheetViews>
  <sheetFormatPr baseColWidth="10" defaultColWidth="8.83203125" defaultRowHeight="11" x14ac:dyDescent="0"/>
  <cols>
    <col min="1" max="3" width="5.83203125" customWidth="1"/>
    <col min="4" max="4" width="12.6640625" customWidth="1"/>
    <col min="5" max="5" width="18.5" customWidth="1"/>
    <col min="6" max="6" width="17" customWidth="1"/>
    <col min="7" max="7" width="21.33203125" customWidth="1"/>
    <col min="8" max="8" width="12.83203125" customWidth="1"/>
    <col min="9" max="9" width="14" customWidth="1"/>
    <col min="10" max="10" width="33.5" customWidth="1"/>
    <col min="11" max="11" width="12.6640625" customWidth="1"/>
    <col min="12" max="12" width="19.5" customWidth="1"/>
    <col min="13" max="13" width="15" customWidth="1"/>
    <col min="14" max="14" width="14" customWidth="1"/>
    <col min="15" max="15" width="16.6640625" customWidth="1"/>
    <col min="16" max="16" width="10.83203125" customWidth="1"/>
    <col min="17" max="17" width="24.6640625" customWidth="1"/>
    <col min="18" max="18" width="27.5" customWidth="1"/>
    <col min="19" max="19" width="11" customWidth="1"/>
    <col min="20" max="20" width="11.83203125" customWidth="1"/>
    <col min="23" max="23" width="25.33203125" customWidth="1"/>
    <col min="25" max="25" width="13.33203125" customWidth="1"/>
    <col min="26" max="26" width="20" style="876" customWidth="1"/>
    <col min="27" max="28" width="12.33203125" customWidth="1"/>
    <col min="29" max="29" width="7.33203125" customWidth="1"/>
    <col min="30" max="30" width="26.6640625" customWidth="1"/>
  </cols>
  <sheetData>
    <row r="1" spans="1:43" s="3" customFormat="1" ht="25.5" customHeight="1" thickBot="1">
      <c r="A1" s="1993" t="s">
        <v>1231</v>
      </c>
      <c r="B1" s="1993"/>
      <c r="C1" s="1993"/>
      <c r="D1" s="1993"/>
      <c r="E1" s="1993"/>
      <c r="F1" s="1993"/>
      <c r="G1" s="1993"/>
      <c r="H1" s="1993"/>
      <c r="I1" s="1993"/>
      <c r="J1" s="44"/>
      <c r="K1" s="44"/>
      <c r="L1" s="44"/>
      <c r="M1" s="44"/>
      <c r="N1" s="44"/>
      <c r="O1" s="44"/>
      <c r="P1" s="44"/>
      <c r="Q1" s="122"/>
      <c r="R1" s="44"/>
      <c r="S1" s="121"/>
      <c r="T1" s="44"/>
      <c r="U1" s="44"/>
      <c r="V1" s="44"/>
      <c r="W1" s="1965" t="s">
        <v>949</v>
      </c>
      <c r="X1" s="1965"/>
      <c r="Y1" s="1965"/>
      <c r="Z1" s="1965"/>
      <c r="AA1" s="1965"/>
      <c r="AB1" s="1965"/>
      <c r="AC1" s="1965"/>
      <c r="AD1" s="1965"/>
      <c r="AE1" s="44"/>
      <c r="AF1" s="44"/>
      <c r="AG1" s="44"/>
      <c r="AH1" s="44"/>
      <c r="AI1" s="44"/>
      <c r="AJ1" s="44"/>
      <c r="AK1" s="44"/>
      <c r="AL1" s="44"/>
      <c r="AM1" s="44"/>
      <c r="AN1" s="44"/>
      <c r="AO1" s="44"/>
      <c r="AP1" s="44"/>
      <c r="AQ1" s="44"/>
    </row>
    <row r="2" spans="1:43" s="3" customFormat="1" ht="15" customHeight="1" thickTop="1" thickBot="1">
      <c r="A2" s="1993"/>
      <c r="B2" s="1993"/>
      <c r="C2" s="1993"/>
      <c r="D2" s="1993"/>
      <c r="E2" s="1993"/>
      <c r="F2" s="1993"/>
      <c r="G2" s="1993"/>
      <c r="H2" s="1993"/>
      <c r="I2" s="1993"/>
      <c r="J2" s="79" t="s">
        <v>1378</v>
      </c>
      <c r="K2" s="79" t="s">
        <v>1407</v>
      </c>
      <c r="L2" s="853"/>
      <c r="M2" s="80"/>
      <c r="N2" s="79" t="s">
        <v>1396</v>
      </c>
      <c r="O2" s="81"/>
      <c r="P2" s="854" t="s">
        <v>1232</v>
      </c>
      <c r="Q2" s="83" t="s">
        <v>1223</v>
      </c>
      <c r="R2" s="854" t="s">
        <v>1398</v>
      </c>
      <c r="S2" s="854" t="s">
        <v>1312</v>
      </c>
      <c r="T2" s="855" t="s">
        <v>1272</v>
      </c>
      <c r="U2" s="44"/>
      <c r="V2" s="44"/>
      <c r="W2" s="966" t="s">
        <v>1396</v>
      </c>
      <c r="X2" s="970"/>
      <c r="Y2" s="984" t="s">
        <v>1232</v>
      </c>
      <c r="Z2" s="971" t="s">
        <v>1223</v>
      </c>
      <c r="AA2" s="903" t="s">
        <v>1398</v>
      </c>
      <c r="AB2" s="903" t="s">
        <v>1312</v>
      </c>
      <c r="AC2" s="903" t="s">
        <v>1272</v>
      </c>
      <c r="AD2" s="1289" t="s">
        <v>864</v>
      </c>
      <c r="AE2" s="44"/>
      <c r="AF2" s="44"/>
      <c r="AG2" s="44"/>
      <c r="AH2" s="44"/>
      <c r="AI2" s="44"/>
      <c r="AJ2" s="44"/>
      <c r="AK2" s="44"/>
      <c r="AL2" s="44"/>
      <c r="AM2" s="44"/>
      <c r="AN2" s="44"/>
      <c r="AO2" s="44"/>
      <c r="AP2" s="44"/>
      <c r="AQ2" s="44"/>
    </row>
    <row r="3" spans="1:43" s="3" customFormat="1" ht="15" customHeight="1" thickTop="1">
      <c r="A3" s="273"/>
      <c r="B3" s="382" t="s">
        <v>888</v>
      </c>
      <c r="C3" s="383"/>
      <c r="D3" s="383"/>
      <c r="E3" s="383"/>
      <c r="F3" s="383"/>
      <c r="G3" s="383"/>
      <c r="H3" s="946"/>
      <c r="I3" s="947"/>
      <c r="J3" s="72" t="s">
        <v>1417</v>
      </c>
      <c r="K3" s="848" t="s">
        <v>1408</v>
      </c>
      <c r="L3" s="1975" t="s">
        <v>1414</v>
      </c>
      <c r="M3" s="1976"/>
      <c r="N3" s="1977" t="s">
        <v>1099</v>
      </c>
      <c r="O3" s="1975"/>
      <c r="P3" s="85" t="str">
        <f>IF(AND(R8&gt;-0.005,R8&lt;0.005),"","CHECK!")</f>
        <v/>
      </c>
      <c r="Q3" s="65">
        <f>SUM(Q36:Q93)</f>
        <v>467859</v>
      </c>
      <c r="R3" s="107"/>
      <c r="S3" s="107"/>
      <c r="T3" s="99"/>
      <c r="U3" s="44"/>
      <c r="V3" s="44"/>
      <c r="W3" s="1969" t="s">
        <v>1099</v>
      </c>
      <c r="X3" s="1971"/>
      <c r="Y3" s="985" t="str">
        <f>IF(AND(AA3&gt;-0.005,AA3&lt;0.005),"","CHECK!")</f>
        <v/>
      </c>
      <c r="Z3" s="967">
        <f>Q3</f>
        <v>467859</v>
      </c>
      <c r="AA3" s="973">
        <f>Z3-Z8-Z4</f>
        <v>0</v>
      </c>
      <c r="AB3" s="910" t="s">
        <v>844</v>
      </c>
      <c r="AC3" s="941"/>
      <c r="AD3" s="1290"/>
      <c r="AE3" s="44"/>
      <c r="AF3" s="44"/>
      <c r="AG3" s="44"/>
      <c r="AH3" s="44"/>
      <c r="AI3" s="44"/>
      <c r="AJ3" s="44"/>
      <c r="AK3" s="44"/>
      <c r="AL3" s="44"/>
      <c r="AM3" s="44"/>
      <c r="AN3" s="44"/>
      <c r="AO3" s="44"/>
      <c r="AP3" s="44"/>
      <c r="AQ3" s="44"/>
    </row>
    <row r="4" spans="1:43" s="3" customFormat="1" ht="15" customHeight="1">
      <c r="A4" s="273"/>
      <c r="B4" s="384" t="s">
        <v>1116</v>
      </c>
      <c r="C4" s="1994" t="s">
        <v>897</v>
      </c>
      <c r="D4" s="1994"/>
      <c r="E4" s="1994"/>
      <c r="F4" s="1994"/>
      <c r="G4" s="1994"/>
      <c r="H4" s="1994"/>
      <c r="I4" s="1995"/>
      <c r="J4" s="72" t="s">
        <v>1418</v>
      </c>
      <c r="K4" s="848" t="s">
        <v>1382</v>
      </c>
      <c r="L4" s="1975" t="s">
        <v>1415</v>
      </c>
      <c r="M4" s="1976"/>
      <c r="N4" s="1977" t="s">
        <v>1100</v>
      </c>
      <c r="O4" s="1975"/>
      <c r="P4" s="85"/>
      <c r="Q4" s="65">
        <f>SUMIF($L$36:$L$93,"X",$Q$36:$Q$93)</f>
        <v>0</v>
      </c>
      <c r="R4" s="88"/>
      <c r="S4" s="88"/>
      <c r="T4" s="99"/>
      <c r="U4" s="44"/>
      <c r="V4" s="44"/>
      <c r="W4" s="1969" t="s">
        <v>1100</v>
      </c>
      <c r="X4" s="1971"/>
      <c r="Y4" s="985"/>
      <c r="Z4" s="967">
        <f>Q4</f>
        <v>0</v>
      </c>
      <c r="AA4" s="972"/>
      <c r="AB4" s="910"/>
      <c r="AC4" s="902"/>
      <c r="AD4" s="1290"/>
      <c r="AE4" s="44"/>
      <c r="AF4" s="44"/>
      <c r="AG4" s="44"/>
      <c r="AH4" s="44"/>
      <c r="AI4" s="44"/>
      <c r="AJ4" s="44"/>
      <c r="AK4" s="44"/>
      <c r="AL4" s="44"/>
      <c r="AM4" s="44"/>
      <c r="AN4" s="44"/>
      <c r="AO4" s="44"/>
      <c r="AP4" s="44"/>
      <c r="AQ4" s="44"/>
    </row>
    <row r="5" spans="1:43" s="3" customFormat="1" ht="15" customHeight="1">
      <c r="A5" s="273"/>
      <c r="B5" s="384" t="s">
        <v>1116</v>
      </c>
      <c r="C5" s="1994" t="s">
        <v>887</v>
      </c>
      <c r="D5" s="1994"/>
      <c r="E5" s="1994"/>
      <c r="F5" s="1994"/>
      <c r="G5" s="1994"/>
      <c r="H5" s="1994"/>
      <c r="I5" s="1995"/>
      <c r="J5" s="72" t="s">
        <v>1419</v>
      </c>
      <c r="K5" s="848" t="s">
        <v>1383</v>
      </c>
      <c r="L5" s="1975" t="s">
        <v>1365</v>
      </c>
      <c r="M5" s="1976"/>
      <c r="N5" s="1977" t="s">
        <v>1138</v>
      </c>
      <c r="O5" s="1975"/>
      <c r="P5" s="85"/>
      <c r="Q5" s="66">
        <f>Q3-Q4</f>
        <v>467859</v>
      </c>
      <c r="R5" s="88"/>
      <c r="S5" s="88"/>
      <c r="T5" s="99" t="s">
        <v>1234</v>
      </c>
      <c r="U5" s="44"/>
      <c r="V5" s="44"/>
      <c r="W5" s="1969" t="s">
        <v>1138</v>
      </c>
      <c r="X5" s="1971"/>
      <c r="Y5" s="985"/>
      <c r="Z5" s="967">
        <f>Q5</f>
        <v>467859</v>
      </c>
      <c r="AA5" s="972"/>
      <c r="AB5" s="910"/>
      <c r="AC5" s="902" t="s">
        <v>1234</v>
      </c>
      <c r="AD5" s="1290"/>
      <c r="AE5" s="44"/>
      <c r="AF5" s="44"/>
      <c r="AG5" s="44"/>
      <c r="AH5" s="44"/>
      <c r="AI5" s="44"/>
      <c r="AJ5" s="44"/>
      <c r="AK5" s="44"/>
      <c r="AL5" s="44"/>
      <c r="AM5" s="44"/>
      <c r="AN5" s="44"/>
      <c r="AO5" s="44"/>
      <c r="AP5" s="44"/>
      <c r="AQ5" s="44"/>
    </row>
    <row r="6" spans="1:43" s="3" customFormat="1" ht="15" customHeight="1">
      <c r="A6" s="273"/>
      <c r="B6" s="384" t="s">
        <v>1116</v>
      </c>
      <c r="C6" s="1994" t="s">
        <v>1117</v>
      </c>
      <c r="D6" s="1994"/>
      <c r="E6" s="1994"/>
      <c r="F6" s="1994"/>
      <c r="G6" s="1994"/>
      <c r="H6" s="1994"/>
      <c r="I6" s="1995"/>
      <c r="J6" s="72" t="s">
        <v>1420</v>
      </c>
      <c r="K6" s="848" t="s">
        <v>1384</v>
      </c>
      <c r="L6" s="1975" t="s">
        <v>1367</v>
      </c>
      <c r="M6" s="1976"/>
      <c r="N6" s="1977" t="s">
        <v>1063</v>
      </c>
      <c r="O6" s="1978"/>
      <c r="P6" s="84"/>
      <c r="Q6" s="66">
        <f>SUMIFS($Q$36:$Q$93,$P$36:$P$93,"D",$L$36:$L$93,"I")</f>
        <v>461519</v>
      </c>
      <c r="R6" s="88"/>
      <c r="S6" s="88"/>
      <c r="T6" s="99" t="s">
        <v>1235</v>
      </c>
      <c r="U6" s="44"/>
      <c r="V6" s="44"/>
      <c r="W6" s="1969" t="s">
        <v>1063</v>
      </c>
      <c r="X6" s="1974"/>
      <c r="Y6" s="985" t="str">
        <f>IF(AND(AA6&gt;-0.005,AA6&lt;0.005),"","CHECK!")</f>
        <v/>
      </c>
      <c r="Z6" s="967">
        <f>Q6+SUMIFS($Q$36:$Q$93,$R$36:$R$93,"Y",$P$36:$P$93,"C",$L$36:$L$93,"I")</f>
        <v>461519</v>
      </c>
      <c r="AA6" s="972">
        <f>Z6-'ENR#-DSUM-CONV'!B13</f>
        <v>0</v>
      </c>
      <c r="AB6" s="910" t="s">
        <v>1114</v>
      </c>
      <c r="AC6" s="902" t="s">
        <v>1235</v>
      </c>
      <c r="AD6" s="1290"/>
      <c r="AE6" s="44"/>
      <c r="AF6" s="44"/>
      <c r="AG6" s="44"/>
      <c r="AH6" s="44"/>
      <c r="AI6" s="44"/>
      <c r="AJ6" s="44"/>
      <c r="AK6" s="44"/>
      <c r="AL6" s="44"/>
      <c r="AM6" s="44"/>
      <c r="AN6" s="44"/>
      <c r="AO6" s="44"/>
      <c r="AP6" s="44"/>
      <c r="AQ6" s="44"/>
    </row>
    <row r="7" spans="1:43" s="3" customFormat="1" ht="15" customHeight="1">
      <c r="A7" s="273"/>
      <c r="B7" s="384" t="s">
        <v>1116</v>
      </c>
      <c r="C7" s="1994" t="s">
        <v>894</v>
      </c>
      <c r="D7" s="1994"/>
      <c r="E7" s="1994"/>
      <c r="F7" s="1994"/>
      <c r="G7" s="1994"/>
      <c r="H7" s="1994"/>
      <c r="I7" s="1995"/>
      <c r="J7" s="72" t="s">
        <v>1186</v>
      </c>
      <c r="K7" s="848" t="s">
        <v>1409</v>
      </c>
      <c r="L7" s="1975" t="s">
        <v>1416</v>
      </c>
      <c r="M7" s="1976"/>
      <c r="N7" s="1977" t="s">
        <v>1064</v>
      </c>
      <c r="O7" s="1978"/>
      <c r="P7" s="84"/>
      <c r="Q7" s="66">
        <f>SUMIFS($Q$36:$Q$93,$P$36:$P$93,"C",$L$36:$L$93,"I")</f>
        <v>6340</v>
      </c>
      <c r="R7" s="88"/>
      <c r="S7" s="88"/>
      <c r="T7" s="99" t="s">
        <v>1236</v>
      </c>
      <c r="U7" s="44"/>
      <c r="V7" s="44"/>
      <c r="W7" s="1969" t="s">
        <v>1064</v>
      </c>
      <c r="X7" s="1974"/>
      <c r="Y7" s="985" t="str">
        <f>IF(AND(AA7&gt;-0.005,AA7&lt;0.005),"","CHECK!")</f>
        <v/>
      </c>
      <c r="Z7" s="967">
        <f>Q7-SUMIFS($Q$36:$Q$93,$R$36:$R$93,"Y",$P$36:$P$93,"C",$L$36:$L$93,"I")</f>
        <v>6340</v>
      </c>
      <c r="AA7" s="972">
        <f>Z7-'ENR#-DSUM-CONV'!B23</f>
        <v>0</v>
      </c>
      <c r="AB7" s="910" t="s">
        <v>1114</v>
      </c>
      <c r="AC7" s="902" t="s">
        <v>1236</v>
      </c>
      <c r="AD7" s="1290"/>
      <c r="AE7" s="44"/>
      <c r="AF7" s="44"/>
      <c r="AG7" s="44"/>
      <c r="AH7" s="44"/>
      <c r="AI7" s="44"/>
      <c r="AJ7" s="44"/>
      <c r="AK7" s="44"/>
      <c r="AL7" s="44"/>
      <c r="AM7" s="44"/>
      <c r="AN7" s="44"/>
      <c r="AO7" s="44"/>
      <c r="AP7" s="44"/>
      <c r="AQ7" s="44"/>
    </row>
    <row r="8" spans="1:43" s="3" customFormat="1" ht="15" customHeight="1" thickBot="1">
      <c r="A8" s="273"/>
      <c r="B8" s="384" t="s">
        <v>1116</v>
      </c>
      <c r="C8" s="1994" t="s">
        <v>889</v>
      </c>
      <c r="D8" s="1994"/>
      <c r="E8" s="1994"/>
      <c r="F8" s="1994"/>
      <c r="G8" s="1994"/>
      <c r="H8" s="1994"/>
      <c r="I8" s="1995"/>
      <c r="J8" s="72" t="s">
        <v>1421</v>
      </c>
      <c r="K8" s="848" t="s">
        <v>1410</v>
      </c>
      <c r="L8" s="1975" t="s">
        <v>1344</v>
      </c>
      <c r="M8" s="1976"/>
      <c r="N8" s="1977" t="s">
        <v>1259</v>
      </c>
      <c r="O8" s="1978"/>
      <c r="P8" s="85" t="str">
        <f>IF(AND(R8&gt;-0.005,R8&lt;0.005),"","CHECK!")</f>
        <v/>
      </c>
      <c r="Q8" s="67">
        <f>Q6+Q7</f>
        <v>467859</v>
      </c>
      <c r="R8" s="867">
        <f>Q5-Q8</f>
        <v>0</v>
      </c>
      <c r="S8" s="88" t="s">
        <v>1314</v>
      </c>
      <c r="T8" s="99" t="s">
        <v>1237</v>
      </c>
      <c r="U8" s="44"/>
      <c r="V8" s="44"/>
      <c r="W8" s="1969" t="s">
        <v>1259</v>
      </c>
      <c r="X8" s="1974"/>
      <c r="Y8" s="985" t="str">
        <f>IF(AND(AA8&gt;-0.005,AA8&lt;0.005),"","CHECK!")</f>
        <v/>
      </c>
      <c r="Z8" s="967">
        <f>Z6+Z7</f>
        <v>467859</v>
      </c>
      <c r="AA8" s="972">
        <f>Z5-Z8</f>
        <v>0</v>
      </c>
      <c r="AB8" s="910" t="s">
        <v>1314</v>
      </c>
      <c r="AC8" s="902" t="s">
        <v>1237</v>
      </c>
      <c r="AD8" s="1290"/>
      <c r="AE8" s="44"/>
      <c r="AF8" s="44"/>
      <c r="AG8" s="44"/>
      <c r="AH8" s="44"/>
      <c r="AI8" s="44"/>
      <c r="AJ8" s="44"/>
      <c r="AK8" s="44"/>
      <c r="AL8" s="44"/>
      <c r="AM8" s="44"/>
      <c r="AN8" s="44"/>
      <c r="AO8" s="44"/>
      <c r="AP8" s="44"/>
      <c r="AQ8" s="44"/>
    </row>
    <row r="9" spans="1:43" s="3" customFormat="1" ht="15" customHeight="1" thickTop="1" thickBot="1">
      <c r="A9" s="273"/>
      <c r="B9" s="384" t="s">
        <v>1116</v>
      </c>
      <c r="C9" s="1994" t="s">
        <v>893</v>
      </c>
      <c r="D9" s="1994"/>
      <c r="E9" s="1994"/>
      <c r="F9" s="1994"/>
      <c r="G9" s="1994"/>
      <c r="H9" s="1994"/>
      <c r="I9" s="1995"/>
      <c r="J9" s="77"/>
      <c r="K9" s="848" t="s">
        <v>1358</v>
      </c>
      <c r="L9" s="1979" t="s">
        <v>1438</v>
      </c>
      <c r="M9" s="1980"/>
      <c r="N9" s="1977" t="s">
        <v>1260</v>
      </c>
      <c r="O9" s="1975"/>
      <c r="P9" s="84"/>
      <c r="Q9" s="66">
        <f>SUMIFS($Q$36:$Q$93,$O$36:$O$93,"FA1",$P$36:$P$93,"D",$L$36:$L$93,"I")</f>
        <v>24226</v>
      </c>
      <c r="R9" s="867"/>
      <c r="S9" s="88"/>
      <c r="T9" s="99" t="s">
        <v>1238</v>
      </c>
      <c r="U9" s="44"/>
      <c r="V9" s="44"/>
      <c r="W9" s="1924" t="s">
        <v>1260</v>
      </c>
      <c r="X9" s="1925"/>
      <c r="Y9" s="985" t="str">
        <f t="shared" ref="Y9:Y27" si="0">IF(AND(AA9&gt;-0.005,AA9&lt;0.005),"","CHECK!")</f>
        <v/>
      </c>
      <c r="Z9" s="968">
        <f>Q9+SUMIFS($Q$36:$Q$93,$R$36:$R$93,"Y",$O$36:$O$93,"FA1",$P$36:$P$93,"C",$L$36:$L$93,"I")</f>
        <v>24226</v>
      </c>
      <c r="AA9" s="973">
        <f>Z9-'ENR#-DSUM-CONV'!B33</f>
        <v>0</v>
      </c>
      <c r="AB9" s="914"/>
      <c r="AC9" s="941" t="s">
        <v>1238</v>
      </c>
      <c r="AD9" s="1291"/>
      <c r="AE9" s="44"/>
      <c r="AF9" s="44"/>
      <c r="AG9" s="44"/>
      <c r="AH9" s="44"/>
      <c r="AI9" s="44"/>
      <c r="AJ9" s="44"/>
      <c r="AK9" s="44"/>
      <c r="AL9" s="44"/>
      <c r="AM9" s="44"/>
      <c r="AN9" s="44"/>
      <c r="AO9" s="44"/>
      <c r="AP9" s="44"/>
      <c r="AQ9" s="44"/>
    </row>
    <row r="10" spans="1:43" s="3" customFormat="1" ht="15" customHeight="1" thickTop="1" thickBot="1">
      <c r="A10" s="273"/>
      <c r="B10" s="384" t="s">
        <v>1116</v>
      </c>
      <c r="C10" s="1994" t="s">
        <v>1118</v>
      </c>
      <c r="D10" s="1994"/>
      <c r="E10" s="1994"/>
      <c r="F10" s="1994"/>
      <c r="G10" s="1994"/>
      <c r="H10" s="1994"/>
      <c r="I10" s="1995"/>
      <c r="J10" s="378" t="s">
        <v>1059</v>
      </c>
      <c r="K10" s="848" t="s">
        <v>1359</v>
      </c>
      <c r="L10" s="1979" t="s">
        <v>1439</v>
      </c>
      <c r="M10" s="1980"/>
      <c r="N10" s="1977" t="s">
        <v>1261</v>
      </c>
      <c r="O10" s="1975"/>
      <c r="P10" s="84"/>
      <c r="Q10" s="66">
        <f>SUMIFS($Q$36:$Q$93,$O$36:$O$93,"FA1",$P$36:$P$93,"C",$L$36:$L$93,"I")</f>
        <v>2602</v>
      </c>
      <c r="R10" s="867"/>
      <c r="S10" s="88"/>
      <c r="T10" s="99" t="s">
        <v>1239</v>
      </c>
      <c r="U10" s="44"/>
      <c r="V10" s="44"/>
      <c r="W10" s="1966" t="s">
        <v>1261</v>
      </c>
      <c r="X10" s="1973"/>
      <c r="Y10" s="985" t="str">
        <f t="shared" si="0"/>
        <v/>
      </c>
      <c r="Z10" s="969">
        <f>Q10-SUMIFS($Q$36:$Q$93,$R$36:$R$93,"Y",$O$36:$O$93,"FA1",$P$36:$P$93,"C",$L$36:$L$93,"I")</f>
        <v>2602</v>
      </c>
      <c r="AA10" s="974">
        <f>Z10-'ENR#-DSUM-CONV'!B43</f>
        <v>0</v>
      </c>
      <c r="AB10" s="943"/>
      <c r="AC10" s="908" t="s">
        <v>1239</v>
      </c>
      <c r="AD10" s="1295">
        <f>'ENR#-DSUM-CONV'!B183</f>
        <v>0</v>
      </c>
      <c r="AE10" s="44"/>
      <c r="AF10" s="44"/>
      <c r="AG10" s="44"/>
      <c r="AH10" s="44"/>
      <c r="AI10" s="44"/>
      <c r="AJ10" s="44"/>
      <c r="AK10" s="44"/>
      <c r="AL10" s="44"/>
      <c r="AM10" s="44"/>
      <c r="AN10" s="44"/>
      <c r="AO10" s="44"/>
      <c r="AP10" s="44"/>
      <c r="AQ10" s="44"/>
    </row>
    <row r="11" spans="1:43" s="3" customFormat="1" ht="15" customHeight="1" thickTop="1">
      <c r="A11" s="273"/>
      <c r="B11" s="384" t="s">
        <v>1116</v>
      </c>
      <c r="C11" s="1994" t="s">
        <v>896</v>
      </c>
      <c r="D11" s="1994"/>
      <c r="E11" s="1994"/>
      <c r="F11" s="1994"/>
      <c r="G11" s="1994"/>
      <c r="H11" s="1994"/>
      <c r="I11" s="1995"/>
      <c r="J11" s="374" t="s">
        <v>789</v>
      </c>
      <c r="K11" s="848" t="s">
        <v>1360</v>
      </c>
      <c r="L11" s="1979" t="s">
        <v>1440</v>
      </c>
      <c r="M11" s="1980"/>
      <c r="N11" s="1977" t="s">
        <v>1262</v>
      </c>
      <c r="O11" s="1975"/>
      <c r="P11" s="84"/>
      <c r="Q11" s="66">
        <f>SUMIFS($Q$36:$Q$93,$O$36:$O$93,"FA2",$P$36:$P$93,"D",$L$36:$L$93,"I")</f>
        <v>0</v>
      </c>
      <c r="R11" s="867"/>
      <c r="S11" s="88"/>
      <c r="T11" s="99" t="s">
        <v>1240</v>
      </c>
      <c r="U11" s="123"/>
      <c r="V11" s="44"/>
      <c r="W11" s="1924" t="s">
        <v>1262</v>
      </c>
      <c r="X11" s="1925"/>
      <c r="Y11" s="985" t="str">
        <f t="shared" si="0"/>
        <v/>
      </c>
      <c r="Z11" s="968">
        <f>Q11+SUMIFS($Q$36:$Q$93,$R$36:$R$93,"Y",$O$36:$O$93,"FA2",$P$36:$P$93,"C",$L$36:$L$93,"I")</f>
        <v>0</v>
      </c>
      <c r="AA11" s="973">
        <f>Z11-'ENR#-DSUM-CONV'!B53</f>
        <v>0</v>
      </c>
      <c r="AB11" s="914"/>
      <c r="AC11" s="941" t="s">
        <v>1240</v>
      </c>
      <c r="AD11" s="1296"/>
      <c r="AE11" s="44"/>
      <c r="AF11" s="44"/>
      <c r="AG11" s="44"/>
      <c r="AH11" s="44"/>
      <c r="AI11" s="44"/>
      <c r="AJ11" s="44"/>
      <c r="AK11" s="44"/>
      <c r="AL11" s="44"/>
      <c r="AM11" s="44"/>
      <c r="AN11" s="44"/>
      <c r="AO11" s="44"/>
      <c r="AP11" s="44"/>
      <c r="AQ11" s="44"/>
    </row>
    <row r="12" spans="1:43" s="3" customFormat="1" ht="15" customHeight="1" thickBot="1">
      <c r="A12" s="273"/>
      <c r="B12" s="384"/>
      <c r="C12" s="1994" t="s">
        <v>895</v>
      </c>
      <c r="D12" s="1994"/>
      <c r="E12" s="1994"/>
      <c r="F12" s="1994"/>
      <c r="G12" s="1994"/>
      <c r="H12" s="1994"/>
      <c r="I12" s="1995"/>
      <c r="J12" s="374" t="str">
        <f>'FIG3'!W52</f>
        <v>Little Rock</v>
      </c>
      <c r="K12" s="848" t="s">
        <v>1411</v>
      </c>
      <c r="L12" s="1979" t="s">
        <v>1422</v>
      </c>
      <c r="M12" s="1980"/>
      <c r="N12" s="1977" t="s">
        <v>1263</v>
      </c>
      <c r="O12" s="1975"/>
      <c r="P12" s="84"/>
      <c r="Q12" s="66">
        <f>SUMIFS($Q$36:$Q$93,$O$36:$O$93,"FA2",$P$36:$P$93,"C",$L$36:$L$93,"I")</f>
        <v>0</v>
      </c>
      <c r="R12" s="867"/>
      <c r="S12" s="88"/>
      <c r="T12" s="99" t="s">
        <v>1241</v>
      </c>
      <c r="U12" s="123"/>
      <c r="V12" s="44"/>
      <c r="W12" s="1966" t="s">
        <v>1263</v>
      </c>
      <c r="X12" s="1973"/>
      <c r="Y12" s="985" t="str">
        <f t="shared" si="0"/>
        <v/>
      </c>
      <c r="Z12" s="969">
        <f>Q12-SUMIFS($Q$36:$Q$93,$R$36:$R$93,"Y",$O$36:$O$93,"FA2",$P$36:$P$93,"C",$L$36:$L$93,"I")</f>
        <v>0</v>
      </c>
      <c r="AA12" s="974">
        <f>Z12-'ENR#-DSUM-CONV'!B63</f>
        <v>0</v>
      </c>
      <c r="AB12" s="943"/>
      <c r="AC12" s="908" t="s">
        <v>1241</v>
      </c>
      <c r="AD12" s="1295">
        <f>'ENR#-DSUM-CONV'!B193</f>
        <v>0</v>
      </c>
      <c r="AE12" s="44"/>
      <c r="AF12" s="44"/>
      <c r="AG12" s="44"/>
      <c r="AH12" s="44"/>
      <c r="AI12" s="44"/>
      <c r="AJ12" s="44"/>
      <c r="AK12" s="44"/>
      <c r="AL12" s="44"/>
      <c r="AM12" s="44"/>
      <c r="AN12" s="44"/>
      <c r="AO12" s="44"/>
      <c r="AP12" s="44"/>
      <c r="AQ12" s="44"/>
    </row>
    <row r="13" spans="1:43" s="3" customFormat="1" ht="15" customHeight="1" thickTop="1" thickBot="1">
      <c r="A13" s="273"/>
      <c r="B13" s="384" t="s">
        <v>1116</v>
      </c>
      <c r="C13" s="1994" t="s">
        <v>890</v>
      </c>
      <c r="D13" s="1994"/>
      <c r="E13" s="1994"/>
      <c r="F13" s="1994"/>
      <c r="G13" s="1994"/>
      <c r="H13" s="1994"/>
      <c r="I13" s="1995"/>
      <c r="J13" s="379" t="str">
        <f>'FIG3'!X52</f>
        <v>School District</v>
      </c>
      <c r="K13" s="848" t="s">
        <v>1412</v>
      </c>
      <c r="L13" s="1979" t="s">
        <v>1423</v>
      </c>
      <c r="M13" s="1980"/>
      <c r="N13" s="1977" t="s">
        <v>1264</v>
      </c>
      <c r="O13" s="1975"/>
      <c r="P13" s="84"/>
      <c r="Q13" s="66">
        <f>SUMIFS($Q$36:$Q$93,$O$36:$O$93,"FA3",$P$36:$P$93,"D",$L$36:$L$93,"I")</f>
        <v>0</v>
      </c>
      <c r="R13" s="867"/>
      <c r="S13" s="88"/>
      <c r="T13" s="99" t="s">
        <v>1242</v>
      </c>
      <c r="U13" s="124"/>
      <c r="V13" s="44"/>
      <c r="W13" s="1924" t="s">
        <v>1264</v>
      </c>
      <c r="X13" s="1925"/>
      <c r="Y13" s="985" t="str">
        <f t="shared" si="0"/>
        <v/>
      </c>
      <c r="Z13" s="968">
        <f>Q13+SUMIFS($Q$36:$Q$93,$R$36:$R$93,"Y",$O$36:$O$93,"FA3",$P$36:$P$93,"C",$L$36:$L$93,"I")</f>
        <v>0</v>
      </c>
      <c r="AA13" s="973">
        <f>'ENR#-DSUM-CONV'!B73</f>
        <v>0</v>
      </c>
      <c r="AB13" s="914"/>
      <c r="AC13" s="941" t="s">
        <v>1242</v>
      </c>
      <c r="AD13" s="1296"/>
      <c r="AE13" s="44"/>
      <c r="AF13" s="44"/>
      <c r="AG13" s="44"/>
      <c r="AH13" s="44"/>
      <c r="AI13" s="44"/>
      <c r="AJ13" s="44"/>
      <c r="AK13" s="44"/>
      <c r="AL13" s="44"/>
      <c r="AM13" s="44"/>
      <c r="AN13" s="44"/>
      <c r="AO13" s="44"/>
      <c r="AP13" s="44"/>
      <c r="AQ13" s="44"/>
    </row>
    <row r="14" spans="1:43" s="3" customFormat="1" ht="15" customHeight="1" thickBot="1">
      <c r="A14" s="273"/>
      <c r="B14" s="384" t="s">
        <v>1116</v>
      </c>
      <c r="C14" s="1994" t="s">
        <v>882</v>
      </c>
      <c r="D14" s="1994"/>
      <c r="E14" s="1994"/>
      <c r="F14" s="1994"/>
      <c r="G14" s="1994"/>
      <c r="H14" s="1994"/>
      <c r="I14" s="1995"/>
      <c r="J14" s="374" t="str">
        <f>'FIG3'!V53</f>
        <v>FA2</v>
      </c>
      <c r="K14" s="848" t="s">
        <v>1413</v>
      </c>
      <c r="L14" s="1979" t="s">
        <v>1424</v>
      </c>
      <c r="M14" s="1980"/>
      <c r="N14" s="1977" t="s">
        <v>1265</v>
      </c>
      <c r="O14" s="1975"/>
      <c r="P14" s="84"/>
      <c r="Q14" s="66">
        <f>SUMIFS($Q$36:$Q$93,$O$36:$O$93,"FA3",$P$36:$P$93,"C",$L$36:$L$93,"I")</f>
        <v>0</v>
      </c>
      <c r="R14" s="867"/>
      <c r="S14" s="88"/>
      <c r="T14" s="99" t="s">
        <v>1243</v>
      </c>
      <c r="U14" s="125"/>
      <c r="V14" s="44"/>
      <c r="W14" s="1966" t="s">
        <v>1265</v>
      </c>
      <c r="X14" s="1973"/>
      <c r="Y14" s="985" t="str">
        <f t="shared" si="0"/>
        <v/>
      </c>
      <c r="Z14" s="969">
        <f>Q14-SUMIFS($Q$36:$Q$93,$R$36:$R$93,"Y",$O$36:$O$93,"FA3",$P$36:$P$93,"C",$L$36:$L$93,"I")</f>
        <v>0</v>
      </c>
      <c r="AA14" s="974">
        <f>Z14-'ENR#-DSUM-CONV'!B83</f>
        <v>0</v>
      </c>
      <c r="AB14" s="943"/>
      <c r="AC14" s="908" t="s">
        <v>1243</v>
      </c>
      <c r="AD14" s="1295">
        <f>'ENR#-DSUM-CONV'!B203</f>
        <v>0</v>
      </c>
      <c r="AE14" s="44"/>
      <c r="AF14" s="44"/>
      <c r="AG14" s="44"/>
      <c r="AH14" s="44"/>
      <c r="AI14" s="44"/>
      <c r="AJ14" s="44"/>
      <c r="AK14" s="44"/>
      <c r="AL14" s="44"/>
      <c r="AM14" s="44"/>
      <c r="AN14" s="44"/>
      <c r="AO14" s="44"/>
      <c r="AP14" s="44"/>
      <c r="AQ14" s="44"/>
    </row>
    <row r="15" spans="1:43" s="3" customFormat="1" ht="15" customHeight="1" thickTop="1">
      <c r="A15" s="273"/>
      <c r="B15" s="385"/>
      <c r="C15" s="1994" t="s">
        <v>883</v>
      </c>
      <c r="D15" s="1994"/>
      <c r="E15" s="1994"/>
      <c r="F15" s="1994"/>
      <c r="G15" s="1994"/>
      <c r="H15" s="1994"/>
      <c r="I15" s="1995"/>
      <c r="J15" s="374" t="str">
        <f>'FIG3'!W53</f>
        <v>FA2L1</v>
      </c>
      <c r="K15" s="848" t="s">
        <v>1435</v>
      </c>
      <c r="L15" s="1979" t="s">
        <v>1451</v>
      </c>
      <c r="M15" s="1980"/>
      <c r="N15" s="1977" t="s">
        <v>1266</v>
      </c>
      <c r="O15" s="1975"/>
      <c r="P15" s="84"/>
      <c r="Q15" s="66">
        <f>SUMIFS($Q$36:$Q$93,$O$36:$O$93,"FA4",$P$36:$P$93,"D",$L$36:$L$93,"I")</f>
        <v>0</v>
      </c>
      <c r="R15" s="867"/>
      <c r="S15" s="88"/>
      <c r="T15" s="99" t="s">
        <v>1244</v>
      </c>
      <c r="U15" s="125"/>
      <c r="V15" s="44"/>
      <c r="W15" s="1924" t="s">
        <v>1266</v>
      </c>
      <c r="X15" s="1925"/>
      <c r="Y15" s="985" t="str">
        <f t="shared" si="0"/>
        <v/>
      </c>
      <c r="Z15" s="968">
        <f>Q15+SUMIFS($Q$36:$Q$93,$R$36:$R$93,"Y",$O$36:$O$93,"FA4",$P$36:$P$93,"C",$L$36:$L$93,"I")</f>
        <v>0</v>
      </c>
      <c r="AA15" s="973">
        <f>Z15-'ENR#-DSUM-CONV'!B93</f>
        <v>0</v>
      </c>
      <c r="AB15" s="914"/>
      <c r="AC15" s="941" t="s">
        <v>1244</v>
      </c>
      <c r="AD15" s="1296"/>
      <c r="AE15" s="44"/>
      <c r="AF15" s="44"/>
      <c r="AG15" s="44"/>
      <c r="AH15" s="44"/>
      <c r="AI15" s="44"/>
      <c r="AJ15" s="44"/>
      <c r="AK15" s="44"/>
      <c r="AL15" s="44"/>
      <c r="AM15" s="44"/>
      <c r="AN15" s="44"/>
      <c r="AO15" s="44"/>
      <c r="AP15" s="44"/>
      <c r="AQ15" s="44"/>
    </row>
    <row r="16" spans="1:43" s="3" customFormat="1" ht="15" customHeight="1" thickBot="1">
      <c r="A16" s="273"/>
      <c r="B16" s="386"/>
      <c r="C16" s="1994" t="s">
        <v>884</v>
      </c>
      <c r="D16" s="1994"/>
      <c r="E16" s="1994"/>
      <c r="F16" s="1994"/>
      <c r="G16" s="1994"/>
      <c r="H16" s="1994"/>
      <c r="I16" s="1995"/>
      <c r="J16" s="379" t="str">
        <f>'FIG3'!X53</f>
        <v>FA2L2</v>
      </c>
      <c r="K16" s="848" t="s">
        <v>1441</v>
      </c>
      <c r="L16" s="1979" t="s">
        <v>1452</v>
      </c>
      <c r="M16" s="1980"/>
      <c r="N16" s="1977" t="s">
        <v>1267</v>
      </c>
      <c r="O16" s="1975"/>
      <c r="P16" s="84"/>
      <c r="Q16" s="66">
        <f>SUMIFS($Q$36:$Q$93,$O$36:$O$93,"FA4",$P$36:$P$93,"C",$L$36:$L$93,"I")</f>
        <v>0</v>
      </c>
      <c r="R16" s="867"/>
      <c r="S16" s="88"/>
      <c r="T16" s="99" t="s">
        <v>1245</v>
      </c>
      <c r="U16" s="124"/>
      <c r="V16" s="44"/>
      <c r="W16" s="1966" t="s">
        <v>1267</v>
      </c>
      <c r="X16" s="1973"/>
      <c r="Y16" s="985" t="str">
        <f t="shared" si="0"/>
        <v/>
      </c>
      <c r="Z16" s="969">
        <f>Q16-SUMIFS($Q$36:$Q$93,$R$36:$R$93,"Y",$O$36:$O$93,"FA4",$P$36:$P$93,"C",$L$36:$L$93,"I")</f>
        <v>0</v>
      </c>
      <c r="AA16" s="974">
        <f>Z16-'ENR#-DSUM-CONV'!B103</f>
        <v>0</v>
      </c>
      <c r="AB16" s="943"/>
      <c r="AC16" s="908" t="s">
        <v>1245</v>
      </c>
      <c r="AD16" s="1295">
        <f>'ENR#-DSUM-CONV'!B213</f>
        <v>0</v>
      </c>
      <c r="AE16" s="44"/>
      <c r="AF16" s="44"/>
      <c r="AG16" s="44"/>
      <c r="AH16" s="44"/>
      <c r="AI16" s="44"/>
      <c r="AJ16" s="44"/>
      <c r="AK16" s="44"/>
      <c r="AL16" s="44"/>
      <c r="AM16" s="44"/>
      <c r="AN16" s="44"/>
      <c r="AO16" s="44"/>
      <c r="AP16" s="44"/>
      <c r="AQ16" s="44"/>
    </row>
    <row r="17" spans="1:43" s="3" customFormat="1" ht="15" customHeight="1" thickTop="1">
      <c r="A17" s="273"/>
      <c r="B17" s="384"/>
      <c r="C17" s="1996"/>
      <c r="D17" s="1996"/>
      <c r="E17" s="1996"/>
      <c r="F17" s="1996"/>
      <c r="G17" s="1996"/>
      <c r="H17" s="1996"/>
      <c r="I17" s="1997"/>
      <c r="J17" s="374" t="str">
        <f>'FIG3'!V54</f>
        <v>FA3</v>
      </c>
      <c r="K17" s="848" t="s">
        <v>1442</v>
      </c>
      <c r="L17" s="1979" t="s">
        <v>1453</v>
      </c>
      <c r="M17" s="1980"/>
      <c r="N17" s="1977" t="s">
        <v>1268</v>
      </c>
      <c r="O17" s="1975"/>
      <c r="P17" s="84"/>
      <c r="Q17" s="66">
        <f>SUMIFS($Q$36:$Q$93,$O$36:$O$93,"FA5",$P$36:$P$93,"D",$L$36:$L$93,"I")</f>
        <v>0</v>
      </c>
      <c r="R17" s="867"/>
      <c r="S17" s="88"/>
      <c r="T17" s="99" t="s">
        <v>1246</v>
      </c>
      <c r="U17" s="124"/>
      <c r="V17" s="44"/>
      <c r="W17" s="1924" t="s">
        <v>1268</v>
      </c>
      <c r="X17" s="1925"/>
      <c r="Y17" s="985" t="str">
        <f t="shared" si="0"/>
        <v/>
      </c>
      <c r="Z17" s="968">
        <f>Q17+SUMIFS($Q$36:$Q$93,$R$36:$R$93,"Y",$O$36:$O$93,"FA5",$P$36:$P$93,"C",$L$36:$L$93,"I")</f>
        <v>0</v>
      </c>
      <c r="AA17" s="973">
        <f>Z17-'ENR#-DSUM-CONV'!B113</f>
        <v>0</v>
      </c>
      <c r="AB17" s="914"/>
      <c r="AC17" s="941" t="s">
        <v>1246</v>
      </c>
      <c r="AD17" s="1296"/>
      <c r="AE17" s="44"/>
      <c r="AF17" s="44"/>
      <c r="AG17" s="44"/>
      <c r="AH17" s="44"/>
      <c r="AI17" s="44"/>
      <c r="AJ17" s="44"/>
      <c r="AK17" s="44"/>
      <c r="AL17" s="44"/>
      <c r="AM17" s="44"/>
      <c r="AN17" s="44"/>
      <c r="AO17" s="44"/>
      <c r="AP17" s="44"/>
      <c r="AQ17" s="44"/>
    </row>
    <row r="18" spans="1:43" s="3" customFormat="1" ht="15" customHeight="1" thickBot="1">
      <c r="A18" s="273"/>
      <c r="B18" s="948"/>
      <c r="C18" s="1998"/>
      <c r="D18" s="1998"/>
      <c r="E18" s="1998"/>
      <c r="F18" s="1998"/>
      <c r="G18" s="1998"/>
      <c r="H18" s="1998"/>
      <c r="I18" s="1999"/>
      <c r="J18" s="374" t="str">
        <f>'FIG3'!W54</f>
        <v>FA3L1</v>
      </c>
      <c r="K18" s="848" t="s">
        <v>1443</v>
      </c>
      <c r="L18" s="1979" t="s">
        <v>1454</v>
      </c>
      <c r="M18" s="1980"/>
      <c r="N18" s="1977" t="s">
        <v>1269</v>
      </c>
      <c r="O18" s="1975"/>
      <c r="P18" s="86"/>
      <c r="Q18" s="66">
        <f>SUMIFS($Q$36:$Q$93,$O$36:$O$93,"FA5",$P$36:$P$93,"C",$L$36:$L$93,"I")</f>
        <v>0</v>
      </c>
      <c r="R18" s="868"/>
      <c r="S18" s="89"/>
      <c r="T18" s="100" t="s">
        <v>1247</v>
      </c>
      <c r="U18" s="124"/>
      <c r="V18" s="44"/>
      <c r="W18" s="1966" t="s">
        <v>1269</v>
      </c>
      <c r="X18" s="1973"/>
      <c r="Y18" s="985" t="str">
        <f t="shared" si="0"/>
        <v/>
      </c>
      <c r="Z18" s="969">
        <f>Q18-SUMIFS($Q$36:$Q$93,$R$36:$R$93,"Y",$O$36:$O$93,"FA5",$P$36:$P$93,"C",$L$36:$L$93,"I")</f>
        <v>0</v>
      </c>
      <c r="AA18" s="974">
        <f>Z18-'ENR#-DSUM-CONV'!B123</f>
        <v>0</v>
      </c>
      <c r="AB18" s="943"/>
      <c r="AC18" s="912" t="s">
        <v>1247</v>
      </c>
      <c r="AD18" s="1295">
        <f>'ENR#-DSUM-CONV'!B223</f>
        <v>0</v>
      </c>
      <c r="AE18" s="44"/>
      <c r="AF18" s="44"/>
      <c r="AG18" s="44"/>
      <c r="AH18" s="44"/>
      <c r="AI18" s="44"/>
      <c r="AJ18" s="44"/>
      <c r="AK18" s="44"/>
      <c r="AL18" s="44"/>
      <c r="AM18" s="44"/>
      <c r="AN18" s="44"/>
      <c r="AO18" s="44"/>
      <c r="AP18" s="44"/>
      <c r="AQ18" s="44"/>
    </row>
    <row r="19" spans="1:43" s="3" customFormat="1" ht="15" customHeight="1" thickTop="1" thickBot="1">
      <c r="A19" s="273"/>
      <c r="B19" s="949"/>
      <c r="C19" s="1998"/>
      <c r="D19" s="1998"/>
      <c r="E19" s="1998"/>
      <c r="F19" s="1998"/>
      <c r="G19" s="1998"/>
      <c r="H19" s="1998"/>
      <c r="I19" s="1999"/>
      <c r="J19" s="379" t="str">
        <f>'FIG3'!X54</f>
        <v>FA3L2</v>
      </c>
      <c r="K19" s="848" t="s">
        <v>1444</v>
      </c>
      <c r="L19" s="1979" t="s">
        <v>1455</v>
      </c>
      <c r="M19" s="1980"/>
      <c r="N19" s="1977" t="s">
        <v>1275</v>
      </c>
      <c r="O19" s="1975"/>
      <c r="P19" s="84"/>
      <c r="Q19" s="66">
        <f>SUM(Q9,Q11,Q13,Q15,Q17)</f>
        <v>24226</v>
      </c>
      <c r="R19" s="867"/>
      <c r="S19" s="88"/>
      <c r="T19" s="100" t="s">
        <v>1248</v>
      </c>
      <c r="U19" s="124"/>
      <c r="V19" s="44"/>
      <c r="W19" s="1969" t="s">
        <v>1275</v>
      </c>
      <c r="X19" s="1971"/>
      <c r="Y19" s="985" t="str">
        <f t="shared" si="0"/>
        <v/>
      </c>
      <c r="Z19" s="967">
        <f>Z9+Z11+Z13+Z15+Z17</f>
        <v>24226</v>
      </c>
      <c r="AA19" s="972">
        <f>Z19-'ENR#-DSUM-CONV'!B133</f>
        <v>0</v>
      </c>
      <c r="AB19" s="910"/>
      <c r="AC19" s="911" t="s">
        <v>1248</v>
      </c>
      <c r="AD19" s="1296"/>
      <c r="AE19" s="44"/>
      <c r="AF19" s="44"/>
      <c r="AG19" s="44"/>
      <c r="AH19" s="44"/>
      <c r="AI19" s="44"/>
      <c r="AJ19" s="44"/>
      <c r="AK19" s="44"/>
      <c r="AL19" s="44"/>
      <c r="AM19" s="44"/>
      <c r="AN19" s="44"/>
      <c r="AO19" s="44"/>
      <c r="AP19" s="44"/>
      <c r="AQ19" s="44"/>
    </row>
    <row r="20" spans="1:43" s="3" customFormat="1" ht="15" customHeight="1" thickTop="1" thickBot="1">
      <c r="A20" s="273"/>
      <c r="B20" s="2000" t="s">
        <v>841</v>
      </c>
      <c r="C20" s="2001"/>
      <c r="D20" s="2002"/>
      <c r="E20" s="2006" t="s">
        <v>875</v>
      </c>
      <c r="F20" s="2007"/>
      <c r="G20" s="2008"/>
      <c r="H20" s="2009" t="s">
        <v>878</v>
      </c>
      <c r="I20" s="2010"/>
      <c r="J20" s="374" t="str">
        <f>'FIG3'!V55</f>
        <v>FA4</v>
      </c>
      <c r="K20" s="848" t="s">
        <v>1445</v>
      </c>
      <c r="L20" s="1979" t="s">
        <v>1456</v>
      </c>
      <c r="M20" s="1980"/>
      <c r="N20" s="1977" t="s">
        <v>1276</v>
      </c>
      <c r="O20" s="1975"/>
      <c r="P20" s="86"/>
      <c r="Q20" s="65">
        <f>SUM(Q10,Q12,Q14,Q16,Q18)</f>
        <v>2602</v>
      </c>
      <c r="R20" s="868"/>
      <c r="S20" s="89"/>
      <c r="T20" s="100" t="s">
        <v>1249</v>
      </c>
      <c r="U20" s="124"/>
      <c r="V20" s="44"/>
      <c r="W20" s="1969" t="s">
        <v>1276</v>
      </c>
      <c r="X20" s="1971"/>
      <c r="Y20" s="985" t="str">
        <f t="shared" si="0"/>
        <v/>
      </c>
      <c r="Z20" s="967">
        <f>Z10+Z12+Z14+Z16+Z18</f>
        <v>2602</v>
      </c>
      <c r="AA20" s="972">
        <f>Z20-'ENR#-DSUM-CONV'!B143</f>
        <v>0</v>
      </c>
      <c r="AB20" s="910"/>
      <c r="AC20" s="911" t="s">
        <v>1249</v>
      </c>
      <c r="AD20" s="1297"/>
      <c r="AE20" s="44"/>
      <c r="AF20" s="44"/>
      <c r="AG20" s="44"/>
      <c r="AH20" s="44"/>
      <c r="AI20" s="44"/>
      <c r="AJ20" s="44"/>
      <c r="AK20" s="44"/>
      <c r="AL20" s="44"/>
      <c r="AM20" s="44"/>
      <c r="AN20" s="44"/>
      <c r="AO20" s="44"/>
      <c r="AP20" s="44"/>
      <c r="AQ20" s="44"/>
    </row>
    <row r="21" spans="1:43" s="3" customFormat="1" ht="15" customHeight="1" thickTop="1">
      <c r="A21" s="273"/>
      <c r="B21" s="2003"/>
      <c r="C21" s="2004"/>
      <c r="D21" s="2005"/>
      <c r="E21" s="929"/>
      <c r="F21" s="934" t="s">
        <v>876</v>
      </c>
      <c r="G21" s="936" t="s">
        <v>877</v>
      </c>
      <c r="H21" s="937" t="s">
        <v>876</v>
      </c>
      <c r="I21" s="938" t="s">
        <v>877</v>
      </c>
      <c r="J21" s="374" t="str">
        <f>'FIG3'!W55</f>
        <v>FA4L1</v>
      </c>
      <c r="K21" s="848" t="s">
        <v>1433</v>
      </c>
      <c r="L21" s="1979" t="s">
        <v>1457</v>
      </c>
      <c r="M21" s="1980"/>
      <c r="N21" s="1977" t="s">
        <v>1270</v>
      </c>
      <c r="O21" s="1975"/>
      <c r="P21" s="84"/>
      <c r="Q21" s="66">
        <f>SUMIFS($Q$36:$Q$93,$O$36:$O$93,"NFA",$P$36:$P$93,"D",$L$36:$L$93,"I")</f>
        <v>437293</v>
      </c>
      <c r="R21" s="867"/>
      <c r="S21" s="88"/>
      <c r="T21" s="100" t="s">
        <v>1250</v>
      </c>
      <c r="U21" s="124"/>
      <c r="V21" s="44"/>
      <c r="W21" s="1969" t="s">
        <v>1270</v>
      </c>
      <c r="X21" s="1971"/>
      <c r="Y21" s="985" t="str">
        <f t="shared" si="0"/>
        <v/>
      </c>
      <c r="Z21" s="967">
        <f>Q21+SUMIFS($Q$36:$Q$93,$R$36:$R$93,"Y",$O$36:$O$93,"NFA",$P$36:$P$93,"C",$L$36:$L$93,"I")</f>
        <v>437293</v>
      </c>
      <c r="AA21" s="972">
        <f>Z21-'ENR#-DSUM-CONV'!B153</f>
        <v>0</v>
      </c>
      <c r="AB21" s="910"/>
      <c r="AC21" s="911" t="s">
        <v>1250</v>
      </c>
      <c r="AD21" s="1297"/>
      <c r="AE21" s="44"/>
      <c r="AF21" s="44"/>
      <c r="AG21" s="44"/>
      <c r="AH21" s="44"/>
      <c r="AI21" s="44"/>
      <c r="AJ21" s="44"/>
      <c r="AK21" s="44"/>
      <c r="AL21" s="44"/>
      <c r="AM21" s="44"/>
      <c r="AN21" s="44"/>
      <c r="AO21" s="44"/>
      <c r="AP21" s="44"/>
      <c r="AQ21" s="44"/>
    </row>
    <row r="22" spans="1:43" s="3" customFormat="1" ht="15" customHeight="1" thickBot="1">
      <c r="A22" s="273"/>
      <c r="B22" s="2003"/>
      <c r="C22" s="2004"/>
      <c r="D22" s="2005"/>
      <c r="E22" s="933" t="s">
        <v>1395</v>
      </c>
      <c r="F22" s="952">
        <f t="array" ref="F22">SUM(IF(FREQUENCY(MATCH(I$36:I$93,I$36:I$93,0),IF($L$36:$L$93&amp;$P$36:$P$93="IC",MATCH(I$36:I$93,I$36:I$93,0),0))&gt;0,1),0)-1</f>
        <v>17</v>
      </c>
      <c r="G22" s="953">
        <f t="array" ref="G22">SUM(IF(FREQUENCY(MATCH(J$36:J$93,J$36:J$93,0),IF($L$36:$L$93&amp;$P$36:$P$93="IC",MATCH(J$36:J$93,J$36:J$93,0),0))&gt;0,1),0)-1</f>
        <v>17</v>
      </c>
      <c r="H22" s="954">
        <f t="array" ref="H22">F22-(SUM(IF(FREQUENCY(MATCH(I$36:I$93,I$36:I$93,0),IF($L$36:$L$93&amp;$P$36:$P$93&amp;$R$36:$R$93="ICY",MATCH(I$36:I$93,I$36:I$93,0),0))&gt;0,1),0)-1)</f>
        <v>17</v>
      </c>
      <c r="I22" s="954">
        <f t="array" ref="I22">G22-(SUM(IF(FREQUENCY(MATCH(J$36:J$93,J$36:J$93,0),IF($L$36:$L$93&amp;$P$36:$P$93&amp;$R$36:$R$93="ICY",MATCH(J$36:J$93,J$36:J$93,0),0))&gt;0,1),0)-1)</f>
        <v>17</v>
      </c>
      <c r="J22" s="379" t="str">
        <f>'FIG3'!X55</f>
        <v>FA4L2</v>
      </c>
      <c r="K22" s="848" t="s">
        <v>1446</v>
      </c>
      <c r="L22" s="1979" t="s">
        <v>1458</v>
      </c>
      <c r="M22" s="1980"/>
      <c r="N22" s="1977" t="s">
        <v>1271</v>
      </c>
      <c r="O22" s="1975"/>
      <c r="P22" s="86"/>
      <c r="Q22" s="65">
        <f>SUMIFS($Q$36:$Q$93,$O$36:$O$93,"NFA",$P$36:$P$93,"C",$L$36:$L$93,"I")</f>
        <v>3738</v>
      </c>
      <c r="R22" s="868"/>
      <c r="S22" s="89"/>
      <c r="T22" s="100" t="s">
        <v>1251</v>
      </c>
      <c r="U22" s="124"/>
      <c r="V22" s="44"/>
      <c r="W22" s="1969" t="s">
        <v>1271</v>
      </c>
      <c r="X22" s="1971"/>
      <c r="Y22" s="985" t="str">
        <f t="shared" si="0"/>
        <v/>
      </c>
      <c r="Z22" s="967">
        <f>Q22-SUMIFS($Q$36:$Q$93,$R$36:$R$93,"Y",$O$36:$O$93,"NFA",$P$36:$P$93,"C",$L$36:$L$93,"I")</f>
        <v>3738</v>
      </c>
      <c r="AA22" s="972">
        <f>Z22-'ENR#-DSUM-CONV'!B163</f>
        <v>0</v>
      </c>
      <c r="AB22" s="910"/>
      <c r="AC22" s="911" t="s">
        <v>1251</v>
      </c>
      <c r="AD22" s="1295">
        <f>'ENR#-DSUM-CONV'!B233</f>
        <v>0</v>
      </c>
      <c r="AE22" s="44"/>
      <c r="AF22" s="44"/>
      <c r="AG22" s="44"/>
      <c r="AH22" s="44"/>
      <c r="AI22" s="44"/>
      <c r="AJ22" s="44"/>
      <c r="AK22" s="44"/>
      <c r="AL22" s="44"/>
      <c r="AM22" s="44"/>
      <c r="AN22" s="44"/>
      <c r="AO22" s="44"/>
      <c r="AP22" s="44"/>
      <c r="AQ22" s="44"/>
    </row>
    <row r="23" spans="1:43" s="3" customFormat="1" ht="15" customHeight="1" thickTop="1">
      <c r="A23" s="273"/>
      <c r="B23" s="2003"/>
      <c r="C23" s="2004"/>
      <c r="D23" s="2005"/>
      <c r="E23" s="930" t="s">
        <v>1352</v>
      </c>
      <c r="F23" s="955">
        <f t="array" ref="F23">SUM(IF(FREQUENCY(MATCH(I$36:I$93,I$36:I$93,0),IF($L$36:$L$93&amp;$O$36:$O$93&amp;$P$36:$P$93="IFA1C",MATCH(I$36:I$93,I$36:I$93,0),0))&gt;0,1),0)-1</f>
        <v>8</v>
      </c>
      <c r="G23" s="956">
        <f t="array" ref="G23">SUM(IF(FREQUENCY(MATCH(J$36:J$93,J$36:J$93,0),IF($L$36:$L$93&amp;$O$36:$O$93&amp;$P$36:$P$93="IFA1C",MATCH(J$36:J$93,J$36:J$93,0),0))&gt;0,1),0)-1</f>
        <v>8</v>
      </c>
      <c r="H23" s="957">
        <f t="array" ref="H23">F23-(SUM(IF(FREQUENCY(MATCH(I$36:I$93,I$36:I$93,0),IF($L$36:$L$93&amp;$O$36:$O$93&amp;$P$36:$P$93&amp;$R$36:$R$93="IFA1CY",MATCH(I$36:I$93,I$36:I$93,0),0))&gt;0,1),0)-1)</f>
        <v>8</v>
      </c>
      <c r="I23" s="951">
        <f t="array" ref="I23">G23-(SUM(IF(FREQUENCY(MATCH(J$36:J$93,J$36:J$93,0),IF($L$36:$L$93&amp;$O$36:$O$93&amp;$P$36:$P$93&amp;$R$36:$R$93="IFA1CY",MATCH(J$36:J$93,J$36:J$93,0),0))&gt;0,1),0)-1)</f>
        <v>8</v>
      </c>
      <c r="J23" s="374" t="str">
        <f>'FIG3'!V56</f>
        <v>FA5</v>
      </c>
      <c r="K23" s="848" t="s">
        <v>1447</v>
      </c>
      <c r="L23" s="1979" t="s">
        <v>1459</v>
      </c>
      <c r="M23" s="1980"/>
      <c r="N23" s="1977" t="s">
        <v>1274</v>
      </c>
      <c r="O23" s="1975"/>
      <c r="P23" s="85" t="str">
        <f>IF(AND(R23&gt;-0.005,R23&lt;0.005),"","CHECK!")</f>
        <v/>
      </c>
      <c r="Q23" s="66">
        <f>Q19+Q21</f>
        <v>461519</v>
      </c>
      <c r="R23" s="869">
        <f>Q6-Q23</f>
        <v>0</v>
      </c>
      <c r="S23" s="133" t="s">
        <v>1311</v>
      </c>
      <c r="T23" s="100" t="s">
        <v>1252</v>
      </c>
      <c r="U23" s="124"/>
      <c r="V23" s="44"/>
      <c r="W23" s="1924" t="s">
        <v>1274</v>
      </c>
      <c r="X23" s="1925"/>
      <c r="Y23" s="985" t="str">
        <f t="shared" si="0"/>
        <v/>
      </c>
      <c r="Z23" s="968">
        <f>Z19+Z21</f>
        <v>461519</v>
      </c>
      <c r="AA23" s="973">
        <f>Z6-Z23</f>
        <v>0</v>
      </c>
      <c r="AB23" s="914" t="s">
        <v>1311</v>
      </c>
      <c r="AC23" s="913" t="s">
        <v>1252</v>
      </c>
      <c r="AD23" s="1296"/>
      <c r="AE23" s="44"/>
      <c r="AF23" s="44"/>
      <c r="AG23" s="44"/>
      <c r="AH23" s="44"/>
      <c r="AI23" s="44"/>
      <c r="AJ23" s="44"/>
      <c r="AK23" s="44"/>
      <c r="AL23" s="44"/>
      <c r="AM23" s="44"/>
      <c r="AN23" s="44"/>
      <c r="AO23" s="44"/>
      <c r="AP23" s="44"/>
      <c r="AQ23" s="44"/>
    </row>
    <row r="24" spans="1:43" s="3" customFormat="1" ht="15" customHeight="1" thickBot="1">
      <c r="A24" s="273"/>
      <c r="B24" s="2003"/>
      <c r="C24" s="2004"/>
      <c r="D24" s="2005"/>
      <c r="E24" s="930" t="s">
        <v>1353</v>
      </c>
      <c r="F24" s="955">
        <f t="array" ref="F24">SUM(IF(FREQUENCY(MATCH(I$36:I$93,I$36:I$93,0),IF($L$36:$L$93&amp;$O$36:$O$93&amp;$P$36:$P$93="IFA2C",MATCH(I$36:I$93,I$36:I$93,0),0))&gt;0,1),0)-1</f>
        <v>0</v>
      </c>
      <c r="G24" s="956">
        <f t="array" ref="G24">SUM(IF(FREQUENCY(MATCH(J$36:J$93,J$36:J$93,0),IF($L$36:$L$93&amp;$O$36:$O$93&amp;$P$36:$P$93="IFA2C",MATCH(J$36:J$93,J$36:J$93,0),0))&gt;0,1),0)-1</f>
        <v>0</v>
      </c>
      <c r="H24" s="957">
        <f t="array" ref="H24">F24-(SUM(IF(FREQUENCY(MATCH(I$36:I$93,I$36:I$93,0),IF($L$36:$L$93&amp;$O$36:$O$93&amp;$P$36:$P$93&amp;$R$36:$R$93="IFA2CY",MATCH(I$36:I$93,I$36:I$93,0),0))&gt;0,1),0)-1)</f>
        <v>0</v>
      </c>
      <c r="I24" s="957">
        <f t="array" ref="I24">G24-(SUM(IF(FREQUENCY(MATCH(J$36:J$93,J$36:J$93,0),IF($L$36:$L$93&amp;$O$36:$O$93&amp;$P$36:$P$93&amp;$R$36:$R$93="IFA2CY",MATCH(J$36:J$93,J$36:J$93,0),0))&gt;0,1),0)-1)</f>
        <v>0</v>
      </c>
      <c r="J24" s="374" t="str">
        <f>'FIG3'!W56</f>
        <v>FA5L1</v>
      </c>
      <c r="K24" s="848" t="s">
        <v>1448</v>
      </c>
      <c r="L24" s="1979" t="s">
        <v>1460</v>
      </c>
      <c r="M24" s="1980"/>
      <c r="N24" s="1977" t="s">
        <v>1277</v>
      </c>
      <c r="O24" s="1975"/>
      <c r="P24" s="85" t="str">
        <f>IF(AND(R24&gt;-0.005,R24&lt;0.005),"","CHECK!")</f>
        <v/>
      </c>
      <c r="Q24" s="68">
        <f>Q20+Q22</f>
        <v>6340</v>
      </c>
      <c r="R24" s="870">
        <f>Q7-Q24</f>
        <v>0</v>
      </c>
      <c r="S24" s="134" t="s">
        <v>1313</v>
      </c>
      <c r="T24" s="100" t="s">
        <v>1253</v>
      </c>
      <c r="U24" s="124"/>
      <c r="V24" s="44"/>
      <c r="W24" s="1969" t="s">
        <v>1277</v>
      </c>
      <c r="X24" s="1970"/>
      <c r="Y24" s="985" t="str">
        <f t="shared" si="0"/>
        <v/>
      </c>
      <c r="Z24" s="978">
        <f>Z20+Z22</f>
        <v>6340</v>
      </c>
      <c r="AA24" s="972">
        <f>Z7-Z24</f>
        <v>0</v>
      </c>
      <c r="AB24" s="910" t="s">
        <v>1313</v>
      </c>
      <c r="AC24" s="911" t="s">
        <v>1253</v>
      </c>
      <c r="AD24" s="1297"/>
      <c r="AE24" s="44"/>
      <c r="AF24" s="44"/>
      <c r="AG24" s="44"/>
      <c r="AH24" s="44"/>
      <c r="AI24" s="44"/>
      <c r="AJ24" s="44"/>
      <c r="AK24" s="44"/>
      <c r="AL24" s="44"/>
      <c r="AM24" s="44"/>
      <c r="AN24" s="44"/>
      <c r="AO24" s="44"/>
      <c r="AP24" s="44"/>
      <c r="AQ24" s="44"/>
    </row>
    <row r="25" spans="1:43" s="3" customFormat="1" ht="15" customHeight="1" thickTop="1" thickBot="1">
      <c r="A25" s="273"/>
      <c r="B25" s="2003"/>
      <c r="C25" s="2004"/>
      <c r="D25" s="2005"/>
      <c r="E25" s="931" t="s">
        <v>1354</v>
      </c>
      <c r="F25" s="955">
        <f t="array" ref="F25">SUM(IF(FREQUENCY(MATCH(I$36:I$93,I$36:I$93,0),IF($L$36:$L$93&amp;$O$36:$O$93&amp;$P$36:$P$93="IFA3C",MATCH(I$36:I$93,I$36:I$93,0),0))&gt;0,1),0)-1</f>
        <v>0</v>
      </c>
      <c r="G25" s="956">
        <f t="array" ref="G25">SUM(IF(FREQUENCY(MATCH(J$36:J$93,J$36:J$93,0),IF($L$36:$L$93&amp;$O$36:$O$93&amp;$P$36:$P$93="IFA3C",MATCH(J$36:J$93,J$36:J$93,0),0))&gt;0,1),0)-1</f>
        <v>0</v>
      </c>
      <c r="H25" s="951">
        <f t="array" ref="H25">F25-(SUM(IF(FREQUENCY(MATCH(I$36:I$93,I$36:I$93,0),IF($L$36:$L$93&amp;$O$36:$O$93&amp;$P$36:$P$93&amp;$R$36:$R$93="IFA3CY",MATCH(I$36:I$93,I$36:I$93,0),0))&gt;0,1),0)-1)</f>
        <v>0</v>
      </c>
      <c r="I25" s="951">
        <f t="array" ref="I25">G25-(SUM(IF(FREQUENCY(MATCH(J$36:J$93,J$36:J$93,0),IF($L$36:$L$93&amp;$O$36:$O$93&amp;$P$36:$P$93&amp;$R$36:$R$93="IFA3CY",MATCH(J$36:J$93,J$36:J$93,0),0))&gt;0,1),0)-1)</f>
        <v>0</v>
      </c>
      <c r="J25" s="379" t="str">
        <f>'FIG3'!X56</f>
        <v>FA5L2</v>
      </c>
      <c r="K25" s="848" t="s">
        <v>1449</v>
      </c>
      <c r="L25" s="1979" t="s">
        <v>1461</v>
      </c>
      <c r="M25" s="1980"/>
      <c r="N25" s="1977" t="s">
        <v>1280</v>
      </c>
      <c r="O25" s="1975"/>
      <c r="P25" s="85" t="str">
        <f>IF(AND(R25&gt;-0.005,R25&lt;0.005),"","CHECK!")</f>
        <v/>
      </c>
      <c r="Q25" s="66">
        <f>Q23+Q24</f>
        <v>467859</v>
      </c>
      <c r="R25" s="871">
        <f>Q5-Q25</f>
        <v>0</v>
      </c>
      <c r="S25" s="132" t="s">
        <v>1320</v>
      </c>
      <c r="T25" s="100" t="s">
        <v>1254</v>
      </c>
      <c r="U25" s="44"/>
      <c r="V25" s="44"/>
      <c r="W25" s="1969" t="s">
        <v>1280</v>
      </c>
      <c r="X25" s="1971"/>
      <c r="Y25" s="985" t="str">
        <f t="shared" si="0"/>
        <v/>
      </c>
      <c r="Z25" s="967">
        <f>Z23+Z24</f>
        <v>467859</v>
      </c>
      <c r="AA25" s="972">
        <f>Z5-Z25</f>
        <v>0</v>
      </c>
      <c r="AB25" s="910" t="s">
        <v>1320</v>
      </c>
      <c r="AC25" s="911" t="s">
        <v>1254</v>
      </c>
      <c r="AD25" s="1297">
        <f>SUM(AD10:AD22)</f>
        <v>0</v>
      </c>
      <c r="AE25" s="44"/>
      <c r="AF25" s="44"/>
      <c r="AG25" s="44"/>
      <c r="AH25" s="44"/>
      <c r="AI25" s="44"/>
      <c r="AJ25" s="44"/>
      <c r="AK25" s="44"/>
      <c r="AL25" s="44"/>
      <c r="AM25" s="44"/>
      <c r="AN25" s="44"/>
      <c r="AO25" s="44"/>
      <c r="AP25" s="44"/>
      <c r="AQ25" s="44"/>
    </row>
    <row r="26" spans="1:43" s="3" customFormat="1" ht="15" customHeight="1" thickTop="1">
      <c r="A26" s="251"/>
      <c r="B26" s="2003"/>
      <c r="C26" s="2004"/>
      <c r="D26" s="2005"/>
      <c r="E26" s="931" t="s">
        <v>1355</v>
      </c>
      <c r="F26" s="955">
        <f t="array" ref="F26">SUM(IF(FREQUENCY(MATCH(I$36:I$93,I$36:I$93,0),IF($L$36:$L$93&amp;$O$36:$O$93&amp;$P$36:$P$93="IFA4C",MATCH(I$36:I$93,I$36:I$93,0),0))&gt;0,1),0)-1</f>
        <v>0</v>
      </c>
      <c r="G26" s="956">
        <f t="array" ref="G26">SUM(IF(FREQUENCY(MATCH(J$36:J$93,J$36:J$93,0),IF($L$36:$L$93&amp;$O$36:$O$93&amp;$P$36:$P$93="IFA4C",MATCH(J$36:J$93,J$36:J$93,0),0))&gt;0,1),0)-1</f>
        <v>0</v>
      </c>
      <c r="H26" s="951">
        <f t="array" ref="H26">F26-(SUM(IF(FREQUENCY(MATCH(I$36:I$93,I$36:I$93,0),IF($L$36:$L$93&amp;$O$36:$O$93&amp;$P$36:$P$93&amp;$R$36:$R$93="IFA4CY",MATCH(I$36:I$93,I$36:I$93,0),0))&gt;0,1),0)-1)</f>
        <v>0</v>
      </c>
      <c r="I26" s="951">
        <f t="array" ref="I26">G26-(SUM(IF(FREQUENCY(MATCH(J$36:J$93,J$36:J$93,0),IF($L$36:$L$93&amp;$O$36:$O$93&amp;$P$36:$P$93&amp;$R$36:$R$93="IFA4CY",MATCH(J$36:J$93,J$36:J$93,0),0))&gt;0,1),0)-1)</f>
        <v>0</v>
      </c>
      <c r="J26" s="77"/>
      <c r="K26" s="848" t="s">
        <v>1450</v>
      </c>
      <c r="L26" s="1979" t="s">
        <v>1462</v>
      </c>
      <c r="M26" s="1980"/>
      <c r="N26" s="1986" t="s">
        <v>1278</v>
      </c>
      <c r="O26" s="1987"/>
      <c r="P26" s="117"/>
      <c r="Q26" s="135">
        <f>SUMIFS($Q$36:$Q$93,$L$36:$L$93,"ADJ*",$O$36:$O$93,"D")</f>
        <v>0</v>
      </c>
      <c r="R26" s="118"/>
      <c r="S26" s="119"/>
      <c r="T26" s="102" t="s">
        <v>1255</v>
      </c>
      <c r="U26" s="44"/>
      <c r="V26" s="44"/>
      <c r="W26" s="1924"/>
      <c r="X26" s="1972"/>
      <c r="Y26" s="986" t="str">
        <f t="shared" si="0"/>
        <v/>
      </c>
      <c r="Z26" s="1293"/>
      <c r="AA26" s="973">
        <f>Z23-Q23-AD25</f>
        <v>0</v>
      </c>
      <c r="AB26" s="914" t="s">
        <v>1466</v>
      </c>
      <c r="AC26" s="913" t="s">
        <v>1255</v>
      </c>
      <c r="AD26" s="1291" t="s">
        <v>865</v>
      </c>
      <c r="AE26" s="44"/>
      <c r="AF26" s="44"/>
      <c r="AG26" s="44"/>
      <c r="AH26" s="44"/>
      <c r="AI26" s="44"/>
      <c r="AJ26" s="44"/>
      <c r="AK26" s="44"/>
      <c r="AL26" s="44"/>
      <c r="AM26" s="44"/>
      <c r="AN26" s="44"/>
      <c r="AO26" s="44"/>
      <c r="AP26" s="44"/>
      <c r="AQ26" s="44"/>
    </row>
    <row r="27" spans="1:43" s="3" customFormat="1" ht="15" customHeight="1">
      <c r="A27" s="251"/>
      <c r="B27" s="2003"/>
      <c r="C27" s="2004"/>
      <c r="D27" s="2005"/>
      <c r="E27" s="931" t="s">
        <v>1356</v>
      </c>
      <c r="F27" s="955">
        <f t="array" ref="F27">SUM(IF(FREQUENCY(MATCH(I$36:I$93,I$36:I$93,0),IF($L$36:$L$93&amp;$O$36:$O$93&amp;$P$36:$P$93="IFA5C",MATCH(I$36:I$93,I$36:I$93,0),0))&gt;0,1),0)-1</f>
        <v>0</v>
      </c>
      <c r="G27" s="956">
        <f t="array" ref="G27">SUM(IF(FREQUENCY(MATCH(J$36:J$93,J$36:J$93,0),IF($L$36:$L$93&amp;$O$36:$O$93&amp;$P$36:$P$93="IFA5C",MATCH(J$36:J$93,J$36:J$93,0),0))&gt;0,1),0)-1</f>
        <v>0</v>
      </c>
      <c r="H27" s="951">
        <f t="array" ref="H27">F27-(SUM(IF(FREQUENCY(MATCH(I$36:I$93,I$36:I$93,0),IF($L$36:$L$93&amp;$O$36:$O$93&amp;$P$36:$P$93&amp;$R$36:$R$93="IFA5CY",MATCH(I$36:I$93,I$36:I$93,0),0))&gt;0,1),0)-1)</f>
        <v>0</v>
      </c>
      <c r="I27" s="951">
        <f t="array" ref="I27">G27-(SUM(IF(FREQUENCY(MATCH(J$36:J$93,J$36:J$93,0),IF($L$36:$L$93&amp;$O$36:$O$93&amp;$P$36:$P$93&amp;$R$36:$R$93="IFA5CY",MATCH(J$36:J$93,J$36:J$93,0),0))&gt;0,1),0)-1)</f>
        <v>0</v>
      </c>
      <c r="J27" s="77"/>
      <c r="K27" s="848" t="s">
        <v>1434</v>
      </c>
      <c r="L27" s="1988"/>
      <c r="M27" s="1989"/>
      <c r="N27" s="1977" t="s">
        <v>1279</v>
      </c>
      <c r="O27" s="1975"/>
      <c r="P27" s="84"/>
      <c r="Q27" s="66">
        <f>SUMIFS($Q$36:$Q$93,$L$36:$L$93,"ADJ*",$O$36:$O$93,"C")</f>
        <v>0</v>
      </c>
      <c r="R27" s="88"/>
      <c r="S27" s="88"/>
      <c r="T27" s="99" t="s">
        <v>1256</v>
      </c>
      <c r="U27" s="44"/>
      <c r="V27" s="44"/>
      <c r="W27" s="1969"/>
      <c r="X27" s="1970"/>
      <c r="Y27" s="986" t="str">
        <f t="shared" si="0"/>
        <v/>
      </c>
      <c r="Z27" s="978"/>
      <c r="AA27" s="972">
        <f>Z24-Q24+AD25</f>
        <v>0</v>
      </c>
      <c r="AB27" s="910" t="s">
        <v>1466</v>
      </c>
      <c r="AC27" s="902" t="s">
        <v>1256</v>
      </c>
      <c r="AD27" s="1290" t="s">
        <v>866</v>
      </c>
      <c r="AE27" s="44"/>
      <c r="AF27" s="44"/>
      <c r="AG27" s="44"/>
      <c r="AH27" s="44"/>
      <c r="AI27" s="44"/>
      <c r="AJ27" s="44"/>
      <c r="AK27" s="44"/>
      <c r="AL27" s="44"/>
      <c r="AM27" s="44"/>
      <c r="AN27" s="44"/>
      <c r="AO27" s="44"/>
      <c r="AP27" s="44"/>
      <c r="AQ27" s="44"/>
    </row>
    <row r="28" spans="1:43" s="3" customFormat="1" ht="15" customHeight="1" thickBot="1">
      <c r="A28" s="251"/>
      <c r="B28" s="2003"/>
      <c r="C28" s="2004"/>
      <c r="D28" s="2005"/>
      <c r="E28" s="931" t="s">
        <v>1436</v>
      </c>
      <c r="F28" s="955">
        <f t="array" ref="F28">SUM(IF(FREQUENCY(MATCH(I$36:I$93,I$36:I$93,0),IF($L$36:$L$93&amp;$O$36:$O$93&amp;$P$36:$P$93="INFAC",MATCH(I$36:I$93,I$36:I$93,0),0))&gt;0,1),0)-1</f>
        <v>9</v>
      </c>
      <c r="G28" s="956">
        <f t="array" ref="G28">SUM(IF(FREQUENCY(MATCH(J$36:J$93,J$36:J$93,0),IF($L$36:$L$93&amp;$O$36:$O$93&amp;$P$36:$P$93="INFAC",MATCH(J$36:J$93,J$36:J$93,0),0))&gt;0,1),0)-1</f>
        <v>9</v>
      </c>
      <c r="H28" s="957">
        <f t="array" ref="H28">F28-(SUM(IF(FREQUENCY(MATCH(I$36:I$93,I$36:I$93,0),IF($L$36:$L$93&amp;$O$36:$O$93&amp;$P$36:$P$93&amp;$R$36:$R$93="INFACY",MATCH(I$36:I$93,I$36:I$93,0),0))&gt;0,1),0)-1)</f>
        <v>9</v>
      </c>
      <c r="I28" s="957">
        <f t="array" ref="I28">G28-(SUM(IF(FREQUENCY(MATCH(J$36:J$93,J$36:J$93,0),IF($L$36:$L$93&amp;$O$36:$O$93&amp;$P$36:$P$93&amp;$R$36:$R$93="INFACY",MATCH(J$36:J$93,J$36:J$93,0),0))&gt;0,1),0)-1)</f>
        <v>9</v>
      </c>
      <c r="J28" s="78"/>
      <c r="K28" s="847"/>
      <c r="L28" s="76"/>
      <c r="M28" s="73"/>
      <c r="N28" s="1981"/>
      <c r="O28" s="1982"/>
      <c r="P28" s="87"/>
      <c r="Q28" s="363"/>
      <c r="R28" s="846"/>
      <c r="S28" s="846"/>
      <c r="T28" s="307"/>
      <c r="U28" s="44"/>
      <c r="V28" s="44"/>
      <c r="W28" s="1966"/>
      <c r="X28" s="1967"/>
      <c r="Y28" s="987"/>
      <c r="Z28" s="1294"/>
      <c r="AA28" s="942"/>
      <c r="AB28" s="943"/>
      <c r="AC28" s="908"/>
      <c r="AD28" s="1292"/>
      <c r="AE28" s="44"/>
      <c r="AF28" s="44"/>
      <c r="AG28" s="44"/>
      <c r="AH28" s="44"/>
      <c r="AI28" s="44"/>
      <c r="AJ28" s="44"/>
      <c r="AK28" s="44"/>
      <c r="AL28" s="44"/>
      <c r="AM28" s="44"/>
      <c r="AN28" s="44"/>
      <c r="AO28" s="44"/>
      <c r="AP28" s="44"/>
      <c r="AQ28" s="44"/>
    </row>
    <row r="29" spans="1:43" s="3" customFormat="1" ht="21" customHeight="1" thickTop="1" thickBot="1">
      <c r="A29" s="856"/>
      <c r="B29" s="2003"/>
      <c r="C29" s="2004"/>
      <c r="D29" s="2005"/>
      <c r="E29" s="935" t="s">
        <v>885</v>
      </c>
      <c r="F29" s="958">
        <f>SUM(F23:F28)</f>
        <v>17</v>
      </c>
      <c r="G29" s="959">
        <f>SUM(G23:G28)</f>
        <v>17</v>
      </c>
      <c r="H29" s="937">
        <f>SUM(H23:H28)</f>
        <v>17</v>
      </c>
      <c r="I29" s="937">
        <f>SUM(I23:I28)</f>
        <v>17</v>
      </c>
      <c r="J29" s="124"/>
      <c r="K29" s="127"/>
      <c r="L29" s="128"/>
      <c r="M29" s="128"/>
      <c r="N29" s="127"/>
      <c r="O29" s="127"/>
      <c r="P29" s="129"/>
      <c r="Q29" s="130"/>
      <c r="R29" s="131"/>
      <c r="S29" s="1968"/>
      <c r="T29" s="1968"/>
      <c r="U29" s="44"/>
      <c r="V29" s="44"/>
      <c r="W29" s="44"/>
      <c r="X29" s="44"/>
      <c r="Y29" s="44"/>
      <c r="Z29" s="44"/>
      <c r="AA29" s="44"/>
      <c r="AB29" s="44"/>
      <c r="AC29" s="44"/>
      <c r="AD29" s="44"/>
      <c r="AE29" s="44"/>
      <c r="AF29" s="44"/>
      <c r="AG29" s="44"/>
      <c r="AH29" s="44"/>
      <c r="AI29" s="44"/>
      <c r="AJ29" s="44"/>
      <c r="AK29" s="44"/>
      <c r="AL29" s="44"/>
      <c r="AM29" s="44"/>
      <c r="AN29" s="44"/>
      <c r="AO29" s="44"/>
      <c r="AP29" s="44"/>
      <c r="AQ29" s="44"/>
    </row>
    <row r="30" spans="1:43" s="3" customFormat="1" ht="21" customHeight="1" thickTop="1" thickBot="1">
      <c r="A30" s="928"/>
      <c r="B30" s="2011" t="s">
        <v>886</v>
      </c>
      <c r="C30" s="2012"/>
      <c r="D30" s="2012"/>
      <c r="E30" s="2012"/>
      <c r="F30" s="2012"/>
      <c r="G30" s="2012"/>
      <c r="H30" s="2012"/>
      <c r="I30" s="2013"/>
      <c r="J30" s="124"/>
      <c r="K30" s="127"/>
      <c r="L30" s="128"/>
      <c r="M30" s="128"/>
      <c r="N30" s="127"/>
      <c r="O30" s="127"/>
      <c r="P30" s="129"/>
      <c r="Q30" s="130"/>
      <c r="R30" s="131"/>
      <c r="S30" s="945"/>
      <c r="T30" s="945"/>
      <c r="U30" s="124"/>
      <c r="V30" s="44"/>
      <c r="W30" s="44"/>
      <c r="X30" s="44"/>
      <c r="Y30" s="44"/>
      <c r="Z30" s="44"/>
      <c r="AA30" s="44"/>
      <c r="AB30" s="44"/>
      <c r="AC30" s="44"/>
      <c r="AD30" s="44"/>
      <c r="AE30" s="44"/>
      <c r="AF30" s="44"/>
      <c r="AG30" s="44"/>
      <c r="AH30" s="44"/>
      <c r="AI30" s="44"/>
      <c r="AJ30" s="44"/>
      <c r="AK30" s="44"/>
      <c r="AL30" s="44"/>
      <c r="AM30" s="44"/>
      <c r="AN30" s="44"/>
      <c r="AO30" s="44"/>
      <c r="AP30" s="44"/>
      <c r="AQ30" s="44"/>
    </row>
    <row r="31" spans="1:43" s="3" customFormat="1" ht="21" customHeight="1" thickTop="1" thickBot="1">
      <c r="A31" s="928"/>
      <c r="B31" s="928"/>
      <c r="C31" s="928"/>
      <c r="D31" s="928"/>
      <c r="E31" s="928"/>
      <c r="F31" s="928"/>
      <c r="G31" s="928"/>
      <c r="H31" s="928"/>
      <c r="I31" s="126"/>
      <c r="J31" s="124"/>
      <c r="K31" s="127"/>
      <c r="L31" s="128"/>
      <c r="M31" s="128"/>
      <c r="N31" s="127"/>
      <c r="O31" s="127"/>
      <c r="P31" s="129"/>
      <c r="Q31" s="130"/>
      <c r="R31" s="131"/>
      <c r="S31" s="1992" t="s">
        <v>868</v>
      </c>
      <c r="T31" s="1992"/>
      <c r="U31" s="44"/>
      <c r="V31" s="44"/>
      <c r="W31" s="44"/>
      <c r="X31" s="44"/>
      <c r="Y31" s="44"/>
      <c r="Z31" s="44"/>
      <c r="AA31" s="44"/>
      <c r="AB31" s="44"/>
      <c r="AC31" s="44"/>
      <c r="AD31" s="44"/>
      <c r="AE31" s="44"/>
      <c r="AF31" s="44"/>
      <c r="AG31" s="44"/>
      <c r="AH31" s="44"/>
      <c r="AI31" s="44"/>
      <c r="AJ31" s="44"/>
      <c r="AK31" s="44"/>
      <c r="AL31" s="44"/>
      <c r="AM31" s="44"/>
      <c r="AN31" s="44"/>
      <c r="AO31" s="44"/>
      <c r="AP31" s="44"/>
      <c r="AQ31" s="44"/>
    </row>
    <row r="32" spans="1:43" s="3" customFormat="1" ht="16" customHeight="1" thickTop="1" thickBot="1">
      <c r="A32" s="96" t="s">
        <v>1337</v>
      </c>
      <c r="B32" s="96" t="s">
        <v>1425</v>
      </c>
      <c r="C32" s="96" t="s">
        <v>1347</v>
      </c>
      <c r="D32" s="849" t="s">
        <v>1338</v>
      </c>
      <c r="E32" s="849" t="s">
        <v>1426</v>
      </c>
      <c r="F32" s="849" t="s">
        <v>1380</v>
      </c>
      <c r="G32" s="849" t="s">
        <v>1427</v>
      </c>
      <c r="H32" s="849" t="s">
        <v>1428</v>
      </c>
      <c r="I32" s="849" t="s">
        <v>1429</v>
      </c>
      <c r="J32" s="849" t="s">
        <v>1430</v>
      </c>
      <c r="K32" s="850" t="s">
        <v>1431</v>
      </c>
      <c r="L32" s="851" t="s">
        <v>1379</v>
      </c>
      <c r="M32" s="851" t="s">
        <v>1432</v>
      </c>
      <c r="N32" s="851" t="s">
        <v>1340</v>
      </c>
      <c r="O32" s="851" t="s">
        <v>1397</v>
      </c>
      <c r="P32" s="851" t="s">
        <v>1465</v>
      </c>
      <c r="Q32" s="851" t="s">
        <v>1466</v>
      </c>
      <c r="R32" s="874" t="s">
        <v>1297</v>
      </c>
      <c r="S32" s="849" t="s">
        <v>1339</v>
      </c>
      <c r="T32" s="849" t="s">
        <v>1298</v>
      </c>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row>
    <row r="33" spans="1:46" s="3" customFormat="1" ht="16" customHeight="1" thickTop="1" thickBot="1">
      <c r="A33" s="114" t="s">
        <v>1296</v>
      </c>
      <c r="B33" s="115"/>
      <c r="C33" s="116"/>
      <c r="D33" s="113">
        <f t="shared" ref="D33:T33" si="1">COUNTBLANK(D36:D93)-2</f>
        <v>56</v>
      </c>
      <c r="E33" s="113">
        <f t="shared" si="1"/>
        <v>56</v>
      </c>
      <c r="F33" s="113">
        <f t="shared" si="1"/>
        <v>56</v>
      </c>
      <c r="G33" s="113">
        <f t="shared" si="1"/>
        <v>56</v>
      </c>
      <c r="H33" s="113">
        <f t="shared" si="1"/>
        <v>56</v>
      </c>
      <c r="I33" s="113">
        <f>COUNTBLANK(I36:I93)</f>
        <v>39</v>
      </c>
      <c r="J33" s="113">
        <f>COUNTBLANK(J36:J93)</f>
        <v>37</v>
      </c>
      <c r="K33" s="356">
        <f t="shared" si="1"/>
        <v>56</v>
      </c>
      <c r="L33" s="360">
        <f t="shared" si="1"/>
        <v>37</v>
      </c>
      <c r="M33" s="360">
        <f t="shared" si="1"/>
        <v>37</v>
      </c>
      <c r="N33" s="360">
        <f t="shared" si="1"/>
        <v>37</v>
      </c>
      <c r="O33" s="360">
        <f t="shared" si="1"/>
        <v>37</v>
      </c>
      <c r="P33" s="360">
        <f t="shared" si="1"/>
        <v>37</v>
      </c>
      <c r="Q33" s="360">
        <f t="shared" si="1"/>
        <v>37</v>
      </c>
      <c r="R33" s="360">
        <f t="shared" si="1"/>
        <v>37</v>
      </c>
      <c r="S33" s="113">
        <f t="shared" si="1"/>
        <v>56</v>
      </c>
      <c r="T33" s="113">
        <f t="shared" si="1"/>
        <v>56</v>
      </c>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row>
    <row r="34" spans="1:46" s="3" customFormat="1" ht="16" customHeight="1" thickTop="1" thickBot="1">
      <c r="A34" s="62"/>
      <c r="B34" s="62" t="s">
        <v>1189</v>
      </c>
      <c r="C34" s="62"/>
      <c r="D34" s="1983" t="s">
        <v>1385</v>
      </c>
      <c r="E34" s="1984"/>
      <c r="F34" s="1984"/>
      <c r="G34" s="1985"/>
      <c r="H34" s="1983" t="s">
        <v>1381</v>
      </c>
      <c r="I34" s="1984"/>
      <c r="J34" s="1984"/>
      <c r="K34" s="1984"/>
      <c r="L34" s="1990" t="s">
        <v>1187</v>
      </c>
      <c r="M34" s="1991"/>
      <c r="N34" s="1991"/>
      <c r="O34" s="1991"/>
      <c r="P34" s="1991"/>
      <c r="Q34" s="1991"/>
      <c r="R34" s="886"/>
      <c r="S34" s="110" t="s">
        <v>935</v>
      </c>
      <c r="T34" s="110" t="s">
        <v>936</v>
      </c>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row>
    <row r="35" spans="1:46" s="3" customFormat="1" ht="16" customHeight="1" thickTop="1" thickBot="1">
      <c r="A35" s="292" t="s">
        <v>1337</v>
      </c>
      <c r="B35" s="292" t="s">
        <v>1425</v>
      </c>
      <c r="C35" s="292" t="s">
        <v>1347</v>
      </c>
      <c r="D35" s="111" t="s">
        <v>1386</v>
      </c>
      <c r="E35" s="111" t="s">
        <v>1387</v>
      </c>
      <c r="F35" s="111" t="s">
        <v>1388</v>
      </c>
      <c r="G35" s="111" t="s">
        <v>1389</v>
      </c>
      <c r="H35" s="111" t="s">
        <v>1406</v>
      </c>
      <c r="I35" s="111" t="s">
        <v>1390</v>
      </c>
      <c r="J35" s="111" t="s">
        <v>1391</v>
      </c>
      <c r="K35" s="852" t="s">
        <v>1392</v>
      </c>
      <c r="L35" s="361" t="s">
        <v>1188</v>
      </c>
      <c r="M35" s="361" t="s">
        <v>1437</v>
      </c>
      <c r="N35" s="361" t="s">
        <v>1348</v>
      </c>
      <c r="O35" s="361" t="s">
        <v>1393</v>
      </c>
      <c r="P35" s="361" t="s">
        <v>1342</v>
      </c>
      <c r="Q35" s="362" t="s">
        <v>1224</v>
      </c>
      <c r="R35" s="362" t="s">
        <v>846</v>
      </c>
      <c r="S35" s="873" t="s">
        <v>935</v>
      </c>
      <c r="T35" s="873" t="s">
        <v>936</v>
      </c>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row>
    <row r="36" spans="1:46" s="3" customFormat="1" ht="16" customHeight="1" thickTop="1">
      <c r="A36" s="375" t="s">
        <v>891</v>
      </c>
      <c r="B36" s="950"/>
      <c r="C36" s="267"/>
      <c r="D36" s="166"/>
      <c r="E36" s="166"/>
      <c r="F36" s="166"/>
      <c r="G36" s="166"/>
      <c r="H36" s="249"/>
      <c r="I36" s="963">
        <v>0</v>
      </c>
      <c r="J36" s="963">
        <v>0</v>
      </c>
      <c r="K36" s="960"/>
      <c r="L36" s="250"/>
      <c r="M36" s="249"/>
      <c r="N36" s="249"/>
      <c r="O36" s="249"/>
      <c r="P36" s="249"/>
      <c r="Q36" s="961"/>
      <c r="R36" s="962"/>
      <c r="S36" s="962"/>
      <c r="T36" s="962"/>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row>
    <row r="37" spans="1:46" s="1314" customFormat="1">
      <c r="I37" s="1314" t="s">
        <v>749</v>
      </c>
      <c r="J37" s="1314" t="s">
        <v>766</v>
      </c>
      <c r="L37" s="1314" t="s">
        <v>1429</v>
      </c>
      <c r="M37" s="1314" t="s">
        <v>43</v>
      </c>
      <c r="N37" s="1314" t="s">
        <v>1363</v>
      </c>
      <c r="O37" s="1314" t="s">
        <v>1436</v>
      </c>
      <c r="P37" s="1314" t="s">
        <v>1347</v>
      </c>
      <c r="Q37" s="1314">
        <v>728</v>
      </c>
      <c r="R37" s="1314" t="s">
        <v>1340</v>
      </c>
    </row>
    <row r="38" spans="1:46" s="1314" customFormat="1">
      <c r="A38" s="3"/>
      <c r="B38" s="3"/>
      <c r="C38" s="3"/>
      <c r="D38" s="3"/>
      <c r="E38" s="3"/>
      <c r="F38" s="3"/>
      <c r="G38" s="3"/>
      <c r="H38" s="5"/>
      <c r="I38" s="3" t="s">
        <v>750</v>
      </c>
      <c r="J38" s="3" t="s">
        <v>767</v>
      </c>
      <c r="K38" s="3"/>
      <c r="L38" s="1314" t="s">
        <v>1429</v>
      </c>
      <c r="M38" s="1314" t="s">
        <v>43</v>
      </c>
      <c r="N38" s="1314" t="s">
        <v>1363</v>
      </c>
      <c r="O38" s="1314" t="s">
        <v>1436</v>
      </c>
      <c r="P38" s="1314" t="s">
        <v>1347</v>
      </c>
      <c r="Q38" s="505">
        <v>67</v>
      </c>
      <c r="R38" s="1314" t="s">
        <v>1340</v>
      </c>
      <c r="S38" s="5"/>
      <c r="T38" s="3"/>
      <c r="U38" s="3"/>
      <c r="V38" s="3"/>
    </row>
    <row r="39" spans="1:46" s="1314" customFormat="1">
      <c r="I39" s="1314" t="s">
        <v>751</v>
      </c>
      <c r="J39" s="1314" t="s">
        <v>768</v>
      </c>
      <c r="L39" s="1314" t="s">
        <v>1429</v>
      </c>
      <c r="M39" s="1314" t="s">
        <v>43</v>
      </c>
      <c r="N39" s="1314" t="s">
        <v>1363</v>
      </c>
      <c r="O39" s="1314" t="s">
        <v>1436</v>
      </c>
      <c r="P39" s="1314" t="s">
        <v>1347</v>
      </c>
      <c r="Q39" s="1314">
        <v>98</v>
      </c>
      <c r="R39" s="1314" t="s">
        <v>1340</v>
      </c>
    </row>
    <row r="40" spans="1:46" s="1314" customFormat="1">
      <c r="I40" s="1314" t="s">
        <v>752</v>
      </c>
      <c r="J40" s="1314" t="s">
        <v>769</v>
      </c>
      <c r="L40" s="1314" t="s">
        <v>1429</v>
      </c>
      <c r="M40" s="1314" t="s">
        <v>43</v>
      </c>
      <c r="N40" s="1314" t="s">
        <v>1363</v>
      </c>
      <c r="O40" s="1314" t="s">
        <v>1436</v>
      </c>
      <c r="P40" s="1314" t="s">
        <v>1347</v>
      </c>
      <c r="Q40" s="1314">
        <v>640</v>
      </c>
      <c r="R40" s="1314" t="s">
        <v>1340</v>
      </c>
    </row>
    <row r="41" spans="1:46" s="1314" customFormat="1">
      <c r="I41" s="1314" t="s">
        <v>753</v>
      </c>
      <c r="J41" s="1314" t="s">
        <v>770</v>
      </c>
      <c r="L41" s="1314" t="s">
        <v>1429</v>
      </c>
      <c r="M41" s="1314" t="s">
        <v>43</v>
      </c>
      <c r="N41" s="1314" t="s">
        <v>1363</v>
      </c>
      <c r="O41" s="1314" t="s">
        <v>1436</v>
      </c>
      <c r="P41" s="1314" t="s">
        <v>1347</v>
      </c>
      <c r="Q41" s="1314">
        <v>603</v>
      </c>
      <c r="R41" s="1314" t="s">
        <v>1340</v>
      </c>
    </row>
    <row r="42" spans="1:46" s="1314" customFormat="1">
      <c r="I42" s="1314" t="s">
        <v>754</v>
      </c>
      <c r="J42" s="1314" t="s">
        <v>771</v>
      </c>
      <c r="L42" s="1314" t="s">
        <v>1429</v>
      </c>
      <c r="M42" s="1314" t="s">
        <v>43</v>
      </c>
      <c r="N42" s="1314" t="s">
        <v>1363</v>
      </c>
      <c r="O42" s="1314" t="s">
        <v>1352</v>
      </c>
      <c r="P42" s="1314" t="s">
        <v>1347</v>
      </c>
      <c r="Q42" s="1314">
        <v>476</v>
      </c>
      <c r="R42" s="1314" t="s">
        <v>1340</v>
      </c>
    </row>
    <row r="43" spans="1:46" s="1314" customFormat="1">
      <c r="I43" s="1314" t="s">
        <v>755</v>
      </c>
      <c r="J43" s="1314" t="s">
        <v>772</v>
      </c>
      <c r="L43" s="1314" t="s">
        <v>1429</v>
      </c>
      <c r="M43" s="1314" t="s">
        <v>43</v>
      </c>
      <c r="N43" s="1314" t="s">
        <v>1363</v>
      </c>
      <c r="O43" s="1314" t="s">
        <v>1352</v>
      </c>
      <c r="P43" s="1314" t="s">
        <v>1347</v>
      </c>
      <c r="Q43" s="1314">
        <v>264</v>
      </c>
      <c r="R43" s="1314" t="s">
        <v>1340</v>
      </c>
    </row>
    <row r="44" spans="1:46" s="1314" customFormat="1">
      <c r="I44" s="1314" t="s">
        <v>756</v>
      </c>
      <c r="J44" s="1314" t="s">
        <v>773</v>
      </c>
      <c r="L44" s="1314" t="s">
        <v>1429</v>
      </c>
      <c r="M44" s="1314" t="s">
        <v>43</v>
      </c>
      <c r="N44" s="1314" t="s">
        <v>1363</v>
      </c>
      <c r="O44" s="1314" t="s">
        <v>1436</v>
      </c>
      <c r="P44" s="1314" t="s">
        <v>1347</v>
      </c>
      <c r="Q44" s="1314">
        <v>500</v>
      </c>
      <c r="R44" s="1314" t="s">
        <v>1340</v>
      </c>
    </row>
    <row r="45" spans="1:46" s="1314" customFormat="1">
      <c r="I45" s="1314" t="s">
        <v>757</v>
      </c>
      <c r="J45" s="1314" t="s">
        <v>774</v>
      </c>
      <c r="L45" s="1314" t="s">
        <v>1429</v>
      </c>
      <c r="M45" s="1314" t="s">
        <v>43</v>
      </c>
      <c r="N45" s="1314" t="s">
        <v>1363</v>
      </c>
      <c r="O45" s="1314" t="s">
        <v>1352</v>
      </c>
      <c r="P45" s="1314" t="s">
        <v>1347</v>
      </c>
      <c r="Q45" s="1314">
        <v>164</v>
      </c>
      <c r="R45" s="1314" t="s">
        <v>1340</v>
      </c>
    </row>
    <row r="46" spans="1:46" s="1314" customFormat="1">
      <c r="I46" s="1314" t="s">
        <v>758</v>
      </c>
      <c r="J46" s="1314" t="s">
        <v>775</v>
      </c>
      <c r="L46" s="1314" t="s">
        <v>1429</v>
      </c>
      <c r="M46" s="1314" t="s">
        <v>43</v>
      </c>
      <c r="N46" s="1314" t="s">
        <v>1363</v>
      </c>
      <c r="O46" s="1314" t="s">
        <v>1352</v>
      </c>
      <c r="P46" s="1314" t="s">
        <v>1347</v>
      </c>
      <c r="Q46" s="1314">
        <v>362</v>
      </c>
      <c r="R46" s="1314" t="s">
        <v>1340</v>
      </c>
    </row>
    <row r="47" spans="1:46" s="1314" customFormat="1">
      <c r="I47" s="1314" t="s">
        <v>759</v>
      </c>
      <c r="J47" s="1314" t="s">
        <v>776</v>
      </c>
      <c r="L47" s="1314" t="s">
        <v>1429</v>
      </c>
      <c r="M47" s="1314" t="s">
        <v>43</v>
      </c>
      <c r="N47" s="1314" t="s">
        <v>1363</v>
      </c>
      <c r="O47" s="1314" t="s">
        <v>1352</v>
      </c>
      <c r="P47" s="1314" t="s">
        <v>1347</v>
      </c>
      <c r="Q47" s="1314">
        <v>502</v>
      </c>
      <c r="R47" s="1314" t="s">
        <v>1340</v>
      </c>
    </row>
    <row r="48" spans="1:46" s="1314" customFormat="1">
      <c r="I48" s="1314" t="s">
        <v>760</v>
      </c>
      <c r="J48" s="1314" t="s">
        <v>777</v>
      </c>
      <c r="L48" s="1314" t="s">
        <v>1429</v>
      </c>
      <c r="M48" s="1314" t="s">
        <v>43</v>
      </c>
      <c r="N48" s="1314" t="s">
        <v>1363</v>
      </c>
      <c r="O48" s="1314" t="s">
        <v>1352</v>
      </c>
      <c r="P48" s="1314" t="s">
        <v>1347</v>
      </c>
      <c r="Q48" s="1314">
        <v>367</v>
      </c>
      <c r="R48" s="1314" t="s">
        <v>1340</v>
      </c>
    </row>
    <row r="49" spans="9:18" s="1314" customFormat="1">
      <c r="I49" s="1314" t="s">
        <v>761</v>
      </c>
      <c r="J49" s="1314" t="s">
        <v>778</v>
      </c>
      <c r="L49" s="1314" t="s">
        <v>1429</v>
      </c>
      <c r="M49" s="1314" t="s">
        <v>43</v>
      </c>
      <c r="N49" s="1314" t="s">
        <v>1363</v>
      </c>
      <c r="O49" s="1314" t="s">
        <v>1436</v>
      </c>
      <c r="P49" s="1314" t="s">
        <v>1347</v>
      </c>
      <c r="Q49" s="1314">
        <v>428</v>
      </c>
      <c r="R49" s="1314" t="s">
        <v>1340</v>
      </c>
    </row>
    <row r="50" spans="9:18" s="1314" customFormat="1">
      <c r="I50" s="1314" t="s">
        <v>762</v>
      </c>
      <c r="J50" s="1314" t="s">
        <v>779</v>
      </c>
      <c r="L50" s="1314" t="s">
        <v>1429</v>
      </c>
      <c r="M50" s="1314" t="s">
        <v>43</v>
      </c>
      <c r="N50" s="1314" t="s">
        <v>1363</v>
      </c>
      <c r="O50" s="1314" t="s">
        <v>1352</v>
      </c>
      <c r="P50" s="1314" t="s">
        <v>1347</v>
      </c>
      <c r="Q50" s="1314">
        <v>81</v>
      </c>
      <c r="R50" s="1314" t="s">
        <v>1340</v>
      </c>
    </row>
    <row r="51" spans="9:18" s="1314" customFormat="1">
      <c r="I51" s="1314" t="s">
        <v>763</v>
      </c>
      <c r="J51" s="1314" t="s">
        <v>780</v>
      </c>
      <c r="L51" s="1314" t="s">
        <v>1429</v>
      </c>
      <c r="M51" s="1314" t="s">
        <v>43</v>
      </c>
      <c r="N51" s="1314" t="s">
        <v>1363</v>
      </c>
      <c r="O51" s="1314" t="s">
        <v>1436</v>
      </c>
      <c r="P51" s="1314" t="s">
        <v>1347</v>
      </c>
      <c r="Q51" s="1314">
        <v>394</v>
      </c>
      <c r="R51" s="1314" t="s">
        <v>1340</v>
      </c>
    </row>
    <row r="52" spans="9:18" s="1314" customFormat="1">
      <c r="I52" s="1314" t="s">
        <v>764</v>
      </c>
      <c r="J52" s="1314" t="s">
        <v>781</v>
      </c>
      <c r="L52" s="1314" t="s">
        <v>1429</v>
      </c>
      <c r="M52" s="1314" t="s">
        <v>43</v>
      </c>
      <c r="N52" s="1314" t="s">
        <v>1363</v>
      </c>
      <c r="O52" s="1314" t="s">
        <v>1352</v>
      </c>
      <c r="P52" s="1314" t="s">
        <v>1347</v>
      </c>
      <c r="Q52" s="1314">
        <v>386</v>
      </c>
      <c r="R52" s="1314" t="s">
        <v>1340</v>
      </c>
    </row>
    <row r="53" spans="9:18" s="1314" customFormat="1">
      <c r="I53" s="1314" t="s">
        <v>765</v>
      </c>
      <c r="J53" s="1314" t="s">
        <v>782</v>
      </c>
      <c r="L53" s="1314" t="s">
        <v>1429</v>
      </c>
      <c r="M53" s="1314" t="s">
        <v>43</v>
      </c>
      <c r="N53" s="1314" t="s">
        <v>1363</v>
      </c>
      <c r="O53" s="1314" t="s">
        <v>1436</v>
      </c>
      <c r="P53" s="1314" t="s">
        <v>1347</v>
      </c>
      <c r="Q53" s="1314">
        <v>280</v>
      </c>
      <c r="R53" s="1314" t="s">
        <v>1340</v>
      </c>
    </row>
    <row r="54" spans="9:18" s="1314" customFormat="1"/>
    <row r="55" spans="9:18" s="1314" customFormat="1">
      <c r="J55" s="1314" t="s">
        <v>45</v>
      </c>
      <c r="L55" s="1314" t="s">
        <v>1429</v>
      </c>
      <c r="M55" s="1314" t="s">
        <v>43</v>
      </c>
      <c r="N55" s="1314" t="s">
        <v>1363</v>
      </c>
      <c r="O55" s="1314" t="s">
        <v>1436</v>
      </c>
      <c r="P55" s="1314" t="s">
        <v>1338</v>
      </c>
      <c r="Q55" s="1314">
        <v>437293</v>
      </c>
      <c r="R55" s="1314" t="s">
        <v>1340</v>
      </c>
    </row>
    <row r="56" spans="9:18" s="1314" customFormat="1">
      <c r="J56" s="1314" t="s">
        <v>46</v>
      </c>
      <c r="L56" s="1314" t="s">
        <v>1429</v>
      </c>
      <c r="M56" s="1314" t="s">
        <v>43</v>
      </c>
      <c r="N56" s="1314" t="s">
        <v>1363</v>
      </c>
      <c r="O56" s="1314" t="s">
        <v>1352</v>
      </c>
      <c r="P56" s="1314" t="s">
        <v>1338</v>
      </c>
      <c r="Q56" s="1314">
        <v>24226</v>
      </c>
      <c r="R56" s="1314" t="s">
        <v>1340</v>
      </c>
    </row>
    <row r="57" spans="9:18" s="1314" customFormat="1"/>
    <row r="58" spans="9:18" s="1314" customFormat="1"/>
    <row r="59" spans="9:18" s="1314" customFormat="1"/>
    <row r="60" spans="9:18" s="1314" customFormat="1"/>
    <row r="61" spans="9:18" s="1314" customFormat="1"/>
    <row r="62" spans="9:18" s="1314" customFormat="1"/>
    <row r="63" spans="9:18" s="1314" customFormat="1"/>
    <row r="64" spans="9:18" s="1314" customFormat="1"/>
    <row r="65" s="1314" customFormat="1"/>
    <row r="66" s="1314" customFormat="1"/>
    <row r="67" s="1314" customFormat="1"/>
    <row r="68" s="1314" customFormat="1"/>
    <row r="69" s="1314" customFormat="1"/>
    <row r="70" s="1314" customFormat="1"/>
    <row r="71" s="1314" customFormat="1"/>
    <row r="72" s="1314" customFormat="1"/>
    <row r="73" s="1314" customFormat="1"/>
    <row r="74" s="1314" customFormat="1"/>
    <row r="75" s="1314" customFormat="1"/>
    <row r="76" s="1314" customFormat="1"/>
    <row r="77" s="1314" customFormat="1"/>
    <row r="78" s="1314" customFormat="1"/>
    <row r="79" s="1314" customFormat="1"/>
    <row r="80" s="1314" customFormat="1"/>
    <row r="81" spans="1:46" s="1314" customFormat="1"/>
    <row r="82" spans="1:46" s="1314" customFormat="1"/>
    <row r="83" spans="1:46" s="1314" customFormat="1"/>
    <row r="84" spans="1:46" s="1314" customFormat="1"/>
    <row r="85" spans="1:46" s="1314" customFormat="1"/>
    <row r="86" spans="1:46" s="1314" customFormat="1"/>
    <row r="87" spans="1:46" s="1314" customFormat="1"/>
    <row r="88" spans="1:46" s="1314" customFormat="1"/>
    <row r="89" spans="1:46" s="1314" customFormat="1"/>
    <row r="90" spans="1:46" s="1314" customFormat="1"/>
    <row r="91" spans="1:46" s="1314" customFormat="1"/>
    <row r="92" spans="1:46" s="1314" customFormat="1"/>
    <row r="93" spans="1:46" s="265" customFormat="1" ht="16" customHeight="1">
      <c r="A93" s="269" t="s">
        <v>1119</v>
      </c>
      <c r="B93" s="932" t="s">
        <v>879</v>
      </c>
      <c r="C93" s="270"/>
      <c r="D93" s="270"/>
      <c r="E93" s="266"/>
      <c r="F93" s="266"/>
      <c r="G93" s="266"/>
      <c r="H93" s="268"/>
      <c r="I93" s="963" t="s">
        <v>898</v>
      </c>
      <c r="J93" s="963" t="s">
        <v>898</v>
      </c>
      <c r="K93" s="960"/>
      <c r="L93" s="250"/>
      <c r="M93" s="268"/>
      <c r="N93" s="268"/>
      <c r="O93" s="268"/>
      <c r="P93" s="268"/>
      <c r="Q93" s="965"/>
      <c r="R93" s="964"/>
      <c r="S93" s="960"/>
      <c r="T93" s="964"/>
      <c r="U93" s="271"/>
      <c r="V93" s="272"/>
      <c r="W93" s="272"/>
      <c r="X93" s="272"/>
      <c r="Y93" s="272"/>
      <c r="Z93" s="272"/>
      <c r="AA93" s="272"/>
      <c r="AB93" s="272"/>
      <c r="AC93" s="272"/>
      <c r="AD93" s="272"/>
      <c r="AE93" s="272"/>
      <c r="AF93" s="272"/>
      <c r="AG93" s="271"/>
      <c r="AH93" s="271"/>
      <c r="AI93" s="271"/>
      <c r="AJ93" s="271"/>
      <c r="AK93" s="271"/>
      <c r="AL93" s="271"/>
      <c r="AM93" s="271"/>
      <c r="AN93" s="271"/>
      <c r="AO93" s="271"/>
      <c r="AP93" s="927"/>
      <c r="AQ93" s="272"/>
      <c r="AR93" s="272"/>
      <c r="AS93" s="272"/>
      <c r="AT93" s="272"/>
    </row>
    <row r="94" spans="1:46" s="3" customFormat="1" ht="16" customHeight="1">
      <c r="H94" s="5"/>
      <c r="Q94" s="4"/>
      <c r="S94" s="5"/>
    </row>
    <row r="95" spans="1:46" s="3" customFormat="1" ht="30" customHeight="1">
      <c r="A95" s="839" t="s">
        <v>929</v>
      </c>
      <c r="B95" s="839" t="s">
        <v>929</v>
      </c>
      <c r="C95" s="839" t="s">
        <v>929</v>
      </c>
      <c r="D95" s="839" t="s">
        <v>929</v>
      </c>
      <c r="E95" s="839" t="s">
        <v>929</v>
      </c>
      <c r="F95" s="839" t="s">
        <v>929</v>
      </c>
      <c r="G95" s="839" t="s">
        <v>929</v>
      </c>
      <c r="H95" s="839" t="s">
        <v>929</v>
      </c>
      <c r="I95" s="839" t="s">
        <v>929</v>
      </c>
      <c r="J95" s="839" t="s">
        <v>929</v>
      </c>
      <c r="K95" s="839" t="s">
        <v>929</v>
      </c>
      <c r="L95" s="839" t="s">
        <v>929</v>
      </c>
      <c r="M95" s="839" t="s">
        <v>929</v>
      </c>
      <c r="N95" s="839" t="s">
        <v>929</v>
      </c>
      <c r="O95" s="839" t="s">
        <v>929</v>
      </c>
      <c r="P95" s="839" t="s">
        <v>929</v>
      </c>
      <c r="Q95" s="839" t="s">
        <v>929</v>
      </c>
      <c r="R95" s="839" t="s">
        <v>929</v>
      </c>
      <c r="S95" s="839" t="s">
        <v>929</v>
      </c>
      <c r="T95" s="839" t="s">
        <v>929</v>
      </c>
      <c r="U95" s="884"/>
      <c r="V95" s="884"/>
    </row>
    <row r="96" spans="1:46" s="3" customFormat="1" ht="30" customHeight="1">
      <c r="A96" s="839" t="s">
        <v>929</v>
      </c>
      <c r="B96" s="839" t="s">
        <v>929</v>
      </c>
      <c r="C96" s="839" t="s">
        <v>929</v>
      </c>
      <c r="D96" s="839" t="s">
        <v>929</v>
      </c>
      <c r="E96" s="839" t="s">
        <v>929</v>
      </c>
      <c r="F96" s="839" t="s">
        <v>929</v>
      </c>
      <c r="G96" s="839" t="s">
        <v>929</v>
      </c>
      <c r="H96" s="839" t="s">
        <v>929</v>
      </c>
      <c r="I96" s="839" t="s">
        <v>929</v>
      </c>
      <c r="J96" s="839" t="s">
        <v>929</v>
      </c>
      <c r="K96" s="839" t="s">
        <v>929</v>
      </c>
      <c r="L96" s="839" t="s">
        <v>929</v>
      </c>
      <c r="M96" s="839" t="s">
        <v>929</v>
      </c>
      <c r="N96" s="839" t="s">
        <v>929</v>
      </c>
      <c r="O96" s="839" t="s">
        <v>929</v>
      </c>
      <c r="P96" s="839" t="s">
        <v>929</v>
      </c>
      <c r="Q96" s="839" t="s">
        <v>929</v>
      </c>
      <c r="R96" s="839" t="s">
        <v>929</v>
      </c>
      <c r="S96" s="839" t="s">
        <v>929</v>
      </c>
      <c r="T96" s="839" t="s">
        <v>929</v>
      </c>
      <c r="U96" s="884"/>
      <c r="V96" s="884"/>
      <c r="Z96" s="884"/>
    </row>
    <row r="97" spans="1:26" s="3" customFormat="1" ht="30" customHeight="1">
      <c r="A97" s="839" t="s">
        <v>929</v>
      </c>
      <c r="B97" s="839" t="s">
        <v>929</v>
      </c>
      <c r="C97" s="839" t="s">
        <v>929</v>
      </c>
      <c r="D97" s="839" t="s">
        <v>929</v>
      </c>
      <c r="E97" s="839" t="s">
        <v>929</v>
      </c>
      <c r="F97" s="839" t="s">
        <v>929</v>
      </c>
      <c r="G97" s="839" t="s">
        <v>929</v>
      </c>
      <c r="H97" s="839" t="s">
        <v>929</v>
      </c>
      <c r="I97" s="839" t="s">
        <v>929</v>
      </c>
      <c r="J97" s="839" t="s">
        <v>929</v>
      </c>
      <c r="K97" s="839" t="s">
        <v>929</v>
      </c>
      <c r="L97" s="839" t="s">
        <v>929</v>
      </c>
      <c r="M97" s="839" t="s">
        <v>929</v>
      </c>
      <c r="N97" s="839" t="s">
        <v>929</v>
      </c>
      <c r="O97" s="839" t="s">
        <v>929</v>
      </c>
      <c r="P97" s="839" t="s">
        <v>929</v>
      </c>
      <c r="Q97" s="839" t="s">
        <v>929</v>
      </c>
      <c r="R97" s="839" t="s">
        <v>929</v>
      </c>
      <c r="S97" s="839" t="s">
        <v>929</v>
      </c>
      <c r="T97" s="839" t="s">
        <v>929</v>
      </c>
      <c r="U97" s="884"/>
      <c r="V97" s="884"/>
      <c r="Z97" s="884"/>
    </row>
    <row r="98" spans="1:26" s="3" customFormat="1" ht="30" customHeight="1">
      <c r="A98" s="839" t="s">
        <v>929</v>
      </c>
      <c r="B98" s="839" t="s">
        <v>929</v>
      </c>
      <c r="C98" s="839" t="s">
        <v>929</v>
      </c>
      <c r="D98" s="839" t="s">
        <v>929</v>
      </c>
      <c r="E98" s="839" t="s">
        <v>929</v>
      </c>
      <c r="F98" s="839" t="s">
        <v>929</v>
      </c>
      <c r="G98" s="839" t="s">
        <v>929</v>
      </c>
      <c r="H98" s="839" t="s">
        <v>929</v>
      </c>
      <c r="I98" s="839" t="s">
        <v>929</v>
      </c>
      <c r="J98" s="839" t="s">
        <v>929</v>
      </c>
      <c r="K98" s="839" t="s">
        <v>929</v>
      </c>
      <c r="L98" s="839" t="s">
        <v>929</v>
      </c>
      <c r="M98" s="839" t="s">
        <v>929</v>
      </c>
      <c r="N98" s="839" t="s">
        <v>929</v>
      </c>
      <c r="O98" s="839" t="s">
        <v>929</v>
      </c>
      <c r="P98" s="839" t="s">
        <v>929</v>
      </c>
      <c r="Q98" s="839" t="s">
        <v>929</v>
      </c>
      <c r="R98" s="839" t="s">
        <v>929</v>
      </c>
      <c r="S98" s="839" t="s">
        <v>929</v>
      </c>
      <c r="T98" s="839" t="s">
        <v>929</v>
      </c>
      <c r="U98" s="884"/>
      <c r="V98" s="884"/>
      <c r="Z98" s="884"/>
    </row>
    <row r="99" spans="1:26" s="3" customFormat="1" ht="30" customHeight="1">
      <c r="A99" s="839" t="s">
        <v>929</v>
      </c>
      <c r="B99" s="839" t="s">
        <v>929</v>
      </c>
      <c r="C99" s="839" t="s">
        <v>929</v>
      </c>
      <c r="D99" s="839" t="s">
        <v>929</v>
      </c>
      <c r="E99" s="839" t="s">
        <v>929</v>
      </c>
      <c r="F99" s="839" t="s">
        <v>929</v>
      </c>
      <c r="G99" s="839" t="s">
        <v>929</v>
      </c>
      <c r="H99" s="839" t="s">
        <v>929</v>
      </c>
      <c r="I99" s="839" t="s">
        <v>929</v>
      </c>
      <c r="J99" s="839" t="s">
        <v>929</v>
      </c>
      <c r="K99" s="839" t="s">
        <v>929</v>
      </c>
      <c r="L99" s="839" t="s">
        <v>929</v>
      </c>
      <c r="M99" s="839" t="s">
        <v>929</v>
      </c>
      <c r="N99" s="839" t="s">
        <v>929</v>
      </c>
      <c r="O99" s="839" t="s">
        <v>929</v>
      </c>
      <c r="P99" s="839" t="s">
        <v>929</v>
      </c>
      <c r="Q99" s="839" t="s">
        <v>929</v>
      </c>
      <c r="R99" s="839" t="s">
        <v>929</v>
      </c>
      <c r="S99" s="839" t="s">
        <v>929</v>
      </c>
      <c r="T99" s="839" t="s">
        <v>929</v>
      </c>
      <c r="U99" s="884"/>
      <c r="V99" s="884"/>
    </row>
    <row r="103" spans="1:26">
      <c r="A103" s="3"/>
      <c r="B103" s="3"/>
      <c r="C103" s="3"/>
      <c r="D103" s="3"/>
      <c r="E103" s="3"/>
      <c r="F103" s="3"/>
      <c r="G103" s="3"/>
      <c r="H103" s="5"/>
      <c r="I103" s="3"/>
      <c r="J103" s="3"/>
      <c r="K103" s="3"/>
      <c r="L103" s="5"/>
      <c r="M103" s="5"/>
      <c r="N103" s="5"/>
      <c r="O103" s="5"/>
      <c r="P103" s="5"/>
      <c r="Q103" s="505"/>
      <c r="R103" s="3"/>
      <c r="S103" s="5"/>
      <c r="T103" s="3"/>
      <c r="U103" s="3"/>
      <c r="V103" s="3"/>
    </row>
  </sheetData>
  <autoFilter ref="A35:T93"/>
  <sortState ref="A36:T46">
    <sortCondition ref="I36:I46"/>
  </sortState>
  <mergeCells count="104">
    <mergeCell ref="S31:T31"/>
    <mergeCell ref="A1:I2"/>
    <mergeCell ref="C5:I5"/>
    <mergeCell ref="C6:I6"/>
    <mergeCell ref="C7:I7"/>
    <mergeCell ref="C8:I8"/>
    <mergeCell ref="C9:I9"/>
    <mergeCell ref="C10:I10"/>
    <mergeCell ref="C11:I11"/>
    <mergeCell ref="C12:I12"/>
    <mergeCell ref="C13:I13"/>
    <mergeCell ref="C14:I14"/>
    <mergeCell ref="C15:I15"/>
    <mergeCell ref="C16:I16"/>
    <mergeCell ref="C17:I17"/>
    <mergeCell ref="C18:I18"/>
    <mergeCell ref="C19:I19"/>
    <mergeCell ref="C4:I4"/>
    <mergeCell ref="B20:D29"/>
    <mergeCell ref="E20:G20"/>
    <mergeCell ref="H20:I20"/>
    <mergeCell ref="B30:I30"/>
    <mergeCell ref="L24:M24"/>
    <mergeCell ref="N24:O24"/>
    <mergeCell ref="L25:M25"/>
    <mergeCell ref="N25:O25"/>
    <mergeCell ref="N28:O28"/>
    <mergeCell ref="D34:G34"/>
    <mergeCell ref="H34:K34"/>
    <mergeCell ref="L26:M26"/>
    <mergeCell ref="N26:O26"/>
    <mergeCell ref="L27:M27"/>
    <mergeCell ref="N27:O27"/>
    <mergeCell ref="L34:Q34"/>
    <mergeCell ref="L21:M21"/>
    <mergeCell ref="N21:O21"/>
    <mergeCell ref="L22:M22"/>
    <mergeCell ref="N22:O22"/>
    <mergeCell ref="L23:M23"/>
    <mergeCell ref="N23:O23"/>
    <mergeCell ref="L18:M18"/>
    <mergeCell ref="N18:O18"/>
    <mergeCell ref="L19:M19"/>
    <mergeCell ref="N19:O19"/>
    <mergeCell ref="L20:M20"/>
    <mergeCell ref="N20:O20"/>
    <mergeCell ref="L15:M15"/>
    <mergeCell ref="N15:O15"/>
    <mergeCell ref="L16:M16"/>
    <mergeCell ref="N16:O16"/>
    <mergeCell ref="L17:M17"/>
    <mergeCell ref="N17:O17"/>
    <mergeCell ref="L12:M12"/>
    <mergeCell ref="N12:O12"/>
    <mergeCell ref="L13:M13"/>
    <mergeCell ref="N13:O13"/>
    <mergeCell ref="L14:M14"/>
    <mergeCell ref="N14:O14"/>
    <mergeCell ref="L8:M8"/>
    <mergeCell ref="N8:O8"/>
    <mergeCell ref="L9:M9"/>
    <mergeCell ref="N9:O9"/>
    <mergeCell ref="L10:M10"/>
    <mergeCell ref="N10:O10"/>
    <mergeCell ref="L11:M11"/>
    <mergeCell ref="N11:O11"/>
    <mergeCell ref="W4:X4"/>
    <mergeCell ref="W5:X5"/>
    <mergeCell ref="W6:X6"/>
    <mergeCell ref="W7:X7"/>
    <mergeCell ref="L3:M3"/>
    <mergeCell ref="N3:O3"/>
    <mergeCell ref="L4:M4"/>
    <mergeCell ref="N4:O4"/>
    <mergeCell ref="L5:M5"/>
    <mergeCell ref="N5:O5"/>
    <mergeCell ref="L6:M6"/>
    <mergeCell ref="N6:O6"/>
    <mergeCell ref="L7:M7"/>
    <mergeCell ref="N7:O7"/>
    <mergeCell ref="W1:AD1"/>
    <mergeCell ref="W28:X28"/>
    <mergeCell ref="S29:T29"/>
    <mergeCell ref="W23:X23"/>
    <mergeCell ref="W24:X24"/>
    <mergeCell ref="W25:X25"/>
    <mergeCell ref="W26:X26"/>
    <mergeCell ref="W27:X27"/>
    <mergeCell ref="W18:X18"/>
    <mergeCell ref="W19:X19"/>
    <mergeCell ref="W20:X20"/>
    <mergeCell ref="W21:X21"/>
    <mergeCell ref="W22:X22"/>
    <mergeCell ref="W13:X13"/>
    <mergeCell ref="W14:X14"/>
    <mergeCell ref="W15:X15"/>
    <mergeCell ref="W16:X16"/>
    <mergeCell ref="W17:X17"/>
    <mergeCell ref="W8:X8"/>
    <mergeCell ref="W9:X9"/>
    <mergeCell ref="W10:X10"/>
    <mergeCell ref="W11:X11"/>
    <mergeCell ref="W12:X12"/>
    <mergeCell ref="W3:X3"/>
  </mergeCells>
  <phoneticPr fontId="153" type="noConversion"/>
  <conditionalFormatting sqref="R8:S8 R23:S24">
    <cfRule type="expression" dxfId="12" priority="8">
      <formula>"&lt;&gt;0"</formula>
    </cfRule>
  </conditionalFormatting>
  <conditionalFormatting sqref="R8:S8">
    <cfRule type="expression" dxfId="11" priority="7">
      <formula>0</formula>
    </cfRule>
  </conditionalFormatting>
  <conditionalFormatting sqref="D33:Q33 S33:T33">
    <cfRule type="cellIs" dxfId="10" priority="6" operator="notEqual">
      <formula>0</formula>
    </cfRule>
  </conditionalFormatting>
  <conditionalFormatting sqref="AA8:AB8 AA23:AB24">
    <cfRule type="expression" dxfId="9" priority="5">
      <formula>"&lt;&gt;0"</formula>
    </cfRule>
  </conditionalFormatting>
  <conditionalFormatting sqref="AA8:AB8">
    <cfRule type="expression" dxfId="8" priority="4">
      <formula>0</formula>
    </cfRule>
  </conditionalFormatting>
  <conditionalFormatting sqref="R33">
    <cfRule type="cellIs" dxfId="7" priority="3" operator="notEqual">
      <formula>0</formula>
    </cfRule>
  </conditionalFormatting>
  <conditionalFormatting sqref="AB3">
    <cfRule type="expression" dxfId="6" priority="2">
      <formula>"&lt;&gt;0"</formula>
    </cfRule>
  </conditionalFormatting>
  <conditionalFormatting sqref="AB3">
    <cfRule type="expression" dxfId="5" priority="1">
      <formula>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BF997"/>
  </sheetPr>
  <dimension ref="A1:AG417"/>
  <sheetViews>
    <sheetView workbookViewId="0"/>
  </sheetViews>
  <sheetFormatPr baseColWidth="10" defaultColWidth="8.83203125" defaultRowHeight="11" x14ac:dyDescent="0"/>
  <cols>
    <col min="1" max="1" width="3" style="3" customWidth="1"/>
    <col min="2" max="2" width="41.5" style="3" customWidth="1"/>
    <col min="3" max="3" width="1.6640625" style="3" customWidth="1"/>
    <col min="4" max="4" width="12.33203125" style="5" customWidth="1"/>
    <col min="5" max="5" width="15.83203125" style="3" customWidth="1"/>
    <col min="6" max="6" width="14.5" style="5" customWidth="1"/>
    <col min="7" max="7" width="20" style="3" customWidth="1"/>
    <col min="8" max="8" width="16.5" style="5" customWidth="1"/>
    <col min="9" max="9" width="11.6640625" style="5" customWidth="1"/>
    <col min="10" max="10" width="15.33203125" style="3" customWidth="1"/>
    <col min="11" max="11" width="12" style="3" customWidth="1"/>
    <col min="12" max="12" width="17.1640625" style="5" customWidth="1"/>
    <col min="13" max="13" width="15.1640625" style="5" customWidth="1"/>
    <col min="14" max="14" width="14.5" style="3" customWidth="1"/>
    <col min="15" max="15" width="16" style="5" customWidth="1"/>
    <col min="16" max="16" width="10.83203125" style="5" customWidth="1"/>
    <col min="17" max="17" width="22.83203125" style="3" customWidth="1"/>
    <col min="18" max="18" width="25.83203125" style="3" customWidth="1"/>
    <col min="19" max="19" width="16.5" style="3" customWidth="1"/>
    <col min="20" max="20" width="15.83203125" style="3" customWidth="1"/>
    <col min="21" max="21" width="10.83203125" style="3" customWidth="1"/>
    <col min="22" max="22" width="12.6640625" style="3" customWidth="1"/>
    <col min="23" max="32" width="10.83203125" style="3" customWidth="1"/>
    <col min="33" max="16384" width="8.83203125" style="3"/>
  </cols>
  <sheetData>
    <row r="1" spans="1:33" ht="16" customHeight="1" thickTop="1" thickBot="1">
      <c r="A1" s="79" t="s">
        <v>1295</v>
      </c>
      <c r="B1" s="81" t="s">
        <v>1400</v>
      </c>
      <c r="C1" s="81"/>
      <c r="D1" s="235"/>
      <c r="E1" s="81"/>
      <c r="F1" s="98" t="s">
        <v>1398</v>
      </c>
      <c r="G1" s="79" t="s">
        <v>1401</v>
      </c>
      <c r="H1" s="82"/>
      <c r="I1" s="98" t="s">
        <v>1398</v>
      </c>
      <c r="J1" s="79" t="s">
        <v>1402</v>
      </c>
      <c r="K1" s="81"/>
      <c r="L1" s="98" t="s">
        <v>1398</v>
      </c>
      <c r="M1" s="79" t="s">
        <v>1403</v>
      </c>
      <c r="N1" s="81"/>
      <c r="O1" s="98" t="s">
        <v>1398</v>
      </c>
      <c r="P1" s="79" t="s">
        <v>1404</v>
      </c>
      <c r="Q1" s="81"/>
      <c r="R1" s="98" t="s">
        <v>1398</v>
      </c>
      <c r="S1" s="79" t="s">
        <v>1405</v>
      </c>
      <c r="T1" s="81"/>
      <c r="U1" s="98" t="s">
        <v>1398</v>
      </c>
      <c r="X1" s="120"/>
      <c r="Y1" s="120"/>
      <c r="Z1" s="120"/>
      <c r="AA1" s="120"/>
      <c r="AB1" s="120"/>
      <c r="AC1" s="120"/>
    </row>
    <row r="2" spans="1:33" ht="16" customHeight="1" thickTop="1">
      <c r="A2" s="72"/>
      <c r="B2" s="64" t="s">
        <v>1139</v>
      </c>
      <c r="C2" s="64"/>
      <c r="D2" s="85"/>
      <c r="E2" s="66">
        <f>'ENR#-DB'!Q6</f>
        <v>461519</v>
      </c>
      <c r="F2" s="236"/>
      <c r="G2" s="215"/>
      <c r="H2" s="66">
        <f>'ENR#-DB'!Q9</f>
        <v>24226</v>
      </c>
      <c r="I2" s="236"/>
      <c r="J2" s="215"/>
      <c r="K2" s="66">
        <f>'ENR#-DB'!Q11</f>
        <v>0</v>
      </c>
      <c r="L2" s="236"/>
      <c r="M2" s="215"/>
      <c r="N2" s="66">
        <f>'ENR#-DB'!Q13</f>
        <v>0</v>
      </c>
      <c r="O2" s="236"/>
      <c r="P2" s="215"/>
      <c r="Q2" s="66">
        <f>'ENR#-DB'!Q15</f>
        <v>0</v>
      </c>
      <c r="R2" s="236"/>
      <c r="S2" s="215"/>
      <c r="T2" s="66">
        <f>'ENR#-DB'!Q17</f>
        <v>0</v>
      </c>
      <c r="U2" s="236"/>
      <c r="X2" s="120"/>
      <c r="Y2" s="120"/>
      <c r="Z2" s="120"/>
      <c r="AA2" s="120"/>
      <c r="AB2" s="120"/>
      <c r="AC2" s="120"/>
    </row>
    <row r="3" spans="1:33" ht="16" customHeight="1">
      <c r="A3" s="72"/>
      <c r="B3" s="64" t="s">
        <v>1463</v>
      </c>
      <c r="C3" s="64"/>
      <c r="D3" s="85" t="str">
        <f>IF(AND(F3&gt;-0.005,F3&lt;0.005),"","ERROR!")</f>
        <v/>
      </c>
      <c r="E3" s="66">
        <f>B13</f>
        <v>461519</v>
      </c>
      <c r="F3" s="236">
        <f>E2-E3</f>
        <v>0</v>
      </c>
      <c r="G3" s="85" t="str">
        <f>IF(AND(I3&gt;-0.005,I3&lt;0.005),"","ERROR!")</f>
        <v/>
      </c>
      <c r="H3" s="66">
        <f>B33</f>
        <v>24226</v>
      </c>
      <c r="I3" s="236">
        <f>H2-H3</f>
        <v>0</v>
      </c>
      <c r="J3" s="85" t="str">
        <f>IF(AND(L3&gt;-0.005,L3&lt;0.005),"","ERROR!")</f>
        <v/>
      </c>
      <c r="K3" s="66">
        <f>B53</f>
        <v>0</v>
      </c>
      <c r="L3" s="236">
        <f>K2-K3</f>
        <v>0</v>
      </c>
      <c r="M3" s="85" t="str">
        <f>IF(AND(O3&gt;-0.005,O3&lt;0.005),"","ERROR!")</f>
        <v/>
      </c>
      <c r="N3" s="66">
        <f>B73</f>
        <v>0</v>
      </c>
      <c r="O3" s="236">
        <f>N2-N3</f>
        <v>0</v>
      </c>
      <c r="P3" s="85" t="str">
        <f>IF(AND(R3&gt;-0.005,R3&lt;0.005),"","ERROR!")</f>
        <v/>
      </c>
      <c r="Q3" s="66">
        <f>B93</f>
        <v>0</v>
      </c>
      <c r="R3" s="236">
        <f>Q2-Q3</f>
        <v>0</v>
      </c>
      <c r="S3" s="85" t="str">
        <f>IF(AND(U3&gt;-0.005,U3&lt;0.005),"","ERROR!")</f>
        <v/>
      </c>
      <c r="T3" s="66">
        <f>B113</f>
        <v>0</v>
      </c>
      <c r="U3" s="236">
        <f>T2-T3</f>
        <v>0</v>
      </c>
      <c r="X3" s="120"/>
      <c r="Y3" s="120"/>
      <c r="Z3" s="120"/>
      <c r="AA3" s="120"/>
      <c r="AB3" s="120"/>
      <c r="AC3" s="120"/>
    </row>
    <row r="4" spans="1:33" ht="16" customHeight="1">
      <c r="A4" s="72"/>
      <c r="B4" s="64"/>
      <c r="C4" s="64"/>
      <c r="D4" s="85"/>
      <c r="E4" s="66"/>
      <c r="F4" s="236"/>
      <c r="G4" s="215"/>
      <c r="H4" s="66"/>
      <c r="I4" s="236"/>
      <c r="J4" s="215"/>
      <c r="K4" s="66"/>
      <c r="L4" s="236"/>
      <c r="M4" s="215"/>
      <c r="N4" s="66"/>
      <c r="O4" s="236"/>
      <c r="P4" s="215"/>
      <c r="Q4" s="66"/>
      <c r="R4" s="236"/>
      <c r="S4" s="215"/>
      <c r="T4" s="66"/>
      <c r="U4" s="236"/>
      <c r="X4" s="120"/>
      <c r="Y4" s="120"/>
      <c r="Z4" s="120"/>
      <c r="AA4" s="120"/>
      <c r="AB4" s="120"/>
      <c r="AC4" s="120"/>
    </row>
    <row r="5" spans="1:33" ht="16" customHeight="1">
      <c r="A5" s="72"/>
      <c r="B5" s="64" t="s">
        <v>1140</v>
      </c>
      <c r="C5" s="64"/>
      <c r="D5" s="85"/>
      <c r="E5" s="66">
        <f>'ENR#-DB'!Q7</f>
        <v>6340</v>
      </c>
      <c r="F5" s="236"/>
      <c r="G5" s="215"/>
      <c r="H5" s="66">
        <f>'ENR#-DB'!Q10</f>
        <v>2602</v>
      </c>
      <c r="I5" s="236"/>
      <c r="J5" s="215"/>
      <c r="K5" s="66">
        <f>'ENR#-DB'!Q12</f>
        <v>0</v>
      </c>
      <c r="L5" s="236"/>
      <c r="M5" s="215"/>
      <c r="N5" s="66">
        <f>'ENR#-DB'!Q14</f>
        <v>0</v>
      </c>
      <c r="O5" s="236"/>
      <c r="P5" s="215"/>
      <c r="Q5" s="66">
        <f>'ENR#-DB'!Q16</f>
        <v>0</v>
      </c>
      <c r="R5" s="236"/>
      <c r="S5" s="215"/>
      <c r="T5" s="66">
        <f>'ENR#-DB'!Q18</f>
        <v>0</v>
      </c>
      <c r="U5" s="236"/>
      <c r="X5" s="120"/>
      <c r="Y5" s="120"/>
      <c r="Z5" s="120"/>
      <c r="AA5" s="120"/>
      <c r="AB5" s="120"/>
      <c r="AC5" s="120"/>
    </row>
    <row r="6" spans="1:33" ht="16" customHeight="1" thickBot="1">
      <c r="A6" s="72"/>
      <c r="B6" s="64" t="s">
        <v>1464</v>
      </c>
      <c r="C6" s="64"/>
      <c r="D6" s="85" t="str">
        <f>IF(AND(F6&gt;-0.005,F6&lt;0.005),"","ERROR!")</f>
        <v/>
      </c>
      <c r="E6" s="66">
        <f>B23</f>
        <v>6340</v>
      </c>
      <c r="F6" s="236">
        <f>E5-E6</f>
        <v>0</v>
      </c>
      <c r="G6" s="85" t="str">
        <f>IF(AND(I6&gt;-0.005,I6&lt;0.005),"","ERROR!")</f>
        <v/>
      </c>
      <c r="H6" s="66">
        <f>B43</f>
        <v>2602</v>
      </c>
      <c r="I6" s="236">
        <f>H5-H6</f>
        <v>0</v>
      </c>
      <c r="J6" s="85" t="str">
        <f>IF(AND(L6&gt;-0.005,L6&lt;0.005),"","ERROR!")</f>
        <v/>
      </c>
      <c r="K6" s="66">
        <f>B63</f>
        <v>0</v>
      </c>
      <c r="L6" s="236">
        <f>K5-K6</f>
        <v>0</v>
      </c>
      <c r="M6" s="85" t="str">
        <f>IF(AND(O6&gt;-0.005,O6&lt;0.005),"","ERROR!")</f>
        <v/>
      </c>
      <c r="N6" s="66">
        <f>B83</f>
        <v>0</v>
      </c>
      <c r="O6" s="236">
        <f>N5-N6</f>
        <v>0</v>
      </c>
      <c r="P6" s="85" t="str">
        <f>IF(AND(R6&gt;-0.005,R6&lt;0.005),"","ERROR!")</f>
        <v/>
      </c>
      <c r="Q6" s="66">
        <f>B103</f>
        <v>0</v>
      </c>
      <c r="R6" s="236">
        <f>Q5-Q6</f>
        <v>0</v>
      </c>
      <c r="S6" s="85" t="str">
        <f>IF(AND(U6&gt;-0.005,U6&lt;0.005),"","ERROR!")</f>
        <v/>
      </c>
      <c r="T6" s="66">
        <f>B123</f>
        <v>0</v>
      </c>
      <c r="U6" s="236">
        <f>T5-T6</f>
        <v>0</v>
      </c>
      <c r="X6" s="120"/>
      <c r="Y6" s="120"/>
      <c r="Z6" s="120"/>
      <c r="AA6" s="120"/>
      <c r="AB6" s="120"/>
      <c r="AC6" s="120"/>
    </row>
    <row r="7" spans="1:33" ht="16" customHeight="1" thickTop="1" thickBot="1">
      <c r="A7" s="72"/>
      <c r="B7" s="64"/>
      <c r="C7" s="64"/>
      <c r="D7" s="85"/>
      <c r="E7" s="2014" t="s">
        <v>1167</v>
      </c>
      <c r="F7" s="2015"/>
      <c r="G7" s="215"/>
      <c r="H7" s="66"/>
      <c r="I7" s="236"/>
      <c r="J7" s="215"/>
      <c r="K7" s="66"/>
      <c r="L7" s="236"/>
      <c r="M7" s="215"/>
      <c r="N7" s="66"/>
      <c r="O7" s="236"/>
      <c r="P7" s="215"/>
      <c r="Q7" s="66"/>
      <c r="R7" s="236"/>
      <c r="S7" s="215"/>
      <c r="T7" s="66"/>
      <c r="U7" s="236"/>
      <c r="X7" s="120"/>
      <c r="Y7" s="120"/>
      <c r="Z7" s="120"/>
      <c r="AA7" s="120"/>
      <c r="AB7" s="120"/>
      <c r="AC7" s="120"/>
    </row>
    <row r="8" spans="1:33" ht="16" customHeight="1" thickTop="1">
      <c r="A8" s="72"/>
      <c r="B8" s="64"/>
      <c r="C8" s="64"/>
      <c r="D8" s="85"/>
      <c r="E8" s="239" t="s">
        <v>1166</v>
      </c>
      <c r="F8" s="236" t="str">
        <f>'FIG3'!W50</f>
        <v>FY2010-11</v>
      </c>
      <c r="G8" s="215"/>
      <c r="H8" s="66"/>
      <c r="I8" s="236"/>
      <c r="J8" s="215"/>
      <c r="K8" s="66"/>
      <c r="L8" s="236"/>
      <c r="M8" s="215"/>
      <c r="N8" s="66"/>
      <c r="O8" s="236"/>
      <c r="P8" s="215"/>
      <c r="Q8" s="66"/>
      <c r="R8" s="236"/>
      <c r="S8" s="215"/>
      <c r="T8" s="66"/>
      <c r="U8" s="236"/>
      <c r="X8" s="120"/>
      <c r="Y8" s="120"/>
      <c r="Z8" s="120"/>
      <c r="AA8" s="120"/>
      <c r="AB8" s="120"/>
      <c r="AC8" s="120"/>
    </row>
    <row r="9" spans="1:33" ht="16" customHeight="1" thickBot="1">
      <c r="A9" s="78"/>
      <c r="B9" s="104"/>
      <c r="C9" s="104"/>
      <c r="D9" s="243"/>
      <c r="E9" s="2016" t="s">
        <v>1168</v>
      </c>
      <c r="F9" s="2017"/>
      <c r="G9" s="244"/>
      <c r="H9" s="238"/>
      <c r="I9" s="237"/>
      <c r="J9" s="245"/>
      <c r="K9" s="104"/>
      <c r="L9" s="237"/>
      <c r="M9" s="246"/>
      <c r="N9" s="104"/>
      <c r="O9" s="237"/>
      <c r="P9" s="246"/>
      <c r="Q9" s="104"/>
      <c r="R9" s="214"/>
      <c r="S9" s="885"/>
      <c r="T9" s="103"/>
      <c r="U9" s="214"/>
      <c r="V9" s="1"/>
      <c r="W9" s="1"/>
      <c r="X9" s="1"/>
      <c r="Y9" s="1"/>
      <c r="Z9" s="1"/>
      <c r="AA9" s="1"/>
      <c r="AB9" s="1"/>
      <c r="AC9" s="1"/>
      <c r="AD9" s="1"/>
      <c r="AE9" s="1"/>
      <c r="AF9" s="1"/>
      <c r="AG9" s="1"/>
    </row>
    <row r="10" spans="1:33" ht="16" customHeight="1" thickTop="1" thickBot="1">
      <c r="A10" s="49"/>
      <c r="B10" s="50" t="s">
        <v>1395</v>
      </c>
      <c r="C10" s="49"/>
      <c r="D10" s="54"/>
      <c r="E10" s="53"/>
      <c r="F10" s="54"/>
      <c r="G10" s="53"/>
      <c r="H10" s="54"/>
      <c r="I10" s="54"/>
      <c r="J10" s="53"/>
      <c r="K10" s="53"/>
      <c r="L10" s="54"/>
      <c r="M10" s="55"/>
      <c r="N10" s="53"/>
      <c r="O10" s="54"/>
      <c r="P10" s="54"/>
      <c r="Q10" s="53"/>
      <c r="R10" s="53"/>
      <c r="S10" s="887" t="str">
        <f>'ENR#-DB'!$S$34</f>
        <v>UD1</v>
      </c>
      <c r="T10" s="887" t="str">
        <f>'ENR#-DB'!$T$34</f>
        <v>UD2</v>
      </c>
      <c r="U10" s="60"/>
      <c r="V10" s="56"/>
      <c r="W10" s="56"/>
      <c r="X10" s="56"/>
      <c r="Y10" s="56"/>
      <c r="Z10" s="56"/>
      <c r="AA10" s="56"/>
      <c r="AB10" s="56"/>
      <c r="AC10" s="56"/>
      <c r="AD10" s="56"/>
      <c r="AE10" s="56"/>
      <c r="AF10" s="56"/>
      <c r="AG10" s="1"/>
    </row>
    <row r="11" spans="1:33" ht="16" customHeight="1" thickTop="1" thickBot="1">
      <c r="A11" s="49"/>
      <c r="B11" s="51" t="s">
        <v>1399</v>
      </c>
      <c r="C11" s="15"/>
      <c r="D11" s="301" t="s">
        <v>1386</v>
      </c>
      <c r="E11" s="301" t="s">
        <v>1387</v>
      </c>
      <c r="F11" s="301" t="s">
        <v>1388</v>
      </c>
      <c r="G11" s="301" t="s">
        <v>1389</v>
      </c>
      <c r="H11" s="301" t="s">
        <v>1406</v>
      </c>
      <c r="I11" s="301" t="s">
        <v>1390</v>
      </c>
      <c r="J11" s="301" t="s">
        <v>1391</v>
      </c>
      <c r="K11" s="304" t="s">
        <v>1392</v>
      </c>
      <c r="L11" s="301" t="s">
        <v>1188</v>
      </c>
      <c r="M11" s="301" t="s">
        <v>1437</v>
      </c>
      <c r="N11" s="301" t="s">
        <v>1348</v>
      </c>
      <c r="O11" s="301" t="s">
        <v>1393</v>
      </c>
      <c r="P11" s="301" t="s">
        <v>1342</v>
      </c>
      <c r="Q11" s="112" t="s">
        <v>1224</v>
      </c>
      <c r="R11" s="112" t="s">
        <v>846</v>
      </c>
      <c r="S11" s="875" t="s">
        <v>935</v>
      </c>
      <c r="T11" s="875" t="s">
        <v>936</v>
      </c>
      <c r="U11" s="59"/>
      <c r="V11" s="2"/>
      <c r="W11" s="2"/>
      <c r="X11" s="2"/>
      <c r="Y11" s="2"/>
      <c r="Z11" s="2"/>
      <c r="AA11" s="2"/>
      <c r="AB11" s="2"/>
      <c r="AC11" s="2"/>
      <c r="AD11" s="2"/>
      <c r="AE11" s="2"/>
      <c r="AF11" s="2"/>
      <c r="AG11" s="1"/>
    </row>
    <row r="12" spans="1:33" ht="16" customHeight="1" thickTop="1">
      <c r="A12" s="49"/>
      <c r="B12" s="50" t="s">
        <v>1346</v>
      </c>
      <c r="C12" s="12"/>
      <c r="D12" s="37"/>
      <c r="E12" s="37"/>
      <c r="F12" s="37"/>
      <c r="G12" s="37"/>
      <c r="H12" s="37"/>
      <c r="I12" s="37"/>
      <c r="J12" s="37"/>
      <c r="K12" s="37"/>
      <c r="L12" s="364" t="s">
        <v>1429</v>
      </c>
      <c r="M12" s="365"/>
      <c r="N12" s="365" t="str">
        <f t="shared" ref="N12:N18" si="0">$F$8</f>
        <v>FY2010-11</v>
      </c>
      <c r="O12" s="364"/>
      <c r="P12" s="364" t="s">
        <v>1338</v>
      </c>
      <c r="Q12" s="364"/>
      <c r="R12" s="37"/>
      <c r="S12" s="37"/>
      <c r="T12" s="37"/>
      <c r="U12" s="58"/>
      <c r="V12" s="1"/>
      <c r="W12" s="1"/>
      <c r="X12" s="1"/>
      <c r="Y12" s="1"/>
      <c r="Z12" s="1"/>
      <c r="AA12" s="1"/>
      <c r="AB12" s="1"/>
      <c r="AC12" s="1"/>
      <c r="AD12" s="1"/>
      <c r="AE12" s="1"/>
      <c r="AF12" s="1"/>
      <c r="AG12" s="1"/>
    </row>
    <row r="13" spans="1:33" ht="16" customHeight="1">
      <c r="A13" s="49"/>
      <c r="B13" s="57">
        <f>DSUM('ENR#-DB'!D35:T93,"TOTAL ENROLLMENT",'ENR#-DSUM'!D11:T18)</f>
        <v>461519</v>
      </c>
      <c r="C13" s="12"/>
      <c r="D13" s="37"/>
      <c r="E13" s="37"/>
      <c r="F13" s="37"/>
      <c r="G13" s="37"/>
      <c r="H13" s="37"/>
      <c r="I13" s="37"/>
      <c r="J13" s="37"/>
      <c r="K13" s="37"/>
      <c r="L13" s="37" t="s">
        <v>1429</v>
      </c>
      <c r="M13" s="240"/>
      <c r="N13" s="240" t="str">
        <f t="shared" si="0"/>
        <v>FY2010-11</v>
      </c>
      <c r="O13" s="37"/>
      <c r="P13" s="37" t="s">
        <v>1338</v>
      </c>
      <c r="Q13" s="37"/>
      <c r="R13" s="37"/>
      <c r="S13" s="37"/>
      <c r="T13" s="37"/>
      <c r="U13" s="58"/>
      <c r="V13" s="1"/>
      <c r="W13" s="1"/>
      <c r="X13" s="1"/>
      <c r="Y13" s="1"/>
      <c r="Z13" s="1"/>
      <c r="AA13" s="1"/>
      <c r="AB13" s="1"/>
      <c r="AC13" s="1"/>
      <c r="AD13" s="1"/>
      <c r="AE13" s="1"/>
      <c r="AF13" s="1"/>
      <c r="AG13" s="1"/>
    </row>
    <row r="14" spans="1:33" ht="16" customHeight="1">
      <c r="A14" s="49"/>
      <c r="B14" s="52"/>
      <c r="C14" s="12"/>
      <c r="D14" s="37"/>
      <c r="E14" s="37"/>
      <c r="F14" s="37"/>
      <c r="G14" s="37"/>
      <c r="H14" s="37"/>
      <c r="I14" s="37"/>
      <c r="J14" s="37"/>
      <c r="K14" s="37"/>
      <c r="L14" s="37" t="s">
        <v>1429</v>
      </c>
      <c r="M14" s="240"/>
      <c r="N14" s="240" t="str">
        <f t="shared" si="0"/>
        <v>FY2010-11</v>
      </c>
      <c r="O14" s="37"/>
      <c r="P14" s="37" t="s">
        <v>1338</v>
      </c>
      <c r="Q14" s="37"/>
      <c r="R14" s="37"/>
      <c r="S14" s="37"/>
      <c r="T14" s="37"/>
      <c r="U14" s="58"/>
      <c r="V14" s="1"/>
      <c r="W14" s="1"/>
      <c r="X14" s="1"/>
      <c r="Y14" s="1"/>
      <c r="Z14" s="1"/>
      <c r="AA14" s="1"/>
      <c r="AB14" s="1"/>
      <c r="AC14" s="1"/>
      <c r="AD14" s="1"/>
      <c r="AE14" s="1"/>
      <c r="AF14" s="1"/>
      <c r="AG14" s="1"/>
    </row>
    <row r="15" spans="1:33" ht="16" customHeight="1">
      <c r="A15" s="49"/>
      <c r="B15" s="2018"/>
      <c r="C15" s="12"/>
      <c r="D15" s="37"/>
      <c r="E15" s="37"/>
      <c r="F15" s="37"/>
      <c r="G15" s="37"/>
      <c r="H15" s="37"/>
      <c r="I15" s="37"/>
      <c r="J15" s="37"/>
      <c r="K15" s="37"/>
      <c r="L15" s="37" t="s">
        <v>1429</v>
      </c>
      <c r="M15" s="240"/>
      <c r="N15" s="240" t="str">
        <f t="shared" si="0"/>
        <v>FY2010-11</v>
      </c>
      <c r="O15" s="37"/>
      <c r="P15" s="37" t="s">
        <v>1338</v>
      </c>
      <c r="Q15" s="37"/>
      <c r="R15" s="37"/>
      <c r="S15" s="37"/>
      <c r="T15" s="37"/>
      <c r="U15" s="58"/>
      <c r="V15" s="1"/>
      <c r="W15" s="1"/>
      <c r="X15" s="1"/>
      <c r="Y15" s="1"/>
      <c r="Z15" s="1"/>
      <c r="AA15" s="1"/>
      <c r="AB15" s="1"/>
      <c r="AC15" s="1"/>
      <c r="AD15" s="1"/>
      <c r="AE15" s="1"/>
      <c r="AF15" s="1"/>
      <c r="AG15" s="1"/>
    </row>
    <row r="16" spans="1:33" ht="16" customHeight="1">
      <c r="A16" s="49"/>
      <c r="B16" s="2018"/>
      <c r="C16" s="12"/>
      <c r="D16" s="37"/>
      <c r="E16" s="37"/>
      <c r="F16" s="37"/>
      <c r="G16" s="37"/>
      <c r="H16" s="37"/>
      <c r="I16" s="37"/>
      <c r="J16" s="37"/>
      <c r="K16" s="37"/>
      <c r="L16" s="37" t="s">
        <v>1429</v>
      </c>
      <c r="M16" s="240"/>
      <c r="N16" s="240" t="str">
        <f t="shared" si="0"/>
        <v>FY2010-11</v>
      </c>
      <c r="O16" s="37"/>
      <c r="P16" s="37" t="s">
        <v>1338</v>
      </c>
      <c r="Q16" s="37"/>
      <c r="R16" s="37"/>
      <c r="S16" s="37"/>
      <c r="T16" s="37"/>
      <c r="U16" s="58"/>
      <c r="V16" s="1"/>
      <c r="W16" s="1"/>
      <c r="X16" s="1"/>
      <c r="Y16" s="1"/>
      <c r="Z16" s="1"/>
      <c r="AA16" s="1"/>
      <c r="AB16" s="1"/>
      <c r="AC16" s="1"/>
      <c r="AD16" s="1"/>
      <c r="AE16" s="1"/>
      <c r="AF16" s="1"/>
      <c r="AG16" s="1"/>
    </row>
    <row r="17" spans="1:33" ht="16" customHeight="1">
      <c r="A17" s="49"/>
      <c r="B17" s="2018"/>
      <c r="C17" s="12"/>
      <c r="D17" s="37"/>
      <c r="E17" s="37"/>
      <c r="F17" s="37"/>
      <c r="G17" s="37"/>
      <c r="H17" s="37"/>
      <c r="I17" s="37"/>
      <c r="J17" s="37"/>
      <c r="K17" s="37"/>
      <c r="L17" s="37" t="s">
        <v>1429</v>
      </c>
      <c r="M17" s="240"/>
      <c r="N17" s="240" t="str">
        <f t="shared" si="0"/>
        <v>FY2010-11</v>
      </c>
      <c r="O17" s="37"/>
      <c r="P17" s="37" t="s">
        <v>1338</v>
      </c>
      <c r="Q17" s="37"/>
      <c r="R17" s="37"/>
      <c r="S17" s="37"/>
      <c r="T17" s="37"/>
      <c r="U17" s="58"/>
      <c r="V17" s="1"/>
      <c r="W17" s="1"/>
      <c r="X17" s="1"/>
      <c r="Y17" s="1"/>
      <c r="Z17" s="1"/>
      <c r="AA17" s="1"/>
      <c r="AB17" s="1"/>
      <c r="AC17" s="1"/>
      <c r="AD17" s="1"/>
      <c r="AE17" s="1"/>
      <c r="AF17" s="1"/>
      <c r="AG17" s="1"/>
    </row>
    <row r="18" spans="1:33" ht="16" customHeight="1">
      <c r="A18" s="49"/>
      <c r="B18" s="2018"/>
      <c r="C18" s="12"/>
      <c r="D18" s="37"/>
      <c r="E18" s="37"/>
      <c r="F18" s="37"/>
      <c r="G18" s="37"/>
      <c r="H18" s="37"/>
      <c r="I18" s="37"/>
      <c r="J18" s="37"/>
      <c r="K18" s="37"/>
      <c r="L18" s="37" t="s">
        <v>1429</v>
      </c>
      <c r="M18" s="240"/>
      <c r="N18" s="240" t="str">
        <f t="shared" si="0"/>
        <v>FY2010-11</v>
      </c>
      <c r="O18" s="37"/>
      <c r="P18" s="37" t="s">
        <v>1338</v>
      </c>
      <c r="Q18" s="37"/>
      <c r="R18" s="37"/>
      <c r="S18" s="37"/>
      <c r="T18" s="37"/>
      <c r="U18" s="58"/>
      <c r="V18" s="1"/>
      <c r="W18" s="1"/>
      <c r="X18" s="1"/>
      <c r="Y18" s="1"/>
      <c r="Z18" s="1"/>
      <c r="AA18" s="1"/>
      <c r="AB18" s="1"/>
      <c r="AC18" s="1"/>
      <c r="AD18" s="1"/>
      <c r="AE18" s="1"/>
      <c r="AF18" s="1"/>
      <c r="AG18" s="1"/>
    </row>
    <row r="19" spans="1:33" ht="16" customHeight="1">
      <c r="A19" s="11"/>
      <c r="B19" s="12"/>
      <c r="C19" s="12"/>
      <c r="D19" s="14"/>
      <c r="E19" s="13"/>
      <c r="F19" s="14"/>
      <c r="G19" s="13"/>
      <c r="H19" s="14"/>
      <c r="I19" s="14"/>
      <c r="J19" s="13"/>
      <c r="K19" s="13"/>
      <c r="L19" s="14"/>
      <c r="M19" s="14"/>
      <c r="N19" s="13"/>
      <c r="O19" s="14"/>
      <c r="P19" s="14"/>
      <c r="Q19" s="13"/>
      <c r="R19" s="14"/>
      <c r="S19" s="14"/>
      <c r="T19" s="14"/>
      <c r="U19" s="58"/>
      <c r="V19" s="1"/>
      <c r="W19" s="1"/>
      <c r="X19" s="1"/>
      <c r="Y19" s="1"/>
      <c r="Z19" s="1"/>
      <c r="AA19" s="1"/>
      <c r="AB19" s="1"/>
      <c r="AC19" s="1"/>
      <c r="AD19" s="1"/>
      <c r="AE19" s="1"/>
      <c r="AF19" s="1"/>
      <c r="AG19" s="1"/>
    </row>
    <row r="20" spans="1:33" ht="16" customHeight="1" thickBot="1">
      <c r="A20" s="49"/>
      <c r="B20" s="50" t="s">
        <v>1395</v>
      </c>
      <c r="C20" s="49"/>
      <c r="D20" s="54"/>
      <c r="E20" s="53"/>
      <c r="F20" s="54"/>
      <c r="G20" s="53"/>
      <c r="H20" s="54"/>
      <c r="I20" s="54"/>
      <c r="J20" s="53"/>
      <c r="K20" s="53"/>
      <c r="L20" s="54"/>
      <c r="M20" s="55"/>
      <c r="N20" s="53"/>
      <c r="O20" s="54"/>
      <c r="P20" s="54"/>
      <c r="Q20" s="53"/>
      <c r="R20" s="53"/>
      <c r="S20" s="887" t="str">
        <f>'ENR#-DB'!$S$34</f>
        <v>UD1</v>
      </c>
      <c r="T20" s="887" t="str">
        <f>'ENR#-DB'!$T$34</f>
        <v>UD2</v>
      </c>
      <c r="U20" s="60"/>
      <c r="V20" s="56"/>
      <c r="W20" s="56"/>
      <c r="X20" s="56"/>
      <c r="Y20" s="56"/>
      <c r="Z20" s="56"/>
      <c r="AA20" s="56"/>
      <c r="AB20" s="56"/>
      <c r="AC20" s="56"/>
      <c r="AD20" s="56"/>
      <c r="AE20" s="56"/>
      <c r="AF20" s="56"/>
      <c r="AG20" s="1"/>
    </row>
    <row r="21" spans="1:33" ht="16" customHeight="1" thickTop="1" thickBot="1">
      <c r="A21" s="49"/>
      <c r="B21" s="51" t="s">
        <v>1375</v>
      </c>
      <c r="C21" s="15"/>
      <c r="D21" s="301" t="s">
        <v>1386</v>
      </c>
      <c r="E21" s="301" t="s">
        <v>1387</v>
      </c>
      <c r="F21" s="301" t="s">
        <v>1388</v>
      </c>
      <c r="G21" s="301" t="s">
        <v>1389</v>
      </c>
      <c r="H21" s="301" t="s">
        <v>1406</v>
      </c>
      <c r="I21" s="301" t="s">
        <v>1390</v>
      </c>
      <c r="J21" s="301" t="s">
        <v>1391</v>
      </c>
      <c r="K21" s="304" t="s">
        <v>1392</v>
      </c>
      <c r="L21" s="301" t="s">
        <v>1188</v>
      </c>
      <c r="M21" s="301" t="s">
        <v>1437</v>
      </c>
      <c r="N21" s="301" t="s">
        <v>1348</v>
      </c>
      <c r="O21" s="301" t="s">
        <v>1393</v>
      </c>
      <c r="P21" s="301" t="s">
        <v>1342</v>
      </c>
      <c r="Q21" s="112" t="s">
        <v>1224</v>
      </c>
      <c r="R21" s="112" t="s">
        <v>846</v>
      </c>
      <c r="S21" s="875" t="s">
        <v>935</v>
      </c>
      <c r="T21" s="875" t="s">
        <v>936</v>
      </c>
      <c r="U21" s="59"/>
      <c r="V21" s="2"/>
      <c r="W21" s="2"/>
      <c r="X21" s="2"/>
      <c r="Y21" s="2"/>
      <c r="Z21" s="2"/>
      <c r="AA21" s="2"/>
      <c r="AB21" s="2"/>
      <c r="AC21" s="2"/>
      <c r="AD21" s="2"/>
      <c r="AE21" s="2"/>
      <c r="AF21" s="2"/>
      <c r="AG21" s="1"/>
    </row>
    <row r="22" spans="1:33" ht="16" customHeight="1" thickTop="1">
      <c r="A22" s="49"/>
      <c r="B22" s="50" t="s">
        <v>1346</v>
      </c>
      <c r="C22" s="12"/>
      <c r="D22" s="37"/>
      <c r="E22" s="37"/>
      <c r="F22" s="37"/>
      <c r="G22" s="37"/>
      <c r="H22" s="37"/>
      <c r="I22" s="37"/>
      <c r="J22" s="37"/>
      <c r="K22" s="37"/>
      <c r="L22" s="37" t="s">
        <v>1429</v>
      </c>
      <c r="M22" s="240"/>
      <c r="N22" s="37" t="str">
        <f t="shared" ref="N22:N28" si="1">$F$8</f>
        <v>FY2010-11</v>
      </c>
      <c r="O22" s="37"/>
      <c r="P22" s="37" t="s">
        <v>1347</v>
      </c>
      <c r="Q22" s="37"/>
      <c r="R22" s="37"/>
      <c r="S22" s="37"/>
      <c r="T22" s="37"/>
      <c r="U22" s="58"/>
      <c r="V22" s="1"/>
      <c r="W22" s="1"/>
      <c r="X22" s="1"/>
      <c r="Y22" s="1"/>
      <c r="Z22" s="1"/>
      <c r="AA22" s="1"/>
      <c r="AB22" s="1"/>
      <c r="AC22" s="1"/>
      <c r="AD22" s="1"/>
      <c r="AE22" s="1"/>
      <c r="AF22" s="1"/>
      <c r="AG22" s="1"/>
    </row>
    <row r="23" spans="1:33" ht="16" customHeight="1">
      <c r="A23" s="49"/>
      <c r="B23" s="57">
        <f>DSUM('ENR#-DB'!D35:T93,"TOTAL ENROLLMENT",'ENR#-DSUM'!D21:T28)</f>
        <v>6340</v>
      </c>
      <c r="C23" s="12"/>
      <c r="D23" s="37"/>
      <c r="E23" s="37"/>
      <c r="F23" s="37"/>
      <c r="G23" s="37"/>
      <c r="H23" s="37"/>
      <c r="I23" s="37"/>
      <c r="J23" s="37"/>
      <c r="K23" s="37"/>
      <c r="L23" s="37" t="s">
        <v>1429</v>
      </c>
      <c r="M23" s="240"/>
      <c r="N23" s="37" t="str">
        <f t="shared" si="1"/>
        <v>FY2010-11</v>
      </c>
      <c r="O23" s="37"/>
      <c r="P23" s="37" t="s">
        <v>1347</v>
      </c>
      <c r="Q23" s="37"/>
      <c r="R23" s="37"/>
      <c r="S23" s="37"/>
      <c r="T23" s="37"/>
      <c r="U23" s="58"/>
      <c r="V23" s="1"/>
      <c r="W23" s="1"/>
      <c r="X23" s="1"/>
      <c r="Y23" s="1"/>
      <c r="Z23" s="1"/>
      <c r="AA23" s="1"/>
      <c r="AB23" s="1"/>
      <c r="AC23" s="1"/>
      <c r="AD23" s="1"/>
      <c r="AE23" s="1"/>
      <c r="AF23" s="1"/>
      <c r="AG23" s="1"/>
    </row>
    <row r="24" spans="1:33" ht="16" customHeight="1">
      <c r="A24" s="49"/>
      <c r="B24" s="52"/>
      <c r="C24" s="12"/>
      <c r="D24" s="37"/>
      <c r="E24" s="37"/>
      <c r="F24" s="37"/>
      <c r="G24" s="37"/>
      <c r="H24" s="37"/>
      <c r="I24" s="37"/>
      <c r="J24" s="37"/>
      <c r="K24" s="37"/>
      <c r="L24" s="37" t="s">
        <v>1429</v>
      </c>
      <c r="M24" s="240"/>
      <c r="N24" s="37" t="str">
        <f t="shared" si="1"/>
        <v>FY2010-11</v>
      </c>
      <c r="O24" s="37"/>
      <c r="P24" s="37" t="s">
        <v>1347</v>
      </c>
      <c r="Q24" s="37"/>
      <c r="R24" s="37"/>
      <c r="S24" s="37"/>
      <c r="T24" s="37"/>
      <c r="U24" s="58"/>
      <c r="V24" s="1"/>
      <c r="W24" s="1"/>
      <c r="X24" s="1"/>
      <c r="Y24" s="1"/>
      <c r="Z24" s="1"/>
      <c r="AA24" s="1"/>
      <c r="AB24" s="1"/>
      <c r="AC24" s="1"/>
      <c r="AD24" s="1"/>
      <c r="AE24" s="1"/>
      <c r="AF24" s="1"/>
      <c r="AG24" s="1"/>
    </row>
    <row r="25" spans="1:33" ht="16" customHeight="1">
      <c r="A25" s="49"/>
      <c r="B25" s="52"/>
      <c r="C25" s="12"/>
      <c r="D25" s="37"/>
      <c r="E25" s="37"/>
      <c r="F25" s="37"/>
      <c r="G25" s="37"/>
      <c r="H25" s="37"/>
      <c r="I25" s="37"/>
      <c r="J25" s="37"/>
      <c r="K25" s="37"/>
      <c r="L25" s="37" t="s">
        <v>1429</v>
      </c>
      <c r="M25" s="240"/>
      <c r="N25" s="37" t="str">
        <f t="shared" si="1"/>
        <v>FY2010-11</v>
      </c>
      <c r="O25" s="37"/>
      <c r="P25" s="37" t="s">
        <v>1347</v>
      </c>
      <c r="Q25" s="37"/>
      <c r="R25" s="37"/>
      <c r="S25" s="37"/>
      <c r="T25" s="37"/>
      <c r="U25" s="58"/>
      <c r="V25" s="1"/>
      <c r="W25" s="1"/>
      <c r="X25" s="1"/>
      <c r="Y25" s="1"/>
      <c r="Z25" s="1"/>
      <c r="AA25" s="1"/>
      <c r="AB25" s="1"/>
      <c r="AC25" s="1"/>
      <c r="AD25" s="1"/>
      <c r="AE25" s="1"/>
      <c r="AF25" s="1"/>
      <c r="AG25" s="1"/>
    </row>
    <row r="26" spans="1:33" ht="16" customHeight="1">
      <c r="A26" s="49"/>
      <c r="B26" s="52"/>
      <c r="C26" s="12"/>
      <c r="D26" s="37"/>
      <c r="E26" s="37"/>
      <c r="F26" s="37"/>
      <c r="G26" s="37"/>
      <c r="H26" s="37"/>
      <c r="I26" s="37"/>
      <c r="J26" s="37"/>
      <c r="K26" s="37"/>
      <c r="L26" s="37" t="s">
        <v>1429</v>
      </c>
      <c r="M26" s="240"/>
      <c r="N26" s="37" t="str">
        <f t="shared" si="1"/>
        <v>FY2010-11</v>
      </c>
      <c r="O26" s="37"/>
      <c r="P26" s="37" t="s">
        <v>1347</v>
      </c>
      <c r="Q26" s="37"/>
      <c r="R26" s="37"/>
      <c r="S26" s="37"/>
      <c r="T26" s="37"/>
      <c r="U26" s="58"/>
      <c r="V26" s="1"/>
      <c r="W26" s="1"/>
      <c r="X26" s="1"/>
      <c r="Y26" s="1"/>
      <c r="Z26" s="1"/>
      <c r="AA26" s="1"/>
      <c r="AB26" s="1"/>
      <c r="AC26" s="1"/>
      <c r="AD26" s="1"/>
      <c r="AE26" s="1"/>
      <c r="AF26" s="1"/>
      <c r="AG26" s="1"/>
    </row>
    <row r="27" spans="1:33" ht="16" customHeight="1">
      <c r="A27" s="49"/>
      <c r="B27" s="52"/>
      <c r="C27" s="12"/>
      <c r="D27" s="37"/>
      <c r="E27" s="37"/>
      <c r="F27" s="37"/>
      <c r="G27" s="37"/>
      <c r="H27" s="37"/>
      <c r="I27" s="37"/>
      <c r="J27" s="37"/>
      <c r="K27" s="37"/>
      <c r="L27" s="37" t="s">
        <v>1429</v>
      </c>
      <c r="M27" s="240"/>
      <c r="N27" s="37" t="str">
        <f t="shared" si="1"/>
        <v>FY2010-11</v>
      </c>
      <c r="O27" s="37"/>
      <c r="P27" s="37" t="s">
        <v>1347</v>
      </c>
      <c r="Q27" s="37"/>
      <c r="R27" s="37"/>
      <c r="S27" s="37"/>
      <c r="T27" s="37"/>
      <c r="U27" s="58"/>
      <c r="V27" s="1"/>
      <c r="W27" s="1"/>
      <c r="X27" s="1"/>
      <c r="Y27" s="1"/>
      <c r="Z27" s="1"/>
      <c r="AA27" s="1"/>
      <c r="AB27" s="1"/>
      <c r="AC27" s="1"/>
      <c r="AD27" s="1"/>
      <c r="AE27" s="1"/>
      <c r="AF27" s="1"/>
      <c r="AG27" s="1"/>
    </row>
    <row r="28" spans="1:33" ht="16" customHeight="1">
      <c r="A28" s="49"/>
      <c r="B28" s="52"/>
      <c r="C28" s="12"/>
      <c r="D28" s="37"/>
      <c r="E28" s="37"/>
      <c r="F28" s="37"/>
      <c r="G28" s="37"/>
      <c r="H28" s="37"/>
      <c r="I28" s="37"/>
      <c r="J28" s="37"/>
      <c r="K28" s="37"/>
      <c r="L28" s="37" t="s">
        <v>1429</v>
      </c>
      <c r="M28" s="240"/>
      <c r="N28" s="37" t="str">
        <f t="shared" si="1"/>
        <v>FY2010-11</v>
      </c>
      <c r="O28" s="37"/>
      <c r="P28" s="37" t="s">
        <v>1347</v>
      </c>
      <c r="Q28" s="37"/>
      <c r="R28" s="37"/>
      <c r="S28" s="37"/>
      <c r="T28" s="37"/>
      <c r="U28" s="58"/>
      <c r="V28" s="1"/>
      <c r="W28" s="1"/>
      <c r="X28" s="1"/>
      <c r="Y28" s="1"/>
      <c r="Z28" s="1"/>
      <c r="AA28" s="1"/>
      <c r="AB28" s="1"/>
      <c r="AC28" s="1"/>
      <c r="AD28" s="1"/>
      <c r="AE28" s="1"/>
      <c r="AF28" s="1"/>
      <c r="AG28" s="1"/>
    </row>
    <row r="29" spans="1:33" ht="16" customHeight="1">
      <c r="A29" s="25"/>
      <c r="B29" s="26"/>
      <c r="C29" s="26"/>
      <c r="D29" s="28"/>
      <c r="E29" s="28"/>
      <c r="F29" s="28"/>
      <c r="G29" s="28"/>
      <c r="H29" s="28"/>
      <c r="I29" s="28"/>
      <c r="J29" s="28"/>
      <c r="K29" s="28"/>
      <c r="L29" s="28"/>
      <c r="M29" s="28"/>
      <c r="N29" s="28"/>
      <c r="O29" s="28"/>
      <c r="P29" s="28"/>
      <c r="Q29" s="28"/>
      <c r="R29" s="28"/>
      <c r="S29" s="28"/>
      <c r="T29" s="28"/>
      <c r="U29" s="58"/>
      <c r="V29" s="1"/>
      <c r="W29" s="1"/>
      <c r="X29" s="1"/>
      <c r="Y29" s="1"/>
      <c r="Z29" s="1"/>
      <c r="AA29" s="1"/>
      <c r="AB29" s="1"/>
      <c r="AC29" s="1"/>
      <c r="AD29" s="1"/>
      <c r="AE29" s="1"/>
      <c r="AF29" s="1"/>
      <c r="AG29" s="1"/>
    </row>
    <row r="30" spans="1:33" ht="16" customHeight="1" thickBot="1">
      <c r="A30" s="49"/>
      <c r="B30" s="50" t="str">
        <f>"FA1 = "&amp;'FIG3'!$W$52&amp;" "&amp;'FIG3'!$X$52</f>
        <v>FA1 = Little Rock School District</v>
      </c>
      <c r="C30" s="49"/>
      <c r="D30" s="54"/>
      <c r="E30" s="54"/>
      <c r="F30" s="54"/>
      <c r="G30" s="54"/>
      <c r="H30" s="54"/>
      <c r="I30" s="54"/>
      <c r="J30" s="54"/>
      <c r="K30" s="54"/>
      <c r="L30" s="54"/>
      <c r="M30" s="55"/>
      <c r="N30" s="54"/>
      <c r="O30" s="54"/>
      <c r="P30" s="54"/>
      <c r="Q30" s="54"/>
      <c r="R30" s="53"/>
      <c r="S30" s="887" t="str">
        <f>'ENR#-DB'!$S$34</f>
        <v>UD1</v>
      </c>
      <c r="T30" s="887" t="str">
        <f>'ENR#-DB'!$T$34</f>
        <v>UD2</v>
      </c>
      <c r="U30" s="60"/>
      <c r="V30" s="56"/>
      <c r="W30" s="56"/>
      <c r="X30" s="56"/>
      <c r="Y30" s="56"/>
      <c r="Z30" s="56"/>
      <c r="AA30" s="56"/>
      <c r="AB30" s="56"/>
      <c r="AC30" s="56"/>
      <c r="AD30" s="56"/>
      <c r="AE30" s="56"/>
      <c r="AF30" s="56"/>
      <c r="AG30" s="1"/>
    </row>
    <row r="31" spans="1:33" ht="16" customHeight="1" thickTop="1" thickBot="1">
      <c r="A31" s="49"/>
      <c r="B31" s="51" t="s">
        <v>1399</v>
      </c>
      <c r="C31" s="15"/>
      <c r="D31" s="301" t="s">
        <v>1386</v>
      </c>
      <c r="E31" s="301" t="s">
        <v>1387</v>
      </c>
      <c r="F31" s="301" t="s">
        <v>1388</v>
      </c>
      <c r="G31" s="301" t="s">
        <v>1389</v>
      </c>
      <c r="H31" s="301" t="s">
        <v>1406</v>
      </c>
      <c r="I31" s="301" t="s">
        <v>1390</v>
      </c>
      <c r="J31" s="301" t="s">
        <v>1391</v>
      </c>
      <c r="K31" s="304" t="s">
        <v>1392</v>
      </c>
      <c r="L31" s="301" t="s">
        <v>1188</v>
      </c>
      <c r="M31" s="301" t="s">
        <v>1437</v>
      </c>
      <c r="N31" s="301" t="s">
        <v>1348</v>
      </c>
      <c r="O31" s="301" t="s">
        <v>1393</v>
      </c>
      <c r="P31" s="301" t="s">
        <v>1342</v>
      </c>
      <c r="Q31" s="112" t="s">
        <v>1224</v>
      </c>
      <c r="R31" s="112" t="s">
        <v>846</v>
      </c>
      <c r="S31" s="875" t="s">
        <v>935</v>
      </c>
      <c r="T31" s="875" t="s">
        <v>936</v>
      </c>
      <c r="U31" s="59"/>
      <c r="V31" s="2"/>
      <c r="W31" s="2"/>
      <c r="X31" s="2"/>
      <c r="Y31" s="2"/>
      <c r="Z31" s="2"/>
      <c r="AA31" s="2"/>
      <c r="AB31" s="2"/>
      <c r="AC31" s="2"/>
      <c r="AD31" s="2"/>
      <c r="AE31" s="2"/>
      <c r="AF31" s="2"/>
      <c r="AG31" s="1"/>
    </row>
    <row r="32" spans="1:33" ht="16" customHeight="1" thickTop="1">
      <c r="A32" s="49"/>
      <c r="B32" s="50" t="s">
        <v>1346</v>
      </c>
      <c r="C32" s="12"/>
      <c r="D32" s="38"/>
      <c r="E32" s="38"/>
      <c r="F32" s="38"/>
      <c r="G32" s="38"/>
      <c r="H32" s="38"/>
      <c r="I32" s="38"/>
      <c r="J32" s="38"/>
      <c r="K32" s="38"/>
      <c r="L32" s="38" t="s">
        <v>1429</v>
      </c>
      <c r="M32" s="38"/>
      <c r="N32" s="38" t="str">
        <f t="shared" ref="N32:N38" si="2">$F$8</f>
        <v>FY2010-11</v>
      </c>
      <c r="O32" s="38" t="s">
        <v>1352</v>
      </c>
      <c r="P32" s="38" t="s">
        <v>1338</v>
      </c>
      <c r="Q32" s="38"/>
      <c r="R32" s="38"/>
      <c r="S32" s="38"/>
      <c r="T32" s="38"/>
      <c r="U32" s="58"/>
      <c r="V32" s="1"/>
      <c r="W32" s="1"/>
      <c r="X32" s="1"/>
      <c r="Y32" s="1"/>
      <c r="Z32" s="1"/>
      <c r="AA32" s="1"/>
      <c r="AB32" s="1"/>
      <c r="AC32" s="1"/>
      <c r="AD32" s="1"/>
      <c r="AE32" s="1"/>
      <c r="AF32" s="1"/>
      <c r="AG32" s="1"/>
    </row>
    <row r="33" spans="1:33" ht="16" customHeight="1">
      <c r="A33" s="49"/>
      <c r="B33" s="57">
        <f>DSUM('ENR#-DB'!D35:T93,"TOTAL ENROLLMENT",'ENR#-DSUM'!D31:T38)</f>
        <v>24226</v>
      </c>
      <c r="C33" s="12"/>
      <c r="D33" s="38"/>
      <c r="E33" s="38"/>
      <c r="F33" s="38"/>
      <c r="G33" s="38"/>
      <c r="H33" s="38"/>
      <c r="I33" s="38"/>
      <c r="J33" s="38"/>
      <c r="K33" s="38"/>
      <c r="L33" s="38" t="s">
        <v>1429</v>
      </c>
      <c r="M33" s="38"/>
      <c r="N33" s="38" t="str">
        <f t="shared" si="2"/>
        <v>FY2010-11</v>
      </c>
      <c r="O33" s="38" t="s">
        <v>1352</v>
      </c>
      <c r="P33" s="38" t="s">
        <v>1338</v>
      </c>
      <c r="Q33" s="38"/>
      <c r="R33" s="38"/>
      <c r="S33" s="38"/>
      <c r="T33" s="38"/>
      <c r="U33" s="58"/>
      <c r="V33" s="1"/>
      <c r="W33" s="1"/>
      <c r="X33" s="1"/>
      <c r="Y33" s="1"/>
      <c r="Z33" s="1"/>
      <c r="AA33" s="1"/>
      <c r="AB33" s="1"/>
      <c r="AC33" s="1"/>
      <c r="AD33" s="1"/>
      <c r="AE33" s="1"/>
      <c r="AF33" s="1"/>
      <c r="AG33" s="1"/>
    </row>
    <row r="34" spans="1:33" ht="16" customHeight="1">
      <c r="A34" s="49"/>
      <c r="B34" s="52"/>
      <c r="C34" s="12"/>
      <c r="D34" s="38"/>
      <c r="E34" s="38"/>
      <c r="F34" s="38"/>
      <c r="G34" s="38"/>
      <c r="H34" s="38"/>
      <c r="I34" s="38"/>
      <c r="J34" s="38"/>
      <c r="K34" s="38"/>
      <c r="L34" s="38" t="s">
        <v>1429</v>
      </c>
      <c r="M34" s="38"/>
      <c r="N34" s="38" t="str">
        <f t="shared" si="2"/>
        <v>FY2010-11</v>
      </c>
      <c r="O34" s="38" t="s">
        <v>1352</v>
      </c>
      <c r="P34" s="38" t="s">
        <v>1338</v>
      </c>
      <c r="Q34" s="38"/>
      <c r="R34" s="38"/>
      <c r="S34" s="38"/>
      <c r="T34" s="38"/>
      <c r="U34" s="58"/>
      <c r="V34" s="1"/>
      <c r="W34" s="1"/>
      <c r="X34" s="1"/>
      <c r="Y34" s="1"/>
      <c r="Z34" s="1"/>
      <c r="AA34" s="1"/>
      <c r="AB34" s="1"/>
      <c r="AC34" s="1"/>
      <c r="AD34" s="1"/>
      <c r="AE34" s="1"/>
      <c r="AF34" s="1"/>
      <c r="AG34" s="1"/>
    </row>
    <row r="35" spans="1:33" ht="16" customHeight="1">
      <c r="A35" s="49"/>
      <c r="B35" s="52"/>
      <c r="C35" s="12"/>
      <c r="D35" s="38"/>
      <c r="E35" s="38"/>
      <c r="F35" s="38"/>
      <c r="G35" s="38"/>
      <c r="H35" s="38"/>
      <c r="I35" s="38"/>
      <c r="J35" s="38"/>
      <c r="K35" s="38"/>
      <c r="L35" s="38" t="s">
        <v>1429</v>
      </c>
      <c r="M35" s="38"/>
      <c r="N35" s="38" t="str">
        <f t="shared" si="2"/>
        <v>FY2010-11</v>
      </c>
      <c r="O35" s="38" t="s">
        <v>1352</v>
      </c>
      <c r="P35" s="38" t="s">
        <v>1338</v>
      </c>
      <c r="Q35" s="38"/>
      <c r="R35" s="38"/>
      <c r="S35" s="38"/>
      <c r="T35" s="38"/>
      <c r="U35" s="58"/>
      <c r="V35" s="1"/>
      <c r="W35" s="1"/>
      <c r="X35" s="1"/>
      <c r="Y35" s="1"/>
      <c r="Z35" s="1"/>
      <c r="AA35" s="1"/>
      <c r="AB35" s="1"/>
      <c r="AC35" s="1"/>
      <c r="AD35" s="1"/>
      <c r="AE35" s="1"/>
      <c r="AF35" s="1"/>
      <c r="AG35" s="1"/>
    </row>
    <row r="36" spans="1:33" ht="16" customHeight="1">
      <c r="A36" s="49"/>
      <c r="B36" s="52"/>
      <c r="C36" s="12"/>
      <c r="D36" s="38"/>
      <c r="E36" s="38"/>
      <c r="F36" s="38"/>
      <c r="G36" s="38"/>
      <c r="H36" s="38"/>
      <c r="I36" s="38"/>
      <c r="J36" s="38"/>
      <c r="K36" s="38"/>
      <c r="L36" s="38" t="s">
        <v>1429</v>
      </c>
      <c r="M36" s="38"/>
      <c r="N36" s="38" t="str">
        <f t="shared" si="2"/>
        <v>FY2010-11</v>
      </c>
      <c r="O36" s="38" t="s">
        <v>1352</v>
      </c>
      <c r="P36" s="38" t="s">
        <v>1338</v>
      </c>
      <c r="Q36" s="38"/>
      <c r="R36" s="38"/>
      <c r="S36" s="38"/>
      <c r="T36" s="38"/>
      <c r="U36" s="58"/>
      <c r="V36" s="1"/>
      <c r="W36" s="1"/>
      <c r="X36" s="1"/>
      <c r="Y36" s="1"/>
      <c r="Z36" s="1"/>
      <c r="AA36" s="1"/>
      <c r="AB36" s="1"/>
      <c r="AC36" s="1"/>
      <c r="AD36" s="1"/>
      <c r="AE36" s="1"/>
      <c r="AF36" s="1"/>
      <c r="AG36" s="1"/>
    </row>
    <row r="37" spans="1:33" ht="16" customHeight="1">
      <c r="A37" s="49"/>
      <c r="B37" s="52"/>
      <c r="C37" s="12"/>
      <c r="D37" s="38"/>
      <c r="E37" s="38"/>
      <c r="F37" s="38"/>
      <c r="G37" s="38"/>
      <c r="H37" s="38"/>
      <c r="I37" s="38"/>
      <c r="J37" s="38"/>
      <c r="K37" s="38"/>
      <c r="L37" s="38" t="s">
        <v>1429</v>
      </c>
      <c r="M37" s="38"/>
      <c r="N37" s="38" t="str">
        <f t="shared" si="2"/>
        <v>FY2010-11</v>
      </c>
      <c r="O37" s="38" t="s">
        <v>1352</v>
      </c>
      <c r="P37" s="38" t="s">
        <v>1338</v>
      </c>
      <c r="Q37" s="38"/>
      <c r="R37" s="38"/>
      <c r="S37" s="38"/>
      <c r="T37" s="38"/>
      <c r="U37" s="58"/>
      <c r="V37" s="1"/>
      <c r="W37" s="1"/>
      <c r="X37" s="1"/>
      <c r="Y37" s="1"/>
      <c r="Z37" s="1"/>
      <c r="AA37" s="1"/>
      <c r="AB37" s="1"/>
      <c r="AC37" s="1"/>
      <c r="AD37" s="1"/>
      <c r="AE37" s="1"/>
      <c r="AF37" s="1"/>
      <c r="AG37" s="1"/>
    </row>
    <row r="38" spans="1:33" ht="16" customHeight="1">
      <c r="A38" s="49"/>
      <c r="B38" s="52"/>
      <c r="C38" s="12"/>
      <c r="D38" s="38"/>
      <c r="E38" s="38"/>
      <c r="F38" s="38"/>
      <c r="G38" s="38"/>
      <c r="H38" s="38"/>
      <c r="I38" s="38"/>
      <c r="J38" s="38"/>
      <c r="K38" s="38"/>
      <c r="L38" s="38" t="s">
        <v>1429</v>
      </c>
      <c r="M38" s="38"/>
      <c r="N38" s="38" t="str">
        <f t="shared" si="2"/>
        <v>FY2010-11</v>
      </c>
      <c r="O38" s="38" t="s">
        <v>1352</v>
      </c>
      <c r="P38" s="38" t="s">
        <v>1338</v>
      </c>
      <c r="Q38" s="38"/>
      <c r="R38" s="38"/>
      <c r="S38" s="38"/>
      <c r="T38" s="38"/>
      <c r="U38" s="58"/>
      <c r="V38" s="1"/>
      <c r="W38" s="1"/>
      <c r="X38" s="1"/>
      <c r="Y38" s="1"/>
      <c r="Z38" s="1"/>
      <c r="AA38" s="1"/>
      <c r="AB38" s="1"/>
      <c r="AC38" s="1"/>
      <c r="AD38" s="1"/>
      <c r="AE38" s="1"/>
      <c r="AF38" s="1"/>
      <c r="AG38" s="1"/>
    </row>
    <row r="39" spans="1:33" ht="16" customHeight="1">
      <c r="A39" s="25"/>
      <c r="B39" s="26"/>
      <c r="C39" s="26"/>
      <c r="D39" s="28"/>
      <c r="E39" s="28"/>
      <c r="F39" s="28"/>
      <c r="G39" s="28"/>
      <c r="H39" s="28"/>
      <c r="I39" s="28"/>
      <c r="J39" s="28"/>
      <c r="K39" s="28"/>
      <c r="L39" s="28"/>
      <c r="M39" s="28"/>
      <c r="N39" s="28"/>
      <c r="O39" s="28"/>
      <c r="P39" s="28"/>
      <c r="Q39" s="28"/>
      <c r="R39" s="28"/>
      <c r="S39" s="28"/>
      <c r="T39" s="28"/>
      <c r="U39" s="58"/>
      <c r="V39" s="1"/>
      <c r="W39" s="1"/>
      <c r="X39" s="1"/>
      <c r="Y39" s="1"/>
      <c r="Z39" s="1"/>
      <c r="AA39" s="1"/>
      <c r="AB39" s="1"/>
      <c r="AC39" s="1"/>
      <c r="AD39" s="1"/>
      <c r="AE39" s="1"/>
      <c r="AF39" s="1"/>
      <c r="AG39" s="1"/>
    </row>
    <row r="40" spans="1:33" ht="16" customHeight="1" thickBot="1">
      <c r="A40" s="49"/>
      <c r="B40" s="50" t="str">
        <f>"FA1 = "&amp;'FIG3'!$W$52&amp;" "&amp;'FIG3'!$X$52</f>
        <v>FA1 = Little Rock School District</v>
      </c>
      <c r="C40" s="49"/>
      <c r="D40" s="54"/>
      <c r="E40" s="54"/>
      <c r="F40" s="54"/>
      <c r="G40" s="54"/>
      <c r="H40" s="54"/>
      <c r="I40" s="54"/>
      <c r="J40" s="54"/>
      <c r="K40" s="54"/>
      <c r="L40" s="54"/>
      <c r="M40" s="55"/>
      <c r="N40" s="54"/>
      <c r="O40" s="54"/>
      <c r="P40" s="54"/>
      <c r="Q40" s="54"/>
      <c r="R40" s="53"/>
      <c r="S40" s="887" t="str">
        <f>'ENR#-DB'!$S$34</f>
        <v>UD1</v>
      </c>
      <c r="T40" s="887" t="str">
        <f>'ENR#-DB'!$T$34</f>
        <v>UD2</v>
      </c>
      <c r="U40" s="60"/>
      <c r="V40" s="56"/>
      <c r="W40" s="56"/>
      <c r="X40" s="56"/>
      <c r="Y40" s="56"/>
      <c r="Z40" s="56"/>
      <c r="AA40" s="56"/>
      <c r="AB40" s="56"/>
      <c r="AC40" s="56"/>
      <c r="AD40" s="56"/>
      <c r="AE40" s="56"/>
      <c r="AF40" s="56"/>
      <c r="AG40" s="1"/>
    </row>
    <row r="41" spans="1:33" ht="16" customHeight="1" thickTop="1" thickBot="1">
      <c r="A41" s="49"/>
      <c r="B41" s="51" t="s">
        <v>1375</v>
      </c>
      <c r="C41" s="15"/>
      <c r="D41" s="301" t="s">
        <v>1386</v>
      </c>
      <c r="E41" s="301" t="s">
        <v>1387</v>
      </c>
      <c r="F41" s="301" t="s">
        <v>1388</v>
      </c>
      <c r="G41" s="301" t="s">
        <v>1389</v>
      </c>
      <c r="H41" s="301" t="s">
        <v>1406</v>
      </c>
      <c r="I41" s="301" t="s">
        <v>1390</v>
      </c>
      <c r="J41" s="301" t="s">
        <v>1391</v>
      </c>
      <c r="K41" s="304" t="s">
        <v>1392</v>
      </c>
      <c r="L41" s="301" t="s">
        <v>1188</v>
      </c>
      <c r="M41" s="301" t="s">
        <v>1437</v>
      </c>
      <c r="N41" s="301" t="s">
        <v>1348</v>
      </c>
      <c r="O41" s="301" t="s">
        <v>1393</v>
      </c>
      <c r="P41" s="301" t="s">
        <v>1342</v>
      </c>
      <c r="Q41" s="112" t="s">
        <v>1224</v>
      </c>
      <c r="R41" s="112" t="s">
        <v>846</v>
      </c>
      <c r="S41" s="875" t="s">
        <v>935</v>
      </c>
      <c r="T41" s="875" t="s">
        <v>936</v>
      </c>
      <c r="U41" s="59"/>
      <c r="V41" s="2"/>
      <c r="W41" s="2"/>
      <c r="X41" s="2"/>
      <c r="Y41" s="2"/>
      <c r="Z41" s="2"/>
      <c r="AA41" s="2"/>
      <c r="AB41" s="2"/>
      <c r="AC41" s="2"/>
      <c r="AD41" s="2"/>
      <c r="AE41" s="2"/>
      <c r="AF41" s="2"/>
      <c r="AG41" s="1"/>
    </row>
    <row r="42" spans="1:33" ht="16" customHeight="1" thickTop="1">
      <c r="A42" s="49"/>
      <c r="B42" s="50" t="s">
        <v>1346</v>
      </c>
      <c r="C42" s="12"/>
      <c r="D42" s="38"/>
      <c r="E42" s="38"/>
      <c r="F42" s="38"/>
      <c r="G42" s="38"/>
      <c r="H42" s="38"/>
      <c r="I42" s="38"/>
      <c r="J42" s="38"/>
      <c r="K42" s="38"/>
      <c r="L42" s="38" t="s">
        <v>1429</v>
      </c>
      <c r="M42" s="38"/>
      <c r="N42" s="38" t="str">
        <f t="shared" ref="N42:N48" si="3">$F$8</f>
        <v>FY2010-11</v>
      </c>
      <c r="O42" s="38" t="s">
        <v>1352</v>
      </c>
      <c r="P42" s="38" t="s">
        <v>1347</v>
      </c>
      <c r="Q42" s="38"/>
      <c r="R42" s="38"/>
      <c r="S42" s="38"/>
      <c r="T42" s="38"/>
      <c r="U42" s="58"/>
      <c r="V42" s="1"/>
      <c r="W42" s="1"/>
      <c r="X42" s="1"/>
      <c r="Y42" s="1"/>
      <c r="Z42" s="1"/>
      <c r="AA42" s="1"/>
      <c r="AB42" s="1"/>
      <c r="AC42" s="1"/>
      <c r="AD42" s="1"/>
      <c r="AE42" s="1"/>
      <c r="AF42" s="1"/>
      <c r="AG42" s="1"/>
    </row>
    <row r="43" spans="1:33" ht="16" customHeight="1">
      <c r="A43" s="49"/>
      <c r="B43" s="57">
        <f>DSUM('ENR#-DB'!D35:T93,"TOTAL ENROLLMENT",'ENR#-DSUM'!D41:T48)</f>
        <v>2602</v>
      </c>
      <c r="C43" s="12"/>
      <c r="D43" s="38"/>
      <c r="E43" s="38"/>
      <c r="F43" s="38"/>
      <c r="G43" s="38"/>
      <c r="H43" s="38"/>
      <c r="I43" s="38"/>
      <c r="J43" s="38"/>
      <c r="K43" s="38"/>
      <c r="L43" s="38" t="s">
        <v>1429</v>
      </c>
      <c r="M43" s="38"/>
      <c r="N43" s="38" t="str">
        <f t="shared" si="3"/>
        <v>FY2010-11</v>
      </c>
      <c r="O43" s="38" t="s">
        <v>1352</v>
      </c>
      <c r="P43" s="38" t="s">
        <v>1347</v>
      </c>
      <c r="Q43" s="38"/>
      <c r="R43" s="38"/>
      <c r="S43" s="38"/>
      <c r="T43" s="38"/>
      <c r="U43" s="58"/>
      <c r="V43" s="1"/>
      <c r="W43" s="1"/>
      <c r="X43" s="1"/>
      <c r="Y43" s="1"/>
      <c r="Z43" s="1"/>
      <c r="AA43" s="1"/>
      <c r="AB43" s="1"/>
      <c r="AC43" s="1"/>
      <c r="AD43" s="1"/>
      <c r="AE43" s="1"/>
      <c r="AF43" s="1"/>
      <c r="AG43" s="1"/>
    </row>
    <row r="44" spans="1:33" ht="16" customHeight="1">
      <c r="A44" s="49"/>
      <c r="B44" s="52"/>
      <c r="C44" s="12"/>
      <c r="D44" s="38"/>
      <c r="E44" s="38"/>
      <c r="F44" s="38"/>
      <c r="G44" s="38"/>
      <c r="H44" s="38"/>
      <c r="I44" s="38"/>
      <c r="J44" s="38"/>
      <c r="K44" s="38"/>
      <c r="L44" s="38" t="s">
        <v>1429</v>
      </c>
      <c r="M44" s="38"/>
      <c r="N44" s="38" t="str">
        <f t="shared" si="3"/>
        <v>FY2010-11</v>
      </c>
      <c r="O44" s="38" t="s">
        <v>1352</v>
      </c>
      <c r="P44" s="38" t="s">
        <v>1347</v>
      </c>
      <c r="Q44" s="38"/>
      <c r="R44" s="38"/>
      <c r="S44" s="38"/>
      <c r="T44" s="38"/>
      <c r="U44" s="58"/>
      <c r="V44" s="1"/>
      <c r="W44" s="1"/>
      <c r="X44" s="1"/>
      <c r="Y44" s="1"/>
      <c r="Z44" s="1"/>
      <c r="AA44" s="1"/>
      <c r="AB44" s="1"/>
      <c r="AC44" s="1"/>
      <c r="AD44" s="1"/>
      <c r="AE44" s="1"/>
      <c r="AF44" s="1"/>
      <c r="AG44" s="1"/>
    </row>
    <row r="45" spans="1:33" ht="16" customHeight="1">
      <c r="A45" s="49"/>
      <c r="B45" s="52"/>
      <c r="C45" s="12"/>
      <c r="D45" s="38"/>
      <c r="E45" s="38"/>
      <c r="F45" s="38"/>
      <c r="G45" s="38"/>
      <c r="H45" s="38"/>
      <c r="I45" s="38"/>
      <c r="J45" s="38"/>
      <c r="K45" s="38"/>
      <c r="L45" s="38" t="s">
        <v>1429</v>
      </c>
      <c r="M45" s="38"/>
      <c r="N45" s="38" t="str">
        <f t="shared" si="3"/>
        <v>FY2010-11</v>
      </c>
      <c r="O45" s="38" t="s">
        <v>1352</v>
      </c>
      <c r="P45" s="38" t="s">
        <v>1347</v>
      </c>
      <c r="Q45" s="38"/>
      <c r="R45" s="38"/>
      <c r="S45" s="38"/>
      <c r="T45" s="38"/>
      <c r="U45" s="58"/>
      <c r="V45" s="1"/>
      <c r="W45" s="1"/>
      <c r="X45" s="1"/>
      <c r="Y45" s="1"/>
      <c r="Z45" s="1"/>
      <c r="AA45" s="1"/>
      <c r="AB45" s="1"/>
      <c r="AC45" s="1"/>
      <c r="AD45" s="1"/>
      <c r="AE45" s="1"/>
      <c r="AF45" s="1"/>
      <c r="AG45" s="1"/>
    </row>
    <row r="46" spans="1:33" ht="16" customHeight="1">
      <c r="A46" s="49"/>
      <c r="B46" s="52"/>
      <c r="C46" s="12"/>
      <c r="D46" s="38"/>
      <c r="E46" s="38"/>
      <c r="F46" s="38"/>
      <c r="G46" s="38"/>
      <c r="H46" s="38"/>
      <c r="I46" s="38"/>
      <c r="J46" s="38"/>
      <c r="K46" s="38"/>
      <c r="L46" s="38" t="s">
        <v>1429</v>
      </c>
      <c r="M46" s="38"/>
      <c r="N46" s="38" t="str">
        <f t="shared" si="3"/>
        <v>FY2010-11</v>
      </c>
      <c r="O46" s="38" t="s">
        <v>1352</v>
      </c>
      <c r="P46" s="38" t="s">
        <v>1347</v>
      </c>
      <c r="Q46" s="38"/>
      <c r="R46" s="38"/>
      <c r="S46" s="38"/>
      <c r="T46" s="38"/>
      <c r="U46" s="58"/>
      <c r="V46" s="1"/>
      <c r="W46" s="1"/>
      <c r="X46" s="1"/>
      <c r="Y46" s="1"/>
      <c r="Z46" s="1"/>
      <c r="AA46" s="1"/>
      <c r="AB46" s="1"/>
      <c r="AC46" s="1"/>
      <c r="AD46" s="1"/>
      <c r="AE46" s="1"/>
      <c r="AF46" s="1"/>
      <c r="AG46" s="1"/>
    </row>
    <row r="47" spans="1:33" ht="16" customHeight="1">
      <c r="A47" s="49"/>
      <c r="B47" s="52"/>
      <c r="C47" s="12"/>
      <c r="D47" s="38"/>
      <c r="E47" s="38"/>
      <c r="F47" s="38"/>
      <c r="G47" s="38"/>
      <c r="H47" s="38"/>
      <c r="I47" s="38"/>
      <c r="J47" s="38"/>
      <c r="K47" s="38"/>
      <c r="L47" s="38" t="s">
        <v>1429</v>
      </c>
      <c r="M47" s="38"/>
      <c r="N47" s="38" t="str">
        <f t="shared" si="3"/>
        <v>FY2010-11</v>
      </c>
      <c r="O47" s="38" t="s">
        <v>1352</v>
      </c>
      <c r="P47" s="38" t="s">
        <v>1347</v>
      </c>
      <c r="Q47" s="38"/>
      <c r="R47" s="38"/>
      <c r="S47" s="38"/>
      <c r="T47" s="38"/>
      <c r="U47" s="58"/>
      <c r="V47" s="1"/>
      <c r="W47" s="1"/>
      <c r="X47" s="1"/>
      <c r="Y47" s="1"/>
      <c r="Z47" s="1"/>
      <c r="AA47" s="1"/>
      <c r="AB47" s="1"/>
      <c r="AC47" s="1"/>
      <c r="AD47" s="1"/>
      <c r="AE47" s="1"/>
      <c r="AF47" s="1"/>
      <c r="AG47" s="1"/>
    </row>
    <row r="48" spans="1:33" ht="16" customHeight="1">
      <c r="A48" s="49"/>
      <c r="B48" s="52"/>
      <c r="C48" s="12"/>
      <c r="D48" s="38"/>
      <c r="E48" s="38"/>
      <c r="F48" s="38"/>
      <c r="G48" s="38"/>
      <c r="H48" s="38"/>
      <c r="I48" s="38"/>
      <c r="J48" s="38"/>
      <c r="K48" s="38"/>
      <c r="L48" s="38" t="s">
        <v>1429</v>
      </c>
      <c r="M48" s="38"/>
      <c r="N48" s="38" t="str">
        <f t="shared" si="3"/>
        <v>FY2010-11</v>
      </c>
      <c r="O48" s="38" t="s">
        <v>1352</v>
      </c>
      <c r="P48" s="38" t="s">
        <v>1347</v>
      </c>
      <c r="Q48" s="38"/>
      <c r="R48" s="38"/>
      <c r="S48" s="38"/>
      <c r="T48" s="38"/>
      <c r="U48" s="58"/>
      <c r="V48" s="1"/>
      <c r="W48" s="1"/>
      <c r="X48" s="1"/>
      <c r="Y48" s="1"/>
      <c r="Z48" s="1"/>
      <c r="AA48" s="1"/>
      <c r="AB48" s="1"/>
      <c r="AC48" s="1"/>
      <c r="AD48" s="1"/>
      <c r="AE48" s="1"/>
      <c r="AF48" s="1"/>
      <c r="AG48" s="1"/>
    </row>
    <row r="49" spans="1:33" ht="16" customHeight="1">
      <c r="A49" s="29"/>
      <c r="B49" s="30"/>
      <c r="C49" s="30"/>
      <c r="D49" s="32"/>
      <c r="E49" s="32"/>
      <c r="F49" s="32"/>
      <c r="G49" s="32"/>
      <c r="H49" s="32"/>
      <c r="I49" s="32"/>
      <c r="J49" s="32"/>
      <c r="K49" s="32"/>
      <c r="L49" s="32"/>
      <c r="M49" s="32"/>
      <c r="N49" s="32"/>
      <c r="O49" s="32"/>
      <c r="P49" s="32"/>
      <c r="Q49" s="32"/>
      <c r="R49" s="32"/>
      <c r="S49" s="32"/>
      <c r="T49" s="32"/>
      <c r="U49" s="58"/>
      <c r="V49" s="1"/>
      <c r="W49" s="1"/>
      <c r="X49" s="1"/>
      <c r="Y49" s="1"/>
      <c r="Z49" s="1"/>
      <c r="AA49" s="1"/>
      <c r="AB49" s="1"/>
      <c r="AC49" s="1"/>
      <c r="AD49" s="1"/>
      <c r="AE49" s="1"/>
      <c r="AF49" s="1"/>
      <c r="AG49" s="1"/>
    </row>
    <row r="50" spans="1:33" ht="16" customHeight="1" thickBot="1">
      <c r="A50" s="49"/>
      <c r="B50" s="50" t="str">
        <f>"FA2 = "&amp;'FIG3'!$W$53&amp;" "&amp;'FIG3'!$X$53</f>
        <v>FA2 = FA2L1 FA2L2</v>
      </c>
      <c r="C50" s="49"/>
      <c r="D50" s="54"/>
      <c r="E50" s="54"/>
      <c r="F50" s="54"/>
      <c r="G50" s="54"/>
      <c r="H50" s="54"/>
      <c r="I50" s="54"/>
      <c r="J50" s="54"/>
      <c r="K50" s="54"/>
      <c r="L50" s="54"/>
      <c r="M50" s="55"/>
      <c r="N50" s="54"/>
      <c r="O50" s="54"/>
      <c r="P50" s="54"/>
      <c r="Q50" s="54"/>
      <c r="R50" s="53"/>
      <c r="S50" s="887" t="str">
        <f>'ENR#-DB'!$S$34</f>
        <v>UD1</v>
      </c>
      <c r="T50" s="887" t="str">
        <f>'ENR#-DB'!$T$34</f>
        <v>UD2</v>
      </c>
      <c r="U50" s="60"/>
      <c r="V50" s="56"/>
      <c r="W50" s="56"/>
      <c r="X50" s="56"/>
      <c r="Y50" s="56"/>
      <c r="Z50" s="56"/>
      <c r="AA50" s="56"/>
      <c r="AB50" s="56"/>
      <c r="AC50" s="56"/>
      <c r="AD50" s="56"/>
      <c r="AE50" s="56"/>
      <c r="AF50" s="56"/>
      <c r="AG50" s="1"/>
    </row>
    <row r="51" spans="1:33" ht="16" customHeight="1" thickTop="1" thickBot="1">
      <c r="A51" s="49"/>
      <c r="B51" s="51" t="s">
        <v>1399</v>
      </c>
      <c r="C51" s="15"/>
      <c r="D51" s="301" t="s">
        <v>1386</v>
      </c>
      <c r="E51" s="301" t="s">
        <v>1387</v>
      </c>
      <c r="F51" s="301" t="s">
        <v>1388</v>
      </c>
      <c r="G51" s="301" t="s">
        <v>1389</v>
      </c>
      <c r="H51" s="301" t="s">
        <v>1406</v>
      </c>
      <c r="I51" s="301" t="s">
        <v>1390</v>
      </c>
      <c r="J51" s="301" t="s">
        <v>1391</v>
      </c>
      <c r="K51" s="304" t="s">
        <v>1392</v>
      </c>
      <c r="L51" s="301" t="s">
        <v>1188</v>
      </c>
      <c r="M51" s="301" t="s">
        <v>1437</v>
      </c>
      <c r="N51" s="301" t="s">
        <v>1348</v>
      </c>
      <c r="O51" s="301" t="s">
        <v>1393</v>
      </c>
      <c r="P51" s="301" t="s">
        <v>1342</v>
      </c>
      <c r="Q51" s="112" t="s">
        <v>1224</v>
      </c>
      <c r="R51" s="112" t="s">
        <v>846</v>
      </c>
      <c r="S51" s="875" t="s">
        <v>935</v>
      </c>
      <c r="T51" s="875" t="s">
        <v>936</v>
      </c>
      <c r="U51" s="59"/>
      <c r="V51" s="2"/>
      <c r="W51" s="2"/>
      <c r="X51" s="2"/>
      <c r="Y51" s="2"/>
      <c r="Z51" s="2"/>
      <c r="AA51" s="2"/>
      <c r="AB51" s="2"/>
      <c r="AC51" s="2"/>
      <c r="AD51" s="2"/>
      <c r="AE51" s="2"/>
      <c r="AF51" s="2"/>
      <c r="AG51" s="1"/>
    </row>
    <row r="52" spans="1:33" ht="16" customHeight="1" thickTop="1">
      <c r="A52" s="49"/>
      <c r="B52" s="50" t="s">
        <v>1346</v>
      </c>
      <c r="C52" s="12"/>
      <c r="D52" s="47"/>
      <c r="E52" s="47"/>
      <c r="F52" s="47"/>
      <c r="G52" s="47"/>
      <c r="H52" s="47"/>
      <c r="I52" s="47"/>
      <c r="J52" s="47"/>
      <c r="K52" s="47"/>
      <c r="L52" s="47" t="s">
        <v>1429</v>
      </c>
      <c r="M52" s="47"/>
      <c r="N52" s="47" t="str">
        <f t="shared" ref="N52:N58" si="4">$F$8</f>
        <v>FY2010-11</v>
      </c>
      <c r="O52" s="47" t="s">
        <v>1353</v>
      </c>
      <c r="P52" s="47" t="s">
        <v>1338</v>
      </c>
      <c r="Q52" s="47"/>
      <c r="R52" s="47"/>
      <c r="S52" s="47"/>
      <c r="T52" s="47"/>
      <c r="U52" s="58"/>
      <c r="V52" s="1"/>
      <c r="W52" s="1"/>
      <c r="X52" s="1"/>
      <c r="Y52" s="1"/>
      <c r="Z52" s="1"/>
      <c r="AA52" s="1"/>
      <c r="AB52" s="1"/>
      <c r="AC52" s="1"/>
      <c r="AD52" s="1"/>
      <c r="AE52" s="1"/>
      <c r="AF52" s="1"/>
      <c r="AG52" s="1"/>
    </row>
    <row r="53" spans="1:33" ht="16" customHeight="1">
      <c r="A53" s="49"/>
      <c r="B53" s="57">
        <f>DSUM('ENR#-DB'!D35:T93,"TOTAL ENROLLMENT",'ENR#-DSUM'!D51:T58)</f>
        <v>0</v>
      </c>
      <c r="C53" s="12"/>
      <c r="D53" s="47"/>
      <c r="E53" s="47"/>
      <c r="F53" s="47"/>
      <c r="G53" s="47"/>
      <c r="H53" s="47"/>
      <c r="I53" s="47"/>
      <c r="J53" s="47"/>
      <c r="K53" s="47"/>
      <c r="L53" s="47" t="s">
        <v>1429</v>
      </c>
      <c r="M53" s="47"/>
      <c r="N53" s="47" t="str">
        <f t="shared" si="4"/>
        <v>FY2010-11</v>
      </c>
      <c r="O53" s="47" t="s">
        <v>1353</v>
      </c>
      <c r="P53" s="47" t="s">
        <v>1338</v>
      </c>
      <c r="Q53" s="47"/>
      <c r="R53" s="47"/>
      <c r="S53" s="47"/>
      <c r="T53" s="47"/>
      <c r="U53" s="58"/>
      <c r="V53" s="1"/>
      <c r="W53" s="1"/>
      <c r="X53" s="1"/>
      <c r="Y53" s="1"/>
      <c r="Z53" s="1"/>
      <c r="AA53" s="1"/>
      <c r="AB53" s="1"/>
      <c r="AC53" s="1"/>
      <c r="AD53" s="1"/>
      <c r="AE53" s="1"/>
      <c r="AF53" s="1"/>
      <c r="AG53" s="1"/>
    </row>
    <row r="54" spans="1:33" ht="16" customHeight="1">
      <c r="A54" s="49"/>
      <c r="B54" s="52"/>
      <c r="C54" s="12"/>
      <c r="D54" s="47"/>
      <c r="E54" s="47"/>
      <c r="F54" s="47"/>
      <c r="G54" s="47"/>
      <c r="H54" s="47"/>
      <c r="I54" s="47"/>
      <c r="J54" s="47"/>
      <c r="K54" s="47"/>
      <c r="L54" s="47" t="s">
        <v>1429</v>
      </c>
      <c r="M54" s="47"/>
      <c r="N54" s="47" t="str">
        <f t="shared" si="4"/>
        <v>FY2010-11</v>
      </c>
      <c r="O54" s="47" t="s">
        <v>1353</v>
      </c>
      <c r="P54" s="47" t="s">
        <v>1338</v>
      </c>
      <c r="Q54" s="47"/>
      <c r="R54" s="47"/>
      <c r="S54" s="47"/>
      <c r="T54" s="47"/>
      <c r="U54" s="58"/>
      <c r="V54" s="1"/>
      <c r="W54" s="1"/>
      <c r="X54" s="1"/>
      <c r="Y54" s="1"/>
      <c r="Z54" s="1"/>
      <c r="AA54" s="1"/>
      <c r="AB54" s="1"/>
      <c r="AC54" s="1"/>
      <c r="AD54" s="1"/>
      <c r="AE54" s="1"/>
      <c r="AF54" s="1"/>
      <c r="AG54" s="1"/>
    </row>
    <row r="55" spans="1:33" ht="16" customHeight="1">
      <c r="A55" s="49"/>
      <c r="B55" s="52"/>
      <c r="C55" s="12"/>
      <c r="D55" s="47"/>
      <c r="E55" s="47"/>
      <c r="F55" s="47"/>
      <c r="G55" s="47"/>
      <c r="H55" s="47"/>
      <c r="I55" s="47"/>
      <c r="J55" s="47"/>
      <c r="K55" s="47"/>
      <c r="L55" s="47" t="s">
        <v>1429</v>
      </c>
      <c r="M55" s="47"/>
      <c r="N55" s="47" t="str">
        <f t="shared" si="4"/>
        <v>FY2010-11</v>
      </c>
      <c r="O55" s="47" t="s">
        <v>1353</v>
      </c>
      <c r="P55" s="47" t="s">
        <v>1338</v>
      </c>
      <c r="Q55" s="47"/>
      <c r="R55" s="47"/>
      <c r="S55" s="47"/>
      <c r="T55" s="47"/>
      <c r="U55" s="58"/>
      <c r="V55" s="1"/>
      <c r="W55" s="1"/>
      <c r="X55" s="1"/>
      <c r="Y55" s="1"/>
      <c r="Z55" s="1"/>
      <c r="AA55" s="1"/>
      <c r="AB55" s="1"/>
      <c r="AC55" s="1"/>
      <c r="AD55" s="1"/>
      <c r="AE55" s="1"/>
      <c r="AF55" s="1"/>
      <c r="AG55" s="1"/>
    </row>
    <row r="56" spans="1:33" ht="16" customHeight="1">
      <c r="A56" s="49"/>
      <c r="B56" s="52"/>
      <c r="C56" s="12"/>
      <c r="D56" s="47"/>
      <c r="E56" s="47"/>
      <c r="F56" s="47"/>
      <c r="G56" s="47"/>
      <c r="H56" s="47"/>
      <c r="I56" s="47"/>
      <c r="J56" s="47"/>
      <c r="K56" s="47"/>
      <c r="L56" s="47" t="s">
        <v>1429</v>
      </c>
      <c r="M56" s="47"/>
      <c r="N56" s="47" t="str">
        <f t="shared" si="4"/>
        <v>FY2010-11</v>
      </c>
      <c r="O56" s="47" t="s">
        <v>1353</v>
      </c>
      <c r="P56" s="47" t="s">
        <v>1338</v>
      </c>
      <c r="Q56" s="47"/>
      <c r="R56" s="47"/>
      <c r="S56" s="47"/>
      <c r="T56" s="47"/>
      <c r="U56" s="58"/>
      <c r="V56" s="1"/>
      <c r="W56" s="1"/>
      <c r="X56" s="1"/>
      <c r="Y56" s="1"/>
      <c r="Z56" s="1"/>
      <c r="AA56" s="1"/>
      <c r="AB56" s="1"/>
      <c r="AC56" s="1"/>
      <c r="AD56" s="1"/>
      <c r="AE56" s="1"/>
      <c r="AF56" s="1"/>
      <c r="AG56" s="1"/>
    </row>
    <row r="57" spans="1:33" ht="16" customHeight="1">
      <c r="A57" s="49"/>
      <c r="B57" s="52"/>
      <c r="C57" s="12"/>
      <c r="D57" s="47"/>
      <c r="E57" s="47"/>
      <c r="F57" s="47"/>
      <c r="G57" s="47"/>
      <c r="H57" s="47"/>
      <c r="I57" s="47"/>
      <c r="J57" s="47"/>
      <c r="K57" s="47"/>
      <c r="L57" s="47" t="s">
        <v>1429</v>
      </c>
      <c r="M57" s="47"/>
      <c r="N57" s="47" t="str">
        <f t="shared" si="4"/>
        <v>FY2010-11</v>
      </c>
      <c r="O57" s="47" t="s">
        <v>1353</v>
      </c>
      <c r="P57" s="47" t="s">
        <v>1338</v>
      </c>
      <c r="Q57" s="47"/>
      <c r="R57" s="47"/>
      <c r="S57" s="47"/>
      <c r="T57" s="47"/>
      <c r="U57" s="58"/>
      <c r="V57" s="1"/>
      <c r="W57" s="1"/>
      <c r="X57" s="1"/>
      <c r="Y57" s="1"/>
      <c r="Z57" s="1"/>
      <c r="AA57" s="1"/>
      <c r="AB57" s="1"/>
      <c r="AC57" s="1"/>
      <c r="AD57" s="1"/>
      <c r="AE57" s="1"/>
      <c r="AF57" s="1"/>
      <c r="AG57" s="1"/>
    </row>
    <row r="58" spans="1:33" ht="16" customHeight="1">
      <c r="A58" s="49"/>
      <c r="B58" s="52"/>
      <c r="C58" s="12"/>
      <c r="D58" s="47"/>
      <c r="E58" s="47"/>
      <c r="F58" s="47"/>
      <c r="G58" s="47"/>
      <c r="H58" s="47"/>
      <c r="I58" s="47"/>
      <c r="J58" s="47"/>
      <c r="K58" s="47"/>
      <c r="L58" s="47" t="s">
        <v>1429</v>
      </c>
      <c r="M58" s="47"/>
      <c r="N58" s="47" t="str">
        <f t="shared" si="4"/>
        <v>FY2010-11</v>
      </c>
      <c r="O58" s="47" t="s">
        <v>1353</v>
      </c>
      <c r="P58" s="47" t="s">
        <v>1338</v>
      </c>
      <c r="Q58" s="47"/>
      <c r="R58" s="47"/>
      <c r="S58" s="47"/>
      <c r="T58" s="47"/>
      <c r="U58" s="58"/>
      <c r="V58" s="1"/>
      <c r="W58" s="1"/>
      <c r="X58" s="1"/>
      <c r="Y58" s="1"/>
      <c r="Z58" s="1"/>
      <c r="AA58" s="1"/>
      <c r="AB58" s="1"/>
      <c r="AC58" s="1"/>
      <c r="AD58" s="1"/>
      <c r="AE58" s="1"/>
      <c r="AF58" s="1"/>
      <c r="AG58" s="1"/>
    </row>
    <row r="59" spans="1:33" ht="16" customHeight="1">
      <c r="A59" s="29"/>
      <c r="B59" s="30"/>
      <c r="C59" s="30"/>
      <c r="D59" s="32"/>
      <c r="E59" s="32"/>
      <c r="F59" s="32"/>
      <c r="G59" s="32"/>
      <c r="H59" s="32"/>
      <c r="I59" s="32"/>
      <c r="J59" s="32"/>
      <c r="K59" s="32"/>
      <c r="L59" s="32"/>
      <c r="M59" s="32"/>
      <c r="N59" s="32"/>
      <c r="O59" s="32"/>
      <c r="P59" s="32"/>
      <c r="Q59" s="32"/>
      <c r="R59" s="32"/>
      <c r="S59" s="32"/>
      <c r="T59" s="32"/>
      <c r="U59" s="58"/>
      <c r="V59" s="1"/>
      <c r="W59" s="1"/>
      <c r="X59" s="1"/>
      <c r="Y59" s="1"/>
      <c r="Z59" s="1"/>
      <c r="AA59" s="1"/>
      <c r="AB59" s="1"/>
      <c r="AC59" s="1"/>
      <c r="AD59" s="1"/>
      <c r="AE59" s="1"/>
      <c r="AF59" s="1"/>
      <c r="AG59" s="1"/>
    </row>
    <row r="60" spans="1:33" ht="16" customHeight="1" thickBot="1">
      <c r="A60" s="49"/>
      <c r="B60" s="50" t="str">
        <f>"FA2 = "&amp;'FIG3'!$W$53&amp;" "&amp;'FIG3'!$X$53</f>
        <v>FA2 = FA2L1 FA2L2</v>
      </c>
      <c r="C60" s="49"/>
      <c r="D60" s="54"/>
      <c r="E60" s="54"/>
      <c r="F60" s="54"/>
      <c r="G60" s="54"/>
      <c r="H60" s="54"/>
      <c r="I60" s="54"/>
      <c r="J60" s="54"/>
      <c r="K60" s="54"/>
      <c r="L60" s="54"/>
      <c r="M60" s="55"/>
      <c r="N60" s="54"/>
      <c r="O60" s="54"/>
      <c r="P60" s="54"/>
      <c r="Q60" s="54"/>
      <c r="R60" s="53"/>
      <c r="S60" s="887" t="str">
        <f>'ENR#-DB'!$S$34</f>
        <v>UD1</v>
      </c>
      <c r="T60" s="887" t="str">
        <f>'ENR#-DB'!$T$34</f>
        <v>UD2</v>
      </c>
      <c r="U60" s="60"/>
      <c r="V60" s="56"/>
      <c r="W60" s="56"/>
      <c r="X60" s="56"/>
      <c r="Y60" s="56"/>
      <c r="Z60" s="56"/>
      <c r="AA60" s="56"/>
      <c r="AB60" s="56"/>
      <c r="AC60" s="56"/>
      <c r="AD60" s="56"/>
      <c r="AE60" s="56"/>
      <c r="AF60" s="56"/>
      <c r="AG60" s="1"/>
    </row>
    <row r="61" spans="1:33" ht="16" customHeight="1" thickTop="1" thickBot="1">
      <c r="A61" s="49"/>
      <c r="B61" s="51" t="s">
        <v>1375</v>
      </c>
      <c r="C61" s="15"/>
      <c r="D61" s="301" t="s">
        <v>1386</v>
      </c>
      <c r="E61" s="301" t="s">
        <v>1387</v>
      </c>
      <c r="F61" s="301" t="s">
        <v>1388</v>
      </c>
      <c r="G61" s="301" t="s">
        <v>1389</v>
      </c>
      <c r="H61" s="301" t="s">
        <v>1406</v>
      </c>
      <c r="I61" s="301" t="s">
        <v>1390</v>
      </c>
      <c r="J61" s="301" t="s">
        <v>1391</v>
      </c>
      <c r="K61" s="304" t="s">
        <v>1392</v>
      </c>
      <c r="L61" s="301" t="s">
        <v>1188</v>
      </c>
      <c r="M61" s="301" t="s">
        <v>1437</v>
      </c>
      <c r="N61" s="301" t="s">
        <v>1348</v>
      </c>
      <c r="O61" s="301" t="s">
        <v>1393</v>
      </c>
      <c r="P61" s="301" t="s">
        <v>1342</v>
      </c>
      <c r="Q61" s="112" t="s">
        <v>1224</v>
      </c>
      <c r="R61" s="112" t="s">
        <v>846</v>
      </c>
      <c r="S61" s="875" t="s">
        <v>935</v>
      </c>
      <c r="T61" s="875" t="s">
        <v>936</v>
      </c>
      <c r="U61" s="59"/>
      <c r="V61" s="2"/>
      <c r="W61" s="2"/>
      <c r="X61" s="2"/>
      <c r="Y61" s="2"/>
      <c r="Z61" s="2"/>
      <c r="AA61" s="2"/>
      <c r="AB61" s="2"/>
      <c r="AC61" s="2"/>
      <c r="AD61" s="2"/>
      <c r="AE61" s="2"/>
      <c r="AF61" s="2"/>
      <c r="AG61" s="1"/>
    </row>
    <row r="62" spans="1:33" ht="16" customHeight="1" thickTop="1">
      <c r="A62" s="49"/>
      <c r="B62" s="50" t="s">
        <v>1346</v>
      </c>
      <c r="C62" s="12"/>
      <c r="D62" s="47"/>
      <c r="E62" s="47"/>
      <c r="F62" s="47"/>
      <c r="G62" s="47"/>
      <c r="H62" s="47"/>
      <c r="I62" s="47"/>
      <c r="J62" s="47"/>
      <c r="K62" s="47"/>
      <c r="L62" s="47" t="s">
        <v>1429</v>
      </c>
      <c r="M62" s="47"/>
      <c r="N62" s="47" t="str">
        <f t="shared" ref="N62:N68" si="5">$F$8</f>
        <v>FY2010-11</v>
      </c>
      <c r="O62" s="47" t="s">
        <v>1353</v>
      </c>
      <c r="P62" s="47" t="s">
        <v>1347</v>
      </c>
      <c r="Q62" s="47"/>
      <c r="R62" s="47"/>
      <c r="S62" s="47"/>
      <c r="T62" s="47"/>
      <c r="U62" s="58"/>
      <c r="V62" s="1"/>
      <c r="W62" s="1"/>
      <c r="X62" s="1"/>
      <c r="Y62" s="1"/>
      <c r="Z62" s="1"/>
      <c r="AA62" s="1"/>
      <c r="AB62" s="1"/>
      <c r="AC62" s="1"/>
      <c r="AD62" s="1"/>
      <c r="AE62" s="1"/>
      <c r="AF62" s="1"/>
      <c r="AG62" s="1"/>
    </row>
    <row r="63" spans="1:33" ht="16" customHeight="1">
      <c r="A63" s="49"/>
      <c r="B63" s="57">
        <f>DSUM('ENR#-DB'!D35:T93,"TOTAL ENROLLMENT",'ENR#-DSUM'!D61:T68)</f>
        <v>0</v>
      </c>
      <c r="C63" s="12"/>
      <c r="D63" s="47"/>
      <c r="E63" s="47"/>
      <c r="F63" s="47"/>
      <c r="G63" s="47"/>
      <c r="H63" s="47"/>
      <c r="I63" s="47"/>
      <c r="J63" s="47"/>
      <c r="K63" s="47"/>
      <c r="L63" s="47" t="s">
        <v>1429</v>
      </c>
      <c r="M63" s="47"/>
      <c r="N63" s="47" t="str">
        <f t="shared" si="5"/>
        <v>FY2010-11</v>
      </c>
      <c r="O63" s="47" t="s">
        <v>1353</v>
      </c>
      <c r="P63" s="47" t="s">
        <v>1347</v>
      </c>
      <c r="Q63" s="47"/>
      <c r="R63" s="47"/>
      <c r="S63" s="47"/>
      <c r="T63" s="47"/>
      <c r="U63" s="58"/>
      <c r="V63" s="1"/>
      <c r="W63" s="1"/>
      <c r="X63" s="1"/>
      <c r="Y63" s="1"/>
      <c r="Z63" s="1"/>
      <c r="AA63" s="1"/>
      <c r="AB63" s="1"/>
      <c r="AC63" s="1"/>
      <c r="AD63" s="1"/>
      <c r="AE63" s="1"/>
      <c r="AF63" s="1"/>
      <c r="AG63" s="1"/>
    </row>
    <row r="64" spans="1:33" ht="16" customHeight="1">
      <c r="A64" s="49"/>
      <c r="B64" s="52"/>
      <c r="C64" s="12"/>
      <c r="D64" s="47"/>
      <c r="E64" s="47"/>
      <c r="F64" s="47"/>
      <c r="G64" s="47"/>
      <c r="H64" s="47"/>
      <c r="I64" s="47"/>
      <c r="J64" s="47"/>
      <c r="K64" s="47"/>
      <c r="L64" s="47" t="s">
        <v>1429</v>
      </c>
      <c r="M64" s="47"/>
      <c r="N64" s="47" t="str">
        <f t="shared" si="5"/>
        <v>FY2010-11</v>
      </c>
      <c r="O64" s="47" t="s">
        <v>1353</v>
      </c>
      <c r="P64" s="47" t="s">
        <v>1347</v>
      </c>
      <c r="Q64" s="47"/>
      <c r="R64" s="47"/>
      <c r="S64" s="47"/>
      <c r="T64" s="47"/>
      <c r="U64" s="58"/>
      <c r="V64" s="1"/>
      <c r="W64" s="1"/>
      <c r="X64" s="1"/>
      <c r="Y64" s="1"/>
      <c r="Z64" s="1"/>
      <c r="AA64" s="1"/>
      <c r="AB64" s="1"/>
      <c r="AC64" s="1"/>
      <c r="AD64" s="1"/>
      <c r="AE64" s="1"/>
      <c r="AF64" s="1"/>
      <c r="AG64" s="1"/>
    </row>
    <row r="65" spans="1:33" ht="16" customHeight="1">
      <c r="A65" s="49"/>
      <c r="B65" s="52"/>
      <c r="C65" s="12"/>
      <c r="D65" s="47"/>
      <c r="E65" s="47"/>
      <c r="F65" s="47"/>
      <c r="G65" s="47"/>
      <c r="H65" s="47"/>
      <c r="I65" s="47"/>
      <c r="J65" s="47"/>
      <c r="K65" s="47"/>
      <c r="L65" s="47" t="s">
        <v>1429</v>
      </c>
      <c r="M65" s="47"/>
      <c r="N65" s="47" t="str">
        <f t="shared" si="5"/>
        <v>FY2010-11</v>
      </c>
      <c r="O65" s="47" t="s">
        <v>1353</v>
      </c>
      <c r="P65" s="47" t="s">
        <v>1347</v>
      </c>
      <c r="Q65" s="47"/>
      <c r="R65" s="47"/>
      <c r="S65" s="47"/>
      <c r="T65" s="47"/>
      <c r="U65" s="58"/>
      <c r="V65" s="1"/>
      <c r="W65" s="1"/>
      <c r="X65" s="1"/>
      <c r="Y65" s="1"/>
      <c r="Z65" s="1"/>
      <c r="AA65" s="1"/>
      <c r="AB65" s="1"/>
      <c r="AC65" s="1"/>
      <c r="AD65" s="1"/>
      <c r="AE65" s="1"/>
      <c r="AF65" s="1"/>
      <c r="AG65" s="1"/>
    </row>
    <row r="66" spans="1:33" ht="16" customHeight="1">
      <c r="A66" s="49"/>
      <c r="B66" s="52"/>
      <c r="C66" s="12"/>
      <c r="D66" s="47"/>
      <c r="E66" s="47"/>
      <c r="F66" s="47"/>
      <c r="G66" s="47"/>
      <c r="H66" s="47"/>
      <c r="I66" s="47"/>
      <c r="J66" s="47"/>
      <c r="K66" s="47"/>
      <c r="L66" s="47" t="s">
        <v>1429</v>
      </c>
      <c r="M66" s="47"/>
      <c r="N66" s="47" t="str">
        <f t="shared" si="5"/>
        <v>FY2010-11</v>
      </c>
      <c r="O66" s="47" t="s">
        <v>1353</v>
      </c>
      <c r="P66" s="47" t="s">
        <v>1347</v>
      </c>
      <c r="Q66" s="47"/>
      <c r="R66" s="47"/>
      <c r="S66" s="47"/>
      <c r="T66" s="47"/>
      <c r="U66" s="58"/>
      <c r="V66" s="1"/>
      <c r="W66" s="1"/>
      <c r="X66" s="1"/>
      <c r="Y66" s="1"/>
      <c r="Z66" s="1"/>
      <c r="AA66" s="1"/>
      <c r="AB66" s="1"/>
      <c r="AC66" s="1"/>
      <c r="AD66" s="1"/>
      <c r="AE66" s="1"/>
      <c r="AF66" s="1"/>
      <c r="AG66" s="1"/>
    </row>
    <row r="67" spans="1:33" ht="16" customHeight="1">
      <c r="A67" s="49"/>
      <c r="B67" s="52"/>
      <c r="C67" s="12"/>
      <c r="D67" s="47"/>
      <c r="E67" s="47"/>
      <c r="F67" s="47"/>
      <c r="G67" s="47"/>
      <c r="H67" s="47"/>
      <c r="I67" s="47"/>
      <c r="J67" s="47"/>
      <c r="K67" s="47"/>
      <c r="L67" s="47" t="s">
        <v>1429</v>
      </c>
      <c r="M67" s="47"/>
      <c r="N67" s="47" t="str">
        <f t="shared" si="5"/>
        <v>FY2010-11</v>
      </c>
      <c r="O67" s="47" t="s">
        <v>1353</v>
      </c>
      <c r="P67" s="47" t="s">
        <v>1347</v>
      </c>
      <c r="Q67" s="47"/>
      <c r="R67" s="47"/>
      <c r="S67" s="47"/>
      <c r="T67" s="47"/>
      <c r="U67" s="58"/>
      <c r="V67" s="1"/>
      <c r="W67" s="1"/>
      <c r="X67" s="1"/>
      <c r="Y67" s="1"/>
      <c r="Z67" s="1"/>
      <c r="AA67" s="1"/>
      <c r="AB67" s="1"/>
      <c r="AC67" s="1"/>
      <c r="AD67" s="1"/>
      <c r="AE67" s="1"/>
      <c r="AF67" s="1"/>
      <c r="AG67" s="1"/>
    </row>
    <row r="68" spans="1:33" ht="16" customHeight="1">
      <c r="A68" s="49"/>
      <c r="B68" s="52"/>
      <c r="C68" s="12"/>
      <c r="D68" s="47"/>
      <c r="E68" s="47"/>
      <c r="F68" s="47"/>
      <c r="G68" s="47"/>
      <c r="H68" s="47"/>
      <c r="I68" s="47"/>
      <c r="J68" s="47"/>
      <c r="K68" s="47"/>
      <c r="L68" s="47" t="s">
        <v>1429</v>
      </c>
      <c r="M68" s="47"/>
      <c r="N68" s="47" t="str">
        <f t="shared" si="5"/>
        <v>FY2010-11</v>
      </c>
      <c r="O68" s="47" t="s">
        <v>1353</v>
      </c>
      <c r="P68" s="47" t="s">
        <v>1347</v>
      </c>
      <c r="Q68" s="47"/>
      <c r="R68" s="47"/>
      <c r="S68" s="47"/>
      <c r="T68" s="47"/>
      <c r="U68" s="58"/>
      <c r="V68" s="1"/>
      <c r="W68" s="1"/>
      <c r="X68" s="1"/>
      <c r="Y68" s="1"/>
      <c r="Z68" s="1"/>
      <c r="AA68" s="1"/>
      <c r="AB68" s="1"/>
      <c r="AC68" s="1"/>
      <c r="AD68" s="1"/>
      <c r="AE68" s="1"/>
      <c r="AF68" s="1"/>
      <c r="AG68" s="1"/>
    </row>
    <row r="69" spans="1:33" ht="16" customHeight="1">
      <c r="A69" s="21"/>
      <c r="B69" s="22"/>
      <c r="C69" s="22"/>
      <c r="D69" s="24"/>
      <c r="E69" s="24"/>
      <c r="F69" s="24"/>
      <c r="G69" s="24"/>
      <c r="H69" s="24"/>
      <c r="I69" s="24"/>
      <c r="J69" s="24"/>
      <c r="K69" s="24"/>
      <c r="L69" s="24"/>
      <c r="M69" s="24"/>
      <c r="N69" s="24"/>
      <c r="O69" s="24"/>
      <c r="P69" s="24"/>
      <c r="Q69" s="24"/>
      <c r="R69" s="24"/>
      <c r="S69" s="24"/>
      <c r="T69" s="24"/>
      <c r="U69" s="58"/>
      <c r="V69" s="1"/>
      <c r="W69" s="1"/>
      <c r="X69" s="1"/>
      <c r="Y69" s="1"/>
      <c r="Z69" s="1"/>
      <c r="AA69" s="1"/>
      <c r="AB69" s="1"/>
      <c r="AC69" s="1"/>
      <c r="AD69" s="1"/>
      <c r="AE69" s="1"/>
      <c r="AF69" s="1"/>
      <c r="AG69" s="1"/>
    </row>
    <row r="70" spans="1:33" ht="16" customHeight="1" thickBot="1">
      <c r="A70" s="49"/>
      <c r="B70" s="50" t="str">
        <f>"FA3 = "&amp;'FIG3'!$W$54&amp;" "&amp;'FIG3'!$X$54</f>
        <v>FA3 = FA3L1 FA3L2</v>
      </c>
      <c r="C70" s="49"/>
      <c r="D70" s="54"/>
      <c r="E70" s="54"/>
      <c r="F70" s="54"/>
      <c r="G70" s="54"/>
      <c r="H70" s="54"/>
      <c r="I70" s="54"/>
      <c r="J70" s="54"/>
      <c r="K70" s="54"/>
      <c r="L70" s="54"/>
      <c r="M70" s="55"/>
      <c r="N70" s="54"/>
      <c r="O70" s="54"/>
      <c r="P70" s="54"/>
      <c r="Q70" s="54"/>
      <c r="R70" s="53"/>
      <c r="S70" s="887" t="str">
        <f>'ENR#-DB'!$S$34</f>
        <v>UD1</v>
      </c>
      <c r="T70" s="887" t="str">
        <f>'ENR#-DB'!$T$34</f>
        <v>UD2</v>
      </c>
      <c r="U70" s="60"/>
      <c r="V70" s="56"/>
      <c r="W70" s="56"/>
      <c r="X70" s="56"/>
      <c r="Y70" s="56"/>
      <c r="Z70" s="56"/>
      <c r="AA70" s="56"/>
      <c r="AB70" s="56"/>
      <c r="AC70" s="56"/>
      <c r="AD70" s="56"/>
      <c r="AE70" s="56"/>
      <c r="AF70" s="56"/>
      <c r="AG70" s="1"/>
    </row>
    <row r="71" spans="1:33" ht="16" customHeight="1" thickTop="1" thickBot="1">
      <c r="A71" s="49"/>
      <c r="B71" s="51" t="s">
        <v>1399</v>
      </c>
      <c r="C71" s="15"/>
      <c r="D71" s="301" t="s">
        <v>1386</v>
      </c>
      <c r="E71" s="301" t="s">
        <v>1387</v>
      </c>
      <c r="F71" s="301" t="s">
        <v>1388</v>
      </c>
      <c r="G71" s="301" t="s">
        <v>1389</v>
      </c>
      <c r="H71" s="301" t="s">
        <v>1406</v>
      </c>
      <c r="I71" s="301" t="s">
        <v>1390</v>
      </c>
      <c r="J71" s="301" t="s">
        <v>1391</v>
      </c>
      <c r="K71" s="304" t="s">
        <v>1392</v>
      </c>
      <c r="L71" s="301" t="s">
        <v>1188</v>
      </c>
      <c r="M71" s="301" t="s">
        <v>1437</v>
      </c>
      <c r="N71" s="301" t="s">
        <v>1348</v>
      </c>
      <c r="O71" s="301" t="s">
        <v>1393</v>
      </c>
      <c r="P71" s="301" t="s">
        <v>1342</v>
      </c>
      <c r="Q71" s="112" t="s">
        <v>1224</v>
      </c>
      <c r="R71" s="112" t="s">
        <v>846</v>
      </c>
      <c r="S71" s="875" t="s">
        <v>935</v>
      </c>
      <c r="T71" s="875" t="s">
        <v>936</v>
      </c>
      <c r="U71" s="59"/>
      <c r="V71" s="2"/>
      <c r="W71" s="2"/>
      <c r="X71" s="2"/>
      <c r="Y71" s="2"/>
      <c r="Z71" s="2"/>
      <c r="AA71" s="2"/>
      <c r="AB71" s="2"/>
      <c r="AC71" s="2"/>
      <c r="AD71" s="2"/>
      <c r="AE71" s="2"/>
      <c r="AF71" s="2"/>
      <c r="AG71" s="1"/>
    </row>
    <row r="72" spans="1:33" ht="16" customHeight="1" thickTop="1">
      <c r="A72" s="49"/>
      <c r="B72" s="50" t="s">
        <v>1346</v>
      </c>
      <c r="C72" s="12"/>
      <c r="D72" s="39"/>
      <c r="E72" s="39"/>
      <c r="F72" s="39"/>
      <c r="G72" s="39"/>
      <c r="H72" s="39"/>
      <c r="I72" s="39"/>
      <c r="J72" s="39"/>
      <c r="K72" s="39"/>
      <c r="L72" s="39" t="s">
        <v>1429</v>
      </c>
      <c r="M72" s="39"/>
      <c r="N72" s="39" t="str">
        <f t="shared" ref="N72:N78" si="6">$F$8</f>
        <v>FY2010-11</v>
      </c>
      <c r="O72" s="39" t="s">
        <v>1354</v>
      </c>
      <c r="P72" s="39" t="s">
        <v>1338</v>
      </c>
      <c r="Q72" s="39"/>
      <c r="R72" s="39"/>
      <c r="S72" s="39"/>
      <c r="T72" s="39"/>
      <c r="U72" s="58"/>
      <c r="V72" s="1"/>
      <c r="W72" s="1"/>
      <c r="X72" s="1"/>
      <c r="Y72" s="1"/>
      <c r="Z72" s="1"/>
      <c r="AA72" s="1"/>
      <c r="AB72" s="1"/>
      <c r="AC72" s="1"/>
      <c r="AD72" s="1"/>
      <c r="AE72" s="1"/>
      <c r="AF72" s="1"/>
      <c r="AG72" s="1"/>
    </row>
    <row r="73" spans="1:33" ht="16" customHeight="1">
      <c r="A73" s="49"/>
      <c r="B73" s="57">
        <f>DSUM('ENR#-DB'!D35:T93,"TOTAL ENROLLMENT",'ENR#-DSUM'!D71:T78)</f>
        <v>0</v>
      </c>
      <c r="C73" s="12"/>
      <c r="D73" s="39"/>
      <c r="E73" s="39"/>
      <c r="F73" s="39"/>
      <c r="G73" s="39"/>
      <c r="H73" s="39"/>
      <c r="I73" s="39"/>
      <c r="J73" s="39"/>
      <c r="K73" s="39"/>
      <c r="L73" s="39" t="s">
        <v>1429</v>
      </c>
      <c r="M73" s="39"/>
      <c r="N73" s="39" t="str">
        <f t="shared" si="6"/>
        <v>FY2010-11</v>
      </c>
      <c r="O73" s="39" t="s">
        <v>1354</v>
      </c>
      <c r="P73" s="39" t="s">
        <v>1338</v>
      </c>
      <c r="Q73" s="39"/>
      <c r="R73" s="39"/>
      <c r="S73" s="39"/>
      <c r="T73" s="39"/>
      <c r="U73" s="58"/>
      <c r="V73" s="1"/>
      <c r="W73" s="1"/>
      <c r="X73" s="1"/>
      <c r="Y73" s="1"/>
      <c r="Z73" s="1"/>
      <c r="AA73" s="1"/>
      <c r="AB73" s="1"/>
      <c r="AC73" s="1"/>
      <c r="AD73" s="1"/>
      <c r="AE73" s="1"/>
      <c r="AF73" s="1"/>
      <c r="AG73" s="1"/>
    </row>
    <row r="74" spans="1:33" ht="16" customHeight="1">
      <c r="A74" s="49"/>
      <c r="B74" s="52"/>
      <c r="C74" s="12"/>
      <c r="D74" s="39"/>
      <c r="E74" s="39"/>
      <c r="F74" s="39"/>
      <c r="G74" s="39"/>
      <c r="H74" s="39"/>
      <c r="I74" s="39"/>
      <c r="J74" s="39"/>
      <c r="K74" s="39"/>
      <c r="L74" s="39" t="s">
        <v>1429</v>
      </c>
      <c r="M74" s="39"/>
      <c r="N74" s="39" t="str">
        <f t="shared" si="6"/>
        <v>FY2010-11</v>
      </c>
      <c r="O74" s="39" t="s">
        <v>1354</v>
      </c>
      <c r="P74" s="39" t="s">
        <v>1338</v>
      </c>
      <c r="Q74" s="39"/>
      <c r="R74" s="39"/>
      <c r="S74" s="39"/>
      <c r="T74" s="39"/>
      <c r="U74" s="58"/>
      <c r="V74" s="1"/>
      <c r="W74" s="1"/>
      <c r="X74" s="1"/>
      <c r="Y74" s="1"/>
      <c r="Z74" s="1"/>
      <c r="AA74" s="1"/>
      <c r="AB74" s="1"/>
      <c r="AC74" s="1"/>
      <c r="AD74" s="1"/>
      <c r="AE74" s="1"/>
      <c r="AF74" s="1"/>
      <c r="AG74" s="1"/>
    </row>
    <row r="75" spans="1:33" ht="16" customHeight="1">
      <c r="A75" s="49"/>
      <c r="B75" s="52"/>
      <c r="C75" s="12"/>
      <c r="D75" s="39"/>
      <c r="E75" s="39"/>
      <c r="F75" s="39"/>
      <c r="G75" s="39"/>
      <c r="H75" s="39"/>
      <c r="I75" s="39"/>
      <c r="J75" s="39"/>
      <c r="K75" s="39"/>
      <c r="L75" s="39" t="s">
        <v>1429</v>
      </c>
      <c r="M75" s="39"/>
      <c r="N75" s="39" t="str">
        <f t="shared" si="6"/>
        <v>FY2010-11</v>
      </c>
      <c r="O75" s="39" t="s">
        <v>1354</v>
      </c>
      <c r="P75" s="39" t="s">
        <v>1338</v>
      </c>
      <c r="Q75" s="39"/>
      <c r="R75" s="39"/>
      <c r="S75" s="39"/>
      <c r="T75" s="39"/>
      <c r="U75" s="58"/>
      <c r="V75" s="1"/>
      <c r="W75" s="1"/>
      <c r="X75" s="1"/>
      <c r="Y75" s="1"/>
      <c r="Z75" s="1"/>
      <c r="AA75" s="1"/>
      <c r="AB75" s="1"/>
      <c r="AC75" s="1"/>
      <c r="AD75" s="1"/>
      <c r="AE75" s="1"/>
      <c r="AF75" s="1"/>
      <c r="AG75" s="1"/>
    </row>
    <row r="76" spans="1:33" ht="16" customHeight="1">
      <c r="A76" s="49"/>
      <c r="B76" s="52"/>
      <c r="C76" s="12"/>
      <c r="D76" s="39"/>
      <c r="E76" s="39"/>
      <c r="F76" s="39"/>
      <c r="G76" s="39"/>
      <c r="H76" s="39"/>
      <c r="I76" s="39"/>
      <c r="J76" s="39"/>
      <c r="K76" s="39"/>
      <c r="L76" s="39" t="s">
        <v>1429</v>
      </c>
      <c r="M76" s="39"/>
      <c r="N76" s="39" t="str">
        <f t="shared" si="6"/>
        <v>FY2010-11</v>
      </c>
      <c r="O76" s="39" t="s">
        <v>1354</v>
      </c>
      <c r="P76" s="39" t="s">
        <v>1338</v>
      </c>
      <c r="Q76" s="39"/>
      <c r="R76" s="39"/>
      <c r="S76" s="39"/>
      <c r="T76" s="39"/>
      <c r="U76" s="58"/>
      <c r="V76" s="1"/>
      <c r="W76" s="1"/>
      <c r="X76" s="1"/>
      <c r="Y76" s="1"/>
      <c r="Z76" s="1"/>
      <c r="AA76" s="1"/>
      <c r="AB76" s="1"/>
      <c r="AC76" s="1"/>
      <c r="AD76" s="1"/>
      <c r="AE76" s="1"/>
      <c r="AF76" s="1"/>
      <c r="AG76" s="1"/>
    </row>
    <row r="77" spans="1:33" ht="16" customHeight="1">
      <c r="A77" s="49"/>
      <c r="B77" s="52"/>
      <c r="C77" s="12"/>
      <c r="D77" s="39"/>
      <c r="E77" s="39"/>
      <c r="F77" s="39"/>
      <c r="G77" s="39"/>
      <c r="H77" s="39"/>
      <c r="I77" s="39"/>
      <c r="J77" s="39"/>
      <c r="K77" s="39"/>
      <c r="L77" s="39" t="s">
        <v>1429</v>
      </c>
      <c r="M77" s="39"/>
      <c r="N77" s="39" t="str">
        <f t="shared" si="6"/>
        <v>FY2010-11</v>
      </c>
      <c r="O77" s="39" t="s">
        <v>1354</v>
      </c>
      <c r="P77" s="39" t="s">
        <v>1338</v>
      </c>
      <c r="Q77" s="39"/>
      <c r="R77" s="39"/>
      <c r="S77" s="39"/>
      <c r="T77" s="39"/>
      <c r="U77" s="58"/>
      <c r="V77" s="1"/>
      <c r="W77" s="1"/>
      <c r="X77" s="1"/>
      <c r="Y77" s="1"/>
      <c r="Z77" s="1"/>
      <c r="AA77" s="1"/>
      <c r="AB77" s="1"/>
      <c r="AC77" s="1"/>
      <c r="AD77" s="1"/>
      <c r="AE77" s="1"/>
      <c r="AF77" s="1"/>
      <c r="AG77" s="1"/>
    </row>
    <row r="78" spans="1:33" ht="16" customHeight="1">
      <c r="A78" s="49"/>
      <c r="B78" s="52"/>
      <c r="C78" s="12"/>
      <c r="D78" s="39"/>
      <c r="E78" s="39"/>
      <c r="F78" s="39"/>
      <c r="G78" s="39"/>
      <c r="H78" s="39"/>
      <c r="I78" s="39"/>
      <c r="J78" s="39"/>
      <c r="K78" s="39"/>
      <c r="L78" s="39" t="s">
        <v>1429</v>
      </c>
      <c r="M78" s="39"/>
      <c r="N78" s="39" t="str">
        <f t="shared" si="6"/>
        <v>FY2010-11</v>
      </c>
      <c r="O78" s="39" t="s">
        <v>1354</v>
      </c>
      <c r="P78" s="39" t="s">
        <v>1338</v>
      </c>
      <c r="Q78" s="39"/>
      <c r="R78" s="39"/>
      <c r="S78" s="39"/>
      <c r="T78" s="39"/>
      <c r="U78" s="58"/>
      <c r="V78" s="1"/>
      <c r="W78" s="1"/>
      <c r="X78" s="1"/>
      <c r="Y78" s="1"/>
      <c r="Z78" s="1"/>
      <c r="AA78" s="1"/>
      <c r="AB78" s="1"/>
      <c r="AC78" s="1"/>
      <c r="AD78" s="1"/>
      <c r="AE78" s="1"/>
      <c r="AF78" s="1"/>
      <c r="AG78" s="1"/>
    </row>
    <row r="79" spans="1:33" ht="16" customHeight="1">
      <c r="A79" s="21"/>
      <c r="B79" s="22"/>
      <c r="C79" s="22"/>
      <c r="D79" s="24"/>
      <c r="E79" s="24"/>
      <c r="F79" s="24"/>
      <c r="G79" s="24"/>
      <c r="H79" s="24"/>
      <c r="I79" s="24"/>
      <c r="J79" s="24"/>
      <c r="K79" s="24"/>
      <c r="L79" s="24"/>
      <c r="M79" s="24"/>
      <c r="N79" s="24"/>
      <c r="O79" s="24"/>
      <c r="P79" s="24"/>
      <c r="Q79" s="24"/>
      <c r="R79" s="24"/>
      <c r="S79" s="24"/>
      <c r="T79" s="24"/>
      <c r="U79" s="58"/>
      <c r="V79" s="1"/>
      <c r="W79" s="1"/>
      <c r="X79" s="1"/>
      <c r="Y79" s="1"/>
      <c r="Z79" s="1"/>
      <c r="AA79" s="1"/>
      <c r="AB79" s="1"/>
      <c r="AC79" s="1"/>
      <c r="AD79" s="1"/>
      <c r="AE79" s="1"/>
      <c r="AF79" s="1"/>
      <c r="AG79" s="1"/>
    </row>
    <row r="80" spans="1:33" ht="16" customHeight="1" thickBot="1">
      <c r="A80" s="49"/>
      <c r="B80" s="50" t="str">
        <f>"FA3 = "&amp;'FIG3'!$W$54&amp;" "&amp;'FIG3'!$X$54</f>
        <v>FA3 = FA3L1 FA3L2</v>
      </c>
      <c r="C80" s="49"/>
      <c r="D80" s="54"/>
      <c r="E80" s="54"/>
      <c r="F80" s="54"/>
      <c r="G80" s="54"/>
      <c r="H80" s="54"/>
      <c r="I80" s="54"/>
      <c r="J80" s="54"/>
      <c r="K80" s="54"/>
      <c r="L80" s="54"/>
      <c r="M80" s="55"/>
      <c r="N80" s="54"/>
      <c r="O80" s="54"/>
      <c r="P80" s="54"/>
      <c r="Q80" s="54"/>
      <c r="R80" s="53"/>
      <c r="S80" s="887" t="str">
        <f>'ENR#-DB'!$S$34</f>
        <v>UD1</v>
      </c>
      <c r="T80" s="887" t="str">
        <f>'ENR#-DB'!$T$34</f>
        <v>UD2</v>
      </c>
      <c r="U80" s="60"/>
      <c r="V80" s="56"/>
      <c r="W80" s="56"/>
      <c r="X80" s="56"/>
      <c r="Y80" s="56"/>
      <c r="Z80" s="56"/>
      <c r="AA80" s="56"/>
      <c r="AB80" s="56"/>
      <c r="AC80" s="56"/>
      <c r="AD80" s="56"/>
      <c r="AE80" s="56"/>
      <c r="AF80" s="56"/>
      <c r="AG80" s="1"/>
    </row>
    <row r="81" spans="1:33" ht="16" customHeight="1" thickTop="1" thickBot="1">
      <c r="A81" s="49"/>
      <c r="B81" s="51" t="s">
        <v>1375</v>
      </c>
      <c r="C81" s="15"/>
      <c r="D81" s="301" t="s">
        <v>1386</v>
      </c>
      <c r="E81" s="301" t="s">
        <v>1387</v>
      </c>
      <c r="F81" s="301" t="s">
        <v>1388</v>
      </c>
      <c r="G81" s="301" t="s">
        <v>1389</v>
      </c>
      <c r="H81" s="301" t="s">
        <v>1406</v>
      </c>
      <c r="I81" s="301" t="s">
        <v>1390</v>
      </c>
      <c r="J81" s="301" t="s">
        <v>1391</v>
      </c>
      <c r="K81" s="304" t="s">
        <v>1392</v>
      </c>
      <c r="L81" s="301" t="s">
        <v>1188</v>
      </c>
      <c r="M81" s="301" t="s">
        <v>1437</v>
      </c>
      <c r="N81" s="301" t="s">
        <v>1348</v>
      </c>
      <c r="O81" s="301" t="s">
        <v>1393</v>
      </c>
      <c r="P81" s="301" t="s">
        <v>1342</v>
      </c>
      <c r="Q81" s="112" t="s">
        <v>1224</v>
      </c>
      <c r="R81" s="112" t="s">
        <v>846</v>
      </c>
      <c r="S81" s="875" t="s">
        <v>935</v>
      </c>
      <c r="T81" s="875" t="s">
        <v>936</v>
      </c>
      <c r="U81" s="59"/>
      <c r="V81" s="2"/>
      <c r="W81" s="2"/>
      <c r="X81" s="2"/>
      <c r="Y81" s="2"/>
      <c r="Z81" s="2"/>
      <c r="AA81" s="2"/>
      <c r="AB81" s="2"/>
      <c r="AC81" s="2"/>
      <c r="AD81" s="2"/>
      <c r="AE81" s="2"/>
      <c r="AF81" s="2"/>
      <c r="AG81" s="1"/>
    </row>
    <row r="82" spans="1:33" ht="16" customHeight="1" thickTop="1">
      <c r="A82" s="49"/>
      <c r="B82" s="50" t="s">
        <v>1346</v>
      </c>
      <c r="C82" s="12"/>
      <c r="D82" s="39"/>
      <c r="E82" s="39"/>
      <c r="F82" s="39"/>
      <c r="G82" s="39"/>
      <c r="H82" s="39"/>
      <c r="I82" s="39"/>
      <c r="J82" s="39"/>
      <c r="K82" s="39"/>
      <c r="L82" s="39" t="s">
        <v>1429</v>
      </c>
      <c r="M82" s="39"/>
      <c r="N82" s="39" t="str">
        <f t="shared" ref="N82:N88" si="7">$F$8</f>
        <v>FY2010-11</v>
      </c>
      <c r="O82" s="39" t="s">
        <v>1354</v>
      </c>
      <c r="P82" s="39" t="s">
        <v>1347</v>
      </c>
      <c r="Q82" s="39"/>
      <c r="R82" s="39"/>
      <c r="S82" s="39"/>
      <c r="T82" s="39"/>
      <c r="U82" s="58"/>
      <c r="V82" s="1"/>
      <c r="W82" s="1"/>
      <c r="X82" s="1"/>
      <c r="Y82" s="1"/>
      <c r="Z82" s="1"/>
      <c r="AA82" s="1"/>
      <c r="AB82" s="1"/>
      <c r="AC82" s="1"/>
      <c r="AD82" s="1"/>
      <c r="AE82" s="1"/>
      <c r="AF82" s="1"/>
      <c r="AG82" s="1"/>
    </row>
    <row r="83" spans="1:33" ht="16" customHeight="1">
      <c r="A83" s="49"/>
      <c r="B83" s="57">
        <f>DSUM('ENR#-DB'!D35:T93,"TOTAL ENROLLMENT",'ENR#-DSUM'!D81:T88)</f>
        <v>0</v>
      </c>
      <c r="C83" s="12"/>
      <c r="D83" s="39"/>
      <c r="E83" s="39"/>
      <c r="F83" s="39"/>
      <c r="G83" s="39"/>
      <c r="H83" s="39"/>
      <c r="I83" s="39"/>
      <c r="J83" s="39"/>
      <c r="K83" s="39"/>
      <c r="L83" s="39" t="s">
        <v>1429</v>
      </c>
      <c r="M83" s="39"/>
      <c r="N83" s="39" t="str">
        <f t="shared" si="7"/>
        <v>FY2010-11</v>
      </c>
      <c r="O83" s="39" t="s">
        <v>1354</v>
      </c>
      <c r="P83" s="39" t="s">
        <v>1347</v>
      </c>
      <c r="Q83" s="39"/>
      <c r="R83" s="39"/>
      <c r="S83" s="39"/>
      <c r="T83" s="39"/>
      <c r="U83" s="58"/>
      <c r="V83" s="1"/>
      <c r="W83" s="1"/>
      <c r="X83" s="1"/>
      <c r="Y83" s="1"/>
      <c r="Z83" s="1"/>
      <c r="AA83" s="1"/>
      <c r="AB83" s="1"/>
      <c r="AC83" s="1"/>
      <c r="AD83" s="1"/>
      <c r="AE83" s="1"/>
      <c r="AF83" s="1"/>
      <c r="AG83" s="1"/>
    </row>
    <row r="84" spans="1:33" ht="16" customHeight="1">
      <c r="A84" s="49"/>
      <c r="B84" s="52"/>
      <c r="C84" s="12"/>
      <c r="D84" s="39"/>
      <c r="E84" s="39"/>
      <c r="F84" s="39"/>
      <c r="G84" s="39"/>
      <c r="H84" s="39"/>
      <c r="I84" s="39"/>
      <c r="J84" s="39"/>
      <c r="K84" s="39"/>
      <c r="L84" s="39" t="s">
        <v>1429</v>
      </c>
      <c r="M84" s="39"/>
      <c r="N84" s="39" t="str">
        <f t="shared" si="7"/>
        <v>FY2010-11</v>
      </c>
      <c r="O84" s="39" t="s">
        <v>1354</v>
      </c>
      <c r="P84" s="39" t="s">
        <v>1347</v>
      </c>
      <c r="Q84" s="39"/>
      <c r="R84" s="39"/>
      <c r="S84" s="39"/>
      <c r="T84" s="39"/>
      <c r="U84" s="58"/>
      <c r="V84" s="1"/>
      <c r="W84" s="1"/>
      <c r="X84" s="1"/>
      <c r="Y84" s="1"/>
      <c r="Z84" s="1"/>
      <c r="AA84" s="1"/>
      <c r="AB84" s="1"/>
      <c r="AC84" s="1"/>
      <c r="AD84" s="1"/>
      <c r="AE84" s="1"/>
      <c r="AF84" s="1"/>
      <c r="AG84" s="1"/>
    </row>
    <row r="85" spans="1:33" ht="16" customHeight="1">
      <c r="A85" s="49"/>
      <c r="B85" s="52"/>
      <c r="C85" s="12"/>
      <c r="D85" s="39"/>
      <c r="E85" s="39"/>
      <c r="F85" s="39"/>
      <c r="G85" s="39"/>
      <c r="H85" s="39"/>
      <c r="I85" s="39"/>
      <c r="J85" s="39"/>
      <c r="K85" s="39"/>
      <c r="L85" s="39" t="s">
        <v>1429</v>
      </c>
      <c r="M85" s="39"/>
      <c r="N85" s="39" t="str">
        <f t="shared" si="7"/>
        <v>FY2010-11</v>
      </c>
      <c r="O85" s="39" t="s">
        <v>1354</v>
      </c>
      <c r="P85" s="39" t="s">
        <v>1347</v>
      </c>
      <c r="Q85" s="39"/>
      <c r="R85" s="39"/>
      <c r="S85" s="39"/>
      <c r="T85" s="39"/>
      <c r="U85" s="58"/>
      <c r="V85" s="1"/>
      <c r="W85" s="1"/>
      <c r="X85" s="1"/>
      <c r="Y85" s="1"/>
      <c r="Z85" s="1"/>
      <c r="AA85" s="1"/>
      <c r="AB85" s="1"/>
      <c r="AC85" s="1"/>
      <c r="AD85" s="1"/>
      <c r="AE85" s="1"/>
      <c r="AF85" s="1"/>
      <c r="AG85" s="1"/>
    </row>
    <row r="86" spans="1:33" ht="16" customHeight="1">
      <c r="A86" s="49"/>
      <c r="B86" s="52"/>
      <c r="C86" s="12"/>
      <c r="D86" s="39"/>
      <c r="E86" s="39"/>
      <c r="F86" s="39"/>
      <c r="G86" s="39"/>
      <c r="H86" s="39"/>
      <c r="I86" s="39"/>
      <c r="J86" s="39"/>
      <c r="K86" s="39"/>
      <c r="L86" s="39" t="s">
        <v>1429</v>
      </c>
      <c r="M86" s="39"/>
      <c r="N86" s="39" t="str">
        <f t="shared" si="7"/>
        <v>FY2010-11</v>
      </c>
      <c r="O86" s="39" t="s">
        <v>1354</v>
      </c>
      <c r="P86" s="39" t="s">
        <v>1347</v>
      </c>
      <c r="Q86" s="39"/>
      <c r="R86" s="39"/>
      <c r="S86" s="39"/>
      <c r="T86" s="39"/>
      <c r="U86" s="58"/>
      <c r="V86" s="1"/>
      <c r="W86" s="1"/>
      <c r="X86" s="1"/>
      <c r="Y86" s="1"/>
      <c r="Z86" s="1"/>
      <c r="AA86" s="1"/>
      <c r="AB86" s="1"/>
      <c r="AC86" s="1"/>
      <c r="AD86" s="1"/>
      <c r="AE86" s="1"/>
      <c r="AF86" s="1"/>
      <c r="AG86" s="1"/>
    </row>
    <row r="87" spans="1:33" ht="16" customHeight="1">
      <c r="A87" s="49"/>
      <c r="B87" s="52"/>
      <c r="C87" s="12"/>
      <c r="D87" s="39"/>
      <c r="E87" s="39"/>
      <c r="F87" s="39"/>
      <c r="G87" s="39"/>
      <c r="H87" s="39"/>
      <c r="I87" s="39"/>
      <c r="J87" s="39"/>
      <c r="K87" s="39"/>
      <c r="L87" s="39" t="s">
        <v>1429</v>
      </c>
      <c r="M87" s="39"/>
      <c r="N87" s="39" t="str">
        <f t="shared" si="7"/>
        <v>FY2010-11</v>
      </c>
      <c r="O87" s="39" t="s">
        <v>1354</v>
      </c>
      <c r="P87" s="39" t="s">
        <v>1347</v>
      </c>
      <c r="Q87" s="39"/>
      <c r="R87" s="39"/>
      <c r="S87" s="39"/>
      <c r="T87" s="39"/>
      <c r="U87" s="58"/>
      <c r="V87" s="1"/>
      <c r="W87" s="1"/>
      <c r="X87" s="1"/>
      <c r="Y87" s="1"/>
      <c r="Z87" s="1"/>
      <c r="AA87" s="1"/>
      <c r="AB87" s="1"/>
      <c r="AC87" s="1"/>
      <c r="AD87" s="1"/>
      <c r="AE87" s="1"/>
      <c r="AF87" s="1"/>
      <c r="AG87" s="1"/>
    </row>
    <row r="88" spans="1:33" ht="16" customHeight="1">
      <c r="A88" s="49"/>
      <c r="B88" s="52"/>
      <c r="C88" s="12"/>
      <c r="D88" s="39"/>
      <c r="E88" s="39"/>
      <c r="F88" s="39"/>
      <c r="G88" s="39"/>
      <c r="H88" s="39"/>
      <c r="I88" s="39"/>
      <c r="J88" s="39"/>
      <c r="K88" s="39"/>
      <c r="L88" s="39" t="s">
        <v>1429</v>
      </c>
      <c r="M88" s="39"/>
      <c r="N88" s="39" t="str">
        <f t="shared" si="7"/>
        <v>FY2010-11</v>
      </c>
      <c r="O88" s="39" t="s">
        <v>1354</v>
      </c>
      <c r="P88" s="39" t="s">
        <v>1347</v>
      </c>
      <c r="Q88" s="39"/>
      <c r="R88" s="39"/>
      <c r="S88" s="39"/>
      <c r="T88" s="39"/>
      <c r="U88" s="58"/>
      <c r="V88" s="1"/>
      <c r="W88" s="1"/>
      <c r="X88" s="1"/>
      <c r="Y88" s="1"/>
      <c r="Z88" s="1"/>
      <c r="AA88" s="1"/>
      <c r="AB88" s="1"/>
      <c r="AC88" s="1"/>
      <c r="AD88" s="1"/>
      <c r="AE88" s="1"/>
      <c r="AF88" s="1"/>
      <c r="AG88" s="1"/>
    </row>
    <row r="89" spans="1:33" ht="16" customHeight="1">
      <c r="A89" s="36"/>
      <c r="B89" s="33"/>
      <c r="C89" s="33"/>
      <c r="D89" s="35"/>
      <c r="E89" s="35"/>
      <c r="F89" s="35"/>
      <c r="G89" s="35"/>
      <c r="H89" s="35"/>
      <c r="I89" s="35"/>
      <c r="J89" s="35"/>
      <c r="K89" s="35"/>
      <c r="L89" s="35"/>
      <c r="M89" s="35"/>
      <c r="N89" s="35"/>
      <c r="O89" s="35"/>
      <c r="P89" s="35"/>
      <c r="Q89" s="35"/>
      <c r="R89" s="35"/>
      <c r="S89" s="35"/>
      <c r="T89" s="35"/>
      <c r="U89" s="58"/>
      <c r="V89" s="1"/>
      <c r="W89" s="1"/>
      <c r="X89" s="1"/>
      <c r="Y89" s="1"/>
      <c r="Z89" s="1"/>
      <c r="AA89" s="1"/>
      <c r="AB89" s="1"/>
      <c r="AC89" s="1"/>
      <c r="AD89" s="1"/>
      <c r="AE89" s="1"/>
      <c r="AF89" s="1"/>
      <c r="AG89" s="1"/>
    </row>
    <row r="90" spans="1:33" ht="16" customHeight="1" thickBot="1">
      <c r="A90" s="49"/>
      <c r="B90" s="50" t="str">
        <f>"FA4 = "&amp;'FIG3'!$W$55&amp;" "&amp;'FIG3'!$X$55</f>
        <v>FA4 = FA4L1 FA4L2</v>
      </c>
      <c r="C90" s="49"/>
      <c r="D90" s="54"/>
      <c r="E90" s="54"/>
      <c r="F90" s="54"/>
      <c r="G90" s="54"/>
      <c r="H90" s="54"/>
      <c r="I90" s="54"/>
      <c r="J90" s="54"/>
      <c r="K90" s="54"/>
      <c r="L90" s="54"/>
      <c r="M90" s="55"/>
      <c r="N90" s="54"/>
      <c r="O90" s="54"/>
      <c r="P90" s="54"/>
      <c r="Q90" s="54"/>
      <c r="R90" s="53"/>
      <c r="S90" s="887" t="str">
        <f>'ENR#-DB'!$S$34</f>
        <v>UD1</v>
      </c>
      <c r="T90" s="887" t="str">
        <f>'ENR#-DB'!$T$34</f>
        <v>UD2</v>
      </c>
      <c r="U90" s="60"/>
      <c r="V90" s="56"/>
      <c r="W90" s="56"/>
      <c r="X90" s="56"/>
      <c r="Y90" s="56"/>
      <c r="Z90" s="56"/>
      <c r="AA90" s="56"/>
      <c r="AB90" s="56"/>
      <c r="AC90" s="56"/>
      <c r="AD90" s="56"/>
      <c r="AE90" s="56"/>
      <c r="AF90" s="56"/>
      <c r="AG90" s="1"/>
    </row>
    <row r="91" spans="1:33" ht="16" customHeight="1" thickTop="1" thickBot="1">
      <c r="A91" s="49"/>
      <c r="B91" s="51" t="s">
        <v>1399</v>
      </c>
      <c r="C91" s="15"/>
      <c r="D91" s="301" t="s">
        <v>1386</v>
      </c>
      <c r="E91" s="301" t="s">
        <v>1387</v>
      </c>
      <c r="F91" s="301" t="s">
        <v>1388</v>
      </c>
      <c r="G91" s="301" t="s">
        <v>1389</v>
      </c>
      <c r="H91" s="301" t="s">
        <v>1406</v>
      </c>
      <c r="I91" s="301" t="s">
        <v>1390</v>
      </c>
      <c r="J91" s="301" t="s">
        <v>1391</v>
      </c>
      <c r="K91" s="304" t="s">
        <v>1392</v>
      </c>
      <c r="L91" s="301" t="s">
        <v>1188</v>
      </c>
      <c r="M91" s="301" t="s">
        <v>1437</v>
      </c>
      <c r="N91" s="301" t="s">
        <v>1348</v>
      </c>
      <c r="O91" s="301" t="s">
        <v>1393</v>
      </c>
      <c r="P91" s="301" t="s">
        <v>1342</v>
      </c>
      <c r="Q91" s="112" t="s">
        <v>1224</v>
      </c>
      <c r="R91" s="112" t="s">
        <v>846</v>
      </c>
      <c r="S91" s="875" t="s">
        <v>935</v>
      </c>
      <c r="T91" s="875" t="s">
        <v>936</v>
      </c>
      <c r="U91" s="59"/>
      <c r="V91" s="2"/>
      <c r="W91" s="2"/>
      <c r="X91" s="2"/>
      <c r="Y91" s="2"/>
      <c r="Z91" s="2"/>
      <c r="AA91" s="2"/>
      <c r="AB91" s="2"/>
      <c r="AC91" s="2"/>
      <c r="AD91" s="2"/>
      <c r="AE91" s="2"/>
      <c r="AF91" s="2"/>
      <c r="AG91" s="1"/>
    </row>
    <row r="92" spans="1:33" ht="16" customHeight="1" thickTop="1">
      <c r="A92" s="49"/>
      <c r="B92" s="50" t="s">
        <v>1346</v>
      </c>
      <c r="C92" s="12"/>
      <c r="D92" s="40"/>
      <c r="E92" s="40"/>
      <c r="F92" s="40"/>
      <c r="G92" s="40"/>
      <c r="H92" s="40"/>
      <c r="I92" s="40"/>
      <c r="J92" s="40"/>
      <c r="K92" s="40"/>
      <c r="L92" s="40" t="s">
        <v>1429</v>
      </c>
      <c r="M92" s="40"/>
      <c r="N92" s="40" t="str">
        <f t="shared" ref="N92:N98" si="8">$F$8</f>
        <v>FY2010-11</v>
      </c>
      <c r="O92" s="40" t="s">
        <v>1355</v>
      </c>
      <c r="P92" s="40" t="s">
        <v>1338</v>
      </c>
      <c r="Q92" s="40"/>
      <c r="R92" s="40"/>
      <c r="S92" s="40"/>
      <c r="T92" s="40"/>
      <c r="U92" s="58"/>
      <c r="V92" s="1"/>
      <c r="W92" s="1"/>
      <c r="X92" s="1"/>
      <c r="Y92" s="1"/>
      <c r="Z92" s="1"/>
      <c r="AA92" s="1"/>
      <c r="AB92" s="1"/>
      <c r="AC92" s="1"/>
      <c r="AD92" s="1"/>
      <c r="AE92" s="1"/>
      <c r="AF92" s="1"/>
      <c r="AG92" s="1"/>
    </row>
    <row r="93" spans="1:33" ht="16" customHeight="1">
      <c r="A93" s="49"/>
      <c r="B93" s="57">
        <f>DSUM('ENR#-DB'!D35:T93,"TOTAL ENROLLMENT",'ENR#-DSUM'!D91:T98)</f>
        <v>0</v>
      </c>
      <c r="C93" s="12"/>
      <c r="D93" s="40"/>
      <c r="E93" s="40"/>
      <c r="F93" s="40"/>
      <c r="G93" s="40"/>
      <c r="H93" s="40"/>
      <c r="I93" s="40"/>
      <c r="J93" s="40"/>
      <c r="K93" s="40"/>
      <c r="L93" s="40" t="s">
        <v>1429</v>
      </c>
      <c r="M93" s="40"/>
      <c r="N93" s="40" t="str">
        <f t="shared" si="8"/>
        <v>FY2010-11</v>
      </c>
      <c r="O93" s="40" t="s">
        <v>1355</v>
      </c>
      <c r="P93" s="40" t="s">
        <v>1338</v>
      </c>
      <c r="Q93" s="40"/>
      <c r="R93" s="40"/>
      <c r="S93" s="40"/>
      <c r="T93" s="40"/>
      <c r="U93" s="58"/>
      <c r="V93" s="1"/>
      <c r="W93" s="1"/>
      <c r="X93" s="1"/>
      <c r="Y93" s="1"/>
      <c r="Z93" s="1"/>
      <c r="AA93" s="1"/>
      <c r="AB93" s="1"/>
      <c r="AC93" s="1"/>
      <c r="AD93" s="1"/>
      <c r="AE93" s="1"/>
      <c r="AF93" s="1"/>
      <c r="AG93" s="1"/>
    </row>
    <row r="94" spans="1:33" ht="16" customHeight="1">
      <c r="A94" s="49"/>
      <c r="B94" s="52"/>
      <c r="C94" s="12"/>
      <c r="D94" s="40"/>
      <c r="E94" s="40"/>
      <c r="F94" s="40"/>
      <c r="G94" s="40"/>
      <c r="H94" s="40"/>
      <c r="I94" s="40"/>
      <c r="J94" s="40"/>
      <c r="K94" s="40"/>
      <c r="L94" s="40" t="s">
        <v>1429</v>
      </c>
      <c r="M94" s="40"/>
      <c r="N94" s="40" t="str">
        <f t="shared" si="8"/>
        <v>FY2010-11</v>
      </c>
      <c r="O94" s="40" t="s">
        <v>1355</v>
      </c>
      <c r="P94" s="40" t="s">
        <v>1338</v>
      </c>
      <c r="Q94" s="40"/>
      <c r="R94" s="40"/>
      <c r="S94" s="40"/>
      <c r="T94" s="40"/>
      <c r="U94" s="58"/>
      <c r="V94" s="1"/>
      <c r="W94" s="1"/>
      <c r="X94" s="1"/>
      <c r="Y94" s="1"/>
      <c r="Z94" s="1"/>
      <c r="AA94" s="1"/>
      <c r="AB94" s="1"/>
      <c r="AC94" s="1"/>
      <c r="AD94" s="1"/>
      <c r="AE94" s="1"/>
      <c r="AF94" s="1"/>
      <c r="AG94" s="1"/>
    </row>
    <row r="95" spans="1:33" ht="16" customHeight="1">
      <c r="A95" s="49"/>
      <c r="B95" s="52"/>
      <c r="C95" s="12"/>
      <c r="D95" s="40"/>
      <c r="E95" s="40"/>
      <c r="F95" s="40"/>
      <c r="G95" s="40"/>
      <c r="H95" s="40"/>
      <c r="I95" s="40"/>
      <c r="J95" s="40"/>
      <c r="K95" s="40"/>
      <c r="L95" s="40" t="s">
        <v>1429</v>
      </c>
      <c r="M95" s="40"/>
      <c r="N95" s="40" t="str">
        <f t="shared" si="8"/>
        <v>FY2010-11</v>
      </c>
      <c r="O95" s="40" t="s">
        <v>1355</v>
      </c>
      <c r="P95" s="40" t="s">
        <v>1338</v>
      </c>
      <c r="Q95" s="40"/>
      <c r="R95" s="40"/>
      <c r="S95" s="40"/>
      <c r="T95" s="40"/>
      <c r="U95" s="58"/>
      <c r="V95" s="1"/>
      <c r="W95" s="1"/>
      <c r="X95" s="1"/>
      <c r="Y95" s="1"/>
      <c r="Z95" s="1"/>
      <c r="AA95" s="1"/>
      <c r="AB95" s="1"/>
      <c r="AC95" s="1"/>
      <c r="AD95" s="1"/>
      <c r="AE95" s="1"/>
      <c r="AF95" s="1"/>
      <c r="AG95" s="1"/>
    </row>
    <row r="96" spans="1:33" ht="16" customHeight="1">
      <c r="A96" s="49"/>
      <c r="B96" s="52"/>
      <c r="C96" s="12"/>
      <c r="D96" s="40"/>
      <c r="E96" s="40"/>
      <c r="F96" s="40"/>
      <c r="G96" s="40"/>
      <c r="H96" s="40"/>
      <c r="I96" s="40"/>
      <c r="J96" s="40"/>
      <c r="K96" s="40"/>
      <c r="L96" s="40" t="s">
        <v>1429</v>
      </c>
      <c r="M96" s="40"/>
      <c r="N96" s="40" t="str">
        <f t="shared" si="8"/>
        <v>FY2010-11</v>
      </c>
      <c r="O96" s="40" t="s">
        <v>1355</v>
      </c>
      <c r="P96" s="40" t="s">
        <v>1338</v>
      </c>
      <c r="Q96" s="40"/>
      <c r="R96" s="40"/>
      <c r="S96" s="40"/>
      <c r="T96" s="40"/>
      <c r="U96" s="58"/>
      <c r="V96" s="1"/>
      <c r="W96" s="1"/>
      <c r="X96" s="1"/>
      <c r="Y96" s="1"/>
      <c r="Z96" s="1"/>
      <c r="AA96" s="1"/>
      <c r="AB96" s="1"/>
      <c r="AC96" s="1"/>
      <c r="AD96" s="1"/>
      <c r="AE96" s="1"/>
      <c r="AF96" s="1"/>
      <c r="AG96" s="1"/>
    </row>
    <row r="97" spans="1:33" ht="16" customHeight="1">
      <c r="A97" s="49"/>
      <c r="B97" s="52"/>
      <c r="C97" s="12"/>
      <c r="D97" s="40"/>
      <c r="E97" s="40"/>
      <c r="F97" s="40"/>
      <c r="G97" s="40"/>
      <c r="H97" s="40"/>
      <c r="I97" s="40"/>
      <c r="J97" s="40"/>
      <c r="K97" s="40"/>
      <c r="L97" s="40" t="s">
        <v>1429</v>
      </c>
      <c r="M97" s="40"/>
      <c r="N97" s="40" t="str">
        <f t="shared" si="8"/>
        <v>FY2010-11</v>
      </c>
      <c r="O97" s="40" t="s">
        <v>1355</v>
      </c>
      <c r="P97" s="40" t="s">
        <v>1338</v>
      </c>
      <c r="Q97" s="40"/>
      <c r="R97" s="40"/>
      <c r="S97" s="40"/>
      <c r="T97" s="40"/>
      <c r="U97" s="58"/>
      <c r="V97" s="1"/>
      <c r="W97" s="1"/>
      <c r="X97" s="1"/>
      <c r="Y97" s="1"/>
      <c r="Z97" s="1"/>
      <c r="AA97" s="1"/>
      <c r="AB97" s="1"/>
      <c r="AC97" s="1"/>
      <c r="AD97" s="1"/>
      <c r="AE97" s="1"/>
      <c r="AF97" s="1"/>
      <c r="AG97" s="1"/>
    </row>
    <row r="98" spans="1:33" ht="16" customHeight="1">
      <c r="A98" s="49"/>
      <c r="B98" s="52"/>
      <c r="C98" s="12"/>
      <c r="D98" s="40"/>
      <c r="E98" s="40"/>
      <c r="F98" s="40"/>
      <c r="G98" s="40"/>
      <c r="H98" s="40"/>
      <c r="I98" s="40"/>
      <c r="J98" s="40"/>
      <c r="K98" s="40"/>
      <c r="L98" s="40" t="s">
        <v>1429</v>
      </c>
      <c r="M98" s="40"/>
      <c r="N98" s="40" t="str">
        <f t="shared" si="8"/>
        <v>FY2010-11</v>
      </c>
      <c r="O98" s="40" t="s">
        <v>1355</v>
      </c>
      <c r="P98" s="40" t="s">
        <v>1338</v>
      </c>
      <c r="Q98" s="40"/>
      <c r="R98" s="40"/>
      <c r="S98" s="40"/>
      <c r="T98" s="40"/>
      <c r="U98" s="58"/>
      <c r="V98" s="1"/>
      <c r="W98" s="1"/>
      <c r="X98" s="1"/>
      <c r="Y98" s="1"/>
      <c r="Z98" s="1"/>
      <c r="AA98" s="1"/>
      <c r="AB98" s="1"/>
      <c r="AC98" s="1"/>
      <c r="AD98" s="1"/>
      <c r="AE98" s="1"/>
      <c r="AF98" s="1"/>
      <c r="AG98" s="1"/>
    </row>
    <row r="99" spans="1:33" ht="16" customHeight="1">
      <c r="A99" s="36"/>
      <c r="B99" s="33"/>
      <c r="C99" s="33"/>
      <c r="D99" s="35"/>
      <c r="E99" s="35"/>
      <c r="F99" s="35"/>
      <c r="G99" s="35"/>
      <c r="H99" s="35"/>
      <c r="I99" s="35"/>
      <c r="J99" s="35"/>
      <c r="K99" s="35"/>
      <c r="L99" s="35"/>
      <c r="M99" s="35"/>
      <c r="N99" s="35"/>
      <c r="O99" s="35"/>
      <c r="P99" s="35"/>
      <c r="Q99" s="35"/>
      <c r="R99" s="35"/>
      <c r="S99" s="35"/>
      <c r="T99" s="35"/>
      <c r="U99" s="58"/>
      <c r="V99" s="1"/>
      <c r="W99" s="1"/>
      <c r="X99" s="1"/>
      <c r="Y99" s="1"/>
      <c r="Z99" s="1"/>
      <c r="AA99" s="1"/>
      <c r="AB99" s="1"/>
      <c r="AC99" s="1"/>
      <c r="AD99" s="1"/>
      <c r="AE99" s="1"/>
      <c r="AF99" s="1"/>
      <c r="AG99" s="1"/>
    </row>
    <row r="100" spans="1:33" ht="16" customHeight="1" thickBot="1">
      <c r="A100" s="49"/>
      <c r="B100" s="50" t="str">
        <f>"FA4 = "&amp;'FIG3'!$W$55&amp;" "&amp;'FIG3'!$X$55</f>
        <v>FA4 = FA4L1 FA4L2</v>
      </c>
      <c r="C100" s="49"/>
      <c r="D100" s="54"/>
      <c r="E100" s="54"/>
      <c r="F100" s="54"/>
      <c r="G100" s="54"/>
      <c r="H100" s="54"/>
      <c r="I100" s="54"/>
      <c r="J100" s="54"/>
      <c r="K100" s="54"/>
      <c r="L100" s="54"/>
      <c r="M100" s="55"/>
      <c r="N100" s="54"/>
      <c r="O100" s="54"/>
      <c r="P100" s="54"/>
      <c r="Q100" s="54"/>
      <c r="R100" s="53"/>
      <c r="S100" s="887" t="str">
        <f>'ENR#-DB'!$S$34</f>
        <v>UD1</v>
      </c>
      <c r="T100" s="887" t="str">
        <f>'ENR#-DB'!$T$34</f>
        <v>UD2</v>
      </c>
      <c r="U100" s="60"/>
      <c r="V100" s="56"/>
      <c r="W100" s="56"/>
      <c r="X100" s="56"/>
      <c r="Y100" s="56"/>
      <c r="Z100" s="56"/>
      <c r="AA100" s="56"/>
      <c r="AB100" s="56"/>
      <c r="AC100" s="56"/>
      <c r="AD100" s="56"/>
      <c r="AE100" s="56"/>
      <c r="AF100" s="56"/>
      <c r="AG100" s="1"/>
    </row>
    <row r="101" spans="1:33" ht="16" customHeight="1" thickTop="1" thickBot="1">
      <c r="A101" s="49"/>
      <c r="B101" s="51" t="s">
        <v>1375</v>
      </c>
      <c r="C101" s="15"/>
      <c r="D101" s="301" t="s">
        <v>1386</v>
      </c>
      <c r="E101" s="301" t="s">
        <v>1387</v>
      </c>
      <c r="F101" s="301" t="s">
        <v>1388</v>
      </c>
      <c r="G101" s="301" t="s">
        <v>1389</v>
      </c>
      <c r="H101" s="301" t="s">
        <v>1406</v>
      </c>
      <c r="I101" s="301" t="s">
        <v>1390</v>
      </c>
      <c r="J101" s="301" t="s">
        <v>1391</v>
      </c>
      <c r="K101" s="304" t="s">
        <v>1392</v>
      </c>
      <c r="L101" s="301" t="s">
        <v>1188</v>
      </c>
      <c r="M101" s="301" t="s">
        <v>1437</v>
      </c>
      <c r="N101" s="301" t="s">
        <v>1348</v>
      </c>
      <c r="O101" s="301" t="s">
        <v>1393</v>
      </c>
      <c r="P101" s="301" t="s">
        <v>1342</v>
      </c>
      <c r="Q101" s="112" t="s">
        <v>1224</v>
      </c>
      <c r="R101" s="112" t="s">
        <v>846</v>
      </c>
      <c r="S101" s="875" t="s">
        <v>935</v>
      </c>
      <c r="T101" s="875" t="s">
        <v>936</v>
      </c>
      <c r="U101" s="59"/>
      <c r="V101" s="2"/>
      <c r="W101" s="2"/>
      <c r="X101" s="2"/>
      <c r="Y101" s="2"/>
      <c r="Z101" s="2"/>
      <c r="AA101" s="2"/>
      <c r="AB101" s="2"/>
      <c r="AC101" s="2"/>
      <c r="AD101" s="2"/>
      <c r="AE101" s="2"/>
      <c r="AF101" s="2"/>
      <c r="AG101" s="1"/>
    </row>
    <row r="102" spans="1:33" ht="16" customHeight="1" thickTop="1">
      <c r="A102" s="49"/>
      <c r="B102" s="50" t="s">
        <v>1346</v>
      </c>
      <c r="C102" s="12"/>
      <c r="D102" s="40"/>
      <c r="E102" s="40"/>
      <c r="F102" s="40"/>
      <c r="G102" s="40"/>
      <c r="H102" s="40"/>
      <c r="I102" s="40"/>
      <c r="J102" s="40"/>
      <c r="K102" s="40"/>
      <c r="L102" s="40" t="s">
        <v>1429</v>
      </c>
      <c r="M102" s="40"/>
      <c r="N102" s="40" t="str">
        <f t="shared" ref="N102:N108" si="9">$F$8</f>
        <v>FY2010-11</v>
      </c>
      <c r="O102" s="40" t="s">
        <v>1355</v>
      </c>
      <c r="P102" s="40" t="s">
        <v>1347</v>
      </c>
      <c r="Q102" s="40"/>
      <c r="R102" s="40"/>
      <c r="S102" s="40"/>
      <c r="T102" s="40"/>
      <c r="U102" s="58"/>
      <c r="V102" s="1"/>
      <c r="W102" s="1"/>
      <c r="X102" s="1"/>
      <c r="Y102" s="1"/>
      <c r="Z102" s="1"/>
      <c r="AA102" s="1"/>
      <c r="AB102" s="1"/>
      <c r="AC102" s="1"/>
      <c r="AD102" s="1"/>
      <c r="AE102" s="1"/>
      <c r="AF102" s="1"/>
      <c r="AG102" s="1"/>
    </row>
    <row r="103" spans="1:33" ht="16" customHeight="1">
      <c r="A103" s="49"/>
      <c r="B103" s="57">
        <f>DSUM('ENR#-DB'!D35:T93,"TOTAL ENROLLMENT",'ENR#-DSUM'!D101:T108)</f>
        <v>0</v>
      </c>
      <c r="C103" s="12"/>
      <c r="D103" s="40"/>
      <c r="E103" s="40"/>
      <c r="F103" s="40"/>
      <c r="G103" s="40"/>
      <c r="H103" s="40"/>
      <c r="I103" s="40"/>
      <c r="J103" s="40"/>
      <c r="K103" s="40"/>
      <c r="L103" s="40" t="s">
        <v>1429</v>
      </c>
      <c r="M103" s="40"/>
      <c r="N103" s="40" t="str">
        <f t="shared" si="9"/>
        <v>FY2010-11</v>
      </c>
      <c r="O103" s="40" t="s">
        <v>1355</v>
      </c>
      <c r="P103" s="40" t="s">
        <v>1347</v>
      </c>
      <c r="Q103" s="40"/>
      <c r="R103" s="40"/>
      <c r="S103" s="40"/>
      <c r="T103" s="40"/>
      <c r="U103" s="58"/>
      <c r="V103" s="1"/>
      <c r="W103" s="1"/>
      <c r="X103" s="1"/>
      <c r="Y103" s="1"/>
      <c r="Z103" s="1"/>
      <c r="AA103" s="1"/>
      <c r="AB103" s="1"/>
      <c r="AC103" s="1"/>
      <c r="AD103" s="1"/>
      <c r="AE103" s="1"/>
      <c r="AF103" s="1"/>
      <c r="AG103" s="1"/>
    </row>
    <row r="104" spans="1:33" ht="16" customHeight="1">
      <c r="A104" s="49"/>
      <c r="B104" s="52"/>
      <c r="C104" s="12"/>
      <c r="D104" s="40"/>
      <c r="E104" s="40"/>
      <c r="F104" s="40"/>
      <c r="G104" s="40"/>
      <c r="H104" s="40"/>
      <c r="I104" s="40"/>
      <c r="J104" s="40"/>
      <c r="K104" s="40"/>
      <c r="L104" s="40" t="s">
        <v>1429</v>
      </c>
      <c r="M104" s="40"/>
      <c r="N104" s="40" t="str">
        <f t="shared" si="9"/>
        <v>FY2010-11</v>
      </c>
      <c r="O104" s="40" t="s">
        <v>1355</v>
      </c>
      <c r="P104" s="40" t="s">
        <v>1347</v>
      </c>
      <c r="Q104" s="40"/>
      <c r="R104" s="40"/>
      <c r="S104" s="40"/>
      <c r="T104" s="40"/>
      <c r="U104" s="58"/>
      <c r="V104" s="1"/>
      <c r="W104" s="1"/>
      <c r="X104" s="1"/>
      <c r="Y104" s="1"/>
      <c r="Z104" s="1"/>
      <c r="AA104" s="1"/>
      <c r="AB104" s="1"/>
      <c r="AC104" s="1"/>
      <c r="AD104" s="1"/>
      <c r="AE104" s="1"/>
      <c r="AF104" s="1"/>
      <c r="AG104" s="1"/>
    </row>
    <row r="105" spans="1:33" ht="16" customHeight="1">
      <c r="A105" s="49"/>
      <c r="B105" s="52"/>
      <c r="C105" s="12"/>
      <c r="D105" s="40"/>
      <c r="E105" s="40"/>
      <c r="F105" s="40"/>
      <c r="G105" s="40"/>
      <c r="H105" s="40"/>
      <c r="I105" s="40"/>
      <c r="J105" s="40"/>
      <c r="K105" s="40"/>
      <c r="L105" s="40" t="s">
        <v>1429</v>
      </c>
      <c r="M105" s="40"/>
      <c r="N105" s="40" t="str">
        <f t="shared" si="9"/>
        <v>FY2010-11</v>
      </c>
      <c r="O105" s="40" t="s">
        <v>1355</v>
      </c>
      <c r="P105" s="40" t="s">
        <v>1347</v>
      </c>
      <c r="Q105" s="40"/>
      <c r="R105" s="40"/>
      <c r="S105" s="40"/>
      <c r="T105" s="40"/>
      <c r="U105" s="58"/>
      <c r="V105" s="1"/>
      <c r="W105" s="1"/>
      <c r="X105" s="1"/>
      <c r="Y105" s="1"/>
      <c r="Z105" s="1"/>
      <c r="AA105" s="1"/>
      <c r="AB105" s="1"/>
      <c r="AC105" s="1"/>
      <c r="AD105" s="1"/>
      <c r="AE105" s="1"/>
      <c r="AF105" s="1"/>
      <c r="AG105" s="1"/>
    </row>
    <row r="106" spans="1:33" ht="16" customHeight="1">
      <c r="A106" s="49"/>
      <c r="B106" s="52"/>
      <c r="C106" s="12"/>
      <c r="D106" s="40"/>
      <c r="E106" s="40"/>
      <c r="F106" s="40"/>
      <c r="G106" s="40"/>
      <c r="H106" s="40"/>
      <c r="I106" s="40"/>
      <c r="J106" s="40"/>
      <c r="K106" s="40"/>
      <c r="L106" s="40" t="s">
        <v>1429</v>
      </c>
      <c r="M106" s="40"/>
      <c r="N106" s="40" t="str">
        <f t="shared" si="9"/>
        <v>FY2010-11</v>
      </c>
      <c r="O106" s="40" t="s">
        <v>1355</v>
      </c>
      <c r="P106" s="40" t="s">
        <v>1347</v>
      </c>
      <c r="Q106" s="40"/>
      <c r="R106" s="40"/>
      <c r="S106" s="40"/>
      <c r="T106" s="40"/>
      <c r="U106" s="58"/>
      <c r="V106" s="1"/>
      <c r="W106" s="1"/>
      <c r="X106" s="1"/>
      <c r="Y106" s="1"/>
      <c r="Z106" s="1"/>
      <c r="AA106" s="1"/>
      <c r="AB106" s="1"/>
      <c r="AC106" s="1"/>
      <c r="AD106" s="1"/>
      <c r="AE106" s="1"/>
      <c r="AF106" s="1"/>
      <c r="AG106" s="1"/>
    </row>
    <row r="107" spans="1:33" ht="16" customHeight="1">
      <c r="A107" s="49"/>
      <c r="B107" s="52"/>
      <c r="C107" s="12"/>
      <c r="D107" s="40"/>
      <c r="E107" s="40"/>
      <c r="F107" s="40"/>
      <c r="G107" s="40"/>
      <c r="H107" s="40"/>
      <c r="I107" s="40"/>
      <c r="J107" s="40"/>
      <c r="K107" s="40"/>
      <c r="L107" s="40" t="s">
        <v>1429</v>
      </c>
      <c r="M107" s="40"/>
      <c r="N107" s="40" t="str">
        <f t="shared" si="9"/>
        <v>FY2010-11</v>
      </c>
      <c r="O107" s="40" t="s">
        <v>1355</v>
      </c>
      <c r="P107" s="40" t="s">
        <v>1347</v>
      </c>
      <c r="Q107" s="40"/>
      <c r="R107" s="40"/>
      <c r="S107" s="40"/>
      <c r="T107" s="40"/>
      <c r="U107" s="58"/>
      <c r="V107" s="1"/>
      <c r="W107" s="1"/>
      <c r="X107" s="1"/>
      <c r="Y107" s="1"/>
      <c r="Z107" s="1"/>
      <c r="AA107" s="1"/>
      <c r="AB107" s="1"/>
      <c r="AC107" s="1"/>
      <c r="AD107" s="1"/>
      <c r="AE107" s="1"/>
      <c r="AF107" s="1"/>
      <c r="AG107" s="1"/>
    </row>
    <row r="108" spans="1:33" ht="16" customHeight="1">
      <c r="A108" s="49"/>
      <c r="B108" s="52"/>
      <c r="C108" s="12"/>
      <c r="D108" s="40"/>
      <c r="E108" s="40"/>
      <c r="F108" s="40"/>
      <c r="G108" s="40"/>
      <c r="H108" s="40"/>
      <c r="I108" s="40"/>
      <c r="J108" s="40"/>
      <c r="K108" s="40"/>
      <c r="L108" s="40" t="s">
        <v>1429</v>
      </c>
      <c r="M108" s="40"/>
      <c r="N108" s="40" t="str">
        <f t="shared" si="9"/>
        <v>FY2010-11</v>
      </c>
      <c r="O108" s="40" t="s">
        <v>1355</v>
      </c>
      <c r="P108" s="40" t="s">
        <v>1347</v>
      </c>
      <c r="Q108" s="40"/>
      <c r="R108" s="40"/>
      <c r="S108" s="40"/>
      <c r="T108" s="40"/>
      <c r="U108" s="58"/>
      <c r="V108" s="1"/>
      <c r="W108" s="1"/>
      <c r="X108" s="1"/>
      <c r="Y108" s="1"/>
      <c r="Z108" s="1"/>
      <c r="AA108" s="1"/>
      <c r="AB108" s="1"/>
      <c r="AC108" s="1"/>
      <c r="AD108" s="1"/>
      <c r="AE108" s="1"/>
      <c r="AF108" s="1"/>
      <c r="AG108" s="1"/>
    </row>
    <row r="109" spans="1:33" ht="16" customHeight="1">
      <c r="A109" s="44"/>
      <c r="B109" s="41"/>
      <c r="C109" s="41"/>
      <c r="D109" s="43"/>
      <c r="E109" s="43"/>
      <c r="F109" s="43"/>
      <c r="G109" s="43"/>
      <c r="H109" s="43"/>
      <c r="I109" s="43"/>
      <c r="J109" s="43"/>
      <c r="K109" s="43"/>
      <c r="L109" s="43"/>
      <c r="M109" s="43"/>
      <c r="N109" s="43"/>
      <c r="O109" s="43"/>
      <c r="P109" s="43"/>
      <c r="Q109" s="43"/>
      <c r="R109" s="43"/>
      <c r="S109" s="43"/>
      <c r="T109" s="43"/>
      <c r="U109" s="58"/>
      <c r="V109" s="1"/>
      <c r="W109" s="1"/>
      <c r="X109" s="1"/>
      <c r="Y109" s="1"/>
      <c r="Z109" s="1"/>
      <c r="AA109" s="1"/>
      <c r="AB109" s="1"/>
      <c r="AC109" s="1"/>
      <c r="AD109" s="1"/>
      <c r="AE109" s="1"/>
      <c r="AF109" s="1"/>
      <c r="AG109" s="1"/>
    </row>
    <row r="110" spans="1:33" ht="16" customHeight="1" thickBot="1">
      <c r="A110" s="49"/>
      <c r="B110" s="50" t="str">
        <f>"FA5 = "&amp;'FIG3'!$W$56&amp;" "&amp;'FIG3'!$X$56</f>
        <v>FA5 = FA5L1 FA5L2</v>
      </c>
      <c r="C110" s="49"/>
      <c r="D110" s="54"/>
      <c r="E110" s="54"/>
      <c r="F110" s="54"/>
      <c r="G110" s="54"/>
      <c r="H110" s="54"/>
      <c r="I110" s="54"/>
      <c r="J110" s="54"/>
      <c r="K110" s="54"/>
      <c r="L110" s="54"/>
      <c r="M110" s="55"/>
      <c r="N110" s="54"/>
      <c r="O110" s="54"/>
      <c r="P110" s="54"/>
      <c r="Q110" s="54"/>
      <c r="R110" s="53"/>
      <c r="S110" s="887" t="str">
        <f>'ENR#-DB'!$S$34</f>
        <v>UD1</v>
      </c>
      <c r="T110" s="887" t="str">
        <f>'ENR#-DB'!$T$34</f>
        <v>UD2</v>
      </c>
      <c r="U110" s="60"/>
      <c r="V110" s="56"/>
      <c r="W110" s="56"/>
      <c r="X110" s="56"/>
      <c r="Y110" s="56"/>
      <c r="Z110" s="56"/>
      <c r="AA110" s="56"/>
      <c r="AB110" s="56"/>
      <c r="AC110" s="56"/>
      <c r="AD110" s="56"/>
      <c r="AE110" s="56"/>
      <c r="AF110" s="56"/>
      <c r="AG110" s="1"/>
    </row>
    <row r="111" spans="1:33" ht="16" customHeight="1" thickTop="1" thickBot="1">
      <c r="A111" s="49"/>
      <c r="B111" s="51" t="s">
        <v>1399</v>
      </c>
      <c r="C111" s="15"/>
      <c r="D111" s="301" t="s">
        <v>1386</v>
      </c>
      <c r="E111" s="301" t="s">
        <v>1387</v>
      </c>
      <c r="F111" s="301" t="s">
        <v>1388</v>
      </c>
      <c r="G111" s="301" t="s">
        <v>1389</v>
      </c>
      <c r="H111" s="301" t="s">
        <v>1406</v>
      </c>
      <c r="I111" s="301" t="s">
        <v>1390</v>
      </c>
      <c r="J111" s="301" t="s">
        <v>1391</v>
      </c>
      <c r="K111" s="304" t="s">
        <v>1392</v>
      </c>
      <c r="L111" s="301" t="s">
        <v>1188</v>
      </c>
      <c r="M111" s="301" t="s">
        <v>1437</v>
      </c>
      <c r="N111" s="301" t="s">
        <v>1348</v>
      </c>
      <c r="O111" s="301" t="s">
        <v>1393</v>
      </c>
      <c r="P111" s="301" t="s">
        <v>1342</v>
      </c>
      <c r="Q111" s="112" t="s">
        <v>1224</v>
      </c>
      <c r="R111" s="112" t="s">
        <v>846</v>
      </c>
      <c r="S111" s="875" t="s">
        <v>935</v>
      </c>
      <c r="T111" s="875" t="s">
        <v>936</v>
      </c>
      <c r="U111" s="59"/>
      <c r="V111" s="2"/>
      <c r="W111" s="2"/>
      <c r="X111" s="2"/>
      <c r="Y111" s="2"/>
      <c r="Z111" s="2"/>
      <c r="AA111" s="2"/>
      <c r="AB111" s="2"/>
      <c r="AC111" s="2"/>
      <c r="AD111" s="2"/>
      <c r="AE111" s="2"/>
      <c r="AF111" s="2"/>
      <c r="AG111" s="1"/>
    </row>
    <row r="112" spans="1:33" ht="16" customHeight="1" thickTop="1">
      <c r="A112" s="49"/>
      <c r="B112" s="50" t="s">
        <v>1346</v>
      </c>
      <c r="C112" s="12"/>
      <c r="D112" s="45"/>
      <c r="E112" s="45"/>
      <c r="F112" s="45"/>
      <c r="G112" s="45"/>
      <c r="H112" s="45"/>
      <c r="I112" s="45"/>
      <c r="J112" s="45"/>
      <c r="K112" s="45"/>
      <c r="L112" s="45" t="s">
        <v>1429</v>
      </c>
      <c r="M112" s="45"/>
      <c r="N112" s="45" t="str">
        <f t="shared" ref="N112:N118" si="10">$F$8</f>
        <v>FY2010-11</v>
      </c>
      <c r="O112" s="45" t="s">
        <v>1356</v>
      </c>
      <c r="P112" s="45" t="s">
        <v>1338</v>
      </c>
      <c r="Q112" s="45"/>
      <c r="R112" s="45"/>
      <c r="S112" s="45"/>
      <c r="T112" s="45"/>
      <c r="U112" s="58"/>
      <c r="V112" s="1"/>
      <c r="W112" s="1"/>
      <c r="X112" s="1"/>
      <c r="Y112" s="1"/>
      <c r="Z112" s="1"/>
      <c r="AA112" s="1"/>
      <c r="AB112" s="1"/>
      <c r="AC112" s="1"/>
      <c r="AD112" s="1"/>
      <c r="AE112" s="1"/>
      <c r="AF112" s="1"/>
      <c r="AG112" s="1"/>
    </row>
    <row r="113" spans="1:33" ht="16" customHeight="1">
      <c r="A113" s="49"/>
      <c r="B113" s="57">
        <f>DSUM('ENR#-DB'!D35:T93,"TOTAL ENROLLMENT",'ENR#-DSUM'!D111:T118)</f>
        <v>0</v>
      </c>
      <c r="C113" s="12"/>
      <c r="D113" s="45"/>
      <c r="E113" s="45"/>
      <c r="F113" s="45"/>
      <c r="G113" s="45"/>
      <c r="H113" s="45"/>
      <c r="I113" s="45"/>
      <c r="J113" s="45"/>
      <c r="K113" s="45"/>
      <c r="L113" s="45" t="s">
        <v>1429</v>
      </c>
      <c r="M113" s="45"/>
      <c r="N113" s="45" t="str">
        <f t="shared" si="10"/>
        <v>FY2010-11</v>
      </c>
      <c r="O113" s="45" t="s">
        <v>1356</v>
      </c>
      <c r="P113" s="45" t="s">
        <v>1338</v>
      </c>
      <c r="Q113" s="45"/>
      <c r="R113" s="45"/>
      <c r="S113" s="45"/>
      <c r="T113" s="45"/>
      <c r="U113" s="58"/>
      <c r="V113" s="1"/>
      <c r="W113" s="1"/>
      <c r="X113" s="1"/>
      <c r="Y113" s="1"/>
      <c r="Z113" s="1"/>
      <c r="AA113" s="1"/>
      <c r="AB113" s="1"/>
      <c r="AC113" s="1"/>
      <c r="AD113" s="1"/>
      <c r="AE113" s="1"/>
      <c r="AF113" s="1"/>
      <c r="AG113" s="1"/>
    </row>
    <row r="114" spans="1:33" ht="16" customHeight="1">
      <c r="A114" s="49"/>
      <c r="B114" s="52"/>
      <c r="C114" s="12"/>
      <c r="D114" s="45"/>
      <c r="E114" s="45"/>
      <c r="F114" s="45"/>
      <c r="G114" s="45"/>
      <c r="H114" s="45"/>
      <c r="I114" s="45"/>
      <c r="J114" s="45"/>
      <c r="K114" s="45"/>
      <c r="L114" s="45" t="s">
        <v>1429</v>
      </c>
      <c r="M114" s="45"/>
      <c r="N114" s="45" t="str">
        <f t="shared" si="10"/>
        <v>FY2010-11</v>
      </c>
      <c r="O114" s="45" t="s">
        <v>1356</v>
      </c>
      <c r="P114" s="45" t="s">
        <v>1338</v>
      </c>
      <c r="Q114" s="45"/>
      <c r="R114" s="45"/>
      <c r="S114" s="45"/>
      <c r="T114" s="45"/>
      <c r="U114" s="58"/>
      <c r="V114" s="1"/>
      <c r="W114" s="1"/>
      <c r="X114" s="1"/>
      <c r="Y114" s="1"/>
      <c r="Z114" s="1"/>
      <c r="AA114" s="1"/>
      <c r="AB114" s="1"/>
      <c r="AC114" s="1"/>
      <c r="AD114" s="1"/>
      <c r="AE114" s="1"/>
      <c r="AF114" s="1"/>
      <c r="AG114" s="1"/>
    </row>
    <row r="115" spans="1:33" ht="16" customHeight="1">
      <c r="A115" s="49"/>
      <c r="B115" s="52"/>
      <c r="C115" s="12"/>
      <c r="D115" s="45"/>
      <c r="E115" s="45"/>
      <c r="F115" s="45"/>
      <c r="G115" s="45"/>
      <c r="H115" s="45"/>
      <c r="I115" s="45"/>
      <c r="J115" s="45"/>
      <c r="K115" s="45"/>
      <c r="L115" s="45" t="s">
        <v>1429</v>
      </c>
      <c r="M115" s="45"/>
      <c r="N115" s="45" t="str">
        <f t="shared" si="10"/>
        <v>FY2010-11</v>
      </c>
      <c r="O115" s="45" t="s">
        <v>1356</v>
      </c>
      <c r="P115" s="45" t="s">
        <v>1338</v>
      </c>
      <c r="Q115" s="45"/>
      <c r="R115" s="45"/>
      <c r="S115" s="45"/>
      <c r="T115" s="45"/>
      <c r="U115" s="58"/>
      <c r="V115" s="1"/>
      <c r="W115" s="1"/>
      <c r="X115" s="1"/>
      <c r="Y115" s="1"/>
      <c r="Z115" s="1"/>
      <c r="AA115" s="1"/>
      <c r="AB115" s="1"/>
      <c r="AC115" s="1"/>
      <c r="AD115" s="1"/>
      <c r="AE115" s="1"/>
      <c r="AF115" s="1"/>
      <c r="AG115" s="1"/>
    </row>
    <row r="116" spans="1:33" ht="16" customHeight="1">
      <c r="A116" s="49"/>
      <c r="B116" s="52"/>
      <c r="C116" s="12"/>
      <c r="D116" s="45"/>
      <c r="E116" s="45"/>
      <c r="F116" s="45"/>
      <c r="G116" s="45"/>
      <c r="H116" s="45"/>
      <c r="I116" s="45"/>
      <c r="J116" s="45"/>
      <c r="K116" s="45"/>
      <c r="L116" s="45" t="s">
        <v>1429</v>
      </c>
      <c r="M116" s="45"/>
      <c r="N116" s="45" t="str">
        <f t="shared" si="10"/>
        <v>FY2010-11</v>
      </c>
      <c r="O116" s="45" t="s">
        <v>1356</v>
      </c>
      <c r="P116" s="45" t="s">
        <v>1338</v>
      </c>
      <c r="Q116" s="45"/>
      <c r="R116" s="45"/>
      <c r="S116" s="45"/>
      <c r="T116" s="45"/>
      <c r="U116" s="58"/>
      <c r="V116" s="1"/>
      <c r="W116" s="1"/>
      <c r="X116" s="1"/>
      <c r="Y116" s="1"/>
      <c r="Z116" s="1"/>
      <c r="AA116" s="1"/>
      <c r="AB116" s="1"/>
      <c r="AC116" s="1"/>
      <c r="AD116" s="1"/>
      <c r="AE116" s="1"/>
      <c r="AF116" s="1"/>
      <c r="AG116" s="1"/>
    </row>
    <row r="117" spans="1:33" ht="16" customHeight="1">
      <c r="A117" s="49"/>
      <c r="B117" s="52"/>
      <c r="C117" s="12"/>
      <c r="D117" s="45"/>
      <c r="E117" s="45"/>
      <c r="F117" s="45"/>
      <c r="G117" s="45"/>
      <c r="H117" s="45"/>
      <c r="I117" s="45"/>
      <c r="J117" s="45"/>
      <c r="K117" s="45"/>
      <c r="L117" s="45" t="s">
        <v>1429</v>
      </c>
      <c r="M117" s="45"/>
      <c r="N117" s="45" t="str">
        <f t="shared" si="10"/>
        <v>FY2010-11</v>
      </c>
      <c r="O117" s="45" t="s">
        <v>1356</v>
      </c>
      <c r="P117" s="45" t="s">
        <v>1338</v>
      </c>
      <c r="Q117" s="45"/>
      <c r="R117" s="45"/>
      <c r="S117" s="45"/>
      <c r="T117" s="45"/>
      <c r="U117" s="58"/>
      <c r="V117" s="1"/>
      <c r="W117" s="1"/>
      <c r="X117" s="1"/>
      <c r="Y117" s="1"/>
      <c r="Z117" s="1"/>
      <c r="AA117" s="1"/>
      <c r="AB117" s="1"/>
      <c r="AC117" s="1"/>
      <c r="AD117" s="1"/>
      <c r="AE117" s="1"/>
      <c r="AF117" s="1"/>
      <c r="AG117" s="1"/>
    </row>
    <row r="118" spans="1:33" ht="16" customHeight="1">
      <c r="A118" s="49"/>
      <c r="B118" s="52"/>
      <c r="C118" s="12"/>
      <c r="D118" s="45"/>
      <c r="E118" s="45"/>
      <c r="F118" s="45"/>
      <c r="G118" s="45"/>
      <c r="H118" s="45"/>
      <c r="I118" s="45"/>
      <c r="J118" s="45"/>
      <c r="K118" s="45"/>
      <c r="L118" s="45" t="s">
        <v>1429</v>
      </c>
      <c r="M118" s="45"/>
      <c r="N118" s="45" t="str">
        <f t="shared" si="10"/>
        <v>FY2010-11</v>
      </c>
      <c r="O118" s="45" t="s">
        <v>1356</v>
      </c>
      <c r="P118" s="45" t="s">
        <v>1338</v>
      </c>
      <c r="Q118" s="45"/>
      <c r="R118" s="45"/>
      <c r="S118" s="45"/>
      <c r="T118" s="45"/>
      <c r="U118" s="58"/>
      <c r="V118" s="1"/>
      <c r="W118" s="1"/>
      <c r="X118" s="1"/>
      <c r="Y118" s="1"/>
      <c r="Z118" s="1"/>
      <c r="AA118" s="1"/>
      <c r="AB118" s="1"/>
      <c r="AC118" s="1"/>
      <c r="AD118" s="1"/>
      <c r="AE118" s="1"/>
      <c r="AF118" s="1"/>
      <c r="AG118" s="1"/>
    </row>
    <row r="119" spans="1:33" ht="16" customHeight="1">
      <c r="A119" s="44"/>
      <c r="B119" s="41"/>
      <c r="C119" s="41"/>
      <c r="D119" s="43"/>
      <c r="E119" s="43"/>
      <c r="F119" s="43"/>
      <c r="G119" s="43"/>
      <c r="H119" s="43"/>
      <c r="I119" s="43"/>
      <c r="J119" s="43"/>
      <c r="K119" s="43"/>
      <c r="L119" s="43"/>
      <c r="M119" s="43"/>
      <c r="N119" s="43"/>
      <c r="O119" s="43"/>
      <c r="P119" s="43"/>
      <c r="Q119" s="43"/>
      <c r="R119" s="43"/>
      <c r="S119" s="43"/>
      <c r="T119" s="43"/>
      <c r="U119" s="58"/>
      <c r="V119" s="1"/>
      <c r="W119" s="1"/>
      <c r="X119" s="1"/>
      <c r="Y119" s="1"/>
      <c r="Z119" s="1"/>
      <c r="AA119" s="1"/>
      <c r="AB119" s="1"/>
      <c r="AC119" s="1"/>
      <c r="AD119" s="1"/>
      <c r="AE119" s="1"/>
      <c r="AF119" s="1"/>
      <c r="AG119" s="1"/>
    </row>
    <row r="120" spans="1:33" ht="16" customHeight="1" thickBot="1">
      <c r="A120" s="49"/>
      <c r="B120" s="50" t="str">
        <f>"FA5 = "&amp;'FIG3'!$W$56&amp;" "&amp;'FIG3'!$X$56</f>
        <v>FA5 = FA5L1 FA5L2</v>
      </c>
      <c r="C120" s="49"/>
      <c r="D120" s="54"/>
      <c r="E120" s="54"/>
      <c r="F120" s="54"/>
      <c r="G120" s="54"/>
      <c r="H120" s="54"/>
      <c r="I120" s="54"/>
      <c r="J120" s="54"/>
      <c r="K120" s="54"/>
      <c r="L120" s="54"/>
      <c r="M120" s="55"/>
      <c r="N120" s="54"/>
      <c r="O120" s="54"/>
      <c r="P120" s="54"/>
      <c r="Q120" s="54"/>
      <c r="R120" s="53"/>
      <c r="S120" s="887" t="str">
        <f>'ENR#-DB'!$S$34</f>
        <v>UD1</v>
      </c>
      <c r="T120" s="887" t="str">
        <f>'ENR#-DB'!$T$34</f>
        <v>UD2</v>
      </c>
      <c r="U120" s="60"/>
      <c r="V120" s="56"/>
      <c r="W120" s="56"/>
      <c r="X120" s="56"/>
      <c r="Y120" s="56"/>
      <c r="Z120" s="56"/>
      <c r="AA120" s="56"/>
      <c r="AB120" s="56"/>
      <c r="AC120" s="56"/>
      <c r="AD120" s="56"/>
      <c r="AE120" s="56"/>
      <c r="AF120" s="56"/>
      <c r="AG120" s="1"/>
    </row>
    <row r="121" spans="1:33" ht="16" customHeight="1" thickTop="1" thickBot="1">
      <c r="A121" s="49"/>
      <c r="B121" s="51" t="s">
        <v>1375</v>
      </c>
      <c r="C121" s="15"/>
      <c r="D121" s="301" t="s">
        <v>1386</v>
      </c>
      <c r="E121" s="301" t="s">
        <v>1387</v>
      </c>
      <c r="F121" s="301" t="s">
        <v>1388</v>
      </c>
      <c r="G121" s="301" t="s">
        <v>1389</v>
      </c>
      <c r="H121" s="301" t="s">
        <v>1406</v>
      </c>
      <c r="I121" s="301" t="s">
        <v>1390</v>
      </c>
      <c r="J121" s="301" t="s">
        <v>1391</v>
      </c>
      <c r="K121" s="304" t="s">
        <v>1392</v>
      </c>
      <c r="L121" s="301" t="s">
        <v>1188</v>
      </c>
      <c r="M121" s="301" t="s">
        <v>1437</v>
      </c>
      <c r="N121" s="301" t="s">
        <v>1348</v>
      </c>
      <c r="O121" s="301" t="s">
        <v>1393</v>
      </c>
      <c r="P121" s="301" t="s">
        <v>1342</v>
      </c>
      <c r="Q121" s="112" t="s">
        <v>1224</v>
      </c>
      <c r="R121" s="112" t="s">
        <v>846</v>
      </c>
      <c r="S121" s="875" t="s">
        <v>935</v>
      </c>
      <c r="T121" s="875" t="s">
        <v>936</v>
      </c>
      <c r="U121" s="59"/>
      <c r="V121" s="2"/>
      <c r="W121" s="2"/>
      <c r="X121" s="2"/>
      <c r="Y121" s="2"/>
      <c r="Z121" s="2"/>
      <c r="AA121" s="2"/>
      <c r="AB121" s="2"/>
      <c r="AC121" s="2"/>
      <c r="AD121" s="2"/>
      <c r="AE121" s="2"/>
      <c r="AF121" s="2"/>
      <c r="AG121" s="1"/>
    </row>
    <row r="122" spans="1:33" ht="16" customHeight="1" thickTop="1">
      <c r="A122" s="49"/>
      <c r="B122" s="50" t="s">
        <v>1346</v>
      </c>
      <c r="C122" s="12"/>
      <c r="D122" s="45"/>
      <c r="E122" s="45"/>
      <c r="F122" s="45"/>
      <c r="G122" s="45"/>
      <c r="H122" s="45"/>
      <c r="I122" s="45"/>
      <c r="J122" s="45"/>
      <c r="K122" s="45"/>
      <c r="L122" s="45" t="s">
        <v>1429</v>
      </c>
      <c r="M122" s="45"/>
      <c r="N122" s="45" t="str">
        <f t="shared" ref="N122:N128" si="11">$F$8</f>
        <v>FY2010-11</v>
      </c>
      <c r="O122" s="45" t="s">
        <v>1356</v>
      </c>
      <c r="P122" s="45" t="s">
        <v>1347</v>
      </c>
      <c r="Q122" s="45"/>
      <c r="R122" s="45"/>
      <c r="S122" s="45"/>
      <c r="T122" s="45"/>
      <c r="U122" s="58"/>
      <c r="V122" s="1"/>
      <c r="W122" s="1"/>
      <c r="X122" s="1"/>
      <c r="Y122" s="1"/>
      <c r="Z122" s="1"/>
      <c r="AA122" s="1"/>
      <c r="AB122" s="1"/>
      <c r="AC122" s="1"/>
      <c r="AD122" s="1"/>
      <c r="AE122" s="1"/>
      <c r="AF122" s="1"/>
      <c r="AG122" s="1"/>
    </row>
    <row r="123" spans="1:33" ht="16" customHeight="1">
      <c r="A123" s="49"/>
      <c r="B123" s="57">
        <f>DSUM('ENR#-DB'!D35:T93,"TOTAL ENROLLMENT",'ENR#-DSUM'!D121:T128)</f>
        <v>0</v>
      </c>
      <c r="C123" s="12"/>
      <c r="D123" s="45"/>
      <c r="E123" s="45"/>
      <c r="F123" s="45"/>
      <c r="G123" s="45"/>
      <c r="H123" s="45"/>
      <c r="I123" s="45"/>
      <c r="J123" s="45"/>
      <c r="K123" s="45"/>
      <c r="L123" s="45" t="s">
        <v>1429</v>
      </c>
      <c r="M123" s="45"/>
      <c r="N123" s="45" t="str">
        <f t="shared" si="11"/>
        <v>FY2010-11</v>
      </c>
      <c r="O123" s="45" t="s">
        <v>1356</v>
      </c>
      <c r="P123" s="45" t="s">
        <v>1347</v>
      </c>
      <c r="Q123" s="45"/>
      <c r="R123" s="45"/>
      <c r="S123" s="45"/>
      <c r="T123" s="45"/>
      <c r="U123" s="58"/>
      <c r="V123" s="1"/>
      <c r="W123" s="1"/>
      <c r="X123" s="1"/>
      <c r="Y123" s="1"/>
      <c r="Z123" s="1"/>
      <c r="AA123" s="1"/>
      <c r="AB123" s="1"/>
      <c r="AC123" s="1"/>
      <c r="AD123" s="1"/>
      <c r="AE123" s="1"/>
      <c r="AF123" s="1"/>
      <c r="AG123" s="1"/>
    </row>
    <row r="124" spans="1:33" ht="16" customHeight="1">
      <c r="A124" s="49"/>
      <c r="B124" s="52"/>
      <c r="C124" s="12"/>
      <c r="D124" s="45"/>
      <c r="E124" s="45"/>
      <c r="F124" s="45"/>
      <c r="G124" s="45"/>
      <c r="H124" s="45"/>
      <c r="I124" s="45"/>
      <c r="J124" s="45"/>
      <c r="K124" s="45"/>
      <c r="L124" s="45" t="s">
        <v>1429</v>
      </c>
      <c r="M124" s="45"/>
      <c r="N124" s="45" t="str">
        <f t="shared" si="11"/>
        <v>FY2010-11</v>
      </c>
      <c r="O124" s="45" t="s">
        <v>1356</v>
      </c>
      <c r="P124" s="45" t="s">
        <v>1347</v>
      </c>
      <c r="Q124" s="45"/>
      <c r="R124" s="45"/>
      <c r="S124" s="45"/>
      <c r="T124" s="45"/>
      <c r="U124" s="58"/>
      <c r="V124" s="1"/>
      <c r="W124" s="1"/>
      <c r="X124" s="1"/>
      <c r="Y124" s="1"/>
      <c r="Z124" s="1"/>
      <c r="AA124" s="1"/>
      <c r="AB124" s="1"/>
      <c r="AC124" s="1"/>
      <c r="AD124" s="1"/>
      <c r="AE124" s="1"/>
      <c r="AF124" s="1"/>
      <c r="AG124" s="1"/>
    </row>
    <row r="125" spans="1:33" ht="16" customHeight="1">
      <c r="A125" s="49"/>
      <c r="B125" s="52"/>
      <c r="C125" s="12"/>
      <c r="D125" s="45"/>
      <c r="E125" s="45"/>
      <c r="F125" s="45"/>
      <c r="G125" s="45"/>
      <c r="H125" s="45"/>
      <c r="I125" s="45"/>
      <c r="J125" s="45"/>
      <c r="K125" s="45"/>
      <c r="L125" s="45" t="s">
        <v>1429</v>
      </c>
      <c r="M125" s="45"/>
      <c r="N125" s="45" t="str">
        <f t="shared" si="11"/>
        <v>FY2010-11</v>
      </c>
      <c r="O125" s="45" t="s">
        <v>1356</v>
      </c>
      <c r="P125" s="45" t="s">
        <v>1347</v>
      </c>
      <c r="Q125" s="45"/>
      <c r="R125" s="45"/>
      <c r="S125" s="45"/>
      <c r="T125" s="45"/>
      <c r="U125" s="58"/>
      <c r="V125" s="1"/>
      <c r="W125" s="1"/>
      <c r="X125" s="1"/>
      <c r="Y125" s="1"/>
      <c r="Z125" s="1"/>
      <c r="AA125" s="1"/>
      <c r="AB125" s="1"/>
      <c r="AC125" s="1"/>
      <c r="AD125" s="1"/>
      <c r="AE125" s="1"/>
      <c r="AF125" s="1"/>
      <c r="AG125" s="1"/>
    </row>
    <row r="126" spans="1:33" ht="16" customHeight="1">
      <c r="A126" s="49"/>
      <c r="B126" s="52"/>
      <c r="C126" s="12"/>
      <c r="D126" s="45"/>
      <c r="E126" s="45"/>
      <c r="F126" s="45"/>
      <c r="G126" s="45"/>
      <c r="H126" s="45"/>
      <c r="I126" s="45"/>
      <c r="J126" s="45"/>
      <c r="K126" s="45"/>
      <c r="L126" s="45" t="s">
        <v>1429</v>
      </c>
      <c r="M126" s="45"/>
      <c r="N126" s="45" t="str">
        <f t="shared" si="11"/>
        <v>FY2010-11</v>
      </c>
      <c r="O126" s="45" t="s">
        <v>1356</v>
      </c>
      <c r="P126" s="45" t="s">
        <v>1347</v>
      </c>
      <c r="Q126" s="45"/>
      <c r="R126" s="45"/>
      <c r="S126" s="45"/>
      <c r="T126" s="45"/>
      <c r="U126" s="58"/>
      <c r="V126" s="1"/>
      <c r="W126" s="1"/>
      <c r="X126" s="1"/>
      <c r="Y126" s="1"/>
      <c r="Z126" s="1"/>
      <c r="AA126" s="1"/>
      <c r="AB126" s="1"/>
      <c r="AC126" s="1"/>
      <c r="AD126" s="1"/>
      <c r="AE126" s="1"/>
      <c r="AF126" s="1"/>
      <c r="AG126" s="1"/>
    </row>
    <row r="127" spans="1:33" ht="16" customHeight="1">
      <c r="A127" s="49"/>
      <c r="B127" s="52"/>
      <c r="C127" s="12"/>
      <c r="D127" s="45"/>
      <c r="E127" s="45"/>
      <c r="F127" s="45"/>
      <c r="G127" s="45"/>
      <c r="H127" s="45"/>
      <c r="I127" s="45"/>
      <c r="J127" s="45"/>
      <c r="K127" s="45"/>
      <c r="L127" s="45" t="s">
        <v>1429</v>
      </c>
      <c r="M127" s="45"/>
      <c r="N127" s="45" t="str">
        <f t="shared" si="11"/>
        <v>FY2010-11</v>
      </c>
      <c r="O127" s="45" t="s">
        <v>1356</v>
      </c>
      <c r="P127" s="45" t="s">
        <v>1347</v>
      </c>
      <c r="Q127" s="45"/>
      <c r="R127" s="45"/>
      <c r="S127" s="45"/>
      <c r="T127" s="45"/>
      <c r="U127" s="58"/>
      <c r="V127" s="1"/>
      <c r="W127" s="1"/>
      <c r="X127" s="1"/>
      <c r="Y127" s="1"/>
      <c r="Z127" s="1"/>
      <c r="AA127" s="1"/>
      <c r="AB127" s="1"/>
      <c r="AC127" s="1"/>
      <c r="AD127" s="1"/>
      <c r="AE127" s="1"/>
      <c r="AF127" s="1"/>
      <c r="AG127" s="1"/>
    </row>
    <row r="128" spans="1:33" ht="16" customHeight="1">
      <c r="A128" s="49"/>
      <c r="B128" s="52"/>
      <c r="C128" s="12"/>
      <c r="D128" s="45"/>
      <c r="E128" s="45"/>
      <c r="F128" s="45"/>
      <c r="G128" s="45"/>
      <c r="H128" s="45"/>
      <c r="I128" s="45"/>
      <c r="J128" s="45"/>
      <c r="K128" s="45"/>
      <c r="L128" s="45" t="s">
        <v>1429</v>
      </c>
      <c r="M128" s="45"/>
      <c r="N128" s="45" t="str">
        <f t="shared" si="11"/>
        <v>FY2010-11</v>
      </c>
      <c r="O128" s="45" t="s">
        <v>1356</v>
      </c>
      <c r="P128" s="45" t="s">
        <v>1347</v>
      </c>
      <c r="Q128" s="45"/>
      <c r="R128" s="45"/>
      <c r="S128" s="45"/>
      <c r="T128" s="45"/>
      <c r="U128" s="58"/>
      <c r="V128" s="1"/>
      <c r="W128" s="1"/>
      <c r="X128" s="1"/>
      <c r="Y128" s="1"/>
      <c r="Z128" s="1"/>
      <c r="AA128" s="1"/>
      <c r="AB128" s="1"/>
      <c r="AC128" s="1"/>
      <c r="AD128" s="1"/>
      <c r="AE128" s="1"/>
      <c r="AF128" s="1"/>
      <c r="AG128" s="1"/>
    </row>
    <row r="129" spans="1:33">
      <c r="A129" s="241"/>
      <c r="B129" s="241"/>
      <c r="C129" s="241"/>
      <c r="D129" s="242"/>
      <c r="E129" s="242"/>
      <c r="F129" s="242"/>
      <c r="G129" s="242"/>
      <c r="H129" s="242"/>
      <c r="I129" s="242"/>
      <c r="J129" s="242"/>
      <c r="K129" s="242"/>
      <c r="L129" s="242"/>
      <c r="M129" s="242"/>
      <c r="N129" s="242"/>
      <c r="O129" s="242"/>
      <c r="P129" s="242"/>
      <c r="Q129" s="242"/>
      <c r="R129" s="58"/>
      <c r="S129" s="58"/>
      <c r="T129" s="58"/>
      <c r="U129" s="58"/>
      <c r="V129" s="1"/>
      <c r="W129" s="1"/>
      <c r="X129" s="1"/>
      <c r="Y129" s="1"/>
      <c r="Z129" s="1"/>
      <c r="AA129" s="1"/>
      <c r="AB129" s="1"/>
      <c r="AC129" s="1"/>
      <c r="AD129" s="1"/>
      <c r="AE129" s="1"/>
      <c r="AF129" s="1"/>
      <c r="AG129" s="1"/>
    </row>
    <row r="130" spans="1:33">
      <c r="A130" s="241"/>
      <c r="B130" s="241"/>
      <c r="C130" s="241"/>
      <c r="D130" s="242"/>
      <c r="E130" s="242"/>
      <c r="F130" s="242"/>
      <c r="G130" s="242"/>
      <c r="H130" s="242"/>
      <c r="I130" s="242"/>
      <c r="J130" s="242"/>
      <c r="K130" s="242"/>
      <c r="L130" s="242"/>
      <c r="M130" s="242"/>
      <c r="N130" s="242"/>
      <c r="O130" s="242"/>
      <c r="P130" s="242"/>
      <c r="Q130" s="242"/>
      <c r="R130" s="58"/>
      <c r="S130" s="58"/>
      <c r="T130" s="58"/>
      <c r="U130" s="58"/>
      <c r="V130" s="1"/>
      <c r="W130" s="1"/>
      <c r="X130" s="1"/>
      <c r="Y130" s="1"/>
      <c r="Z130" s="1"/>
      <c r="AA130" s="1"/>
      <c r="AB130" s="1"/>
      <c r="AC130" s="1"/>
      <c r="AD130" s="1"/>
      <c r="AE130" s="1"/>
      <c r="AF130" s="1"/>
      <c r="AG130" s="1"/>
    </row>
    <row r="131" spans="1:33">
      <c r="A131" s="241"/>
      <c r="B131" s="241"/>
      <c r="C131" s="241"/>
      <c r="D131" s="242"/>
      <c r="E131" s="242"/>
      <c r="F131" s="242"/>
      <c r="G131" s="242"/>
      <c r="H131" s="242"/>
      <c r="I131" s="242"/>
      <c r="J131" s="242"/>
      <c r="K131" s="242"/>
      <c r="L131" s="242"/>
      <c r="M131" s="242"/>
      <c r="N131" s="242"/>
      <c r="O131" s="242"/>
      <c r="P131" s="242"/>
      <c r="Q131" s="242"/>
      <c r="R131" s="58"/>
      <c r="S131" s="58"/>
      <c r="T131" s="58"/>
      <c r="U131" s="58"/>
      <c r="V131" s="1"/>
      <c r="W131" s="1"/>
      <c r="X131" s="1"/>
      <c r="Y131" s="1"/>
      <c r="Z131" s="1"/>
      <c r="AA131" s="1"/>
      <c r="AB131" s="1"/>
      <c r="AC131" s="1"/>
      <c r="AD131" s="1"/>
      <c r="AE131" s="1"/>
      <c r="AF131" s="1"/>
      <c r="AG131" s="1"/>
    </row>
    <row r="132" spans="1:33">
      <c r="E132" s="5"/>
      <c r="G132" s="5"/>
      <c r="J132" s="5"/>
      <c r="K132" s="5"/>
      <c r="N132" s="5"/>
      <c r="Q132" s="5"/>
      <c r="R132" s="1"/>
      <c r="S132" s="1"/>
      <c r="T132" s="1"/>
      <c r="U132" s="1"/>
      <c r="V132" s="1"/>
      <c r="W132" s="1"/>
      <c r="X132" s="1"/>
      <c r="Y132" s="1"/>
      <c r="Z132" s="1"/>
      <c r="AA132" s="1"/>
      <c r="AB132" s="1"/>
      <c r="AC132" s="1"/>
      <c r="AD132" s="1"/>
      <c r="AE132" s="1"/>
      <c r="AF132" s="1"/>
      <c r="AG132" s="1"/>
    </row>
    <row r="133" spans="1:33">
      <c r="E133" s="5"/>
      <c r="G133" s="5"/>
      <c r="J133" s="5"/>
      <c r="K133" s="5"/>
      <c r="N133" s="5"/>
      <c r="Q133" s="5"/>
      <c r="R133" s="1"/>
      <c r="S133" s="1"/>
      <c r="T133" s="1"/>
      <c r="U133" s="1"/>
      <c r="V133" s="1"/>
      <c r="W133" s="1"/>
      <c r="X133" s="1"/>
      <c r="Y133" s="1"/>
      <c r="Z133" s="1"/>
      <c r="AA133" s="1"/>
      <c r="AB133" s="1"/>
      <c r="AC133" s="1"/>
      <c r="AD133" s="1"/>
      <c r="AE133" s="1"/>
      <c r="AF133" s="1"/>
      <c r="AG133" s="1"/>
    </row>
    <row r="134" spans="1:33">
      <c r="E134" s="5"/>
      <c r="G134" s="5"/>
      <c r="J134" s="5"/>
      <c r="K134" s="5"/>
      <c r="N134" s="5"/>
      <c r="Q134" s="5"/>
      <c r="R134" s="1"/>
      <c r="S134" s="1"/>
      <c r="T134" s="1"/>
      <c r="U134" s="1"/>
      <c r="V134" s="1"/>
      <c r="W134" s="1"/>
      <c r="X134" s="1"/>
      <c r="Y134" s="1"/>
      <c r="Z134" s="1"/>
      <c r="AA134" s="1"/>
      <c r="AB134" s="1"/>
      <c r="AC134" s="1"/>
      <c r="AD134" s="1"/>
      <c r="AE134" s="1"/>
      <c r="AF134" s="1"/>
      <c r="AG134" s="1"/>
    </row>
    <row r="135" spans="1:33">
      <c r="E135" s="5"/>
      <c r="G135" s="5"/>
      <c r="J135" s="5"/>
      <c r="K135" s="5"/>
      <c r="N135" s="5"/>
      <c r="Q135" s="5"/>
      <c r="R135" s="1"/>
      <c r="S135" s="1"/>
      <c r="T135" s="1"/>
      <c r="U135" s="1"/>
      <c r="V135" s="1"/>
      <c r="W135" s="1"/>
      <c r="X135" s="1"/>
      <c r="Y135" s="1"/>
      <c r="Z135" s="1"/>
      <c r="AA135" s="1"/>
      <c r="AB135" s="1"/>
      <c r="AC135" s="1"/>
      <c r="AD135" s="1"/>
      <c r="AE135" s="1"/>
      <c r="AF135" s="1"/>
      <c r="AG135" s="1"/>
    </row>
    <row r="136" spans="1:33">
      <c r="E136" s="5"/>
      <c r="G136" s="5"/>
      <c r="J136" s="5"/>
      <c r="K136" s="5"/>
      <c r="N136" s="5"/>
      <c r="Q136" s="5"/>
      <c r="R136" s="1"/>
      <c r="S136" s="1"/>
      <c r="T136" s="1"/>
      <c r="U136" s="1"/>
      <c r="V136" s="1"/>
      <c r="W136" s="1"/>
      <c r="X136" s="1"/>
      <c r="Y136" s="1"/>
      <c r="Z136" s="1"/>
      <c r="AA136" s="1"/>
      <c r="AB136" s="1"/>
      <c r="AC136" s="1"/>
      <c r="AD136" s="1"/>
      <c r="AE136" s="1"/>
      <c r="AF136" s="1"/>
      <c r="AG136" s="1"/>
    </row>
    <row r="137" spans="1:33">
      <c r="E137" s="5"/>
      <c r="G137" s="5"/>
      <c r="J137" s="5"/>
      <c r="K137" s="5"/>
      <c r="N137" s="5"/>
      <c r="Q137" s="5"/>
      <c r="R137" s="1"/>
      <c r="S137" s="1"/>
      <c r="T137" s="1"/>
      <c r="U137" s="1"/>
      <c r="V137" s="1"/>
      <c r="W137" s="1"/>
      <c r="X137" s="1"/>
      <c r="Y137" s="1"/>
      <c r="Z137" s="1"/>
      <c r="AA137" s="1"/>
      <c r="AB137" s="1"/>
      <c r="AC137" s="1"/>
      <c r="AD137" s="1"/>
      <c r="AE137" s="1"/>
      <c r="AF137" s="1"/>
      <c r="AG137" s="1"/>
    </row>
    <row r="138" spans="1:33">
      <c r="E138" s="5"/>
      <c r="G138" s="5"/>
      <c r="J138" s="5"/>
      <c r="K138" s="5"/>
      <c r="N138" s="5"/>
      <c r="Q138" s="5"/>
      <c r="R138" s="1"/>
      <c r="S138" s="1"/>
      <c r="T138" s="1"/>
      <c r="U138" s="1"/>
      <c r="V138" s="1"/>
      <c r="W138" s="1"/>
      <c r="X138" s="1"/>
      <c r="Y138" s="1"/>
      <c r="Z138" s="1"/>
      <c r="AA138" s="1"/>
      <c r="AB138" s="1"/>
      <c r="AC138" s="1"/>
      <c r="AD138" s="1"/>
      <c r="AE138" s="1"/>
      <c r="AF138" s="1"/>
      <c r="AG138" s="1"/>
    </row>
    <row r="139" spans="1:33">
      <c r="E139" s="5"/>
      <c r="G139" s="5"/>
      <c r="J139" s="5"/>
      <c r="K139" s="5"/>
      <c r="N139" s="5"/>
      <c r="Q139" s="5"/>
      <c r="R139" s="1"/>
      <c r="S139" s="1"/>
      <c r="T139" s="1"/>
      <c r="U139" s="1"/>
      <c r="V139" s="1"/>
      <c r="W139" s="1"/>
      <c r="X139" s="1"/>
      <c r="Y139" s="1"/>
      <c r="Z139" s="1"/>
      <c r="AA139" s="1"/>
      <c r="AB139" s="1"/>
      <c r="AC139" s="1"/>
      <c r="AD139" s="1"/>
      <c r="AE139" s="1"/>
      <c r="AF139" s="1"/>
      <c r="AG139" s="1"/>
    </row>
    <row r="140" spans="1:33">
      <c r="E140" s="5"/>
      <c r="G140" s="5"/>
      <c r="J140" s="5"/>
      <c r="K140" s="5"/>
      <c r="N140" s="5"/>
      <c r="Q140" s="5"/>
      <c r="R140" s="1"/>
      <c r="S140" s="1"/>
      <c r="T140" s="1"/>
      <c r="U140" s="1"/>
      <c r="V140" s="1"/>
      <c r="W140" s="1"/>
      <c r="X140" s="1"/>
      <c r="Y140" s="1"/>
      <c r="Z140" s="1"/>
      <c r="AA140" s="1"/>
      <c r="AB140" s="1"/>
      <c r="AC140" s="1"/>
      <c r="AD140" s="1"/>
      <c r="AE140" s="1"/>
      <c r="AF140" s="1"/>
      <c r="AG140" s="1"/>
    </row>
    <row r="141" spans="1:33">
      <c r="E141" s="5"/>
      <c r="G141" s="5"/>
      <c r="J141" s="5"/>
      <c r="K141" s="5"/>
      <c r="N141" s="5"/>
      <c r="Q141" s="5"/>
      <c r="R141" s="1"/>
      <c r="S141" s="1"/>
      <c r="T141" s="1"/>
      <c r="U141" s="1"/>
      <c r="V141" s="1"/>
      <c r="W141" s="1"/>
      <c r="X141" s="1"/>
      <c r="Y141" s="1"/>
      <c r="Z141" s="1"/>
      <c r="AA141" s="1"/>
      <c r="AB141" s="1"/>
      <c r="AC141" s="1"/>
      <c r="AD141" s="1"/>
      <c r="AE141" s="1"/>
      <c r="AF141" s="1"/>
      <c r="AG141" s="1"/>
    </row>
    <row r="142" spans="1:33">
      <c r="E142" s="5"/>
      <c r="G142" s="5"/>
      <c r="J142" s="5"/>
      <c r="K142" s="5"/>
      <c r="N142" s="5"/>
      <c r="Q142" s="5"/>
      <c r="R142" s="1"/>
      <c r="S142" s="1"/>
      <c r="T142" s="1"/>
      <c r="U142" s="1"/>
      <c r="V142" s="1"/>
      <c r="W142" s="1"/>
      <c r="X142" s="1"/>
      <c r="Y142" s="1"/>
      <c r="Z142" s="1"/>
      <c r="AA142" s="1"/>
      <c r="AB142" s="1"/>
      <c r="AC142" s="1"/>
      <c r="AD142" s="1"/>
      <c r="AE142" s="1"/>
      <c r="AF142" s="1"/>
      <c r="AG142" s="1"/>
    </row>
    <row r="143" spans="1:33">
      <c r="E143" s="5"/>
      <c r="G143" s="5"/>
      <c r="J143" s="5"/>
      <c r="K143" s="5"/>
      <c r="N143" s="5"/>
      <c r="Q143" s="5"/>
      <c r="R143" s="1"/>
      <c r="S143" s="1"/>
      <c r="T143" s="1"/>
      <c r="U143" s="1"/>
      <c r="V143" s="1"/>
      <c r="W143" s="1"/>
      <c r="X143" s="1"/>
      <c r="Y143" s="1"/>
      <c r="Z143" s="1"/>
      <c r="AA143" s="1"/>
      <c r="AB143" s="1"/>
      <c r="AC143" s="1"/>
      <c r="AD143" s="1"/>
      <c r="AE143" s="1"/>
      <c r="AF143" s="1"/>
      <c r="AG143" s="1"/>
    </row>
    <row r="144" spans="1:33">
      <c r="E144" s="5"/>
      <c r="G144" s="5"/>
      <c r="J144" s="5"/>
      <c r="K144" s="5"/>
      <c r="N144" s="5"/>
      <c r="Q144" s="5"/>
      <c r="R144" s="1"/>
      <c r="S144" s="1"/>
      <c r="T144" s="1"/>
      <c r="U144" s="1"/>
      <c r="V144" s="1"/>
      <c r="W144" s="1"/>
      <c r="X144" s="1"/>
      <c r="Y144" s="1"/>
      <c r="Z144" s="1"/>
      <c r="AA144" s="1"/>
      <c r="AB144" s="1"/>
      <c r="AC144" s="1"/>
      <c r="AD144" s="1"/>
      <c r="AE144" s="1"/>
      <c r="AF144" s="1"/>
      <c r="AG144" s="1"/>
    </row>
    <row r="145" spans="5:33">
      <c r="E145" s="5"/>
      <c r="G145" s="5"/>
      <c r="J145" s="5"/>
      <c r="K145" s="5"/>
      <c r="N145" s="5"/>
      <c r="Q145" s="5"/>
      <c r="R145" s="1"/>
      <c r="S145" s="1"/>
      <c r="T145" s="1"/>
      <c r="U145" s="1"/>
      <c r="V145" s="1"/>
      <c r="W145" s="1"/>
      <c r="X145" s="1"/>
      <c r="Y145" s="1"/>
      <c r="Z145" s="1"/>
      <c r="AA145" s="1"/>
      <c r="AB145" s="1"/>
      <c r="AC145" s="1"/>
      <c r="AD145" s="1"/>
      <c r="AE145" s="1"/>
      <c r="AF145" s="1"/>
      <c r="AG145" s="1"/>
    </row>
    <row r="146" spans="5:33">
      <c r="E146" s="5"/>
      <c r="G146" s="5"/>
      <c r="J146" s="5"/>
      <c r="K146" s="5"/>
      <c r="N146" s="5"/>
      <c r="Q146" s="5"/>
      <c r="R146" s="1"/>
      <c r="S146" s="1"/>
      <c r="T146" s="1"/>
      <c r="U146" s="1"/>
      <c r="V146" s="1"/>
      <c r="W146" s="1"/>
      <c r="X146" s="1"/>
      <c r="Y146" s="1"/>
      <c r="Z146" s="1"/>
      <c r="AA146" s="1"/>
      <c r="AB146" s="1"/>
      <c r="AC146" s="1"/>
      <c r="AD146" s="1"/>
      <c r="AE146" s="1"/>
      <c r="AF146" s="1"/>
      <c r="AG146" s="1"/>
    </row>
    <row r="147" spans="5:33">
      <c r="E147" s="5"/>
      <c r="G147" s="5"/>
      <c r="J147" s="5"/>
      <c r="K147" s="5"/>
      <c r="N147" s="5"/>
      <c r="Q147" s="5"/>
      <c r="R147" s="1"/>
      <c r="S147" s="1"/>
      <c r="T147" s="1"/>
      <c r="U147" s="1"/>
      <c r="V147" s="1"/>
      <c r="W147" s="1"/>
      <c r="X147" s="1"/>
      <c r="Y147" s="1"/>
      <c r="Z147" s="1"/>
      <c r="AA147" s="1"/>
      <c r="AB147" s="1"/>
      <c r="AC147" s="1"/>
      <c r="AD147" s="1"/>
      <c r="AE147" s="1"/>
      <c r="AF147" s="1"/>
      <c r="AG147" s="1"/>
    </row>
    <row r="148" spans="5:33">
      <c r="E148" s="5"/>
      <c r="G148" s="5"/>
      <c r="J148" s="5"/>
      <c r="K148" s="5"/>
      <c r="N148" s="5"/>
      <c r="Q148" s="5"/>
      <c r="R148" s="1"/>
      <c r="S148" s="1"/>
      <c r="T148" s="1"/>
      <c r="U148" s="1"/>
      <c r="V148" s="1"/>
      <c r="W148" s="1"/>
      <c r="X148" s="1"/>
      <c r="Y148" s="1"/>
      <c r="Z148" s="1"/>
      <c r="AA148" s="1"/>
      <c r="AB148" s="1"/>
      <c r="AC148" s="1"/>
      <c r="AD148" s="1"/>
      <c r="AE148" s="1"/>
      <c r="AF148" s="1"/>
      <c r="AG148" s="1"/>
    </row>
    <row r="149" spans="5:33">
      <c r="E149" s="5"/>
      <c r="G149" s="5"/>
      <c r="J149" s="5"/>
      <c r="K149" s="5"/>
      <c r="N149" s="5"/>
      <c r="Q149" s="5"/>
      <c r="R149" s="1"/>
      <c r="S149" s="1"/>
      <c r="T149" s="1"/>
      <c r="U149" s="1"/>
      <c r="V149" s="1"/>
      <c r="W149" s="1"/>
      <c r="X149" s="1"/>
      <c r="Y149" s="1"/>
      <c r="Z149" s="1"/>
      <c r="AA149" s="1"/>
      <c r="AB149" s="1"/>
      <c r="AC149" s="1"/>
      <c r="AD149" s="1"/>
      <c r="AE149" s="1"/>
      <c r="AF149" s="1"/>
      <c r="AG149" s="1"/>
    </row>
    <row r="150" spans="5:33">
      <c r="E150" s="5"/>
      <c r="G150" s="5"/>
      <c r="J150" s="5"/>
      <c r="K150" s="5"/>
      <c r="N150" s="5"/>
      <c r="Q150" s="5"/>
      <c r="R150" s="1"/>
      <c r="S150" s="1"/>
      <c r="T150" s="1"/>
      <c r="U150" s="1"/>
      <c r="V150" s="1"/>
      <c r="W150" s="1"/>
      <c r="X150" s="1"/>
      <c r="Y150" s="1"/>
      <c r="Z150" s="1"/>
      <c r="AA150" s="1"/>
      <c r="AB150" s="1"/>
      <c r="AC150" s="1"/>
      <c r="AD150" s="1"/>
      <c r="AE150" s="1"/>
      <c r="AF150" s="1"/>
      <c r="AG150" s="1"/>
    </row>
    <row r="151" spans="5:33">
      <c r="E151" s="5"/>
      <c r="G151" s="5"/>
      <c r="J151" s="5"/>
      <c r="K151" s="5"/>
      <c r="N151" s="5"/>
      <c r="Q151" s="5"/>
      <c r="R151" s="1"/>
      <c r="S151" s="1"/>
      <c r="T151" s="1"/>
      <c r="U151" s="1"/>
      <c r="V151" s="1"/>
      <c r="W151" s="1"/>
      <c r="X151" s="1"/>
      <c r="Y151" s="1"/>
      <c r="Z151" s="1"/>
      <c r="AA151" s="1"/>
      <c r="AB151" s="1"/>
      <c r="AC151" s="1"/>
      <c r="AD151" s="1"/>
      <c r="AE151" s="1"/>
      <c r="AF151" s="1"/>
      <c r="AG151" s="1"/>
    </row>
    <row r="152" spans="5:33">
      <c r="E152" s="5"/>
      <c r="G152" s="5"/>
      <c r="J152" s="5"/>
      <c r="K152" s="5"/>
      <c r="N152" s="5"/>
      <c r="Q152" s="5"/>
      <c r="R152" s="1"/>
      <c r="S152" s="1"/>
      <c r="T152" s="1"/>
      <c r="U152" s="1"/>
      <c r="V152" s="1"/>
      <c r="W152" s="1"/>
      <c r="X152" s="1"/>
      <c r="Y152" s="1"/>
      <c r="Z152" s="1"/>
      <c r="AA152" s="1"/>
      <c r="AB152" s="1"/>
      <c r="AC152" s="1"/>
      <c r="AD152" s="1"/>
      <c r="AE152" s="1"/>
      <c r="AF152" s="1"/>
      <c r="AG152" s="1"/>
    </row>
    <row r="153" spans="5:33">
      <c r="E153" s="5"/>
      <c r="G153" s="5"/>
      <c r="J153" s="5"/>
      <c r="K153" s="5"/>
      <c r="N153" s="5"/>
      <c r="Q153" s="5"/>
      <c r="R153" s="1"/>
      <c r="S153" s="1"/>
      <c r="T153" s="1"/>
      <c r="U153" s="1"/>
      <c r="V153" s="1"/>
      <c r="W153" s="1"/>
      <c r="X153" s="1"/>
      <c r="Y153" s="1"/>
      <c r="Z153" s="1"/>
      <c r="AA153" s="1"/>
      <c r="AB153" s="1"/>
      <c r="AC153" s="1"/>
      <c r="AD153" s="1"/>
      <c r="AE153" s="1"/>
      <c r="AF153" s="1"/>
      <c r="AG153" s="1"/>
    </row>
    <row r="154" spans="5:33">
      <c r="E154" s="5"/>
      <c r="G154" s="5"/>
      <c r="J154" s="5"/>
      <c r="K154" s="5"/>
      <c r="N154" s="5"/>
      <c r="Q154" s="5"/>
      <c r="R154" s="1"/>
      <c r="S154" s="1"/>
      <c r="T154" s="1"/>
      <c r="U154" s="1"/>
      <c r="V154" s="1"/>
      <c r="W154" s="1"/>
      <c r="X154" s="1"/>
      <c r="Y154" s="1"/>
      <c r="Z154" s="1"/>
      <c r="AA154" s="1"/>
      <c r="AB154" s="1"/>
      <c r="AC154" s="1"/>
      <c r="AD154" s="1"/>
      <c r="AE154" s="1"/>
      <c r="AF154" s="1"/>
      <c r="AG154" s="1"/>
    </row>
    <row r="155" spans="5:33">
      <c r="E155" s="5"/>
      <c r="G155" s="5"/>
      <c r="J155" s="5"/>
      <c r="K155" s="5"/>
      <c r="N155" s="5"/>
      <c r="Q155" s="5"/>
      <c r="R155" s="1"/>
      <c r="S155" s="1"/>
      <c r="T155" s="1"/>
      <c r="U155" s="1"/>
      <c r="V155" s="1"/>
      <c r="W155" s="1"/>
      <c r="X155" s="1"/>
      <c r="Y155" s="1"/>
      <c r="Z155" s="1"/>
      <c r="AA155" s="1"/>
      <c r="AB155" s="1"/>
      <c r="AC155" s="1"/>
      <c r="AD155" s="1"/>
      <c r="AE155" s="1"/>
      <c r="AF155" s="1"/>
      <c r="AG155" s="1"/>
    </row>
    <row r="156" spans="5:33">
      <c r="E156" s="5"/>
      <c r="G156" s="5"/>
      <c r="J156" s="5"/>
      <c r="K156" s="5"/>
      <c r="N156" s="5"/>
      <c r="Q156" s="5"/>
      <c r="R156" s="1"/>
      <c r="S156" s="1"/>
      <c r="T156" s="1"/>
      <c r="U156" s="1"/>
      <c r="V156" s="1"/>
      <c r="W156" s="1"/>
      <c r="X156" s="1"/>
      <c r="Y156" s="1"/>
      <c r="Z156" s="1"/>
      <c r="AA156" s="1"/>
      <c r="AB156" s="1"/>
      <c r="AC156" s="1"/>
      <c r="AD156" s="1"/>
      <c r="AE156" s="1"/>
      <c r="AF156" s="1"/>
      <c r="AG156" s="1"/>
    </row>
    <row r="157" spans="5:33">
      <c r="E157" s="5"/>
      <c r="G157" s="5"/>
      <c r="J157" s="5"/>
      <c r="K157" s="5"/>
      <c r="N157" s="5"/>
      <c r="Q157" s="5"/>
      <c r="R157" s="1"/>
      <c r="S157" s="1"/>
      <c r="T157" s="1"/>
      <c r="U157" s="1"/>
      <c r="V157" s="1"/>
      <c r="W157" s="1"/>
      <c r="X157" s="1"/>
      <c r="Y157" s="1"/>
      <c r="Z157" s="1"/>
      <c r="AA157" s="1"/>
      <c r="AB157" s="1"/>
      <c r="AC157" s="1"/>
      <c r="AD157" s="1"/>
      <c r="AE157" s="1"/>
      <c r="AF157" s="1"/>
      <c r="AG157" s="1"/>
    </row>
    <row r="158" spans="5:33">
      <c r="E158" s="5"/>
      <c r="G158" s="5"/>
      <c r="J158" s="5"/>
      <c r="K158" s="5"/>
      <c r="N158" s="5"/>
      <c r="Q158" s="5"/>
      <c r="R158" s="1"/>
      <c r="S158" s="1"/>
      <c r="T158" s="1"/>
      <c r="U158" s="1"/>
      <c r="V158" s="1"/>
      <c r="W158" s="1"/>
      <c r="X158" s="1"/>
      <c r="Y158" s="1"/>
      <c r="Z158" s="1"/>
      <c r="AA158" s="1"/>
      <c r="AB158" s="1"/>
      <c r="AC158" s="1"/>
      <c r="AD158" s="1"/>
      <c r="AE158" s="1"/>
      <c r="AF158" s="1"/>
      <c r="AG158" s="1"/>
    </row>
    <row r="159" spans="5:33">
      <c r="E159" s="5"/>
      <c r="G159" s="5"/>
      <c r="J159" s="5"/>
      <c r="K159" s="5"/>
      <c r="N159" s="5"/>
      <c r="Q159" s="5"/>
      <c r="R159" s="1"/>
      <c r="S159" s="1"/>
      <c r="T159" s="1"/>
      <c r="U159" s="1"/>
      <c r="V159" s="1"/>
      <c r="W159" s="1"/>
      <c r="X159" s="1"/>
      <c r="Y159" s="1"/>
      <c r="Z159" s="1"/>
      <c r="AA159" s="1"/>
      <c r="AB159" s="1"/>
      <c r="AC159" s="1"/>
      <c r="AD159" s="1"/>
      <c r="AE159" s="1"/>
      <c r="AF159" s="1"/>
      <c r="AG159" s="1"/>
    </row>
    <row r="160" spans="5:33">
      <c r="E160" s="5"/>
      <c r="G160" s="5"/>
      <c r="J160" s="5"/>
      <c r="K160" s="5"/>
      <c r="N160" s="5"/>
      <c r="Q160" s="5"/>
      <c r="R160" s="1"/>
      <c r="S160" s="1"/>
      <c r="T160" s="1"/>
      <c r="U160" s="1"/>
      <c r="V160" s="1"/>
      <c r="W160" s="1"/>
      <c r="X160" s="1"/>
      <c r="Y160" s="1"/>
      <c r="Z160" s="1"/>
      <c r="AA160" s="1"/>
      <c r="AB160" s="1"/>
      <c r="AC160" s="1"/>
      <c r="AD160" s="1"/>
      <c r="AE160" s="1"/>
      <c r="AF160" s="1"/>
      <c r="AG160" s="1"/>
    </row>
    <row r="161" spans="5:33">
      <c r="E161" s="5"/>
      <c r="G161" s="5"/>
      <c r="J161" s="5"/>
      <c r="K161" s="5"/>
      <c r="N161" s="5"/>
      <c r="Q161" s="5"/>
      <c r="R161" s="1"/>
      <c r="S161" s="1"/>
      <c r="T161" s="1"/>
      <c r="U161" s="1"/>
      <c r="V161" s="1"/>
      <c r="W161" s="1"/>
      <c r="X161" s="1"/>
      <c r="Y161" s="1"/>
      <c r="Z161" s="1"/>
      <c r="AA161" s="1"/>
      <c r="AB161" s="1"/>
      <c r="AC161" s="1"/>
      <c r="AD161" s="1"/>
      <c r="AE161" s="1"/>
      <c r="AF161" s="1"/>
      <c r="AG161" s="1"/>
    </row>
    <row r="162" spans="5:33">
      <c r="E162" s="5"/>
      <c r="G162" s="5"/>
      <c r="J162" s="5"/>
      <c r="K162" s="5"/>
      <c r="N162" s="5"/>
      <c r="Q162" s="5"/>
      <c r="R162" s="1"/>
      <c r="S162" s="1"/>
      <c r="T162" s="1"/>
      <c r="U162" s="1"/>
      <c r="V162" s="1"/>
      <c r="W162" s="1"/>
      <c r="X162" s="1"/>
      <c r="Y162" s="1"/>
      <c r="Z162" s="1"/>
      <c r="AA162" s="1"/>
      <c r="AB162" s="1"/>
      <c r="AC162" s="1"/>
      <c r="AD162" s="1"/>
      <c r="AE162" s="1"/>
      <c r="AF162" s="1"/>
      <c r="AG162" s="1"/>
    </row>
    <row r="163" spans="5:33">
      <c r="E163" s="5"/>
      <c r="G163" s="5"/>
      <c r="J163" s="5"/>
      <c r="K163" s="5"/>
      <c r="N163" s="5"/>
      <c r="Q163" s="5"/>
      <c r="R163" s="1"/>
      <c r="S163" s="1"/>
      <c r="T163" s="1"/>
      <c r="U163" s="1"/>
      <c r="V163" s="1"/>
      <c r="W163" s="1"/>
      <c r="X163" s="1"/>
      <c r="Y163" s="1"/>
      <c r="Z163" s="1"/>
      <c r="AA163" s="1"/>
      <c r="AB163" s="1"/>
      <c r="AC163" s="1"/>
      <c r="AD163" s="1"/>
      <c r="AE163" s="1"/>
      <c r="AF163" s="1"/>
      <c r="AG163" s="1"/>
    </row>
    <row r="164" spans="5:33">
      <c r="E164" s="5"/>
      <c r="G164" s="5"/>
      <c r="J164" s="5"/>
      <c r="K164" s="5"/>
      <c r="N164" s="5"/>
      <c r="Q164" s="5"/>
      <c r="R164" s="1"/>
      <c r="S164" s="1"/>
      <c r="T164" s="1"/>
      <c r="U164" s="1"/>
      <c r="V164" s="1"/>
      <c r="W164" s="1"/>
      <c r="X164" s="1"/>
      <c r="Y164" s="1"/>
      <c r="Z164" s="1"/>
      <c r="AA164" s="1"/>
      <c r="AB164" s="1"/>
      <c r="AC164" s="1"/>
      <c r="AD164" s="1"/>
      <c r="AE164" s="1"/>
      <c r="AF164" s="1"/>
      <c r="AG164" s="1"/>
    </row>
    <row r="165" spans="5:33">
      <c r="E165" s="5"/>
      <c r="G165" s="5"/>
      <c r="J165" s="5"/>
      <c r="K165" s="5"/>
      <c r="N165" s="5"/>
      <c r="Q165" s="5"/>
      <c r="R165" s="1"/>
      <c r="S165" s="1"/>
      <c r="T165" s="1"/>
      <c r="U165" s="1"/>
      <c r="V165" s="1"/>
      <c r="W165" s="1"/>
      <c r="X165" s="1"/>
      <c r="Y165" s="1"/>
      <c r="Z165" s="1"/>
      <c r="AA165" s="1"/>
      <c r="AB165" s="1"/>
      <c r="AC165" s="1"/>
      <c r="AD165" s="1"/>
      <c r="AE165" s="1"/>
      <c r="AF165" s="1"/>
      <c r="AG165" s="1"/>
    </row>
    <row r="166" spans="5:33">
      <c r="E166" s="5"/>
      <c r="G166" s="5"/>
      <c r="J166" s="5"/>
      <c r="K166" s="5"/>
      <c r="N166" s="5"/>
      <c r="Q166" s="5"/>
      <c r="R166" s="1"/>
      <c r="S166" s="1"/>
      <c r="T166" s="1"/>
      <c r="U166" s="1"/>
      <c r="V166" s="1"/>
      <c r="W166" s="1"/>
      <c r="X166" s="1"/>
      <c r="Y166" s="1"/>
      <c r="Z166" s="1"/>
      <c r="AA166" s="1"/>
      <c r="AB166" s="1"/>
      <c r="AC166" s="1"/>
      <c r="AD166" s="1"/>
      <c r="AE166" s="1"/>
      <c r="AF166" s="1"/>
      <c r="AG166" s="1"/>
    </row>
    <row r="167" spans="5:33">
      <c r="E167" s="5"/>
      <c r="G167" s="5"/>
      <c r="J167" s="5"/>
      <c r="K167" s="5"/>
      <c r="N167" s="5"/>
      <c r="Q167" s="5"/>
      <c r="R167" s="1"/>
      <c r="S167" s="1"/>
      <c r="T167" s="1"/>
      <c r="U167" s="1"/>
      <c r="V167" s="1"/>
      <c r="W167" s="1"/>
      <c r="X167" s="1"/>
      <c r="Y167" s="1"/>
      <c r="Z167" s="1"/>
      <c r="AA167" s="1"/>
      <c r="AB167" s="1"/>
      <c r="AC167" s="1"/>
      <c r="AD167" s="1"/>
      <c r="AE167" s="1"/>
      <c r="AF167" s="1"/>
      <c r="AG167" s="1"/>
    </row>
    <row r="168" spans="5:33">
      <c r="E168" s="5"/>
      <c r="G168" s="5"/>
      <c r="J168" s="5"/>
      <c r="K168" s="5"/>
      <c r="N168" s="5"/>
      <c r="Q168" s="5"/>
      <c r="R168" s="1"/>
      <c r="S168" s="1"/>
      <c r="T168" s="1"/>
      <c r="U168" s="1"/>
      <c r="V168" s="1"/>
      <c r="W168" s="1"/>
      <c r="X168" s="1"/>
      <c r="Y168" s="1"/>
      <c r="Z168" s="1"/>
      <c r="AA168" s="1"/>
      <c r="AB168" s="1"/>
      <c r="AC168" s="1"/>
      <c r="AD168" s="1"/>
      <c r="AE168" s="1"/>
      <c r="AF168" s="1"/>
      <c r="AG168" s="1"/>
    </row>
    <row r="169" spans="5:33">
      <c r="E169" s="5"/>
      <c r="G169" s="5"/>
      <c r="J169" s="5"/>
      <c r="K169" s="5"/>
      <c r="N169" s="5"/>
      <c r="Q169" s="5"/>
      <c r="R169" s="1"/>
      <c r="S169" s="1"/>
      <c r="T169" s="1"/>
      <c r="U169" s="1"/>
      <c r="V169" s="1"/>
      <c r="W169" s="1"/>
      <c r="X169" s="1"/>
      <c r="Y169" s="1"/>
      <c r="Z169" s="1"/>
      <c r="AA169" s="1"/>
      <c r="AB169" s="1"/>
      <c r="AC169" s="1"/>
      <c r="AD169" s="1"/>
      <c r="AE169" s="1"/>
      <c r="AF169" s="1"/>
      <c r="AG169" s="1"/>
    </row>
    <row r="170" spans="5:33">
      <c r="E170" s="5"/>
      <c r="G170" s="5"/>
      <c r="J170" s="5"/>
      <c r="K170" s="5"/>
      <c r="N170" s="5"/>
      <c r="Q170" s="5"/>
      <c r="R170" s="1"/>
      <c r="S170" s="1"/>
      <c r="T170" s="1"/>
      <c r="U170" s="1"/>
      <c r="V170" s="1"/>
      <c r="W170" s="1"/>
      <c r="X170" s="1"/>
      <c r="Y170" s="1"/>
      <c r="Z170" s="1"/>
      <c r="AA170" s="1"/>
      <c r="AB170" s="1"/>
      <c r="AC170" s="1"/>
      <c r="AD170" s="1"/>
      <c r="AE170" s="1"/>
      <c r="AF170" s="1"/>
      <c r="AG170" s="1"/>
    </row>
    <row r="171" spans="5:33">
      <c r="E171" s="5"/>
      <c r="G171" s="5"/>
      <c r="J171" s="5"/>
      <c r="K171" s="5"/>
      <c r="N171" s="5"/>
      <c r="Q171" s="5"/>
      <c r="R171" s="1"/>
      <c r="S171" s="1"/>
      <c r="T171" s="1"/>
      <c r="U171" s="1"/>
      <c r="V171" s="1"/>
      <c r="W171" s="1"/>
      <c r="X171" s="1"/>
      <c r="Y171" s="1"/>
      <c r="Z171" s="1"/>
      <c r="AA171" s="1"/>
      <c r="AB171" s="1"/>
      <c r="AC171" s="1"/>
      <c r="AD171" s="1"/>
      <c r="AE171" s="1"/>
      <c r="AF171" s="1"/>
      <c r="AG171" s="1"/>
    </row>
    <row r="172" spans="5:33">
      <c r="E172" s="5"/>
      <c r="G172" s="5"/>
      <c r="J172" s="5"/>
      <c r="K172" s="5"/>
      <c r="N172" s="5"/>
      <c r="Q172" s="5"/>
      <c r="R172" s="1"/>
      <c r="S172" s="1"/>
      <c r="T172" s="1"/>
      <c r="U172" s="1"/>
      <c r="V172" s="1"/>
      <c r="W172" s="1"/>
      <c r="X172" s="1"/>
      <c r="Y172" s="1"/>
      <c r="Z172" s="1"/>
      <c r="AA172" s="1"/>
      <c r="AB172" s="1"/>
      <c r="AC172" s="1"/>
      <c r="AD172" s="1"/>
      <c r="AE172" s="1"/>
      <c r="AF172" s="1"/>
      <c r="AG172" s="1"/>
    </row>
    <row r="173" spans="5:33">
      <c r="E173" s="5"/>
      <c r="G173" s="5"/>
      <c r="J173" s="5"/>
      <c r="K173" s="5"/>
      <c r="N173" s="5"/>
      <c r="Q173" s="5"/>
      <c r="R173" s="1"/>
      <c r="S173" s="1"/>
      <c r="T173" s="1"/>
      <c r="U173" s="1"/>
      <c r="V173" s="1"/>
      <c r="W173" s="1"/>
      <c r="X173" s="1"/>
      <c r="Y173" s="1"/>
      <c r="Z173" s="1"/>
      <c r="AA173" s="1"/>
      <c r="AB173" s="1"/>
      <c r="AC173" s="1"/>
      <c r="AD173" s="1"/>
      <c r="AE173" s="1"/>
      <c r="AF173" s="1"/>
      <c r="AG173" s="1"/>
    </row>
    <row r="174" spans="5:33">
      <c r="E174" s="5"/>
      <c r="G174" s="5"/>
      <c r="J174" s="5"/>
      <c r="K174" s="5"/>
      <c r="N174" s="5"/>
      <c r="Q174" s="5"/>
      <c r="R174" s="1"/>
      <c r="S174" s="1"/>
      <c r="T174" s="1"/>
      <c r="U174" s="1"/>
      <c r="V174" s="1"/>
      <c r="W174" s="1"/>
      <c r="X174" s="1"/>
      <c r="Y174" s="1"/>
      <c r="Z174" s="1"/>
      <c r="AA174" s="1"/>
      <c r="AB174" s="1"/>
      <c r="AC174" s="1"/>
      <c r="AD174" s="1"/>
      <c r="AE174" s="1"/>
      <c r="AF174" s="1"/>
      <c r="AG174" s="1"/>
    </row>
    <row r="175" spans="5:33">
      <c r="E175" s="5"/>
      <c r="G175" s="5"/>
      <c r="J175" s="5"/>
      <c r="K175" s="5"/>
      <c r="N175" s="5"/>
      <c r="Q175" s="5"/>
      <c r="R175" s="1"/>
      <c r="S175" s="1"/>
      <c r="T175" s="1"/>
      <c r="U175" s="1"/>
      <c r="V175" s="1"/>
      <c r="W175" s="1"/>
      <c r="X175" s="1"/>
      <c r="Y175" s="1"/>
      <c r="Z175" s="1"/>
      <c r="AA175" s="1"/>
      <c r="AB175" s="1"/>
      <c r="AC175" s="1"/>
      <c r="AD175" s="1"/>
      <c r="AE175" s="1"/>
      <c r="AF175" s="1"/>
      <c r="AG175" s="1"/>
    </row>
    <row r="176" spans="5:33">
      <c r="E176" s="5"/>
      <c r="G176" s="5"/>
      <c r="J176" s="5"/>
      <c r="K176" s="5"/>
      <c r="N176" s="5"/>
      <c r="Q176" s="5"/>
      <c r="R176" s="1"/>
      <c r="S176" s="1"/>
      <c r="T176" s="1"/>
      <c r="U176" s="1"/>
      <c r="V176" s="1"/>
      <c r="W176" s="1"/>
      <c r="X176" s="1"/>
      <c r="Y176" s="1"/>
      <c r="Z176" s="1"/>
      <c r="AA176" s="1"/>
      <c r="AB176" s="1"/>
      <c r="AC176" s="1"/>
      <c r="AD176" s="1"/>
      <c r="AE176" s="1"/>
      <c r="AF176" s="1"/>
      <c r="AG176" s="1"/>
    </row>
    <row r="177" spans="5:33">
      <c r="E177" s="5"/>
      <c r="G177" s="5"/>
      <c r="J177" s="5"/>
      <c r="K177" s="5"/>
      <c r="N177" s="5"/>
      <c r="Q177" s="5"/>
      <c r="R177" s="1"/>
      <c r="S177" s="1"/>
      <c r="T177" s="1"/>
      <c r="U177" s="1"/>
      <c r="V177" s="1"/>
      <c r="W177" s="1"/>
      <c r="X177" s="1"/>
      <c r="Y177" s="1"/>
      <c r="Z177" s="1"/>
      <c r="AA177" s="1"/>
      <c r="AB177" s="1"/>
      <c r="AC177" s="1"/>
      <c r="AD177" s="1"/>
      <c r="AE177" s="1"/>
      <c r="AF177" s="1"/>
      <c r="AG177" s="1"/>
    </row>
    <row r="178" spans="5:33">
      <c r="E178" s="5"/>
      <c r="G178" s="5"/>
      <c r="J178" s="5"/>
      <c r="K178" s="5"/>
      <c r="N178" s="5"/>
      <c r="Q178" s="5"/>
      <c r="R178" s="1"/>
      <c r="S178" s="1"/>
      <c r="T178" s="1"/>
      <c r="U178" s="1"/>
      <c r="V178" s="1"/>
      <c r="W178" s="1"/>
      <c r="X178" s="1"/>
      <c r="Y178" s="1"/>
      <c r="Z178" s="1"/>
      <c r="AA178" s="1"/>
      <c r="AB178" s="1"/>
      <c r="AC178" s="1"/>
      <c r="AD178" s="1"/>
      <c r="AE178" s="1"/>
      <c r="AF178" s="1"/>
      <c r="AG178" s="1"/>
    </row>
    <row r="179" spans="5:33">
      <c r="E179" s="5"/>
      <c r="G179" s="5"/>
      <c r="J179" s="5"/>
      <c r="K179" s="5"/>
      <c r="N179" s="5"/>
      <c r="Q179" s="5"/>
      <c r="R179" s="1"/>
      <c r="S179" s="1"/>
      <c r="T179" s="1"/>
      <c r="U179" s="1"/>
      <c r="V179" s="1"/>
      <c r="W179" s="1"/>
      <c r="X179" s="1"/>
      <c r="Y179" s="1"/>
      <c r="Z179" s="1"/>
      <c r="AA179" s="1"/>
      <c r="AB179" s="1"/>
      <c r="AC179" s="1"/>
      <c r="AD179" s="1"/>
      <c r="AE179" s="1"/>
      <c r="AF179" s="1"/>
      <c r="AG179" s="1"/>
    </row>
    <row r="180" spans="5:33">
      <c r="E180" s="5"/>
      <c r="G180" s="5"/>
      <c r="J180" s="5"/>
      <c r="K180" s="5"/>
      <c r="N180" s="5"/>
      <c r="Q180" s="5"/>
      <c r="R180" s="1"/>
      <c r="S180" s="1"/>
      <c r="T180" s="1"/>
      <c r="U180" s="1"/>
      <c r="V180" s="1"/>
      <c r="W180" s="1"/>
      <c r="X180" s="1"/>
      <c r="Y180" s="1"/>
      <c r="Z180" s="1"/>
      <c r="AA180" s="1"/>
      <c r="AB180" s="1"/>
      <c r="AC180" s="1"/>
      <c r="AD180" s="1"/>
      <c r="AE180" s="1"/>
      <c r="AF180" s="1"/>
      <c r="AG180" s="1"/>
    </row>
    <row r="181" spans="5:33">
      <c r="E181" s="5"/>
      <c r="G181" s="5"/>
      <c r="J181" s="5"/>
      <c r="K181" s="5"/>
      <c r="N181" s="5"/>
      <c r="Q181" s="5"/>
      <c r="R181" s="1"/>
      <c r="S181" s="1"/>
      <c r="T181" s="1"/>
      <c r="U181" s="1"/>
      <c r="V181" s="1"/>
      <c r="W181" s="1"/>
      <c r="X181" s="1"/>
      <c r="Y181" s="1"/>
      <c r="Z181" s="1"/>
      <c r="AA181" s="1"/>
      <c r="AB181" s="1"/>
      <c r="AC181" s="1"/>
      <c r="AD181" s="1"/>
      <c r="AE181" s="1"/>
      <c r="AF181" s="1"/>
      <c r="AG181" s="1"/>
    </row>
    <row r="182" spans="5:33">
      <c r="E182" s="5"/>
      <c r="G182" s="5"/>
      <c r="J182" s="5"/>
      <c r="K182" s="5"/>
      <c r="N182" s="5"/>
      <c r="Q182" s="5"/>
      <c r="R182" s="1"/>
      <c r="S182" s="1"/>
      <c r="T182" s="1"/>
      <c r="U182" s="1"/>
      <c r="V182" s="1"/>
      <c r="W182" s="1"/>
      <c r="X182" s="1"/>
      <c r="Y182" s="1"/>
      <c r="Z182" s="1"/>
      <c r="AA182" s="1"/>
      <c r="AB182" s="1"/>
      <c r="AC182" s="1"/>
      <c r="AD182" s="1"/>
      <c r="AE182" s="1"/>
      <c r="AF182" s="1"/>
      <c r="AG182" s="1"/>
    </row>
    <row r="183" spans="5:33">
      <c r="E183" s="5"/>
      <c r="G183" s="5"/>
      <c r="J183" s="5"/>
      <c r="K183" s="5"/>
      <c r="N183" s="5"/>
      <c r="Q183" s="5"/>
      <c r="R183" s="1"/>
      <c r="S183" s="1"/>
      <c r="T183" s="1"/>
      <c r="U183" s="1"/>
      <c r="V183" s="1"/>
      <c r="W183" s="1"/>
      <c r="X183" s="1"/>
      <c r="Y183" s="1"/>
      <c r="Z183" s="1"/>
      <c r="AA183" s="1"/>
      <c r="AB183" s="1"/>
      <c r="AC183" s="1"/>
      <c r="AD183" s="1"/>
      <c r="AE183" s="1"/>
      <c r="AF183" s="1"/>
      <c r="AG183" s="1"/>
    </row>
    <row r="184" spans="5:33">
      <c r="E184" s="5"/>
      <c r="G184" s="5"/>
      <c r="J184" s="5"/>
      <c r="K184" s="5"/>
      <c r="N184" s="5"/>
      <c r="Q184" s="5"/>
      <c r="R184" s="1"/>
      <c r="S184" s="1"/>
      <c r="T184" s="1"/>
      <c r="U184" s="1"/>
      <c r="V184" s="1"/>
      <c r="W184" s="1"/>
      <c r="X184" s="1"/>
      <c r="Y184" s="1"/>
      <c r="Z184" s="1"/>
      <c r="AA184" s="1"/>
      <c r="AB184" s="1"/>
      <c r="AC184" s="1"/>
      <c r="AD184" s="1"/>
      <c r="AE184" s="1"/>
      <c r="AF184" s="1"/>
      <c r="AG184" s="1"/>
    </row>
    <row r="185" spans="5:33">
      <c r="E185" s="5"/>
      <c r="G185" s="5"/>
      <c r="J185" s="5"/>
      <c r="K185" s="5"/>
      <c r="N185" s="5"/>
      <c r="Q185" s="5"/>
      <c r="R185" s="1"/>
      <c r="S185" s="1"/>
      <c r="T185" s="1"/>
      <c r="U185" s="1"/>
      <c r="V185" s="1"/>
      <c r="W185" s="1"/>
      <c r="X185" s="1"/>
      <c r="Y185" s="1"/>
      <c r="Z185" s="1"/>
      <c r="AA185" s="1"/>
      <c r="AB185" s="1"/>
      <c r="AC185" s="1"/>
      <c r="AD185" s="1"/>
      <c r="AE185" s="1"/>
      <c r="AF185" s="1"/>
      <c r="AG185" s="1"/>
    </row>
    <row r="186" spans="5:33">
      <c r="E186" s="5"/>
      <c r="G186" s="5"/>
      <c r="J186" s="5"/>
      <c r="K186" s="5"/>
      <c r="N186" s="5"/>
      <c r="Q186" s="5"/>
      <c r="R186" s="1"/>
      <c r="S186" s="1"/>
      <c r="T186" s="1"/>
      <c r="U186" s="1"/>
      <c r="V186" s="1"/>
      <c r="W186" s="1"/>
      <c r="X186" s="1"/>
      <c r="Y186" s="1"/>
      <c r="Z186" s="1"/>
      <c r="AA186" s="1"/>
      <c r="AB186" s="1"/>
      <c r="AC186" s="1"/>
      <c r="AD186" s="1"/>
      <c r="AE186" s="1"/>
      <c r="AF186" s="1"/>
      <c r="AG186" s="1"/>
    </row>
    <row r="187" spans="5:33">
      <c r="E187" s="5"/>
      <c r="G187" s="5"/>
      <c r="J187" s="5"/>
      <c r="K187" s="5"/>
      <c r="N187" s="5"/>
      <c r="Q187" s="5"/>
      <c r="R187" s="1"/>
      <c r="S187" s="1"/>
      <c r="T187" s="1"/>
      <c r="U187" s="1"/>
      <c r="V187" s="1"/>
      <c r="W187" s="1"/>
      <c r="X187" s="1"/>
      <c r="Y187" s="1"/>
      <c r="Z187" s="1"/>
      <c r="AA187" s="1"/>
      <c r="AB187" s="1"/>
      <c r="AC187" s="1"/>
      <c r="AD187" s="1"/>
      <c r="AE187" s="1"/>
      <c r="AF187" s="1"/>
      <c r="AG187" s="1"/>
    </row>
    <row r="188" spans="5:33">
      <c r="E188" s="5"/>
      <c r="G188" s="5"/>
      <c r="J188" s="5"/>
      <c r="K188" s="5"/>
      <c r="N188" s="5"/>
      <c r="Q188" s="5"/>
      <c r="R188" s="1"/>
      <c r="S188" s="1"/>
      <c r="T188" s="1"/>
      <c r="U188" s="1"/>
      <c r="V188" s="1"/>
      <c r="W188" s="1"/>
      <c r="X188" s="1"/>
      <c r="Y188" s="1"/>
      <c r="Z188" s="1"/>
      <c r="AA188" s="1"/>
      <c r="AB188" s="1"/>
      <c r="AC188" s="1"/>
      <c r="AD188" s="1"/>
      <c r="AE188" s="1"/>
      <c r="AF188" s="1"/>
      <c r="AG188" s="1"/>
    </row>
    <row r="189" spans="5:33">
      <c r="E189" s="5"/>
      <c r="G189" s="5"/>
      <c r="J189" s="5"/>
      <c r="K189" s="5"/>
      <c r="N189" s="5"/>
      <c r="Q189" s="5"/>
      <c r="R189" s="1"/>
      <c r="S189" s="1"/>
      <c r="T189" s="1"/>
      <c r="U189" s="1"/>
      <c r="V189" s="1"/>
      <c r="W189" s="1"/>
      <c r="X189" s="1"/>
      <c r="Y189" s="1"/>
      <c r="Z189" s="1"/>
      <c r="AA189" s="1"/>
      <c r="AB189" s="1"/>
      <c r="AC189" s="1"/>
      <c r="AD189" s="1"/>
      <c r="AE189" s="1"/>
      <c r="AF189" s="1"/>
      <c r="AG189" s="1"/>
    </row>
    <row r="190" spans="5:33">
      <c r="E190" s="5"/>
      <c r="G190" s="5"/>
      <c r="J190" s="5"/>
      <c r="K190" s="5"/>
      <c r="N190" s="5"/>
      <c r="Q190" s="5"/>
      <c r="R190" s="1"/>
      <c r="S190" s="1"/>
      <c r="T190" s="1"/>
      <c r="U190" s="1"/>
      <c r="V190" s="1"/>
      <c r="W190" s="1"/>
      <c r="X190" s="1"/>
      <c r="Y190" s="1"/>
      <c r="Z190" s="1"/>
      <c r="AA190" s="1"/>
      <c r="AB190" s="1"/>
      <c r="AC190" s="1"/>
      <c r="AD190" s="1"/>
      <c r="AE190" s="1"/>
      <c r="AF190" s="1"/>
      <c r="AG190" s="1"/>
    </row>
    <row r="191" spans="5:33">
      <c r="E191" s="5"/>
      <c r="G191" s="5"/>
      <c r="J191" s="5"/>
      <c r="K191" s="5"/>
      <c r="N191" s="5"/>
      <c r="Q191" s="5"/>
      <c r="R191" s="1"/>
      <c r="S191" s="1"/>
      <c r="T191" s="1"/>
      <c r="U191" s="1"/>
      <c r="V191" s="1"/>
      <c r="W191" s="1"/>
      <c r="X191" s="1"/>
      <c r="Y191" s="1"/>
      <c r="Z191" s="1"/>
      <c r="AA191" s="1"/>
      <c r="AB191" s="1"/>
      <c r="AC191" s="1"/>
      <c r="AD191" s="1"/>
      <c r="AE191" s="1"/>
      <c r="AF191" s="1"/>
      <c r="AG191" s="1"/>
    </row>
    <row r="192" spans="5:33">
      <c r="E192" s="5"/>
      <c r="G192" s="5"/>
      <c r="J192" s="5"/>
      <c r="K192" s="5"/>
      <c r="N192" s="5"/>
      <c r="Q192" s="5"/>
      <c r="R192" s="1"/>
      <c r="S192" s="1"/>
      <c r="T192" s="1"/>
      <c r="U192" s="1"/>
      <c r="V192" s="1"/>
      <c r="W192" s="1"/>
      <c r="X192" s="1"/>
      <c r="Y192" s="1"/>
      <c r="Z192" s="1"/>
      <c r="AA192" s="1"/>
      <c r="AB192" s="1"/>
      <c r="AC192" s="1"/>
      <c r="AD192" s="1"/>
      <c r="AE192" s="1"/>
      <c r="AF192" s="1"/>
      <c r="AG192" s="1"/>
    </row>
    <row r="193" spans="5:33">
      <c r="E193" s="5"/>
      <c r="G193" s="5"/>
      <c r="J193" s="5"/>
      <c r="K193" s="5"/>
      <c r="N193" s="5"/>
      <c r="Q193" s="5"/>
      <c r="R193" s="1"/>
      <c r="S193" s="1"/>
      <c r="T193" s="1"/>
      <c r="U193" s="1"/>
      <c r="V193" s="1"/>
      <c r="W193" s="1"/>
      <c r="X193" s="1"/>
      <c r="Y193" s="1"/>
      <c r="Z193" s="1"/>
      <c r="AA193" s="1"/>
      <c r="AB193" s="1"/>
      <c r="AC193" s="1"/>
      <c r="AD193" s="1"/>
      <c r="AE193" s="1"/>
      <c r="AF193" s="1"/>
      <c r="AG193" s="1"/>
    </row>
    <row r="194" spans="5:33">
      <c r="E194" s="5"/>
      <c r="G194" s="5"/>
      <c r="J194" s="5"/>
      <c r="K194" s="5"/>
      <c r="N194" s="5"/>
      <c r="Q194" s="5"/>
      <c r="R194" s="1"/>
      <c r="S194" s="1"/>
      <c r="T194" s="1"/>
      <c r="U194" s="1"/>
      <c r="V194" s="1"/>
      <c r="W194" s="1"/>
      <c r="X194" s="1"/>
      <c r="Y194" s="1"/>
      <c r="Z194" s="1"/>
      <c r="AA194" s="1"/>
      <c r="AB194" s="1"/>
      <c r="AC194" s="1"/>
      <c r="AD194" s="1"/>
      <c r="AE194" s="1"/>
      <c r="AF194" s="1"/>
      <c r="AG194" s="1"/>
    </row>
    <row r="195" spans="5:33">
      <c r="E195" s="5"/>
      <c r="G195" s="5"/>
      <c r="J195" s="5"/>
      <c r="K195" s="5"/>
      <c r="N195" s="5"/>
      <c r="Q195" s="5"/>
      <c r="R195" s="1"/>
      <c r="S195" s="1"/>
      <c r="T195" s="1"/>
      <c r="U195" s="1"/>
      <c r="V195" s="1"/>
      <c r="W195" s="1"/>
      <c r="X195" s="1"/>
      <c r="Y195" s="1"/>
      <c r="Z195" s="1"/>
      <c r="AA195" s="1"/>
      <c r="AB195" s="1"/>
      <c r="AC195" s="1"/>
      <c r="AD195" s="1"/>
      <c r="AE195" s="1"/>
      <c r="AF195" s="1"/>
      <c r="AG195" s="1"/>
    </row>
    <row r="196" spans="5:33">
      <c r="E196" s="5"/>
      <c r="G196" s="5"/>
      <c r="J196" s="5"/>
      <c r="K196" s="5"/>
      <c r="N196" s="5"/>
      <c r="Q196" s="5"/>
      <c r="R196" s="1"/>
      <c r="S196" s="1"/>
      <c r="T196" s="1"/>
      <c r="U196" s="1"/>
      <c r="V196" s="1"/>
      <c r="W196" s="1"/>
      <c r="X196" s="1"/>
      <c r="Y196" s="1"/>
      <c r="Z196" s="1"/>
      <c r="AA196" s="1"/>
      <c r="AB196" s="1"/>
      <c r="AC196" s="1"/>
      <c r="AD196" s="1"/>
      <c r="AE196" s="1"/>
      <c r="AF196" s="1"/>
      <c r="AG196" s="1"/>
    </row>
    <row r="197" spans="5:33">
      <c r="E197" s="5"/>
      <c r="G197" s="5"/>
      <c r="J197" s="5"/>
      <c r="K197" s="5"/>
      <c r="N197" s="5"/>
      <c r="Q197" s="5"/>
      <c r="R197" s="1"/>
      <c r="S197" s="1"/>
      <c r="T197" s="1"/>
      <c r="U197" s="1"/>
      <c r="V197" s="1"/>
      <c r="W197" s="1"/>
      <c r="X197" s="1"/>
      <c r="Y197" s="1"/>
      <c r="Z197" s="1"/>
      <c r="AA197" s="1"/>
      <c r="AB197" s="1"/>
      <c r="AC197" s="1"/>
      <c r="AD197" s="1"/>
      <c r="AE197" s="1"/>
      <c r="AF197" s="1"/>
      <c r="AG197" s="1"/>
    </row>
    <row r="198" spans="5:33">
      <c r="E198" s="5"/>
      <c r="G198" s="5"/>
      <c r="J198" s="5"/>
      <c r="K198" s="5"/>
      <c r="N198" s="5"/>
      <c r="Q198" s="5"/>
      <c r="R198" s="1"/>
      <c r="S198" s="1"/>
      <c r="T198" s="1"/>
      <c r="U198" s="1"/>
      <c r="V198" s="1"/>
      <c r="W198" s="1"/>
      <c r="X198" s="1"/>
      <c r="Y198" s="1"/>
      <c r="Z198" s="1"/>
      <c r="AA198" s="1"/>
      <c r="AB198" s="1"/>
      <c r="AC198" s="1"/>
      <c r="AD198" s="1"/>
      <c r="AE198" s="1"/>
      <c r="AF198" s="1"/>
      <c r="AG198" s="1"/>
    </row>
    <row r="199" spans="5:33">
      <c r="E199" s="5"/>
      <c r="G199" s="5"/>
      <c r="J199" s="5"/>
      <c r="K199" s="5"/>
      <c r="N199" s="5"/>
      <c r="Q199" s="5"/>
      <c r="R199" s="1"/>
      <c r="S199" s="1"/>
      <c r="T199" s="1"/>
      <c r="U199" s="1"/>
      <c r="V199" s="1"/>
      <c r="W199" s="1"/>
      <c r="X199" s="1"/>
      <c r="Y199" s="1"/>
      <c r="Z199" s="1"/>
      <c r="AA199" s="1"/>
      <c r="AB199" s="1"/>
      <c r="AC199" s="1"/>
      <c r="AD199" s="1"/>
      <c r="AE199" s="1"/>
      <c r="AF199" s="1"/>
      <c r="AG199" s="1"/>
    </row>
    <row r="200" spans="5:33">
      <c r="E200" s="5"/>
      <c r="G200" s="5"/>
      <c r="J200" s="5"/>
      <c r="K200" s="5"/>
      <c r="N200" s="5"/>
      <c r="Q200" s="5"/>
      <c r="R200" s="1"/>
      <c r="S200" s="1"/>
      <c r="T200" s="1"/>
      <c r="U200" s="1"/>
      <c r="V200" s="1"/>
      <c r="W200" s="1"/>
      <c r="X200" s="1"/>
      <c r="Y200" s="1"/>
      <c r="Z200" s="1"/>
      <c r="AA200" s="1"/>
      <c r="AB200" s="1"/>
      <c r="AC200" s="1"/>
      <c r="AD200" s="1"/>
      <c r="AE200" s="1"/>
      <c r="AF200" s="1"/>
      <c r="AG200" s="1"/>
    </row>
    <row r="201" spans="5:33">
      <c r="E201" s="5"/>
      <c r="G201" s="5"/>
      <c r="J201" s="5"/>
      <c r="K201" s="5"/>
      <c r="N201" s="5"/>
      <c r="Q201" s="5"/>
      <c r="R201" s="1"/>
      <c r="S201" s="1"/>
      <c r="T201" s="1"/>
      <c r="U201" s="1"/>
      <c r="V201" s="1"/>
      <c r="W201" s="1"/>
      <c r="X201" s="1"/>
      <c r="Y201" s="1"/>
      <c r="Z201" s="1"/>
      <c r="AA201" s="1"/>
      <c r="AB201" s="1"/>
      <c r="AC201" s="1"/>
      <c r="AD201" s="1"/>
      <c r="AE201" s="1"/>
      <c r="AF201" s="1"/>
      <c r="AG201" s="1"/>
    </row>
    <row r="202" spans="5:33">
      <c r="E202" s="5"/>
      <c r="G202" s="5"/>
      <c r="J202" s="5"/>
      <c r="K202" s="5"/>
      <c r="N202" s="5"/>
      <c r="Q202" s="5"/>
      <c r="R202" s="1"/>
      <c r="S202" s="1"/>
      <c r="T202" s="1"/>
      <c r="U202" s="1"/>
      <c r="V202" s="1"/>
      <c r="W202" s="1"/>
      <c r="X202" s="1"/>
      <c r="Y202" s="1"/>
      <c r="Z202" s="1"/>
      <c r="AA202" s="1"/>
      <c r="AB202" s="1"/>
      <c r="AC202" s="1"/>
      <c r="AD202" s="1"/>
      <c r="AE202" s="1"/>
      <c r="AF202" s="1"/>
      <c r="AG202" s="1"/>
    </row>
    <row r="203" spans="5:33">
      <c r="E203" s="5"/>
      <c r="G203" s="5"/>
      <c r="J203" s="5"/>
      <c r="K203" s="5"/>
      <c r="N203" s="5"/>
      <c r="Q203" s="5"/>
      <c r="R203" s="1"/>
      <c r="S203" s="1"/>
      <c r="T203" s="1"/>
      <c r="U203" s="1"/>
      <c r="V203" s="1"/>
      <c r="W203" s="1"/>
      <c r="X203" s="1"/>
      <c r="Y203" s="1"/>
      <c r="Z203" s="1"/>
      <c r="AA203" s="1"/>
      <c r="AB203" s="1"/>
      <c r="AC203" s="1"/>
      <c r="AD203" s="1"/>
      <c r="AE203" s="1"/>
      <c r="AF203" s="1"/>
      <c r="AG203" s="1"/>
    </row>
    <row r="204" spans="5:33">
      <c r="E204" s="5"/>
      <c r="G204" s="5"/>
      <c r="J204" s="5"/>
      <c r="K204" s="5"/>
      <c r="N204" s="5"/>
      <c r="Q204" s="5"/>
      <c r="R204" s="1"/>
      <c r="S204" s="1"/>
      <c r="T204" s="1"/>
      <c r="U204" s="1"/>
      <c r="V204" s="1"/>
      <c r="W204" s="1"/>
      <c r="X204" s="1"/>
      <c r="Y204" s="1"/>
      <c r="Z204" s="1"/>
      <c r="AA204" s="1"/>
      <c r="AB204" s="1"/>
      <c r="AC204" s="1"/>
      <c r="AD204" s="1"/>
      <c r="AE204" s="1"/>
      <c r="AF204" s="1"/>
      <c r="AG204" s="1"/>
    </row>
    <row r="205" spans="5:33">
      <c r="E205" s="5"/>
      <c r="G205" s="5"/>
      <c r="J205" s="5"/>
      <c r="K205" s="5"/>
      <c r="N205" s="5"/>
      <c r="Q205" s="5"/>
      <c r="R205" s="1"/>
      <c r="S205" s="1"/>
      <c r="T205" s="1"/>
      <c r="U205" s="1"/>
      <c r="V205" s="1"/>
      <c r="W205" s="1"/>
      <c r="X205" s="1"/>
      <c r="Y205" s="1"/>
      <c r="Z205" s="1"/>
      <c r="AA205" s="1"/>
      <c r="AB205" s="1"/>
      <c r="AC205" s="1"/>
      <c r="AD205" s="1"/>
      <c r="AE205" s="1"/>
      <c r="AF205" s="1"/>
      <c r="AG205" s="1"/>
    </row>
    <row r="206" spans="5:33">
      <c r="E206" s="5"/>
      <c r="G206" s="5"/>
      <c r="J206" s="5"/>
      <c r="K206" s="5"/>
      <c r="N206" s="5"/>
      <c r="Q206" s="5"/>
      <c r="R206" s="1"/>
      <c r="S206" s="1"/>
      <c r="T206" s="1"/>
      <c r="U206" s="1"/>
      <c r="V206" s="1"/>
      <c r="W206" s="1"/>
      <c r="X206" s="1"/>
      <c r="Y206" s="1"/>
      <c r="Z206" s="1"/>
      <c r="AA206" s="1"/>
      <c r="AB206" s="1"/>
      <c r="AC206" s="1"/>
      <c r="AD206" s="1"/>
      <c r="AE206" s="1"/>
      <c r="AF206" s="1"/>
      <c r="AG206" s="1"/>
    </row>
    <row r="207" spans="5:33">
      <c r="E207" s="5"/>
      <c r="G207" s="5"/>
      <c r="J207" s="5"/>
      <c r="K207" s="5"/>
      <c r="N207" s="5"/>
      <c r="Q207" s="5"/>
      <c r="R207" s="1"/>
      <c r="S207" s="1"/>
      <c r="T207" s="1"/>
      <c r="U207" s="1"/>
      <c r="V207" s="1"/>
      <c r="W207" s="1"/>
      <c r="X207" s="1"/>
      <c r="Y207" s="1"/>
      <c r="Z207" s="1"/>
      <c r="AA207" s="1"/>
      <c r="AB207" s="1"/>
      <c r="AC207" s="1"/>
      <c r="AD207" s="1"/>
      <c r="AE207" s="1"/>
      <c r="AF207" s="1"/>
      <c r="AG207" s="1"/>
    </row>
    <row r="208" spans="5:33">
      <c r="E208" s="5"/>
      <c r="G208" s="5"/>
      <c r="J208" s="5"/>
      <c r="K208" s="5"/>
      <c r="N208" s="5"/>
      <c r="Q208" s="5"/>
      <c r="R208" s="1"/>
      <c r="S208" s="1"/>
      <c r="T208" s="1"/>
      <c r="U208" s="1"/>
      <c r="V208" s="1"/>
      <c r="W208" s="1"/>
      <c r="X208" s="1"/>
      <c r="Y208" s="1"/>
      <c r="Z208" s="1"/>
      <c r="AA208" s="1"/>
      <c r="AB208" s="1"/>
      <c r="AC208" s="1"/>
      <c r="AD208" s="1"/>
      <c r="AE208" s="1"/>
      <c r="AF208" s="1"/>
      <c r="AG208" s="1"/>
    </row>
    <row r="209" spans="5:33">
      <c r="E209" s="5"/>
      <c r="G209" s="5"/>
      <c r="J209" s="5"/>
      <c r="K209" s="5"/>
      <c r="N209" s="5"/>
      <c r="Q209" s="5"/>
      <c r="R209" s="1"/>
      <c r="S209" s="1"/>
      <c r="T209" s="1"/>
      <c r="U209" s="1"/>
      <c r="V209" s="1"/>
      <c r="W209" s="1"/>
      <c r="X209" s="1"/>
      <c r="Y209" s="1"/>
      <c r="Z209" s="1"/>
      <c r="AA209" s="1"/>
      <c r="AB209" s="1"/>
      <c r="AC209" s="1"/>
      <c r="AD209" s="1"/>
      <c r="AE209" s="1"/>
      <c r="AF209" s="1"/>
      <c r="AG209" s="1"/>
    </row>
    <row r="210" spans="5:33">
      <c r="E210" s="5"/>
      <c r="G210" s="5"/>
      <c r="J210" s="5"/>
      <c r="K210" s="5"/>
      <c r="N210" s="5"/>
      <c r="Q210" s="5"/>
      <c r="R210" s="1"/>
      <c r="S210" s="1"/>
      <c r="T210" s="1"/>
      <c r="U210" s="1"/>
      <c r="V210" s="1"/>
      <c r="W210" s="1"/>
      <c r="X210" s="1"/>
      <c r="Y210" s="1"/>
      <c r="Z210" s="1"/>
      <c r="AA210" s="1"/>
      <c r="AB210" s="1"/>
      <c r="AC210" s="1"/>
      <c r="AD210" s="1"/>
      <c r="AE210" s="1"/>
      <c r="AF210" s="1"/>
      <c r="AG210" s="1"/>
    </row>
    <row r="211" spans="5:33">
      <c r="E211" s="5"/>
      <c r="G211" s="5"/>
      <c r="J211" s="5"/>
      <c r="K211" s="5"/>
      <c r="N211" s="5"/>
      <c r="Q211" s="5"/>
      <c r="R211" s="1"/>
      <c r="S211" s="1"/>
      <c r="T211" s="1"/>
      <c r="U211" s="1"/>
      <c r="V211" s="1"/>
      <c r="W211" s="1"/>
      <c r="X211" s="1"/>
      <c r="Y211" s="1"/>
      <c r="Z211" s="1"/>
      <c r="AA211" s="1"/>
      <c r="AB211" s="1"/>
      <c r="AC211" s="1"/>
      <c r="AD211" s="1"/>
      <c r="AE211" s="1"/>
      <c r="AF211" s="1"/>
      <c r="AG211" s="1"/>
    </row>
    <row r="212" spans="5:33">
      <c r="E212" s="5"/>
      <c r="G212" s="5"/>
      <c r="J212" s="5"/>
      <c r="K212" s="5"/>
      <c r="N212" s="5"/>
      <c r="Q212" s="5"/>
      <c r="R212" s="1"/>
      <c r="S212" s="1"/>
      <c r="T212" s="1"/>
      <c r="U212" s="1"/>
      <c r="V212" s="1"/>
      <c r="W212" s="1"/>
      <c r="X212" s="1"/>
      <c r="Y212" s="1"/>
      <c r="Z212" s="1"/>
      <c r="AA212" s="1"/>
      <c r="AB212" s="1"/>
      <c r="AC212" s="1"/>
      <c r="AD212" s="1"/>
      <c r="AE212" s="1"/>
      <c r="AF212" s="1"/>
      <c r="AG212" s="1"/>
    </row>
    <row r="213" spans="5:33">
      <c r="E213" s="5"/>
      <c r="G213" s="5"/>
      <c r="J213" s="5"/>
      <c r="K213" s="5"/>
      <c r="N213" s="5"/>
      <c r="Q213" s="5"/>
      <c r="R213" s="1"/>
      <c r="S213" s="1"/>
      <c r="T213" s="1"/>
      <c r="U213" s="1"/>
      <c r="V213" s="1"/>
      <c r="W213" s="1"/>
      <c r="X213" s="1"/>
      <c r="Y213" s="1"/>
      <c r="Z213" s="1"/>
      <c r="AA213" s="1"/>
      <c r="AB213" s="1"/>
      <c r="AC213" s="1"/>
      <c r="AD213" s="1"/>
      <c r="AE213" s="1"/>
      <c r="AF213" s="1"/>
      <c r="AG213" s="1"/>
    </row>
    <row r="214" spans="5:33">
      <c r="E214" s="5"/>
      <c r="G214" s="5"/>
      <c r="J214" s="5"/>
      <c r="K214" s="5"/>
      <c r="N214" s="5"/>
      <c r="Q214" s="5"/>
      <c r="R214" s="1"/>
      <c r="S214" s="1"/>
      <c r="T214" s="1"/>
      <c r="U214" s="1"/>
      <c r="V214" s="1"/>
      <c r="W214" s="1"/>
      <c r="X214" s="1"/>
      <c r="Y214" s="1"/>
      <c r="Z214" s="1"/>
      <c r="AA214" s="1"/>
      <c r="AB214" s="1"/>
      <c r="AC214" s="1"/>
      <c r="AD214" s="1"/>
      <c r="AE214" s="1"/>
      <c r="AF214" s="1"/>
      <c r="AG214" s="1"/>
    </row>
    <row r="215" spans="5:33">
      <c r="E215" s="5"/>
      <c r="G215" s="5"/>
      <c r="J215" s="5"/>
      <c r="K215" s="5"/>
      <c r="N215" s="5"/>
      <c r="Q215" s="5"/>
      <c r="R215" s="1"/>
      <c r="S215" s="1"/>
      <c r="T215" s="1"/>
      <c r="U215" s="1"/>
      <c r="V215" s="1"/>
      <c r="W215" s="1"/>
      <c r="X215" s="1"/>
      <c r="Y215" s="1"/>
      <c r="Z215" s="1"/>
      <c r="AA215" s="1"/>
      <c r="AB215" s="1"/>
      <c r="AC215" s="1"/>
      <c r="AD215" s="1"/>
      <c r="AE215" s="1"/>
      <c r="AF215" s="1"/>
      <c r="AG215" s="1"/>
    </row>
    <row r="216" spans="5:33">
      <c r="E216" s="5"/>
      <c r="G216" s="5"/>
      <c r="J216" s="5"/>
      <c r="K216" s="5"/>
      <c r="N216" s="5"/>
      <c r="Q216" s="5"/>
      <c r="R216" s="1"/>
      <c r="S216" s="1"/>
      <c r="T216" s="1"/>
      <c r="U216" s="1"/>
      <c r="V216" s="1"/>
      <c r="W216" s="1"/>
      <c r="X216" s="1"/>
      <c r="Y216" s="1"/>
      <c r="Z216" s="1"/>
      <c r="AA216" s="1"/>
      <c r="AB216" s="1"/>
      <c r="AC216" s="1"/>
      <c r="AD216" s="1"/>
      <c r="AE216" s="1"/>
      <c r="AF216" s="1"/>
      <c r="AG216" s="1"/>
    </row>
    <row r="217" spans="5:33">
      <c r="E217" s="5"/>
      <c r="G217" s="5"/>
      <c r="J217" s="5"/>
      <c r="K217" s="5"/>
      <c r="N217" s="5"/>
      <c r="Q217" s="5"/>
      <c r="R217" s="1"/>
      <c r="S217" s="1"/>
      <c r="T217" s="1"/>
      <c r="U217" s="1"/>
      <c r="V217" s="1"/>
      <c r="W217" s="1"/>
      <c r="X217" s="1"/>
      <c r="Y217" s="1"/>
      <c r="Z217" s="1"/>
      <c r="AA217" s="1"/>
      <c r="AB217" s="1"/>
      <c r="AC217" s="1"/>
      <c r="AD217" s="1"/>
      <c r="AE217" s="1"/>
      <c r="AF217" s="1"/>
      <c r="AG217" s="1"/>
    </row>
    <row r="218" spans="5:33">
      <c r="E218" s="5"/>
      <c r="G218" s="5"/>
      <c r="J218" s="5"/>
      <c r="K218" s="5"/>
      <c r="N218" s="5"/>
      <c r="Q218" s="5"/>
      <c r="R218" s="1"/>
      <c r="S218" s="1"/>
      <c r="T218" s="1"/>
      <c r="U218" s="1"/>
      <c r="V218" s="1"/>
      <c r="W218" s="1"/>
      <c r="X218" s="1"/>
      <c r="Y218" s="1"/>
      <c r="Z218" s="1"/>
      <c r="AA218" s="1"/>
      <c r="AB218" s="1"/>
      <c r="AC218" s="1"/>
      <c r="AD218" s="1"/>
      <c r="AE218" s="1"/>
      <c r="AF218" s="1"/>
      <c r="AG218" s="1"/>
    </row>
    <row r="219" spans="5:33">
      <c r="E219" s="5"/>
      <c r="G219" s="5"/>
      <c r="J219" s="5"/>
      <c r="K219" s="5"/>
      <c r="N219" s="5"/>
      <c r="Q219" s="5"/>
      <c r="R219" s="1"/>
      <c r="S219" s="1"/>
      <c r="T219" s="1"/>
      <c r="U219" s="1"/>
      <c r="V219" s="1"/>
      <c r="W219" s="1"/>
      <c r="X219" s="1"/>
      <c r="Y219" s="1"/>
      <c r="Z219" s="1"/>
      <c r="AA219" s="1"/>
      <c r="AB219" s="1"/>
      <c r="AC219" s="1"/>
      <c r="AD219" s="1"/>
      <c r="AE219" s="1"/>
      <c r="AF219" s="1"/>
      <c r="AG219" s="1"/>
    </row>
    <row r="220" spans="5:33">
      <c r="E220" s="5"/>
      <c r="G220" s="5"/>
      <c r="J220" s="5"/>
      <c r="K220" s="5"/>
      <c r="N220" s="5"/>
      <c r="Q220" s="5"/>
      <c r="R220" s="1"/>
      <c r="S220" s="1"/>
      <c r="T220" s="1"/>
      <c r="U220" s="1"/>
      <c r="V220" s="1"/>
      <c r="W220" s="1"/>
      <c r="X220" s="1"/>
      <c r="Y220" s="1"/>
      <c r="Z220" s="1"/>
      <c r="AA220" s="1"/>
      <c r="AB220" s="1"/>
      <c r="AC220" s="1"/>
      <c r="AD220" s="1"/>
      <c r="AE220" s="1"/>
      <c r="AF220" s="1"/>
      <c r="AG220" s="1"/>
    </row>
    <row r="221" spans="5:33">
      <c r="E221" s="5"/>
      <c r="G221" s="5"/>
      <c r="J221" s="5"/>
      <c r="K221" s="5"/>
      <c r="N221" s="5"/>
      <c r="Q221" s="5"/>
      <c r="R221" s="1"/>
      <c r="S221" s="1"/>
      <c r="T221" s="1"/>
      <c r="U221" s="1"/>
      <c r="V221" s="1"/>
      <c r="W221" s="1"/>
      <c r="X221" s="1"/>
      <c r="Y221" s="1"/>
      <c r="Z221" s="1"/>
      <c r="AA221" s="1"/>
      <c r="AB221" s="1"/>
      <c r="AC221" s="1"/>
      <c r="AD221" s="1"/>
      <c r="AE221" s="1"/>
      <c r="AF221" s="1"/>
      <c r="AG221" s="1"/>
    </row>
    <row r="222" spans="5:33">
      <c r="E222" s="5"/>
      <c r="G222" s="5"/>
      <c r="J222" s="5"/>
      <c r="K222" s="5"/>
      <c r="N222" s="5"/>
      <c r="Q222" s="5"/>
      <c r="R222" s="1"/>
      <c r="S222" s="1"/>
      <c r="T222" s="1"/>
      <c r="U222" s="1"/>
      <c r="V222" s="1"/>
      <c r="W222" s="1"/>
      <c r="X222" s="1"/>
      <c r="Y222" s="1"/>
      <c r="Z222" s="1"/>
      <c r="AA222" s="1"/>
      <c r="AB222" s="1"/>
      <c r="AC222" s="1"/>
      <c r="AD222" s="1"/>
      <c r="AE222" s="1"/>
      <c r="AF222" s="1"/>
      <c r="AG222" s="1"/>
    </row>
    <row r="223" spans="5:33">
      <c r="E223" s="5"/>
      <c r="G223" s="5"/>
      <c r="J223" s="5"/>
      <c r="K223" s="5"/>
      <c r="N223" s="5"/>
      <c r="Q223" s="5"/>
      <c r="R223" s="1"/>
      <c r="S223" s="1"/>
      <c r="T223" s="1"/>
      <c r="U223" s="1"/>
      <c r="V223" s="1"/>
      <c r="W223" s="1"/>
      <c r="X223" s="1"/>
      <c r="Y223" s="1"/>
      <c r="Z223" s="1"/>
      <c r="AA223" s="1"/>
      <c r="AB223" s="1"/>
      <c r="AC223" s="1"/>
      <c r="AD223" s="1"/>
      <c r="AE223" s="1"/>
      <c r="AF223" s="1"/>
      <c r="AG223" s="1"/>
    </row>
    <row r="224" spans="5:33">
      <c r="E224" s="5"/>
      <c r="G224" s="5"/>
      <c r="J224" s="5"/>
      <c r="K224" s="5"/>
      <c r="N224" s="5"/>
      <c r="Q224" s="5"/>
      <c r="R224" s="1"/>
      <c r="S224" s="1"/>
      <c r="T224" s="1"/>
      <c r="U224" s="1"/>
      <c r="V224" s="1"/>
      <c r="W224" s="1"/>
      <c r="X224" s="1"/>
      <c r="Y224" s="1"/>
      <c r="Z224" s="1"/>
      <c r="AA224" s="1"/>
      <c r="AB224" s="1"/>
      <c r="AC224" s="1"/>
      <c r="AD224" s="1"/>
      <c r="AE224" s="1"/>
      <c r="AF224" s="1"/>
      <c r="AG224" s="1"/>
    </row>
    <row r="225" spans="5:33">
      <c r="E225" s="5"/>
      <c r="G225" s="5"/>
      <c r="J225" s="5"/>
      <c r="K225" s="5"/>
      <c r="N225" s="5"/>
      <c r="Q225" s="5"/>
      <c r="R225" s="1"/>
      <c r="S225" s="1"/>
      <c r="T225" s="1"/>
      <c r="U225" s="1"/>
      <c r="V225" s="1"/>
      <c r="W225" s="1"/>
      <c r="X225" s="1"/>
      <c r="Y225" s="1"/>
      <c r="Z225" s="1"/>
      <c r="AA225" s="1"/>
      <c r="AB225" s="1"/>
      <c r="AC225" s="1"/>
      <c r="AD225" s="1"/>
      <c r="AE225" s="1"/>
      <c r="AF225" s="1"/>
      <c r="AG225" s="1"/>
    </row>
    <row r="226" spans="5:33">
      <c r="E226" s="5"/>
      <c r="G226" s="5"/>
      <c r="J226" s="5"/>
      <c r="K226" s="5"/>
      <c r="N226" s="5"/>
      <c r="Q226" s="5"/>
      <c r="R226" s="1"/>
      <c r="S226" s="1"/>
      <c r="T226" s="1"/>
      <c r="U226" s="1"/>
      <c r="V226" s="1"/>
      <c r="W226" s="1"/>
      <c r="X226" s="1"/>
      <c r="Y226" s="1"/>
      <c r="Z226" s="1"/>
      <c r="AA226" s="1"/>
      <c r="AB226" s="1"/>
      <c r="AC226" s="1"/>
      <c r="AD226" s="1"/>
      <c r="AE226" s="1"/>
      <c r="AF226" s="1"/>
      <c r="AG226" s="1"/>
    </row>
    <row r="227" spans="5:33">
      <c r="E227" s="5"/>
      <c r="G227" s="5"/>
      <c r="J227" s="5"/>
      <c r="K227" s="5"/>
      <c r="N227" s="5"/>
      <c r="Q227" s="5"/>
      <c r="R227" s="1"/>
      <c r="S227" s="1"/>
      <c r="T227" s="1"/>
      <c r="U227" s="1"/>
      <c r="V227" s="1"/>
      <c r="W227" s="1"/>
      <c r="X227" s="1"/>
      <c r="Y227" s="1"/>
      <c r="Z227" s="1"/>
      <c r="AA227" s="1"/>
      <c r="AB227" s="1"/>
      <c r="AC227" s="1"/>
      <c r="AD227" s="1"/>
      <c r="AE227" s="1"/>
      <c r="AF227" s="1"/>
      <c r="AG227" s="1"/>
    </row>
    <row r="228" spans="5:33">
      <c r="E228" s="5"/>
      <c r="G228" s="5"/>
      <c r="J228" s="5"/>
      <c r="K228" s="5"/>
      <c r="N228" s="5"/>
      <c r="Q228" s="5"/>
      <c r="R228" s="1"/>
      <c r="S228" s="1"/>
      <c r="T228" s="1"/>
      <c r="U228" s="1"/>
      <c r="V228" s="1"/>
      <c r="W228" s="1"/>
      <c r="X228" s="1"/>
      <c r="Y228" s="1"/>
      <c r="Z228" s="1"/>
      <c r="AA228" s="1"/>
      <c r="AB228" s="1"/>
      <c r="AC228" s="1"/>
      <c r="AD228" s="1"/>
      <c r="AE228" s="1"/>
      <c r="AF228" s="1"/>
      <c r="AG228" s="1"/>
    </row>
    <row r="229" spans="5:33">
      <c r="E229" s="5"/>
      <c r="G229" s="5"/>
      <c r="J229" s="5"/>
      <c r="K229" s="5"/>
      <c r="N229" s="5"/>
      <c r="Q229" s="5"/>
      <c r="R229" s="1"/>
      <c r="S229" s="1"/>
      <c r="T229" s="1"/>
      <c r="U229" s="1"/>
      <c r="V229" s="1"/>
      <c r="W229" s="1"/>
      <c r="X229" s="1"/>
      <c r="Y229" s="1"/>
      <c r="Z229" s="1"/>
      <c r="AA229" s="1"/>
      <c r="AB229" s="1"/>
      <c r="AC229" s="1"/>
      <c r="AD229" s="1"/>
      <c r="AE229" s="1"/>
      <c r="AF229" s="1"/>
      <c r="AG229" s="1"/>
    </row>
    <row r="230" spans="5:33">
      <c r="E230" s="5"/>
      <c r="G230" s="5"/>
      <c r="J230" s="5"/>
      <c r="K230" s="5"/>
      <c r="N230" s="5"/>
      <c r="Q230" s="5"/>
      <c r="R230" s="1"/>
      <c r="S230" s="1"/>
      <c r="T230" s="1"/>
      <c r="U230" s="1"/>
      <c r="V230" s="1"/>
      <c r="W230" s="1"/>
      <c r="X230" s="1"/>
      <c r="Y230" s="1"/>
      <c r="Z230" s="1"/>
      <c r="AA230" s="1"/>
      <c r="AB230" s="1"/>
      <c r="AC230" s="1"/>
      <c r="AD230" s="1"/>
      <c r="AE230" s="1"/>
      <c r="AF230" s="1"/>
      <c r="AG230" s="1"/>
    </row>
    <row r="231" spans="5:33">
      <c r="E231" s="5"/>
      <c r="G231" s="5"/>
      <c r="J231" s="5"/>
      <c r="K231" s="5"/>
      <c r="N231" s="5"/>
      <c r="Q231" s="5"/>
      <c r="R231" s="1"/>
      <c r="S231" s="1"/>
      <c r="T231" s="1"/>
      <c r="U231" s="1"/>
      <c r="V231" s="1"/>
      <c r="W231" s="1"/>
      <c r="X231" s="1"/>
      <c r="Y231" s="1"/>
      <c r="Z231" s="1"/>
      <c r="AA231" s="1"/>
      <c r="AB231" s="1"/>
      <c r="AC231" s="1"/>
      <c r="AD231" s="1"/>
      <c r="AE231" s="1"/>
      <c r="AF231" s="1"/>
      <c r="AG231" s="1"/>
    </row>
    <row r="232" spans="5:33">
      <c r="E232" s="5"/>
      <c r="G232" s="5"/>
      <c r="J232" s="5"/>
      <c r="K232" s="5"/>
      <c r="N232" s="5"/>
      <c r="Q232" s="5"/>
      <c r="R232" s="1"/>
      <c r="S232" s="1"/>
      <c r="T232" s="1"/>
      <c r="U232" s="1"/>
      <c r="V232" s="1"/>
      <c r="W232" s="1"/>
      <c r="X232" s="1"/>
      <c r="Y232" s="1"/>
      <c r="Z232" s="1"/>
      <c r="AA232" s="1"/>
      <c r="AB232" s="1"/>
      <c r="AC232" s="1"/>
      <c r="AD232" s="1"/>
      <c r="AE232" s="1"/>
      <c r="AF232" s="1"/>
      <c r="AG232" s="1"/>
    </row>
    <row r="233" spans="5:33">
      <c r="E233" s="5"/>
      <c r="G233" s="5"/>
      <c r="J233" s="5"/>
      <c r="K233" s="5"/>
      <c r="N233" s="5"/>
      <c r="Q233" s="5"/>
      <c r="R233" s="1"/>
      <c r="S233" s="1"/>
      <c r="T233" s="1"/>
      <c r="U233" s="1"/>
      <c r="V233" s="1"/>
      <c r="W233" s="1"/>
      <c r="X233" s="1"/>
      <c r="Y233" s="1"/>
      <c r="Z233" s="1"/>
      <c r="AA233" s="1"/>
      <c r="AB233" s="1"/>
      <c r="AC233" s="1"/>
      <c r="AD233" s="1"/>
      <c r="AE233" s="1"/>
      <c r="AF233" s="1"/>
      <c r="AG233" s="1"/>
    </row>
    <row r="234" spans="5:33">
      <c r="E234" s="5"/>
      <c r="G234" s="5"/>
      <c r="J234" s="5"/>
      <c r="K234" s="5"/>
      <c r="N234" s="5"/>
      <c r="Q234" s="5"/>
      <c r="R234" s="1"/>
      <c r="S234" s="1"/>
      <c r="T234" s="1"/>
      <c r="U234" s="1"/>
      <c r="V234" s="1"/>
      <c r="W234" s="1"/>
      <c r="X234" s="1"/>
      <c r="Y234" s="1"/>
      <c r="Z234" s="1"/>
      <c r="AA234" s="1"/>
      <c r="AB234" s="1"/>
      <c r="AC234" s="1"/>
      <c r="AD234" s="1"/>
      <c r="AE234" s="1"/>
      <c r="AF234" s="1"/>
      <c r="AG234" s="1"/>
    </row>
    <row r="235" spans="5:33">
      <c r="E235" s="5"/>
      <c r="G235" s="5"/>
      <c r="J235" s="5"/>
      <c r="K235" s="5"/>
      <c r="N235" s="5"/>
      <c r="Q235" s="5"/>
      <c r="R235" s="1"/>
      <c r="S235" s="1"/>
      <c r="T235" s="1"/>
      <c r="U235" s="1"/>
      <c r="V235" s="1"/>
      <c r="W235" s="1"/>
      <c r="X235" s="1"/>
      <c r="Y235" s="1"/>
      <c r="Z235" s="1"/>
      <c r="AA235" s="1"/>
      <c r="AB235" s="1"/>
      <c r="AC235" s="1"/>
      <c r="AD235" s="1"/>
      <c r="AE235" s="1"/>
      <c r="AF235" s="1"/>
      <c r="AG235" s="1"/>
    </row>
    <row r="236" spans="5:33">
      <c r="E236" s="5"/>
      <c r="G236" s="5"/>
      <c r="J236" s="5"/>
      <c r="K236" s="5"/>
      <c r="N236" s="5"/>
      <c r="Q236" s="5"/>
      <c r="R236" s="1"/>
      <c r="S236" s="1"/>
      <c r="T236" s="1"/>
      <c r="U236" s="1"/>
      <c r="V236" s="1"/>
      <c r="W236" s="1"/>
      <c r="X236" s="1"/>
      <c r="Y236" s="1"/>
      <c r="Z236" s="1"/>
      <c r="AA236" s="1"/>
      <c r="AB236" s="1"/>
      <c r="AC236" s="1"/>
      <c r="AD236" s="1"/>
      <c r="AE236" s="1"/>
      <c r="AF236" s="1"/>
      <c r="AG236" s="1"/>
    </row>
    <row r="237" spans="5:33">
      <c r="E237" s="5"/>
      <c r="G237" s="5"/>
      <c r="J237" s="5"/>
      <c r="K237" s="5"/>
      <c r="N237" s="5"/>
      <c r="Q237" s="5"/>
      <c r="R237" s="1"/>
      <c r="S237" s="1"/>
      <c r="T237" s="1"/>
      <c r="U237" s="1"/>
      <c r="V237" s="1"/>
      <c r="W237" s="1"/>
      <c r="X237" s="1"/>
      <c r="Y237" s="1"/>
      <c r="Z237" s="1"/>
      <c r="AA237" s="1"/>
      <c r="AB237" s="1"/>
      <c r="AC237" s="1"/>
      <c r="AD237" s="1"/>
      <c r="AE237" s="1"/>
      <c r="AF237" s="1"/>
      <c r="AG237" s="1"/>
    </row>
    <row r="238" spans="5:33">
      <c r="E238" s="5"/>
      <c r="G238" s="5"/>
      <c r="J238" s="5"/>
      <c r="K238" s="5"/>
      <c r="N238" s="5"/>
      <c r="Q238" s="5"/>
      <c r="R238" s="1"/>
      <c r="S238" s="1"/>
      <c r="T238" s="1"/>
      <c r="U238" s="1"/>
      <c r="V238" s="1"/>
      <c r="W238" s="1"/>
      <c r="X238" s="1"/>
      <c r="Y238" s="1"/>
      <c r="Z238" s="1"/>
      <c r="AA238" s="1"/>
      <c r="AB238" s="1"/>
      <c r="AC238" s="1"/>
      <c r="AD238" s="1"/>
      <c r="AE238" s="1"/>
      <c r="AF238" s="1"/>
      <c r="AG238" s="1"/>
    </row>
    <row r="239" spans="5:33">
      <c r="E239" s="5"/>
      <c r="G239" s="5"/>
      <c r="J239" s="5"/>
      <c r="K239" s="5"/>
      <c r="N239" s="5"/>
      <c r="Q239" s="5"/>
      <c r="R239" s="1"/>
      <c r="S239" s="1"/>
      <c r="T239" s="1"/>
      <c r="U239" s="1"/>
      <c r="V239" s="1"/>
      <c r="W239" s="1"/>
      <c r="X239" s="1"/>
      <c r="Y239" s="1"/>
      <c r="Z239" s="1"/>
      <c r="AA239" s="1"/>
      <c r="AB239" s="1"/>
      <c r="AC239" s="1"/>
      <c r="AD239" s="1"/>
      <c r="AE239" s="1"/>
      <c r="AF239" s="1"/>
      <c r="AG239" s="1"/>
    </row>
    <row r="240" spans="5:33">
      <c r="E240" s="5"/>
      <c r="G240" s="5"/>
      <c r="J240" s="5"/>
      <c r="K240" s="5"/>
      <c r="N240" s="5"/>
      <c r="Q240" s="5"/>
      <c r="R240" s="1"/>
      <c r="S240" s="1"/>
      <c r="T240" s="1"/>
      <c r="U240" s="1"/>
      <c r="V240" s="1"/>
      <c r="W240" s="1"/>
      <c r="X240" s="1"/>
      <c r="Y240" s="1"/>
      <c r="Z240" s="1"/>
      <c r="AA240" s="1"/>
      <c r="AB240" s="1"/>
      <c r="AC240" s="1"/>
      <c r="AD240" s="1"/>
      <c r="AE240" s="1"/>
      <c r="AF240" s="1"/>
      <c r="AG240" s="1"/>
    </row>
    <row r="241" spans="5:33">
      <c r="E241" s="5"/>
      <c r="G241" s="5"/>
      <c r="J241" s="5"/>
      <c r="K241" s="5"/>
      <c r="N241" s="5"/>
      <c r="Q241" s="5"/>
      <c r="R241" s="1"/>
      <c r="S241" s="1"/>
      <c r="T241" s="1"/>
      <c r="U241" s="1"/>
      <c r="V241" s="1"/>
      <c r="W241" s="1"/>
      <c r="X241" s="1"/>
      <c r="Y241" s="1"/>
      <c r="Z241" s="1"/>
      <c r="AA241" s="1"/>
      <c r="AB241" s="1"/>
      <c r="AC241" s="1"/>
      <c r="AD241" s="1"/>
      <c r="AE241" s="1"/>
      <c r="AF241" s="1"/>
      <c r="AG241" s="1"/>
    </row>
    <row r="242" spans="5:33">
      <c r="E242" s="5"/>
      <c r="G242" s="5"/>
      <c r="J242" s="5"/>
      <c r="K242" s="5"/>
      <c r="N242" s="5"/>
      <c r="Q242" s="5"/>
      <c r="R242" s="1"/>
      <c r="S242" s="1"/>
      <c r="T242" s="1"/>
      <c r="U242" s="1"/>
      <c r="V242" s="1"/>
      <c r="W242" s="1"/>
      <c r="X242" s="1"/>
      <c r="Y242" s="1"/>
      <c r="Z242" s="1"/>
      <c r="AA242" s="1"/>
      <c r="AB242" s="1"/>
      <c r="AC242" s="1"/>
      <c r="AD242" s="1"/>
      <c r="AE242" s="1"/>
      <c r="AF242" s="1"/>
      <c r="AG242" s="1"/>
    </row>
    <row r="243" spans="5:33">
      <c r="E243" s="5"/>
      <c r="G243" s="5"/>
      <c r="J243" s="5"/>
      <c r="K243" s="5"/>
      <c r="N243" s="5"/>
      <c r="Q243" s="5"/>
      <c r="R243" s="1"/>
      <c r="S243" s="1"/>
      <c r="T243" s="1"/>
      <c r="U243" s="1"/>
      <c r="V243" s="1"/>
      <c r="W243" s="1"/>
      <c r="X243" s="1"/>
      <c r="Y243" s="1"/>
      <c r="Z243" s="1"/>
      <c r="AA243" s="1"/>
      <c r="AB243" s="1"/>
      <c r="AC243" s="1"/>
      <c r="AD243" s="1"/>
      <c r="AE243" s="1"/>
      <c r="AF243" s="1"/>
      <c r="AG243" s="1"/>
    </row>
    <row r="244" spans="5:33">
      <c r="E244" s="5"/>
      <c r="G244" s="5"/>
      <c r="J244" s="5"/>
      <c r="K244" s="5"/>
      <c r="N244" s="5"/>
      <c r="Q244" s="5"/>
      <c r="R244" s="1"/>
      <c r="S244" s="1"/>
      <c r="T244" s="1"/>
      <c r="U244" s="1"/>
      <c r="V244" s="1"/>
      <c r="W244" s="1"/>
      <c r="X244" s="1"/>
      <c r="Y244" s="1"/>
      <c r="Z244" s="1"/>
      <c r="AA244" s="1"/>
      <c r="AB244" s="1"/>
      <c r="AC244" s="1"/>
      <c r="AD244" s="1"/>
      <c r="AE244" s="1"/>
      <c r="AF244" s="1"/>
      <c r="AG244" s="1"/>
    </row>
    <row r="245" spans="5:33">
      <c r="E245" s="5"/>
      <c r="G245" s="5"/>
      <c r="J245" s="5"/>
      <c r="K245" s="5"/>
      <c r="N245" s="5"/>
      <c r="Q245" s="5"/>
      <c r="R245" s="1"/>
      <c r="S245" s="1"/>
      <c r="T245" s="1"/>
      <c r="U245" s="1"/>
      <c r="V245" s="1"/>
      <c r="W245" s="1"/>
      <c r="X245" s="1"/>
      <c r="Y245" s="1"/>
      <c r="Z245" s="1"/>
      <c r="AA245" s="1"/>
      <c r="AB245" s="1"/>
      <c r="AC245" s="1"/>
      <c r="AD245" s="1"/>
      <c r="AE245" s="1"/>
      <c r="AF245" s="1"/>
      <c r="AG245" s="1"/>
    </row>
    <row r="246" spans="5:33">
      <c r="E246" s="5"/>
      <c r="G246" s="5"/>
      <c r="J246" s="5"/>
      <c r="K246" s="5"/>
      <c r="N246" s="5"/>
      <c r="Q246" s="5"/>
      <c r="R246" s="1"/>
      <c r="S246" s="1"/>
      <c r="T246" s="1"/>
      <c r="U246" s="1"/>
      <c r="V246" s="1"/>
      <c r="W246" s="1"/>
      <c r="X246" s="1"/>
      <c r="Y246" s="1"/>
      <c r="Z246" s="1"/>
      <c r="AA246" s="1"/>
      <c r="AB246" s="1"/>
      <c r="AC246" s="1"/>
      <c r="AD246" s="1"/>
      <c r="AE246" s="1"/>
      <c r="AF246" s="1"/>
      <c r="AG246" s="1"/>
    </row>
    <row r="247" spans="5:33">
      <c r="E247" s="5"/>
      <c r="G247" s="5"/>
      <c r="J247" s="5"/>
      <c r="K247" s="5"/>
      <c r="N247" s="5"/>
      <c r="Q247" s="5"/>
      <c r="R247" s="1"/>
      <c r="S247" s="1"/>
      <c r="T247" s="1"/>
      <c r="U247" s="1"/>
      <c r="V247" s="1"/>
      <c r="W247" s="1"/>
      <c r="X247" s="1"/>
      <c r="Y247" s="1"/>
      <c r="Z247" s="1"/>
      <c r="AA247" s="1"/>
      <c r="AB247" s="1"/>
      <c r="AC247" s="1"/>
      <c r="AD247" s="1"/>
      <c r="AE247" s="1"/>
      <c r="AF247" s="1"/>
      <c r="AG247" s="1"/>
    </row>
    <row r="248" spans="5:33">
      <c r="E248" s="5"/>
      <c r="G248" s="5"/>
      <c r="J248" s="5"/>
      <c r="K248" s="5"/>
      <c r="N248" s="5"/>
      <c r="Q248" s="5"/>
      <c r="R248" s="1"/>
      <c r="S248" s="1"/>
      <c r="T248" s="1"/>
      <c r="U248" s="1"/>
      <c r="V248" s="1"/>
      <c r="W248" s="1"/>
      <c r="X248" s="1"/>
      <c r="Y248" s="1"/>
      <c r="Z248" s="1"/>
      <c r="AA248" s="1"/>
      <c r="AB248" s="1"/>
      <c r="AC248" s="1"/>
      <c r="AD248" s="1"/>
      <c r="AE248" s="1"/>
      <c r="AF248" s="1"/>
      <c r="AG248" s="1"/>
    </row>
    <row r="249" spans="5:33">
      <c r="E249" s="5"/>
      <c r="G249" s="5"/>
      <c r="J249" s="5"/>
      <c r="K249" s="5"/>
      <c r="N249" s="5"/>
      <c r="Q249" s="5"/>
      <c r="R249" s="1"/>
      <c r="S249" s="1"/>
      <c r="T249" s="1"/>
      <c r="U249" s="1"/>
      <c r="V249" s="1"/>
      <c r="W249" s="1"/>
      <c r="X249" s="1"/>
      <c r="Y249" s="1"/>
      <c r="Z249" s="1"/>
      <c r="AA249" s="1"/>
      <c r="AB249" s="1"/>
      <c r="AC249" s="1"/>
      <c r="AD249" s="1"/>
      <c r="AE249" s="1"/>
      <c r="AF249" s="1"/>
      <c r="AG249" s="1"/>
    </row>
    <row r="250" spans="5:33">
      <c r="E250" s="5"/>
      <c r="G250" s="5"/>
      <c r="J250" s="5"/>
      <c r="K250" s="5"/>
      <c r="N250" s="5"/>
      <c r="Q250" s="5"/>
      <c r="R250" s="1"/>
      <c r="S250" s="1"/>
      <c r="T250" s="1"/>
      <c r="U250" s="1"/>
      <c r="V250" s="1"/>
      <c r="W250" s="1"/>
      <c r="X250" s="1"/>
      <c r="Y250" s="1"/>
      <c r="Z250" s="1"/>
      <c r="AA250" s="1"/>
      <c r="AB250" s="1"/>
      <c r="AC250" s="1"/>
      <c r="AD250" s="1"/>
      <c r="AE250" s="1"/>
      <c r="AF250" s="1"/>
      <c r="AG250" s="1"/>
    </row>
    <row r="251" spans="5:33">
      <c r="E251" s="5"/>
      <c r="G251" s="5"/>
      <c r="J251" s="5"/>
      <c r="K251" s="5"/>
      <c r="N251" s="5"/>
      <c r="Q251" s="5"/>
      <c r="R251" s="1"/>
      <c r="S251" s="1"/>
      <c r="T251" s="1"/>
      <c r="U251" s="1"/>
      <c r="V251" s="1"/>
      <c r="W251" s="1"/>
      <c r="X251" s="1"/>
      <c r="Y251" s="1"/>
      <c r="Z251" s="1"/>
      <c r="AA251" s="1"/>
      <c r="AB251" s="1"/>
      <c r="AC251" s="1"/>
      <c r="AD251" s="1"/>
      <c r="AE251" s="1"/>
      <c r="AF251" s="1"/>
      <c r="AG251" s="1"/>
    </row>
    <row r="252" spans="5:33">
      <c r="E252" s="5"/>
      <c r="G252" s="5"/>
      <c r="J252" s="5"/>
      <c r="K252" s="5"/>
      <c r="N252" s="5"/>
      <c r="Q252" s="5"/>
      <c r="R252" s="1"/>
      <c r="S252" s="1"/>
      <c r="T252" s="1"/>
      <c r="U252" s="1"/>
      <c r="V252" s="1"/>
      <c r="W252" s="1"/>
      <c r="X252" s="1"/>
      <c r="Y252" s="1"/>
      <c r="Z252" s="1"/>
      <c r="AA252" s="1"/>
      <c r="AB252" s="1"/>
      <c r="AC252" s="1"/>
      <c r="AD252" s="1"/>
      <c r="AE252" s="1"/>
      <c r="AF252" s="1"/>
      <c r="AG252" s="1"/>
    </row>
    <row r="253" spans="5:33">
      <c r="E253" s="5"/>
      <c r="G253" s="5"/>
      <c r="J253" s="5"/>
      <c r="K253" s="5"/>
      <c r="N253" s="5"/>
      <c r="Q253" s="5"/>
      <c r="R253" s="1"/>
      <c r="S253" s="1"/>
      <c r="T253" s="1"/>
      <c r="U253" s="1"/>
      <c r="V253" s="1"/>
      <c r="W253" s="1"/>
      <c r="X253" s="1"/>
      <c r="Y253" s="1"/>
      <c r="Z253" s="1"/>
      <c r="AA253" s="1"/>
      <c r="AB253" s="1"/>
      <c r="AC253" s="1"/>
      <c r="AD253" s="1"/>
      <c r="AE253" s="1"/>
      <c r="AF253" s="1"/>
      <c r="AG253" s="1"/>
    </row>
    <row r="254" spans="5:33">
      <c r="E254" s="5"/>
      <c r="G254" s="5"/>
      <c r="J254" s="5"/>
      <c r="K254" s="5"/>
      <c r="N254" s="5"/>
      <c r="Q254" s="5"/>
      <c r="R254" s="1"/>
      <c r="S254" s="1"/>
      <c r="T254" s="1"/>
      <c r="U254" s="1"/>
      <c r="V254" s="1"/>
      <c r="W254" s="1"/>
      <c r="X254" s="1"/>
      <c r="Y254" s="1"/>
      <c r="Z254" s="1"/>
      <c r="AA254" s="1"/>
      <c r="AB254" s="1"/>
      <c r="AC254" s="1"/>
      <c r="AD254" s="1"/>
      <c r="AE254" s="1"/>
      <c r="AF254" s="1"/>
      <c r="AG254" s="1"/>
    </row>
    <row r="255" spans="5:33">
      <c r="E255" s="5"/>
      <c r="G255" s="5"/>
      <c r="J255" s="5"/>
      <c r="K255" s="5"/>
      <c r="N255" s="5"/>
      <c r="Q255" s="5"/>
      <c r="R255" s="1"/>
      <c r="S255" s="1"/>
      <c r="T255" s="1"/>
      <c r="U255" s="1"/>
      <c r="V255" s="1"/>
      <c r="W255" s="1"/>
      <c r="X255" s="1"/>
      <c r="Y255" s="1"/>
      <c r="Z255" s="1"/>
      <c r="AA255" s="1"/>
      <c r="AB255" s="1"/>
      <c r="AC255" s="1"/>
      <c r="AD255" s="1"/>
      <c r="AE255" s="1"/>
      <c r="AF255" s="1"/>
      <c r="AG255" s="1"/>
    </row>
    <row r="256" spans="5:33">
      <c r="E256" s="5"/>
      <c r="G256" s="5"/>
      <c r="J256" s="5"/>
      <c r="K256" s="5"/>
      <c r="N256" s="5"/>
      <c r="Q256" s="5"/>
      <c r="R256" s="1"/>
      <c r="S256" s="1"/>
      <c r="T256" s="1"/>
      <c r="U256" s="1"/>
      <c r="V256" s="1"/>
      <c r="W256" s="1"/>
      <c r="X256" s="1"/>
      <c r="Y256" s="1"/>
      <c r="Z256" s="1"/>
      <c r="AA256" s="1"/>
      <c r="AB256" s="1"/>
      <c r="AC256" s="1"/>
      <c r="AD256" s="1"/>
      <c r="AE256" s="1"/>
      <c r="AF256" s="1"/>
      <c r="AG256" s="1"/>
    </row>
    <row r="257" spans="5:33">
      <c r="E257" s="5"/>
      <c r="G257" s="5"/>
      <c r="J257" s="5"/>
      <c r="K257" s="5"/>
      <c r="N257" s="5"/>
      <c r="Q257" s="5"/>
      <c r="R257" s="1"/>
      <c r="S257" s="1"/>
      <c r="T257" s="1"/>
      <c r="U257" s="1"/>
      <c r="V257" s="1"/>
      <c r="W257" s="1"/>
      <c r="X257" s="1"/>
      <c r="Y257" s="1"/>
      <c r="Z257" s="1"/>
      <c r="AA257" s="1"/>
      <c r="AB257" s="1"/>
      <c r="AC257" s="1"/>
      <c r="AD257" s="1"/>
      <c r="AE257" s="1"/>
      <c r="AF257" s="1"/>
      <c r="AG257" s="1"/>
    </row>
    <row r="258" spans="5:33">
      <c r="E258" s="5"/>
      <c r="G258" s="5"/>
      <c r="J258" s="5"/>
      <c r="K258" s="5"/>
      <c r="N258" s="5"/>
      <c r="Q258" s="5"/>
      <c r="R258" s="1"/>
      <c r="S258" s="1"/>
      <c r="T258" s="1"/>
      <c r="U258" s="1"/>
      <c r="V258" s="1"/>
      <c r="W258" s="1"/>
      <c r="X258" s="1"/>
      <c r="Y258" s="1"/>
      <c r="Z258" s="1"/>
      <c r="AA258" s="1"/>
      <c r="AB258" s="1"/>
      <c r="AC258" s="1"/>
      <c r="AD258" s="1"/>
      <c r="AE258" s="1"/>
      <c r="AF258" s="1"/>
      <c r="AG258" s="1"/>
    </row>
    <row r="259" spans="5:33">
      <c r="E259" s="5"/>
      <c r="G259" s="5"/>
      <c r="J259" s="5"/>
      <c r="K259" s="5"/>
      <c r="N259" s="5"/>
      <c r="Q259" s="5"/>
      <c r="R259" s="1"/>
      <c r="S259" s="1"/>
      <c r="T259" s="1"/>
      <c r="U259" s="1"/>
      <c r="V259" s="1"/>
      <c r="W259" s="1"/>
      <c r="X259" s="1"/>
      <c r="Y259" s="1"/>
      <c r="Z259" s="1"/>
      <c r="AA259" s="1"/>
      <c r="AB259" s="1"/>
      <c r="AC259" s="1"/>
      <c r="AD259" s="1"/>
      <c r="AE259" s="1"/>
      <c r="AF259" s="1"/>
      <c r="AG259" s="1"/>
    </row>
    <row r="260" spans="5:33">
      <c r="E260" s="5"/>
      <c r="G260" s="5"/>
      <c r="J260" s="5"/>
      <c r="K260" s="5"/>
      <c r="N260" s="5"/>
      <c r="Q260" s="5"/>
      <c r="R260" s="1"/>
      <c r="S260" s="1"/>
      <c r="T260" s="1"/>
      <c r="U260" s="1"/>
      <c r="V260" s="1"/>
      <c r="W260" s="1"/>
      <c r="X260" s="1"/>
      <c r="Y260" s="1"/>
      <c r="Z260" s="1"/>
      <c r="AA260" s="1"/>
      <c r="AB260" s="1"/>
      <c r="AC260" s="1"/>
      <c r="AD260" s="1"/>
      <c r="AE260" s="1"/>
      <c r="AF260" s="1"/>
      <c r="AG260" s="1"/>
    </row>
    <row r="261" spans="5:33">
      <c r="E261" s="5"/>
      <c r="G261" s="5"/>
      <c r="J261" s="5"/>
      <c r="K261" s="5"/>
      <c r="N261" s="5"/>
      <c r="Q261" s="5"/>
      <c r="R261" s="1"/>
      <c r="S261" s="1"/>
      <c r="T261" s="1"/>
      <c r="U261" s="1"/>
      <c r="V261" s="1"/>
      <c r="W261" s="1"/>
      <c r="X261" s="1"/>
      <c r="Y261" s="1"/>
      <c r="Z261" s="1"/>
      <c r="AA261" s="1"/>
      <c r="AB261" s="1"/>
      <c r="AC261" s="1"/>
      <c r="AD261" s="1"/>
      <c r="AE261" s="1"/>
      <c r="AF261" s="1"/>
      <c r="AG261" s="1"/>
    </row>
    <row r="262" spans="5:33">
      <c r="E262" s="5"/>
      <c r="G262" s="5"/>
      <c r="J262" s="5"/>
      <c r="K262" s="5"/>
      <c r="N262" s="5"/>
      <c r="Q262" s="5"/>
      <c r="R262" s="1"/>
      <c r="S262" s="1"/>
      <c r="T262" s="1"/>
      <c r="U262" s="1"/>
      <c r="V262" s="1"/>
      <c r="W262" s="1"/>
      <c r="X262" s="1"/>
      <c r="Y262" s="1"/>
      <c r="Z262" s="1"/>
      <c r="AA262" s="1"/>
      <c r="AB262" s="1"/>
      <c r="AC262" s="1"/>
      <c r="AD262" s="1"/>
      <c r="AE262" s="1"/>
      <c r="AF262" s="1"/>
      <c r="AG262" s="1"/>
    </row>
    <row r="263" spans="5:33">
      <c r="E263" s="5"/>
      <c r="G263" s="5"/>
      <c r="J263" s="5"/>
      <c r="K263" s="5"/>
      <c r="N263" s="5"/>
      <c r="Q263" s="5"/>
      <c r="R263" s="1"/>
      <c r="S263" s="1"/>
      <c r="T263" s="1"/>
      <c r="U263" s="1"/>
      <c r="V263" s="1"/>
      <c r="W263" s="1"/>
      <c r="X263" s="1"/>
      <c r="Y263" s="1"/>
      <c r="Z263" s="1"/>
      <c r="AA263" s="1"/>
      <c r="AB263" s="1"/>
      <c r="AC263" s="1"/>
      <c r="AD263" s="1"/>
      <c r="AE263" s="1"/>
      <c r="AF263" s="1"/>
      <c r="AG263" s="1"/>
    </row>
    <row r="264" spans="5:33">
      <c r="E264" s="5"/>
      <c r="G264" s="5"/>
      <c r="J264" s="5"/>
      <c r="K264" s="5"/>
      <c r="N264" s="5"/>
      <c r="Q264" s="5"/>
      <c r="R264" s="1"/>
      <c r="S264" s="1"/>
      <c r="T264" s="1"/>
      <c r="U264" s="1"/>
      <c r="V264" s="1"/>
      <c r="W264" s="1"/>
      <c r="X264" s="1"/>
      <c r="Y264" s="1"/>
      <c r="Z264" s="1"/>
      <c r="AA264" s="1"/>
      <c r="AB264" s="1"/>
      <c r="AC264" s="1"/>
      <c r="AD264" s="1"/>
      <c r="AE264" s="1"/>
      <c r="AF264" s="1"/>
      <c r="AG264" s="1"/>
    </row>
    <row r="265" spans="5:33">
      <c r="E265" s="5"/>
      <c r="G265" s="5"/>
      <c r="J265" s="5"/>
      <c r="K265" s="5"/>
      <c r="N265" s="5"/>
      <c r="Q265" s="5"/>
      <c r="R265" s="1"/>
      <c r="S265" s="1"/>
      <c r="T265" s="1"/>
      <c r="U265" s="1"/>
      <c r="V265" s="1"/>
      <c r="W265" s="1"/>
      <c r="X265" s="1"/>
      <c r="Y265" s="1"/>
      <c r="Z265" s="1"/>
      <c r="AA265" s="1"/>
      <c r="AB265" s="1"/>
      <c r="AC265" s="1"/>
      <c r="AD265" s="1"/>
      <c r="AE265" s="1"/>
      <c r="AF265" s="1"/>
      <c r="AG265" s="1"/>
    </row>
    <row r="266" spans="5:33">
      <c r="E266" s="5"/>
      <c r="G266" s="5"/>
      <c r="J266" s="5"/>
      <c r="K266" s="5"/>
      <c r="N266" s="5"/>
      <c r="Q266" s="5"/>
      <c r="R266" s="1"/>
      <c r="S266" s="1"/>
      <c r="T266" s="1"/>
      <c r="U266" s="1"/>
      <c r="V266" s="1"/>
      <c r="W266" s="1"/>
      <c r="X266" s="1"/>
      <c r="Y266" s="1"/>
      <c r="Z266" s="1"/>
      <c r="AA266" s="1"/>
      <c r="AB266" s="1"/>
      <c r="AC266" s="1"/>
      <c r="AD266" s="1"/>
      <c r="AE266" s="1"/>
      <c r="AF266" s="1"/>
      <c r="AG266" s="1"/>
    </row>
    <row r="267" spans="5:33">
      <c r="E267" s="5"/>
      <c r="G267" s="5"/>
      <c r="J267" s="5"/>
      <c r="K267" s="5"/>
      <c r="N267" s="5"/>
      <c r="Q267" s="5"/>
      <c r="R267" s="1"/>
      <c r="S267" s="1"/>
      <c r="T267" s="1"/>
      <c r="U267" s="1"/>
      <c r="V267" s="1"/>
      <c r="W267" s="1"/>
      <c r="X267" s="1"/>
      <c r="Y267" s="1"/>
      <c r="Z267" s="1"/>
      <c r="AA267" s="1"/>
      <c r="AB267" s="1"/>
      <c r="AC267" s="1"/>
      <c r="AD267" s="1"/>
      <c r="AE267" s="1"/>
      <c r="AF267" s="1"/>
      <c r="AG267" s="1"/>
    </row>
    <row r="268" spans="5:33">
      <c r="E268" s="5"/>
      <c r="G268" s="5"/>
      <c r="J268" s="5"/>
      <c r="K268" s="5"/>
      <c r="N268" s="5"/>
      <c r="Q268" s="5"/>
      <c r="R268" s="1"/>
      <c r="S268" s="1"/>
      <c r="T268" s="1"/>
      <c r="U268" s="1"/>
      <c r="V268" s="1"/>
      <c r="W268" s="1"/>
      <c r="X268" s="1"/>
      <c r="Y268" s="1"/>
      <c r="Z268" s="1"/>
      <c r="AA268" s="1"/>
      <c r="AB268" s="1"/>
      <c r="AC268" s="1"/>
      <c r="AD268" s="1"/>
      <c r="AE268" s="1"/>
      <c r="AF268" s="1"/>
      <c r="AG268" s="1"/>
    </row>
    <row r="269" spans="5:33">
      <c r="E269" s="5"/>
      <c r="G269" s="5"/>
      <c r="J269" s="5"/>
      <c r="K269" s="5"/>
      <c r="N269" s="5"/>
      <c r="Q269" s="5"/>
      <c r="R269" s="1"/>
      <c r="S269" s="1"/>
      <c r="T269" s="1"/>
      <c r="U269" s="1"/>
      <c r="V269" s="1"/>
      <c r="W269" s="1"/>
      <c r="X269" s="1"/>
      <c r="Y269" s="1"/>
      <c r="Z269" s="1"/>
      <c r="AA269" s="1"/>
      <c r="AB269" s="1"/>
      <c r="AC269" s="1"/>
      <c r="AD269" s="1"/>
      <c r="AE269" s="1"/>
      <c r="AF269" s="1"/>
      <c r="AG269" s="1"/>
    </row>
    <row r="270" spans="5:33">
      <c r="E270" s="5"/>
      <c r="G270" s="5"/>
      <c r="J270" s="5"/>
      <c r="K270" s="5"/>
      <c r="N270" s="5"/>
      <c r="Q270" s="5"/>
      <c r="R270" s="1"/>
      <c r="S270" s="1"/>
      <c r="T270" s="1"/>
      <c r="U270" s="1"/>
      <c r="V270" s="1"/>
      <c r="W270" s="1"/>
      <c r="X270" s="1"/>
      <c r="Y270" s="1"/>
      <c r="Z270" s="1"/>
      <c r="AA270" s="1"/>
      <c r="AB270" s="1"/>
      <c r="AC270" s="1"/>
      <c r="AD270" s="1"/>
      <c r="AE270" s="1"/>
      <c r="AF270" s="1"/>
      <c r="AG270" s="1"/>
    </row>
    <row r="271" spans="5:33">
      <c r="E271" s="5"/>
      <c r="G271" s="5"/>
      <c r="J271" s="5"/>
      <c r="K271" s="5"/>
      <c r="N271" s="5"/>
      <c r="Q271" s="5"/>
    </row>
    <row r="272" spans="5:33">
      <c r="E272" s="5"/>
      <c r="G272" s="5"/>
      <c r="J272" s="5"/>
      <c r="K272" s="5"/>
      <c r="N272" s="5"/>
      <c r="Q272" s="5"/>
    </row>
    <row r="273" spans="5:17">
      <c r="E273" s="5"/>
      <c r="G273" s="5"/>
      <c r="J273" s="5"/>
      <c r="K273" s="5"/>
      <c r="N273" s="5"/>
      <c r="Q273" s="5"/>
    </row>
    <row r="274" spans="5:17">
      <c r="E274" s="5"/>
      <c r="G274" s="5"/>
      <c r="J274" s="5"/>
      <c r="K274" s="5"/>
      <c r="N274" s="5"/>
      <c r="Q274" s="5"/>
    </row>
    <row r="275" spans="5:17">
      <c r="E275" s="5"/>
      <c r="G275" s="5"/>
      <c r="J275" s="5"/>
      <c r="K275" s="5"/>
      <c r="N275" s="5"/>
      <c r="Q275" s="5"/>
    </row>
    <row r="276" spans="5:17">
      <c r="E276" s="5"/>
      <c r="G276" s="5"/>
      <c r="J276" s="5"/>
      <c r="K276" s="5"/>
      <c r="N276" s="5"/>
      <c r="Q276" s="5"/>
    </row>
    <row r="277" spans="5:17">
      <c r="E277" s="5"/>
      <c r="G277" s="5"/>
      <c r="J277" s="5"/>
      <c r="K277" s="5"/>
      <c r="N277" s="5"/>
      <c r="Q277" s="5"/>
    </row>
    <row r="278" spans="5:17">
      <c r="E278" s="5"/>
      <c r="G278" s="5"/>
      <c r="J278" s="5"/>
      <c r="K278" s="5"/>
      <c r="N278" s="5"/>
      <c r="Q278" s="5"/>
    </row>
    <row r="279" spans="5:17">
      <c r="E279" s="5"/>
      <c r="G279" s="5"/>
      <c r="J279" s="5"/>
      <c r="K279" s="5"/>
      <c r="N279" s="5"/>
      <c r="Q279" s="5"/>
    </row>
    <row r="280" spans="5:17">
      <c r="E280" s="5"/>
      <c r="G280" s="5"/>
      <c r="J280" s="5"/>
      <c r="K280" s="5"/>
      <c r="N280" s="5"/>
      <c r="Q280" s="5"/>
    </row>
    <row r="281" spans="5:17">
      <c r="E281" s="5"/>
      <c r="G281" s="5"/>
      <c r="J281" s="5"/>
      <c r="K281" s="5"/>
      <c r="N281" s="5"/>
      <c r="Q281" s="5"/>
    </row>
    <row r="282" spans="5:17">
      <c r="E282" s="5"/>
      <c r="G282" s="5"/>
      <c r="J282" s="5"/>
      <c r="K282" s="5"/>
      <c r="N282" s="5"/>
      <c r="Q282" s="5"/>
    </row>
    <row r="283" spans="5:17">
      <c r="E283" s="5"/>
      <c r="G283" s="5"/>
      <c r="J283" s="5"/>
      <c r="K283" s="5"/>
      <c r="N283" s="5"/>
      <c r="Q283" s="5"/>
    </row>
    <row r="284" spans="5:17">
      <c r="E284" s="5"/>
      <c r="G284" s="5"/>
      <c r="J284" s="5"/>
      <c r="K284" s="5"/>
      <c r="N284" s="5"/>
      <c r="Q284" s="5"/>
    </row>
    <row r="285" spans="5:17">
      <c r="E285" s="5"/>
      <c r="G285" s="5"/>
      <c r="J285" s="5"/>
      <c r="K285" s="5"/>
      <c r="N285" s="5"/>
      <c r="Q285" s="5"/>
    </row>
    <row r="286" spans="5:17">
      <c r="E286" s="5"/>
      <c r="G286" s="5"/>
      <c r="J286" s="5"/>
      <c r="K286" s="5"/>
      <c r="N286" s="5"/>
      <c r="Q286" s="5"/>
    </row>
    <row r="287" spans="5:17">
      <c r="E287" s="5"/>
      <c r="G287" s="5"/>
      <c r="J287" s="5"/>
      <c r="K287" s="5"/>
      <c r="N287" s="5"/>
      <c r="Q287" s="5"/>
    </row>
    <row r="288" spans="5:17">
      <c r="E288" s="5"/>
      <c r="G288" s="5"/>
      <c r="J288" s="5"/>
      <c r="K288" s="5"/>
      <c r="N288" s="5"/>
      <c r="Q288" s="5"/>
    </row>
    <row r="289" spans="5:17">
      <c r="E289" s="5"/>
      <c r="G289" s="5"/>
      <c r="J289" s="5"/>
      <c r="K289" s="5"/>
      <c r="N289" s="5"/>
      <c r="Q289" s="5"/>
    </row>
    <row r="290" spans="5:17">
      <c r="E290" s="5"/>
      <c r="G290" s="5"/>
      <c r="J290" s="5"/>
      <c r="K290" s="5"/>
      <c r="N290" s="5"/>
      <c r="Q290" s="5"/>
    </row>
    <row r="291" spans="5:17">
      <c r="E291" s="5"/>
      <c r="G291" s="5"/>
      <c r="J291" s="5"/>
      <c r="K291" s="5"/>
      <c r="N291" s="5"/>
      <c r="Q291" s="5"/>
    </row>
    <row r="292" spans="5:17">
      <c r="E292" s="5"/>
      <c r="G292" s="5"/>
      <c r="J292" s="5"/>
      <c r="K292" s="5"/>
      <c r="N292" s="5"/>
      <c r="Q292" s="5"/>
    </row>
    <row r="293" spans="5:17">
      <c r="E293" s="5"/>
      <c r="G293" s="5"/>
      <c r="J293" s="5"/>
      <c r="K293" s="5"/>
      <c r="N293" s="5"/>
      <c r="Q293" s="5"/>
    </row>
    <row r="294" spans="5:17">
      <c r="E294" s="5"/>
      <c r="G294" s="5"/>
      <c r="J294" s="5"/>
      <c r="K294" s="5"/>
      <c r="N294" s="5"/>
      <c r="Q294" s="5"/>
    </row>
    <row r="295" spans="5:17">
      <c r="E295" s="5"/>
      <c r="G295" s="5"/>
      <c r="J295" s="5"/>
      <c r="K295" s="5"/>
      <c r="N295" s="5"/>
      <c r="Q295" s="5"/>
    </row>
    <row r="296" spans="5:17">
      <c r="E296" s="5"/>
      <c r="G296" s="5"/>
      <c r="J296" s="5"/>
      <c r="K296" s="5"/>
      <c r="N296" s="5"/>
      <c r="Q296" s="5"/>
    </row>
    <row r="297" spans="5:17">
      <c r="E297" s="5"/>
      <c r="G297" s="5"/>
      <c r="J297" s="5"/>
      <c r="K297" s="5"/>
      <c r="N297" s="5"/>
      <c r="Q297" s="5"/>
    </row>
    <row r="298" spans="5:17">
      <c r="E298" s="5"/>
      <c r="G298" s="5"/>
      <c r="J298" s="5"/>
      <c r="K298" s="5"/>
      <c r="N298" s="5"/>
      <c r="Q298" s="5"/>
    </row>
    <row r="299" spans="5:17">
      <c r="E299" s="5"/>
      <c r="G299" s="5"/>
      <c r="J299" s="5"/>
      <c r="K299" s="5"/>
      <c r="N299" s="5"/>
      <c r="Q299" s="5"/>
    </row>
    <row r="300" spans="5:17">
      <c r="E300" s="5"/>
      <c r="G300" s="5"/>
      <c r="J300" s="5"/>
      <c r="K300" s="5"/>
      <c r="N300" s="5"/>
      <c r="Q300" s="5"/>
    </row>
    <row r="301" spans="5:17">
      <c r="E301" s="5"/>
      <c r="G301" s="5"/>
      <c r="J301" s="5"/>
      <c r="K301" s="5"/>
      <c r="N301" s="5"/>
      <c r="Q301" s="5"/>
    </row>
    <row r="302" spans="5:17">
      <c r="E302" s="5"/>
      <c r="G302" s="5"/>
      <c r="J302" s="5"/>
      <c r="K302" s="5"/>
      <c r="N302" s="5"/>
      <c r="Q302" s="5"/>
    </row>
    <row r="303" spans="5:17">
      <c r="E303" s="5"/>
      <c r="G303" s="5"/>
      <c r="J303" s="5"/>
      <c r="K303" s="5"/>
      <c r="N303" s="5"/>
      <c r="Q303" s="5"/>
    </row>
    <row r="304" spans="5:17">
      <c r="E304" s="5"/>
      <c r="G304" s="5"/>
      <c r="J304" s="5"/>
      <c r="K304" s="5"/>
      <c r="N304" s="5"/>
      <c r="Q304" s="5"/>
    </row>
    <row r="305" spans="5:17">
      <c r="E305" s="5"/>
      <c r="G305" s="5"/>
      <c r="J305" s="5"/>
      <c r="K305" s="5"/>
      <c r="N305" s="5"/>
      <c r="Q305" s="5"/>
    </row>
    <row r="306" spans="5:17">
      <c r="E306" s="5"/>
      <c r="G306" s="5"/>
      <c r="J306" s="5"/>
      <c r="K306" s="5"/>
      <c r="N306" s="5"/>
      <c r="Q306" s="5"/>
    </row>
    <row r="307" spans="5:17">
      <c r="E307" s="5"/>
      <c r="G307" s="5"/>
      <c r="J307" s="5"/>
      <c r="K307" s="5"/>
      <c r="N307" s="5"/>
      <c r="Q307" s="5"/>
    </row>
    <row r="308" spans="5:17">
      <c r="E308" s="5"/>
      <c r="G308" s="5"/>
      <c r="J308" s="5"/>
      <c r="K308" s="5"/>
      <c r="N308" s="5"/>
      <c r="Q308" s="5"/>
    </row>
    <row r="309" spans="5:17">
      <c r="E309" s="5"/>
      <c r="G309" s="5"/>
      <c r="J309" s="5"/>
      <c r="K309" s="5"/>
      <c r="N309" s="5"/>
      <c r="Q309" s="5"/>
    </row>
    <row r="310" spans="5:17">
      <c r="E310" s="5"/>
      <c r="G310" s="5"/>
      <c r="J310" s="5"/>
      <c r="K310" s="5"/>
      <c r="N310" s="5"/>
      <c r="Q310" s="5"/>
    </row>
    <row r="311" spans="5:17">
      <c r="E311" s="5"/>
      <c r="G311" s="5"/>
      <c r="J311" s="5"/>
      <c r="K311" s="5"/>
      <c r="N311" s="5"/>
      <c r="Q311" s="5"/>
    </row>
    <row r="312" spans="5:17">
      <c r="E312" s="5"/>
      <c r="G312" s="5"/>
      <c r="J312" s="5"/>
      <c r="K312" s="5"/>
      <c r="N312" s="5"/>
      <c r="Q312" s="5"/>
    </row>
    <row r="313" spans="5:17">
      <c r="E313" s="5"/>
      <c r="G313" s="5"/>
      <c r="J313" s="5"/>
      <c r="K313" s="5"/>
      <c r="N313" s="5"/>
      <c r="Q313" s="5"/>
    </row>
    <row r="314" spans="5:17">
      <c r="E314" s="5"/>
      <c r="G314" s="5"/>
      <c r="J314" s="5"/>
      <c r="K314" s="5"/>
      <c r="N314" s="5"/>
      <c r="Q314" s="5"/>
    </row>
    <row r="315" spans="5:17">
      <c r="E315" s="5"/>
      <c r="G315" s="5"/>
      <c r="J315" s="5"/>
      <c r="K315" s="5"/>
      <c r="N315" s="5"/>
      <c r="Q315" s="5"/>
    </row>
    <row r="316" spans="5:17">
      <c r="E316" s="5"/>
      <c r="G316" s="5"/>
      <c r="J316" s="5"/>
      <c r="K316" s="5"/>
      <c r="N316" s="5"/>
      <c r="Q316" s="5"/>
    </row>
    <row r="317" spans="5:17">
      <c r="E317" s="5"/>
      <c r="G317" s="5"/>
      <c r="J317" s="5"/>
      <c r="K317" s="5"/>
      <c r="N317" s="5"/>
      <c r="Q317" s="5"/>
    </row>
    <row r="318" spans="5:17">
      <c r="E318" s="5"/>
      <c r="G318" s="5"/>
      <c r="J318" s="5"/>
      <c r="K318" s="5"/>
      <c r="N318" s="5"/>
      <c r="Q318" s="5"/>
    </row>
    <row r="319" spans="5:17">
      <c r="E319" s="5"/>
      <c r="G319" s="5"/>
      <c r="J319" s="5"/>
      <c r="K319" s="5"/>
      <c r="N319" s="5"/>
      <c r="Q319" s="5"/>
    </row>
    <row r="320" spans="5:17">
      <c r="E320" s="5"/>
      <c r="G320" s="5"/>
      <c r="J320" s="5"/>
      <c r="K320" s="5"/>
      <c r="N320" s="5"/>
      <c r="Q320" s="5"/>
    </row>
    <row r="321" spans="5:17">
      <c r="E321" s="5"/>
      <c r="G321" s="5"/>
      <c r="J321" s="5"/>
      <c r="K321" s="5"/>
      <c r="N321" s="5"/>
      <c r="Q321" s="5"/>
    </row>
    <row r="322" spans="5:17">
      <c r="E322" s="5"/>
      <c r="G322" s="5"/>
      <c r="J322" s="5"/>
      <c r="K322" s="5"/>
      <c r="N322" s="5"/>
      <c r="Q322" s="5"/>
    </row>
    <row r="323" spans="5:17">
      <c r="E323" s="5"/>
      <c r="G323" s="5"/>
      <c r="J323" s="5"/>
      <c r="K323" s="5"/>
      <c r="N323" s="5"/>
      <c r="Q323" s="5"/>
    </row>
    <row r="324" spans="5:17">
      <c r="E324" s="5"/>
      <c r="G324" s="5"/>
      <c r="J324" s="5"/>
      <c r="K324" s="5"/>
      <c r="N324" s="5"/>
      <c r="Q324" s="5"/>
    </row>
    <row r="325" spans="5:17">
      <c r="E325" s="5"/>
      <c r="G325" s="5"/>
      <c r="J325" s="5"/>
      <c r="K325" s="5"/>
      <c r="N325" s="5"/>
      <c r="Q325" s="5"/>
    </row>
    <row r="326" spans="5:17">
      <c r="E326" s="5"/>
      <c r="G326" s="5"/>
      <c r="J326" s="5"/>
      <c r="K326" s="5"/>
      <c r="N326" s="5"/>
      <c r="Q326" s="5"/>
    </row>
    <row r="327" spans="5:17">
      <c r="E327" s="5"/>
      <c r="G327" s="5"/>
      <c r="J327" s="5"/>
      <c r="K327" s="5"/>
      <c r="N327" s="5"/>
      <c r="Q327" s="5"/>
    </row>
    <row r="328" spans="5:17">
      <c r="E328" s="5"/>
      <c r="G328" s="5"/>
      <c r="J328" s="5"/>
      <c r="K328" s="5"/>
      <c r="N328" s="5"/>
      <c r="Q328" s="5"/>
    </row>
    <row r="329" spans="5:17">
      <c r="E329" s="5"/>
      <c r="G329" s="5"/>
      <c r="J329" s="5"/>
      <c r="K329" s="5"/>
      <c r="N329" s="5"/>
      <c r="Q329" s="5"/>
    </row>
    <row r="330" spans="5:17">
      <c r="E330" s="5"/>
      <c r="G330" s="5"/>
      <c r="J330" s="5"/>
      <c r="K330" s="5"/>
      <c r="N330" s="5"/>
      <c r="Q330" s="5"/>
    </row>
    <row r="331" spans="5:17">
      <c r="E331" s="5"/>
      <c r="G331" s="5"/>
      <c r="J331" s="5"/>
      <c r="K331" s="5"/>
      <c r="N331" s="5"/>
      <c r="Q331" s="5"/>
    </row>
    <row r="332" spans="5:17">
      <c r="E332" s="5"/>
      <c r="G332" s="5"/>
      <c r="J332" s="5"/>
      <c r="K332" s="5"/>
      <c r="N332" s="5"/>
      <c r="Q332" s="5"/>
    </row>
    <row r="333" spans="5:17">
      <c r="E333" s="5"/>
      <c r="G333" s="5"/>
      <c r="J333" s="5"/>
      <c r="K333" s="5"/>
      <c r="N333" s="5"/>
      <c r="Q333" s="5"/>
    </row>
    <row r="334" spans="5:17">
      <c r="E334" s="5"/>
      <c r="G334" s="5"/>
      <c r="J334" s="5"/>
      <c r="K334" s="5"/>
      <c r="N334" s="5"/>
      <c r="Q334" s="5"/>
    </row>
    <row r="335" spans="5:17">
      <c r="E335" s="5"/>
      <c r="G335" s="5"/>
      <c r="J335" s="5"/>
      <c r="K335" s="5"/>
      <c r="N335" s="5"/>
      <c r="Q335" s="5"/>
    </row>
    <row r="336" spans="5:17">
      <c r="E336" s="5"/>
      <c r="G336" s="5"/>
      <c r="J336" s="5"/>
      <c r="K336" s="5"/>
      <c r="N336" s="5"/>
      <c r="Q336" s="5"/>
    </row>
    <row r="337" spans="5:17">
      <c r="E337" s="5"/>
      <c r="G337" s="5"/>
      <c r="J337" s="5"/>
      <c r="K337" s="5"/>
      <c r="N337" s="5"/>
      <c r="Q337" s="5"/>
    </row>
    <row r="338" spans="5:17">
      <c r="E338" s="5"/>
      <c r="G338" s="5"/>
      <c r="J338" s="5"/>
      <c r="K338" s="5"/>
      <c r="N338" s="5"/>
      <c r="Q338" s="5"/>
    </row>
    <row r="339" spans="5:17">
      <c r="E339" s="5"/>
      <c r="G339" s="5"/>
      <c r="J339" s="5"/>
      <c r="K339" s="5"/>
      <c r="N339" s="5"/>
      <c r="Q339" s="5"/>
    </row>
    <row r="340" spans="5:17">
      <c r="E340" s="5"/>
      <c r="G340" s="5"/>
      <c r="J340" s="5"/>
      <c r="K340" s="5"/>
      <c r="N340" s="5"/>
      <c r="Q340" s="5"/>
    </row>
    <row r="341" spans="5:17">
      <c r="E341" s="5"/>
      <c r="G341" s="5"/>
      <c r="J341" s="5"/>
      <c r="K341" s="5"/>
      <c r="N341" s="5"/>
      <c r="Q341" s="5"/>
    </row>
    <row r="342" spans="5:17">
      <c r="E342" s="5"/>
      <c r="G342" s="5"/>
      <c r="J342" s="5"/>
      <c r="K342" s="5"/>
      <c r="N342" s="5"/>
      <c r="Q342" s="5"/>
    </row>
    <row r="343" spans="5:17">
      <c r="E343" s="5"/>
      <c r="G343" s="5"/>
      <c r="J343" s="5"/>
      <c r="K343" s="5"/>
      <c r="N343" s="5"/>
      <c r="Q343" s="5"/>
    </row>
    <row r="344" spans="5:17">
      <c r="E344" s="5"/>
      <c r="G344" s="5"/>
      <c r="J344" s="5"/>
      <c r="K344" s="5"/>
      <c r="N344" s="5"/>
      <c r="Q344" s="5"/>
    </row>
    <row r="345" spans="5:17">
      <c r="E345" s="5"/>
      <c r="G345" s="5"/>
      <c r="J345" s="5"/>
      <c r="K345" s="5"/>
      <c r="N345" s="5"/>
      <c r="Q345" s="5"/>
    </row>
    <row r="346" spans="5:17">
      <c r="E346" s="5"/>
      <c r="G346" s="5"/>
      <c r="J346" s="5"/>
      <c r="K346" s="5"/>
      <c r="N346" s="5"/>
      <c r="Q346" s="5"/>
    </row>
    <row r="347" spans="5:17">
      <c r="E347" s="5"/>
      <c r="G347" s="5"/>
      <c r="J347" s="5"/>
      <c r="K347" s="5"/>
      <c r="N347" s="5"/>
      <c r="Q347" s="5"/>
    </row>
    <row r="348" spans="5:17">
      <c r="E348" s="5"/>
      <c r="G348" s="5"/>
      <c r="J348" s="5"/>
      <c r="K348" s="5"/>
      <c r="N348" s="5"/>
      <c r="Q348" s="5"/>
    </row>
    <row r="349" spans="5:17">
      <c r="E349" s="5"/>
      <c r="G349" s="5"/>
      <c r="J349" s="5"/>
      <c r="K349" s="5"/>
      <c r="N349" s="5"/>
      <c r="Q349" s="5"/>
    </row>
    <row r="350" spans="5:17">
      <c r="E350" s="5"/>
      <c r="G350" s="5"/>
      <c r="J350" s="5"/>
      <c r="K350" s="5"/>
      <c r="N350" s="5"/>
      <c r="Q350" s="5"/>
    </row>
    <row r="351" spans="5:17">
      <c r="E351" s="5"/>
      <c r="G351" s="5"/>
      <c r="J351" s="5"/>
      <c r="K351" s="5"/>
      <c r="N351" s="5"/>
      <c r="Q351" s="5"/>
    </row>
    <row r="352" spans="5:17">
      <c r="E352" s="5"/>
      <c r="G352" s="5"/>
      <c r="J352" s="5"/>
      <c r="K352" s="5"/>
      <c r="N352" s="5"/>
      <c r="Q352" s="5"/>
    </row>
    <row r="353" spans="5:17">
      <c r="E353" s="5"/>
      <c r="G353" s="5"/>
      <c r="J353" s="5"/>
      <c r="K353" s="5"/>
      <c r="N353" s="5"/>
      <c r="Q353" s="5"/>
    </row>
    <row r="354" spans="5:17">
      <c r="E354" s="5"/>
      <c r="G354" s="5"/>
      <c r="J354" s="5"/>
      <c r="K354" s="5"/>
      <c r="N354" s="5"/>
      <c r="Q354" s="5"/>
    </row>
    <row r="355" spans="5:17">
      <c r="E355" s="5"/>
      <c r="G355" s="5"/>
      <c r="J355" s="5"/>
      <c r="K355" s="5"/>
      <c r="N355" s="5"/>
      <c r="Q355" s="5"/>
    </row>
    <row r="356" spans="5:17">
      <c r="E356" s="5"/>
      <c r="G356" s="5"/>
      <c r="J356" s="5"/>
      <c r="K356" s="5"/>
      <c r="N356" s="5"/>
      <c r="Q356" s="5"/>
    </row>
    <row r="357" spans="5:17">
      <c r="E357" s="5"/>
      <c r="G357" s="5"/>
      <c r="J357" s="5"/>
      <c r="K357" s="5"/>
      <c r="N357" s="5"/>
      <c r="Q357" s="5"/>
    </row>
    <row r="358" spans="5:17">
      <c r="E358" s="5"/>
      <c r="G358" s="5"/>
      <c r="J358" s="5"/>
      <c r="K358" s="5"/>
      <c r="N358" s="5"/>
      <c r="Q358" s="5"/>
    </row>
    <row r="359" spans="5:17">
      <c r="E359" s="5"/>
      <c r="G359" s="5"/>
      <c r="J359" s="5"/>
      <c r="K359" s="5"/>
      <c r="N359" s="5"/>
      <c r="Q359" s="5"/>
    </row>
    <row r="360" spans="5:17">
      <c r="E360" s="5"/>
      <c r="G360" s="5"/>
      <c r="J360" s="5"/>
      <c r="K360" s="5"/>
      <c r="N360" s="5"/>
      <c r="Q360" s="5"/>
    </row>
    <row r="361" spans="5:17">
      <c r="E361" s="5"/>
      <c r="G361" s="5"/>
      <c r="J361" s="5"/>
      <c r="K361" s="5"/>
      <c r="N361" s="5"/>
      <c r="Q361" s="5"/>
    </row>
    <row r="362" spans="5:17">
      <c r="E362" s="5"/>
      <c r="G362" s="5"/>
      <c r="J362" s="5"/>
      <c r="K362" s="5"/>
      <c r="N362" s="5"/>
      <c r="Q362" s="5"/>
    </row>
    <row r="363" spans="5:17">
      <c r="E363" s="5"/>
      <c r="G363" s="5"/>
      <c r="J363" s="5"/>
      <c r="K363" s="5"/>
      <c r="N363" s="5"/>
      <c r="Q363" s="5"/>
    </row>
    <row r="364" spans="5:17">
      <c r="E364" s="5"/>
      <c r="G364" s="5"/>
      <c r="J364" s="5"/>
      <c r="K364" s="5"/>
      <c r="N364" s="5"/>
      <c r="Q364" s="5"/>
    </row>
    <row r="365" spans="5:17">
      <c r="E365" s="5"/>
      <c r="G365" s="5"/>
      <c r="J365" s="5"/>
      <c r="K365" s="5"/>
      <c r="N365" s="5"/>
      <c r="Q365" s="5"/>
    </row>
    <row r="366" spans="5:17">
      <c r="E366" s="5"/>
      <c r="G366" s="5"/>
      <c r="J366" s="5"/>
      <c r="K366" s="5"/>
      <c r="N366" s="5"/>
      <c r="Q366" s="5"/>
    </row>
    <row r="367" spans="5:17">
      <c r="E367" s="5"/>
      <c r="G367" s="5"/>
      <c r="J367" s="5"/>
      <c r="K367" s="5"/>
      <c r="N367" s="5"/>
      <c r="Q367" s="5"/>
    </row>
    <row r="368" spans="5:17">
      <c r="E368" s="5"/>
      <c r="G368" s="5"/>
      <c r="J368" s="5"/>
      <c r="K368" s="5"/>
      <c r="N368" s="5"/>
      <c r="Q368" s="5"/>
    </row>
    <row r="369" spans="5:17">
      <c r="E369" s="5"/>
      <c r="G369" s="5"/>
      <c r="J369" s="5"/>
      <c r="K369" s="5"/>
      <c r="N369" s="5"/>
      <c r="Q369" s="5"/>
    </row>
    <row r="370" spans="5:17">
      <c r="E370" s="5"/>
      <c r="G370" s="5"/>
      <c r="J370" s="5"/>
      <c r="K370" s="5"/>
      <c r="N370" s="5"/>
      <c r="Q370" s="5"/>
    </row>
    <row r="371" spans="5:17">
      <c r="E371" s="5"/>
      <c r="G371" s="5"/>
      <c r="J371" s="5"/>
      <c r="K371" s="5"/>
      <c r="N371" s="5"/>
      <c r="Q371" s="5"/>
    </row>
    <row r="372" spans="5:17">
      <c r="E372" s="5"/>
      <c r="G372" s="5"/>
      <c r="J372" s="5"/>
      <c r="K372" s="5"/>
      <c r="N372" s="5"/>
      <c r="Q372" s="5"/>
    </row>
    <row r="373" spans="5:17">
      <c r="E373" s="5"/>
      <c r="G373" s="5"/>
      <c r="J373" s="5"/>
      <c r="K373" s="5"/>
      <c r="N373" s="5"/>
      <c r="Q373" s="5"/>
    </row>
    <row r="374" spans="5:17">
      <c r="E374" s="5"/>
      <c r="G374" s="5"/>
      <c r="J374" s="5"/>
      <c r="K374" s="5"/>
      <c r="N374" s="5"/>
      <c r="Q374" s="5"/>
    </row>
    <row r="375" spans="5:17">
      <c r="E375" s="5"/>
      <c r="G375" s="5"/>
      <c r="J375" s="5"/>
      <c r="K375" s="5"/>
      <c r="N375" s="5"/>
      <c r="Q375" s="5"/>
    </row>
    <row r="376" spans="5:17">
      <c r="E376" s="5"/>
      <c r="G376" s="5"/>
      <c r="J376" s="5"/>
      <c r="K376" s="5"/>
      <c r="N376" s="5"/>
      <c r="Q376" s="5"/>
    </row>
    <row r="377" spans="5:17">
      <c r="E377" s="5"/>
      <c r="G377" s="5"/>
      <c r="J377" s="5"/>
      <c r="K377" s="5"/>
      <c r="N377" s="5"/>
      <c r="Q377" s="5"/>
    </row>
    <row r="378" spans="5:17">
      <c r="E378" s="5"/>
      <c r="G378" s="5"/>
      <c r="J378" s="5"/>
      <c r="K378" s="5"/>
      <c r="N378" s="5"/>
      <c r="Q378" s="5"/>
    </row>
    <row r="379" spans="5:17">
      <c r="E379" s="5"/>
      <c r="G379" s="5"/>
      <c r="J379" s="5"/>
      <c r="K379" s="5"/>
      <c r="N379" s="5"/>
      <c r="Q379" s="5"/>
    </row>
    <row r="380" spans="5:17">
      <c r="E380" s="5"/>
      <c r="G380" s="5"/>
      <c r="J380" s="5"/>
      <c r="K380" s="5"/>
      <c r="N380" s="5"/>
      <c r="Q380" s="5"/>
    </row>
    <row r="381" spans="5:17">
      <c r="E381" s="5"/>
      <c r="G381" s="5"/>
      <c r="J381" s="5"/>
      <c r="K381" s="5"/>
      <c r="N381" s="5"/>
      <c r="Q381" s="5"/>
    </row>
    <row r="382" spans="5:17">
      <c r="E382" s="5"/>
      <c r="G382" s="5"/>
      <c r="J382" s="5"/>
      <c r="K382" s="5"/>
      <c r="N382" s="5"/>
      <c r="Q382" s="5"/>
    </row>
    <row r="383" spans="5:17">
      <c r="E383" s="5"/>
      <c r="G383" s="5"/>
      <c r="J383" s="5"/>
      <c r="K383" s="5"/>
      <c r="N383" s="5"/>
      <c r="Q383" s="5"/>
    </row>
    <row r="384" spans="5:17">
      <c r="E384" s="5"/>
      <c r="G384" s="5"/>
      <c r="J384" s="5"/>
      <c r="K384" s="5"/>
      <c r="N384" s="5"/>
      <c r="Q384" s="5"/>
    </row>
    <row r="385" spans="5:17">
      <c r="E385" s="5"/>
      <c r="G385" s="5"/>
      <c r="J385" s="5"/>
      <c r="K385" s="5"/>
      <c r="N385" s="5"/>
      <c r="Q385" s="5"/>
    </row>
    <row r="386" spans="5:17">
      <c r="E386" s="5"/>
      <c r="G386" s="5"/>
      <c r="J386" s="5"/>
      <c r="K386" s="5"/>
      <c r="N386" s="5"/>
      <c r="Q386" s="5"/>
    </row>
    <row r="387" spans="5:17">
      <c r="E387" s="5"/>
      <c r="G387" s="5"/>
      <c r="J387" s="5"/>
      <c r="K387" s="5"/>
      <c r="N387" s="5"/>
      <c r="Q387" s="5"/>
    </row>
    <row r="388" spans="5:17">
      <c r="E388" s="5"/>
      <c r="G388" s="5"/>
      <c r="J388" s="5"/>
      <c r="K388" s="5"/>
      <c r="N388" s="5"/>
      <c r="Q388" s="5"/>
    </row>
    <row r="389" spans="5:17">
      <c r="E389" s="5"/>
      <c r="G389" s="5"/>
      <c r="J389" s="5"/>
      <c r="K389" s="5"/>
      <c r="N389" s="5"/>
      <c r="Q389" s="5"/>
    </row>
    <row r="390" spans="5:17">
      <c r="E390" s="5"/>
      <c r="G390" s="5"/>
      <c r="J390" s="5"/>
      <c r="K390" s="5"/>
      <c r="N390" s="5"/>
      <c r="Q390" s="5"/>
    </row>
    <row r="391" spans="5:17">
      <c r="E391" s="5"/>
      <c r="G391" s="5"/>
      <c r="J391" s="5"/>
      <c r="K391" s="5"/>
      <c r="N391" s="5"/>
      <c r="Q391" s="5"/>
    </row>
    <row r="392" spans="5:17">
      <c r="E392" s="5"/>
      <c r="G392" s="5"/>
      <c r="J392" s="5"/>
      <c r="K392" s="5"/>
      <c r="N392" s="5"/>
      <c r="Q392" s="5"/>
    </row>
    <row r="393" spans="5:17">
      <c r="E393" s="5"/>
      <c r="G393" s="5"/>
      <c r="J393" s="5"/>
      <c r="K393" s="5"/>
      <c r="N393" s="5"/>
      <c r="Q393" s="5"/>
    </row>
    <row r="394" spans="5:17">
      <c r="E394" s="5"/>
      <c r="G394" s="5"/>
      <c r="J394" s="5"/>
      <c r="K394" s="5"/>
      <c r="N394" s="5"/>
      <c r="Q394" s="5"/>
    </row>
    <row r="395" spans="5:17">
      <c r="E395" s="5"/>
      <c r="G395" s="5"/>
      <c r="J395" s="5"/>
      <c r="K395" s="5"/>
      <c r="N395" s="5"/>
      <c r="Q395" s="5"/>
    </row>
    <row r="396" spans="5:17">
      <c r="E396" s="5"/>
      <c r="G396" s="5"/>
      <c r="J396" s="5"/>
      <c r="K396" s="5"/>
      <c r="N396" s="5"/>
      <c r="Q396" s="5"/>
    </row>
    <row r="397" spans="5:17">
      <c r="E397" s="5"/>
      <c r="G397" s="5"/>
      <c r="J397" s="5"/>
      <c r="K397" s="5"/>
      <c r="N397" s="5"/>
      <c r="Q397" s="5"/>
    </row>
    <row r="398" spans="5:17">
      <c r="E398" s="5"/>
      <c r="G398" s="5"/>
      <c r="J398" s="5"/>
      <c r="K398" s="5"/>
      <c r="N398" s="5"/>
      <c r="Q398" s="5"/>
    </row>
    <row r="399" spans="5:17">
      <c r="E399" s="5"/>
      <c r="G399" s="5"/>
      <c r="J399" s="5"/>
      <c r="K399" s="5"/>
      <c r="N399" s="5"/>
      <c r="Q399" s="5"/>
    </row>
    <row r="400" spans="5:17">
      <c r="E400" s="5"/>
      <c r="G400" s="5"/>
      <c r="J400" s="5"/>
      <c r="K400" s="5"/>
      <c r="N400" s="5"/>
      <c r="Q400" s="5"/>
    </row>
    <row r="401" spans="5:17">
      <c r="E401" s="5"/>
      <c r="G401" s="5"/>
      <c r="J401" s="5"/>
      <c r="K401" s="5"/>
      <c r="N401" s="5"/>
      <c r="Q401" s="5"/>
    </row>
    <row r="402" spans="5:17">
      <c r="E402" s="5"/>
      <c r="G402" s="5"/>
      <c r="J402" s="5"/>
      <c r="K402" s="5"/>
      <c r="N402" s="5"/>
      <c r="Q402" s="5"/>
    </row>
    <row r="403" spans="5:17">
      <c r="E403" s="5"/>
      <c r="G403" s="5"/>
      <c r="J403" s="5"/>
      <c r="K403" s="5"/>
      <c r="N403" s="5"/>
      <c r="Q403" s="5"/>
    </row>
    <row r="404" spans="5:17">
      <c r="E404" s="5"/>
      <c r="G404" s="5"/>
      <c r="J404" s="5"/>
      <c r="K404" s="5"/>
      <c r="N404" s="5"/>
      <c r="Q404" s="5"/>
    </row>
    <row r="405" spans="5:17">
      <c r="E405" s="5"/>
      <c r="G405" s="5"/>
      <c r="J405" s="5"/>
      <c r="K405" s="5"/>
      <c r="N405" s="5"/>
      <c r="Q405" s="5"/>
    </row>
    <row r="406" spans="5:17">
      <c r="E406" s="5"/>
      <c r="G406" s="5"/>
      <c r="J406" s="5"/>
      <c r="K406" s="5"/>
      <c r="N406" s="5"/>
      <c r="Q406" s="5"/>
    </row>
    <row r="407" spans="5:17">
      <c r="E407" s="5"/>
      <c r="G407" s="5"/>
      <c r="J407" s="5"/>
      <c r="K407" s="5"/>
      <c r="N407" s="5"/>
      <c r="Q407" s="5"/>
    </row>
    <row r="408" spans="5:17">
      <c r="E408" s="5"/>
      <c r="G408" s="5"/>
      <c r="J408" s="5"/>
      <c r="K408" s="5"/>
      <c r="N408" s="5"/>
      <c r="Q408" s="5"/>
    </row>
    <row r="409" spans="5:17">
      <c r="E409" s="5"/>
      <c r="G409" s="5"/>
      <c r="J409" s="5"/>
      <c r="K409" s="5"/>
      <c r="N409" s="5"/>
      <c r="Q409" s="5"/>
    </row>
    <row r="410" spans="5:17">
      <c r="E410" s="5"/>
      <c r="G410" s="5"/>
      <c r="J410" s="5"/>
      <c r="K410" s="5"/>
      <c r="N410" s="5"/>
      <c r="Q410" s="5"/>
    </row>
    <row r="411" spans="5:17">
      <c r="E411" s="5"/>
      <c r="G411" s="5"/>
      <c r="J411" s="5"/>
      <c r="K411" s="5"/>
      <c r="N411" s="5"/>
      <c r="Q411" s="5"/>
    </row>
    <row r="412" spans="5:17">
      <c r="E412" s="5"/>
      <c r="G412" s="5"/>
      <c r="J412" s="5"/>
      <c r="K412" s="5"/>
      <c r="N412" s="5"/>
      <c r="Q412" s="5"/>
    </row>
    <row r="413" spans="5:17">
      <c r="E413" s="5"/>
      <c r="G413" s="5"/>
      <c r="J413" s="5"/>
      <c r="K413" s="5"/>
      <c r="N413" s="5"/>
      <c r="Q413" s="5"/>
    </row>
    <row r="414" spans="5:17">
      <c r="E414" s="5"/>
      <c r="G414" s="5"/>
      <c r="J414" s="5"/>
      <c r="K414" s="5"/>
      <c r="N414" s="5"/>
      <c r="Q414" s="5"/>
    </row>
    <row r="415" spans="5:17">
      <c r="E415" s="5"/>
      <c r="G415" s="5"/>
      <c r="J415" s="5"/>
      <c r="K415" s="5"/>
      <c r="N415" s="5"/>
      <c r="Q415" s="5"/>
    </row>
    <row r="416" spans="5:17">
      <c r="E416" s="5"/>
      <c r="G416" s="5"/>
      <c r="J416" s="5"/>
      <c r="K416" s="5"/>
      <c r="N416" s="5"/>
      <c r="Q416" s="5"/>
    </row>
    <row r="417" spans="5:17">
      <c r="E417" s="5"/>
      <c r="G417" s="5"/>
      <c r="J417" s="5"/>
      <c r="K417" s="5"/>
      <c r="N417" s="5"/>
      <c r="Q417" s="5"/>
    </row>
  </sheetData>
  <mergeCells count="3">
    <mergeCell ref="E7:F7"/>
    <mergeCell ref="E9:F9"/>
    <mergeCell ref="B15:B18"/>
  </mergeCells>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A1:AG239"/>
  <sheetViews>
    <sheetView workbookViewId="0"/>
  </sheetViews>
  <sheetFormatPr baseColWidth="10" defaultColWidth="8.83203125" defaultRowHeight="11" x14ac:dyDescent="0"/>
  <cols>
    <col min="1" max="1" width="3" customWidth="1"/>
    <col min="2" max="2" width="41.5" customWidth="1"/>
    <col min="3" max="3" width="1.6640625" customWidth="1"/>
    <col min="4" max="4" width="12.33203125" customWidth="1"/>
    <col min="5" max="5" width="15.83203125" customWidth="1"/>
    <col min="6" max="6" width="14.5" customWidth="1"/>
    <col min="7" max="7" width="20" customWidth="1"/>
    <col min="8" max="8" width="16.5" customWidth="1"/>
    <col min="9" max="9" width="11.6640625" customWidth="1"/>
    <col min="10" max="10" width="15.33203125" customWidth="1"/>
    <col min="11" max="11" width="12" customWidth="1"/>
    <col min="12" max="12" width="17.1640625" customWidth="1"/>
    <col min="13" max="13" width="15.1640625" customWidth="1"/>
    <col min="14" max="14" width="14.5" customWidth="1"/>
    <col min="15" max="15" width="16" customWidth="1"/>
    <col min="16" max="16" width="10.83203125" customWidth="1"/>
    <col min="17" max="17" width="22.83203125" customWidth="1"/>
    <col min="18" max="18" width="25.83203125" customWidth="1"/>
    <col min="19" max="19" width="16.5" customWidth="1"/>
    <col min="20" max="20" width="15.83203125" customWidth="1"/>
    <col min="21" max="21" width="10.83203125" customWidth="1"/>
    <col min="22" max="22" width="12.6640625" customWidth="1"/>
    <col min="23" max="23" width="10.83203125" style="891" customWidth="1"/>
    <col min="24" max="24" width="8.83203125" style="894"/>
    <col min="27" max="27" width="31.6640625" customWidth="1"/>
  </cols>
  <sheetData>
    <row r="1" spans="1:33" s="3" customFormat="1" ht="16" customHeight="1" thickTop="1" thickBot="1">
      <c r="A1" s="966" t="s">
        <v>1295</v>
      </c>
      <c r="B1" s="970" t="s">
        <v>1400</v>
      </c>
      <c r="C1" s="970"/>
      <c r="D1" s="988"/>
      <c r="E1" s="970"/>
      <c r="F1" s="975" t="s">
        <v>1398</v>
      </c>
      <c r="G1" s="966" t="s">
        <v>1401</v>
      </c>
      <c r="H1" s="907"/>
      <c r="I1" s="975" t="s">
        <v>1398</v>
      </c>
      <c r="J1" s="966" t="s">
        <v>1402</v>
      </c>
      <c r="K1" s="970"/>
      <c r="L1" s="975" t="s">
        <v>1398</v>
      </c>
      <c r="M1" s="966" t="s">
        <v>1403</v>
      </c>
      <c r="N1" s="970"/>
      <c r="O1" s="975" t="s">
        <v>1398</v>
      </c>
      <c r="P1" s="966" t="s">
        <v>1404</v>
      </c>
      <c r="Q1" s="970"/>
      <c r="R1" s="975" t="s">
        <v>1398</v>
      </c>
      <c r="S1" s="966" t="s">
        <v>1405</v>
      </c>
      <c r="T1" s="970"/>
      <c r="U1" s="975" t="s">
        <v>1398</v>
      </c>
      <c r="W1" s="5"/>
      <c r="X1" s="892"/>
      <c r="Y1" s="120"/>
      <c r="Z1" s="120"/>
      <c r="AA1" s="120"/>
      <c r="AB1" s="120"/>
      <c r="AC1" s="120"/>
    </row>
    <row r="2" spans="1:33" s="3" customFormat="1" ht="16" customHeight="1" thickTop="1">
      <c r="A2" s="904"/>
      <c r="B2" s="905" t="s">
        <v>1139</v>
      </c>
      <c r="C2" s="905"/>
      <c r="D2" s="989"/>
      <c r="E2" s="967">
        <f>'ENR#-DB'!Z6</f>
        <v>461519</v>
      </c>
      <c r="F2" s="976"/>
      <c r="G2" s="977"/>
      <c r="H2" s="967">
        <f>'ENR#-DB'!Z9</f>
        <v>24226</v>
      </c>
      <c r="I2" s="976"/>
      <c r="J2" s="977"/>
      <c r="K2" s="967">
        <f>'ENR#-DB'!Z11</f>
        <v>0</v>
      </c>
      <c r="L2" s="976"/>
      <c r="M2" s="977"/>
      <c r="N2" s="967">
        <f>'ENR#-DB'!Z13</f>
        <v>0</v>
      </c>
      <c r="O2" s="976"/>
      <c r="P2" s="977"/>
      <c r="Q2" s="967">
        <f>'ENR#-DB'!Z15</f>
        <v>0</v>
      </c>
      <c r="R2" s="976"/>
      <c r="S2" s="977"/>
      <c r="T2" s="967">
        <f>'ENR#-DB'!Z17</f>
        <v>0</v>
      </c>
      <c r="U2" s="976"/>
      <c r="W2" s="5"/>
      <c r="X2" s="892"/>
      <c r="Y2" s="120"/>
      <c r="Z2" s="120"/>
      <c r="AA2" s="120"/>
      <c r="AB2" s="120"/>
      <c r="AC2" s="120"/>
    </row>
    <row r="3" spans="1:33" s="3" customFormat="1" ht="16" customHeight="1">
      <c r="A3" s="904"/>
      <c r="B3" s="905" t="s">
        <v>1463</v>
      </c>
      <c r="C3" s="905"/>
      <c r="D3" s="989" t="str">
        <f>IF(AND(F3&gt;-0.005,F3&lt;0.005),"","ERROR!")</f>
        <v/>
      </c>
      <c r="E3" s="967">
        <f>B13</f>
        <v>461519</v>
      </c>
      <c r="F3" s="976">
        <f>E2-E3</f>
        <v>0</v>
      </c>
      <c r="G3" s="909" t="str">
        <f>IF(AND(I3&gt;-0.005,I3&lt;0.005),"","ERROR!")</f>
        <v/>
      </c>
      <c r="H3" s="967">
        <f>B33</f>
        <v>24226</v>
      </c>
      <c r="I3" s="976">
        <f>H2-H3</f>
        <v>0</v>
      </c>
      <c r="J3" s="909" t="str">
        <f>IF(AND(L3&gt;-0.005,L3&lt;0.005),"","ERROR!")</f>
        <v/>
      </c>
      <c r="K3" s="967">
        <f>B53</f>
        <v>0</v>
      </c>
      <c r="L3" s="976">
        <f>K2-K3</f>
        <v>0</v>
      </c>
      <c r="M3" s="909" t="str">
        <f>IF(AND(O3&gt;-0.005,O3&lt;0.005),"","ERROR!")</f>
        <v/>
      </c>
      <c r="N3" s="967">
        <f>B73</f>
        <v>0</v>
      </c>
      <c r="O3" s="976">
        <f>N2-N3</f>
        <v>0</v>
      </c>
      <c r="P3" s="909" t="str">
        <f>IF(AND(R3&gt;-0.005,R3&lt;0.005),"","ERROR!")</f>
        <v/>
      </c>
      <c r="Q3" s="967">
        <f>B93</f>
        <v>0</v>
      </c>
      <c r="R3" s="976">
        <f>Z2-Z3</f>
        <v>0</v>
      </c>
      <c r="S3" s="909" t="str">
        <f>IF(AND(U3&gt;-0.005,U3&lt;0.005),"","ERROR!")</f>
        <v/>
      </c>
      <c r="T3" s="967">
        <f>B113</f>
        <v>0</v>
      </c>
      <c r="U3" s="976">
        <f>T2-T3</f>
        <v>0</v>
      </c>
      <c r="W3" s="5"/>
      <c r="X3" s="892"/>
      <c r="Y3" s="120"/>
      <c r="Z3" s="120"/>
      <c r="AA3" s="120"/>
      <c r="AB3" s="120"/>
      <c r="AC3" s="120"/>
    </row>
    <row r="4" spans="1:33" s="3" customFormat="1" ht="16" customHeight="1">
      <c r="A4" s="904"/>
      <c r="B4" s="905"/>
      <c r="C4" s="905"/>
      <c r="D4" s="989"/>
      <c r="E4" s="967"/>
      <c r="F4" s="976"/>
      <c r="G4" s="977"/>
      <c r="H4" s="967"/>
      <c r="I4" s="976"/>
      <c r="J4" s="977"/>
      <c r="K4" s="967"/>
      <c r="L4" s="976"/>
      <c r="M4" s="977"/>
      <c r="N4" s="967"/>
      <c r="O4" s="976"/>
      <c r="P4" s="977"/>
      <c r="Q4" s="967"/>
      <c r="R4" s="976"/>
      <c r="S4" s="977"/>
      <c r="T4" s="967"/>
      <c r="U4" s="976"/>
      <c r="W4" s="5"/>
      <c r="X4" s="892"/>
      <c r="Y4" s="120"/>
      <c r="Z4" s="120"/>
      <c r="AA4" s="120"/>
      <c r="AB4" s="120"/>
      <c r="AC4" s="120"/>
    </row>
    <row r="5" spans="1:33" s="3" customFormat="1" ht="16" customHeight="1">
      <c r="A5" s="904"/>
      <c r="B5" s="905" t="s">
        <v>1140</v>
      </c>
      <c r="C5" s="905"/>
      <c r="D5" s="989"/>
      <c r="E5" s="967">
        <f>'ENR#-DB'!Z7</f>
        <v>6340</v>
      </c>
      <c r="F5" s="976"/>
      <c r="G5" s="977"/>
      <c r="H5" s="967">
        <f>'ENR#-DB'!Z10</f>
        <v>2602</v>
      </c>
      <c r="I5" s="976"/>
      <c r="J5" s="977"/>
      <c r="K5" s="967">
        <f>'ENR#-DB'!Z12</f>
        <v>0</v>
      </c>
      <c r="L5" s="976"/>
      <c r="M5" s="977"/>
      <c r="N5" s="967">
        <f>'ENR#-DB'!Z14</f>
        <v>0</v>
      </c>
      <c r="O5" s="976"/>
      <c r="P5" s="977"/>
      <c r="Q5" s="967">
        <f>'ENR#-DB'!Z16</f>
        <v>0</v>
      </c>
      <c r="R5" s="976"/>
      <c r="S5" s="977"/>
      <c r="T5" s="967">
        <f>'ENR#-DB'!Z18</f>
        <v>0</v>
      </c>
      <c r="U5" s="976"/>
      <c r="W5" s="5"/>
      <c r="X5" s="892"/>
      <c r="Y5" s="120"/>
      <c r="Z5" s="120"/>
      <c r="AA5" s="120"/>
      <c r="AB5" s="120"/>
      <c r="AC5" s="120"/>
    </row>
    <row r="6" spans="1:33" s="3" customFormat="1" ht="16" customHeight="1" thickBot="1">
      <c r="A6" s="904"/>
      <c r="B6" s="905" t="s">
        <v>1464</v>
      </c>
      <c r="C6" s="905"/>
      <c r="D6" s="989" t="str">
        <f>IF(AND(F6&gt;-0.005,F6&lt;0.005),"","ERROR!")</f>
        <v/>
      </c>
      <c r="E6" s="967">
        <f>B23</f>
        <v>6340</v>
      </c>
      <c r="F6" s="976">
        <f>E5-E6</f>
        <v>0</v>
      </c>
      <c r="G6" s="909" t="str">
        <f>IF(AND(I6&gt;-0.005,I6&lt;0.005),"","ERROR!")</f>
        <v/>
      </c>
      <c r="H6" s="967">
        <f>B43</f>
        <v>2602</v>
      </c>
      <c r="I6" s="976">
        <f>H5-H6</f>
        <v>0</v>
      </c>
      <c r="J6" s="909" t="str">
        <f>IF(AND(L6&gt;-0.005,L6&lt;0.005),"","ERROR!")</f>
        <v/>
      </c>
      <c r="K6" s="967">
        <f>B63</f>
        <v>0</v>
      </c>
      <c r="L6" s="976">
        <f>K5-K6</f>
        <v>0</v>
      </c>
      <c r="M6" s="909" t="str">
        <f>IF(AND(O6&gt;-0.005,O6&lt;0.005),"","ERROR!")</f>
        <v/>
      </c>
      <c r="N6" s="967">
        <f>B83</f>
        <v>0</v>
      </c>
      <c r="O6" s="976">
        <f>N5-N6</f>
        <v>0</v>
      </c>
      <c r="P6" s="909" t="str">
        <f>IF(AND(R6&gt;-0.005,R6&lt;0.005),"","ERROR!")</f>
        <v/>
      </c>
      <c r="Q6" s="967">
        <f>B103</f>
        <v>0</v>
      </c>
      <c r="R6" s="976">
        <f>Z5-Z6</f>
        <v>0</v>
      </c>
      <c r="S6" s="909" t="str">
        <f>IF(AND(U6&gt;-0.005,U6&lt;0.005),"","ERROR!")</f>
        <v/>
      </c>
      <c r="T6" s="967">
        <f>B123</f>
        <v>0</v>
      </c>
      <c r="U6" s="976">
        <f>T5-T6</f>
        <v>0</v>
      </c>
      <c r="W6" s="5"/>
      <c r="X6" s="892"/>
      <c r="Y6" s="120"/>
      <c r="Z6" s="120"/>
      <c r="AA6" s="120"/>
      <c r="AB6" s="120"/>
      <c r="AC6" s="120"/>
    </row>
    <row r="7" spans="1:33" s="3" customFormat="1" ht="16" customHeight="1" thickTop="1" thickBot="1">
      <c r="A7" s="904"/>
      <c r="B7" s="905"/>
      <c r="C7" s="905"/>
      <c r="D7" s="989"/>
      <c r="E7" s="2019" t="s">
        <v>1167</v>
      </c>
      <c r="F7" s="2020"/>
      <c r="G7" s="977"/>
      <c r="H7" s="967"/>
      <c r="I7" s="976"/>
      <c r="J7" s="977"/>
      <c r="K7" s="967"/>
      <c r="L7" s="976"/>
      <c r="M7" s="977"/>
      <c r="N7" s="967"/>
      <c r="O7" s="976"/>
      <c r="P7" s="977"/>
      <c r="Q7" s="967"/>
      <c r="R7" s="976"/>
      <c r="S7" s="977"/>
      <c r="T7" s="967"/>
      <c r="U7" s="976"/>
      <c r="W7" s="5"/>
      <c r="X7" s="892"/>
      <c r="Y7" s="120"/>
      <c r="Z7" s="120"/>
      <c r="AA7" s="120"/>
      <c r="AB7" s="120"/>
      <c r="AC7" s="120"/>
    </row>
    <row r="8" spans="1:33" s="3" customFormat="1" ht="16" customHeight="1" thickTop="1">
      <c r="A8" s="2023" t="s">
        <v>869</v>
      </c>
      <c r="B8" s="2024"/>
      <c r="C8" s="2024"/>
      <c r="D8" s="2025"/>
      <c r="E8" s="978" t="s">
        <v>1166</v>
      </c>
      <c r="F8" s="976" t="str">
        <f>'FIG3'!W50</f>
        <v>FY2010-11</v>
      </c>
      <c r="G8" s="2029" t="s">
        <v>870</v>
      </c>
      <c r="H8" s="2030"/>
      <c r="I8" s="2030"/>
      <c r="J8" s="2030"/>
      <c r="K8" s="2030"/>
      <c r="L8" s="2030"/>
      <c r="M8" s="2030"/>
      <c r="N8" s="2030"/>
      <c r="O8" s="2030"/>
      <c r="P8" s="2030"/>
      <c r="Q8" s="2030"/>
      <c r="R8" s="2030"/>
      <c r="S8" s="2030"/>
      <c r="T8" s="2030"/>
      <c r="U8" s="2031"/>
      <c r="W8" s="5"/>
      <c r="X8" s="892"/>
      <c r="Y8" s="120"/>
      <c r="Z8" s="120"/>
      <c r="AA8" s="120"/>
      <c r="AB8" s="120"/>
      <c r="AC8" s="120"/>
    </row>
    <row r="9" spans="1:33" s="3" customFormat="1" ht="16" customHeight="1" thickBot="1">
      <c r="A9" s="2026"/>
      <c r="B9" s="2027"/>
      <c r="C9" s="2027"/>
      <c r="D9" s="2028"/>
      <c r="E9" s="2021" t="s">
        <v>1168</v>
      </c>
      <c r="F9" s="2022"/>
      <c r="G9" s="2032"/>
      <c r="H9" s="2033"/>
      <c r="I9" s="2033"/>
      <c r="J9" s="2033"/>
      <c r="K9" s="2033"/>
      <c r="L9" s="2033"/>
      <c r="M9" s="2033"/>
      <c r="N9" s="2033"/>
      <c r="O9" s="2033"/>
      <c r="P9" s="2033"/>
      <c r="Q9" s="2033"/>
      <c r="R9" s="2033"/>
      <c r="S9" s="2033"/>
      <c r="T9" s="2033"/>
      <c r="U9" s="2034"/>
      <c r="V9" s="1"/>
      <c r="W9" s="2"/>
      <c r="X9" s="893"/>
      <c r="Y9" s="1"/>
      <c r="Z9" s="1"/>
      <c r="AA9" s="1"/>
      <c r="AB9" s="1"/>
      <c r="AC9" s="1"/>
      <c r="AD9" s="1"/>
      <c r="AE9" s="1"/>
      <c r="AF9" s="1"/>
      <c r="AG9" s="1"/>
    </row>
    <row r="10" spans="1:33" s="3" customFormat="1" ht="16" customHeight="1" thickTop="1" thickBot="1">
      <c r="A10" s="49"/>
      <c r="B10" s="50" t="s">
        <v>1395</v>
      </c>
      <c r="C10" s="49"/>
      <c r="D10" s="54"/>
      <c r="E10" s="53"/>
      <c r="F10" s="54"/>
      <c r="G10" s="53"/>
      <c r="H10" s="54"/>
      <c r="I10" s="54"/>
      <c r="J10" s="53"/>
      <c r="K10" s="53"/>
      <c r="L10" s="54"/>
      <c r="M10" s="55"/>
      <c r="N10" s="53"/>
      <c r="O10" s="54"/>
      <c r="P10" s="54"/>
      <c r="Q10" s="53"/>
      <c r="R10" s="53"/>
      <c r="S10" s="888" t="str">
        <f>'ENR#-DB'!$S$34</f>
        <v>UD1</v>
      </c>
      <c r="T10" s="888" t="str">
        <f>'ENR#-DB'!$T$34</f>
        <v>UD2</v>
      </c>
      <c r="U10" s="60"/>
      <c r="V10" s="56"/>
      <c r="W10" s="2"/>
      <c r="X10" s="893"/>
      <c r="Y10" s="56"/>
      <c r="Z10" s="56"/>
      <c r="AA10" s="56"/>
      <c r="AB10" s="56"/>
      <c r="AC10" s="56"/>
      <c r="AD10" s="56"/>
      <c r="AE10" s="56"/>
      <c r="AF10" s="56"/>
      <c r="AG10" s="1"/>
    </row>
    <row r="11" spans="1:33" s="3" customFormat="1" ht="16" customHeight="1" thickTop="1" thickBot="1">
      <c r="A11" s="49"/>
      <c r="B11" s="51" t="s">
        <v>1399</v>
      </c>
      <c r="C11" s="15"/>
      <c r="D11" s="877" t="s">
        <v>1386</v>
      </c>
      <c r="E11" s="877" t="s">
        <v>1387</v>
      </c>
      <c r="F11" s="877" t="s">
        <v>1388</v>
      </c>
      <c r="G11" s="877" t="s">
        <v>1389</v>
      </c>
      <c r="H11" s="877" t="s">
        <v>1406</v>
      </c>
      <c r="I11" s="877" t="s">
        <v>1390</v>
      </c>
      <c r="J11" s="877" t="s">
        <v>1391</v>
      </c>
      <c r="K11" s="878" t="s">
        <v>1392</v>
      </c>
      <c r="L11" s="877" t="s">
        <v>1188</v>
      </c>
      <c r="M11" s="877" t="s">
        <v>1437</v>
      </c>
      <c r="N11" s="877" t="s">
        <v>1348</v>
      </c>
      <c r="O11" s="877" t="s">
        <v>1393</v>
      </c>
      <c r="P11" s="877" t="s">
        <v>1342</v>
      </c>
      <c r="Q11" s="112" t="s">
        <v>1224</v>
      </c>
      <c r="R11" s="879" t="s">
        <v>846</v>
      </c>
      <c r="S11" s="875" t="s">
        <v>935</v>
      </c>
      <c r="T11" s="875" t="s">
        <v>936</v>
      </c>
      <c r="U11" s="59"/>
      <c r="V11" s="2"/>
      <c r="W11" s="2"/>
      <c r="X11" s="893"/>
      <c r="Y11" s="2"/>
      <c r="Z11" s="2"/>
      <c r="AA11" s="2"/>
      <c r="AB11" s="2"/>
      <c r="AC11" s="2"/>
      <c r="AD11" s="2"/>
      <c r="AE11" s="2"/>
      <c r="AF11" s="2"/>
      <c r="AG11" s="1"/>
    </row>
    <row r="12" spans="1:33" s="3" customFormat="1" ht="16" customHeight="1" thickTop="1">
      <c r="A12" s="49"/>
      <c r="B12" s="50" t="s">
        <v>1346</v>
      </c>
      <c r="C12" s="12"/>
      <c r="D12" s="37"/>
      <c r="E12" s="37"/>
      <c r="F12" s="37"/>
      <c r="G12" s="37"/>
      <c r="H12" s="37"/>
      <c r="I12" s="37"/>
      <c r="J12" s="37"/>
      <c r="K12" s="37"/>
      <c r="L12" s="364" t="s">
        <v>1429</v>
      </c>
      <c r="M12" s="365"/>
      <c r="N12" s="365" t="str">
        <f>$F$8</f>
        <v>FY2010-11</v>
      </c>
      <c r="O12" s="364"/>
      <c r="P12" s="364" t="s">
        <v>1338</v>
      </c>
      <c r="Q12" s="364"/>
      <c r="R12" s="37"/>
      <c r="S12" s="37"/>
      <c r="T12" s="37"/>
      <c r="U12" s="58"/>
      <c r="V12" s="1"/>
      <c r="W12" s="2"/>
      <c r="X12" s="893"/>
      <c r="Y12" s="1"/>
      <c r="Z12" s="1"/>
      <c r="AA12" s="1"/>
      <c r="AB12" s="1"/>
      <c r="AC12" s="1"/>
      <c r="AD12" s="1"/>
      <c r="AE12" s="1"/>
      <c r="AF12" s="1"/>
      <c r="AG12" s="1"/>
    </row>
    <row r="13" spans="1:33" s="3" customFormat="1" ht="16" customHeight="1">
      <c r="A13" s="49"/>
      <c r="B13" s="57">
        <f>DSUM('ENR#-DB'!D35:T93,"TOTAL ENROLLMENT",D11:T13)</f>
        <v>461519</v>
      </c>
      <c r="C13" s="12"/>
      <c r="D13" s="37"/>
      <c r="E13" s="37"/>
      <c r="F13" s="37"/>
      <c r="G13" s="37"/>
      <c r="H13" s="37"/>
      <c r="I13" s="37"/>
      <c r="J13" s="37"/>
      <c r="K13" s="37"/>
      <c r="L13" s="37" t="s">
        <v>1429</v>
      </c>
      <c r="M13" s="240"/>
      <c r="N13" s="240" t="str">
        <f>$F$8</f>
        <v>FY2010-11</v>
      </c>
      <c r="O13" s="37"/>
      <c r="P13" s="37" t="s">
        <v>1347</v>
      </c>
      <c r="Q13" s="37"/>
      <c r="R13" s="37" t="s">
        <v>1303</v>
      </c>
      <c r="S13" s="37"/>
      <c r="T13" s="37"/>
      <c r="U13" s="58"/>
      <c r="V13" s="1"/>
      <c r="W13" s="2"/>
      <c r="X13" s="893"/>
      <c r="Y13" s="1"/>
      <c r="Z13" s="1"/>
      <c r="AA13" s="1"/>
      <c r="AB13" s="1"/>
      <c r="AC13" s="1"/>
      <c r="AD13" s="1"/>
      <c r="AE13" s="1"/>
      <c r="AF13" s="1"/>
      <c r="AG13" s="1"/>
    </row>
    <row r="14" spans="1:33" s="3" customFormat="1" ht="16" customHeight="1">
      <c r="A14" s="49"/>
      <c r="B14" s="52"/>
      <c r="C14" s="12"/>
      <c r="D14" s="889"/>
      <c r="E14" s="889"/>
      <c r="F14" s="889"/>
      <c r="G14" s="889"/>
      <c r="H14" s="889"/>
      <c r="I14" s="889"/>
      <c r="J14" s="889"/>
      <c r="K14" s="889"/>
      <c r="L14" s="889"/>
      <c r="M14" s="890"/>
      <c r="N14" s="890"/>
      <c r="O14" s="889"/>
      <c r="P14" s="889"/>
      <c r="Q14" s="889"/>
      <c r="R14" s="889"/>
      <c r="S14" s="889"/>
      <c r="T14" s="889"/>
      <c r="U14" s="58"/>
      <c r="V14" s="1"/>
      <c r="W14" s="2"/>
      <c r="X14" s="893"/>
      <c r="Y14" s="1"/>
      <c r="Z14" s="1"/>
      <c r="AA14" s="1"/>
      <c r="AB14" s="1"/>
      <c r="AC14" s="1"/>
      <c r="AD14" s="1"/>
      <c r="AE14" s="1"/>
      <c r="AF14" s="1"/>
      <c r="AG14" s="1"/>
    </row>
    <row r="15" spans="1:33" s="3" customFormat="1" ht="16" customHeight="1">
      <c r="A15" s="49"/>
      <c r="B15" s="2018"/>
      <c r="C15" s="12"/>
      <c r="D15" s="889"/>
      <c r="E15" s="889"/>
      <c r="F15" s="889"/>
      <c r="G15" s="889"/>
      <c r="H15" s="889"/>
      <c r="I15" s="889"/>
      <c r="J15" s="889"/>
      <c r="K15" s="889"/>
      <c r="L15" s="889"/>
      <c r="M15" s="890"/>
      <c r="N15" s="890"/>
      <c r="O15" s="889"/>
      <c r="P15" s="889"/>
      <c r="Q15" s="889"/>
      <c r="R15" s="889"/>
      <c r="S15" s="889"/>
      <c r="T15" s="889"/>
      <c r="U15" s="58"/>
      <c r="V15" s="1"/>
      <c r="W15" s="2"/>
      <c r="X15" s="893"/>
      <c r="Y15" s="1"/>
      <c r="Z15" s="1"/>
      <c r="AA15" s="1"/>
      <c r="AB15" s="1"/>
      <c r="AC15" s="1"/>
      <c r="AD15" s="1"/>
      <c r="AE15" s="1"/>
      <c r="AF15" s="1"/>
      <c r="AG15" s="1"/>
    </row>
    <row r="16" spans="1:33" s="3" customFormat="1" ht="16" customHeight="1">
      <c r="A16" s="49"/>
      <c r="B16" s="2018"/>
      <c r="C16" s="12"/>
      <c r="D16" s="889"/>
      <c r="E16" s="889"/>
      <c r="F16" s="889"/>
      <c r="G16" s="889"/>
      <c r="H16" s="889"/>
      <c r="I16" s="889"/>
      <c r="J16" s="889"/>
      <c r="K16" s="889"/>
      <c r="L16" s="889"/>
      <c r="M16" s="890"/>
      <c r="N16" s="890"/>
      <c r="O16" s="889"/>
      <c r="P16" s="889"/>
      <c r="Q16" s="889"/>
      <c r="R16" s="889"/>
      <c r="S16" s="889"/>
      <c r="T16" s="889"/>
      <c r="U16" s="58"/>
      <c r="V16" s="1"/>
      <c r="W16" s="2"/>
      <c r="X16" s="893"/>
      <c r="Y16" s="1"/>
      <c r="Z16" s="1"/>
      <c r="AA16" s="1"/>
      <c r="AB16" s="1"/>
      <c r="AC16" s="1"/>
      <c r="AD16" s="1"/>
      <c r="AE16" s="1"/>
      <c r="AF16" s="1"/>
      <c r="AG16" s="1"/>
    </row>
    <row r="17" spans="1:33" s="3" customFormat="1" ht="16" customHeight="1">
      <c r="A17" s="49"/>
      <c r="B17" s="2018"/>
      <c r="C17" s="12"/>
      <c r="D17" s="889"/>
      <c r="E17" s="889"/>
      <c r="F17" s="889"/>
      <c r="G17" s="889"/>
      <c r="H17" s="889"/>
      <c r="I17" s="889"/>
      <c r="J17" s="889"/>
      <c r="K17" s="889"/>
      <c r="L17" s="889"/>
      <c r="M17" s="890"/>
      <c r="N17" s="890"/>
      <c r="O17" s="889"/>
      <c r="P17" s="889"/>
      <c r="Q17" s="889"/>
      <c r="R17" s="889"/>
      <c r="S17" s="889"/>
      <c r="T17" s="889"/>
      <c r="U17" s="58"/>
      <c r="V17" s="1"/>
      <c r="W17" s="2"/>
      <c r="X17" s="893"/>
      <c r="Y17" s="1"/>
      <c r="Z17" s="1"/>
      <c r="AA17" s="1"/>
      <c r="AB17" s="1"/>
      <c r="AC17" s="1"/>
      <c r="AD17" s="1"/>
      <c r="AE17" s="1"/>
      <c r="AF17" s="1"/>
      <c r="AG17" s="1"/>
    </row>
    <row r="18" spans="1:33" s="3" customFormat="1" ht="16" customHeight="1">
      <c r="A18" s="49"/>
      <c r="B18" s="2018"/>
      <c r="C18" s="12"/>
      <c r="D18" s="889"/>
      <c r="E18" s="889"/>
      <c r="F18" s="889"/>
      <c r="G18" s="889"/>
      <c r="H18" s="889"/>
      <c r="I18" s="889"/>
      <c r="J18" s="889"/>
      <c r="K18" s="889"/>
      <c r="L18" s="889"/>
      <c r="M18" s="890"/>
      <c r="N18" s="890"/>
      <c r="O18" s="889"/>
      <c r="P18" s="889"/>
      <c r="Q18" s="889"/>
      <c r="R18" s="889"/>
      <c r="S18" s="889"/>
      <c r="T18" s="889"/>
      <c r="U18" s="58"/>
      <c r="V18" s="1"/>
      <c r="W18" s="895"/>
      <c r="X18" s="893"/>
      <c r="Y18" s="1"/>
      <c r="Z18" s="1"/>
      <c r="AA18" s="1"/>
      <c r="AB18" s="1"/>
      <c r="AC18" s="1"/>
      <c r="AD18" s="1"/>
      <c r="AE18" s="1"/>
      <c r="AF18" s="1"/>
      <c r="AG18" s="1"/>
    </row>
    <row r="19" spans="1:33" s="3" customFormat="1" ht="16" customHeight="1">
      <c r="A19" s="11"/>
      <c r="B19" s="12"/>
      <c r="C19" s="12"/>
      <c r="D19" s="14"/>
      <c r="E19" s="13"/>
      <c r="F19" s="14"/>
      <c r="G19" s="13"/>
      <c r="H19" s="14"/>
      <c r="I19" s="14"/>
      <c r="J19" s="13"/>
      <c r="K19" s="13"/>
      <c r="L19" s="14"/>
      <c r="M19" s="14"/>
      <c r="N19" s="13"/>
      <c r="O19" s="14"/>
      <c r="P19" s="14"/>
      <c r="Q19" s="13"/>
      <c r="R19" s="14"/>
      <c r="S19" s="14"/>
      <c r="T19" s="14"/>
      <c r="U19" s="58"/>
      <c r="V19" s="1"/>
      <c r="W19" s="2"/>
      <c r="X19" s="893"/>
      <c r="Y19" s="1"/>
      <c r="Z19" s="1"/>
      <c r="AA19" s="1"/>
      <c r="AB19" s="1"/>
      <c r="AC19" s="1"/>
      <c r="AD19" s="1"/>
      <c r="AE19" s="1"/>
      <c r="AF19" s="1"/>
      <c r="AG19" s="1"/>
    </row>
    <row r="20" spans="1:33" s="3" customFormat="1" ht="16" customHeight="1" thickBot="1">
      <c r="A20" s="49"/>
      <c r="B20" s="50" t="s">
        <v>1395</v>
      </c>
      <c r="C20" s="49"/>
      <c r="D20" s="54"/>
      <c r="E20" s="53"/>
      <c r="F20" s="54"/>
      <c r="G20" s="53"/>
      <c r="H20" s="54"/>
      <c r="I20" s="54"/>
      <c r="J20" s="53"/>
      <c r="K20" s="53"/>
      <c r="L20" s="54"/>
      <c r="M20" s="55"/>
      <c r="N20" s="53"/>
      <c r="O20" s="54"/>
      <c r="P20" s="54"/>
      <c r="Q20" s="53"/>
      <c r="R20" s="53"/>
      <c r="S20" s="887" t="str">
        <f>'ENR#-DB'!$S$34</f>
        <v>UD1</v>
      </c>
      <c r="T20" s="887" t="str">
        <f>'ENR#-DB'!$T$34</f>
        <v>UD2</v>
      </c>
      <c r="U20" s="60"/>
      <c r="V20" s="56"/>
      <c r="W20" s="120"/>
      <c r="X20" s="2"/>
      <c r="Y20" s="893"/>
      <c r="Z20" s="56"/>
      <c r="AA20" s="56"/>
      <c r="AB20" s="120"/>
      <c r="AC20" s="2"/>
      <c r="AD20" s="893"/>
      <c r="AE20" s="56"/>
      <c r="AF20" s="56"/>
      <c r="AG20" s="1"/>
    </row>
    <row r="21" spans="1:33" s="3" customFormat="1" ht="16" customHeight="1" thickTop="1" thickBot="1">
      <c r="A21" s="49"/>
      <c r="B21" s="51" t="s">
        <v>1375</v>
      </c>
      <c r="C21" s="15"/>
      <c r="D21" s="877" t="s">
        <v>1386</v>
      </c>
      <c r="E21" s="877" t="s">
        <v>1387</v>
      </c>
      <c r="F21" s="877" t="s">
        <v>1388</v>
      </c>
      <c r="G21" s="877" t="s">
        <v>1389</v>
      </c>
      <c r="H21" s="877" t="s">
        <v>1406</v>
      </c>
      <c r="I21" s="877" t="s">
        <v>1390</v>
      </c>
      <c r="J21" s="877" t="s">
        <v>1391</v>
      </c>
      <c r="K21" s="878" t="s">
        <v>1392</v>
      </c>
      <c r="L21" s="877" t="s">
        <v>1188</v>
      </c>
      <c r="M21" s="877" t="s">
        <v>1437</v>
      </c>
      <c r="N21" s="877" t="s">
        <v>1348</v>
      </c>
      <c r="O21" s="877" t="s">
        <v>1393</v>
      </c>
      <c r="P21" s="877" t="s">
        <v>1342</v>
      </c>
      <c r="Q21" s="112" t="s">
        <v>1224</v>
      </c>
      <c r="R21" s="983" t="s">
        <v>846</v>
      </c>
      <c r="S21" s="875" t="s">
        <v>935</v>
      </c>
      <c r="T21" s="875" t="s">
        <v>936</v>
      </c>
      <c r="U21" s="59"/>
      <c r="V21" s="2"/>
      <c r="W21" s="120"/>
      <c r="X21" s="2"/>
      <c r="Y21" s="893"/>
      <c r="Z21" s="2"/>
      <c r="AA21" s="2"/>
      <c r="AB21" s="2"/>
      <c r="AC21" s="2"/>
      <c r="AD21" s="2"/>
      <c r="AE21" s="2"/>
      <c r="AF21" s="2"/>
      <c r="AG21" s="1"/>
    </row>
    <row r="22" spans="1:33" s="3" customFormat="1" ht="16" customHeight="1" thickTop="1">
      <c r="A22" s="49"/>
      <c r="B22" s="50" t="s">
        <v>1346</v>
      </c>
      <c r="C22" s="12"/>
      <c r="D22" s="37"/>
      <c r="E22" s="37"/>
      <c r="F22" s="37"/>
      <c r="G22" s="37"/>
      <c r="H22" s="37"/>
      <c r="I22" s="37"/>
      <c r="J22" s="37"/>
      <c r="K22" s="37"/>
      <c r="L22" s="37" t="s">
        <v>1429</v>
      </c>
      <c r="M22" s="240"/>
      <c r="N22" s="37" t="str">
        <f>$F$8</f>
        <v>FY2010-11</v>
      </c>
      <c r="O22" s="37"/>
      <c r="P22" s="37" t="s">
        <v>1347</v>
      </c>
      <c r="Q22" s="37"/>
      <c r="R22" s="37" t="s">
        <v>871</v>
      </c>
      <c r="S22" s="37"/>
      <c r="T22" s="37"/>
      <c r="U22" s="58"/>
      <c r="V22" s="1"/>
      <c r="W22" s="120"/>
      <c r="X22" s="2"/>
      <c r="Y22" s="893"/>
      <c r="Z22" s="1"/>
      <c r="AA22" s="1"/>
      <c r="AB22" s="1"/>
      <c r="AC22" s="1"/>
      <c r="AD22" s="1"/>
      <c r="AE22" s="1"/>
      <c r="AF22" s="1"/>
      <c r="AG22" s="1"/>
    </row>
    <row r="23" spans="1:33" s="3" customFormat="1" ht="16" customHeight="1">
      <c r="A23" s="49"/>
      <c r="B23" s="57">
        <f>DSUM('ENR#-DB'!D35:T93,"TOTAL ENROLLMENT",D21:T22)</f>
        <v>6340</v>
      </c>
      <c r="C23" s="12"/>
      <c r="D23" s="889"/>
      <c r="E23" s="889"/>
      <c r="F23" s="889"/>
      <c r="G23" s="889"/>
      <c r="H23" s="889"/>
      <c r="I23" s="889"/>
      <c r="J23" s="889"/>
      <c r="K23" s="889"/>
      <c r="L23" s="889"/>
      <c r="M23" s="890"/>
      <c r="N23" s="889"/>
      <c r="O23" s="889"/>
      <c r="P23" s="889"/>
      <c r="Q23" s="889"/>
      <c r="R23" s="889"/>
      <c r="S23" s="889"/>
      <c r="T23" s="889"/>
      <c r="U23" s="58"/>
      <c r="V23" s="1"/>
      <c r="W23" s="120"/>
      <c r="X23" s="2"/>
      <c r="Y23" s="893"/>
      <c r="Z23" s="1"/>
      <c r="AA23" s="1"/>
      <c r="AB23" s="1"/>
      <c r="AC23" s="1"/>
      <c r="AD23" s="1"/>
      <c r="AE23" s="1"/>
      <c r="AF23" s="1"/>
      <c r="AG23" s="1"/>
    </row>
    <row r="24" spans="1:33" s="3" customFormat="1" ht="16" customHeight="1">
      <c r="A24" s="49"/>
      <c r="B24" s="52"/>
      <c r="C24" s="12"/>
      <c r="D24" s="889"/>
      <c r="E24" s="889"/>
      <c r="F24" s="889"/>
      <c r="G24" s="889"/>
      <c r="H24" s="889"/>
      <c r="I24" s="889"/>
      <c r="J24" s="889"/>
      <c r="K24" s="889"/>
      <c r="L24" s="889"/>
      <c r="M24" s="890"/>
      <c r="N24" s="889"/>
      <c r="O24" s="889"/>
      <c r="P24" s="889"/>
      <c r="Q24" s="889"/>
      <c r="R24" s="889"/>
      <c r="S24" s="889"/>
      <c r="T24" s="889"/>
      <c r="U24" s="58"/>
      <c r="V24" s="1"/>
      <c r="W24" s="2"/>
      <c r="X24" s="893"/>
      <c r="Y24" s="1"/>
      <c r="Z24" s="1"/>
      <c r="AA24" s="1"/>
      <c r="AB24" s="1"/>
      <c r="AC24" s="1"/>
      <c r="AD24" s="1"/>
      <c r="AE24" s="1"/>
      <c r="AF24" s="1"/>
      <c r="AG24" s="1"/>
    </row>
    <row r="25" spans="1:33" s="3" customFormat="1" ht="16" customHeight="1">
      <c r="A25" s="49"/>
      <c r="B25" s="52"/>
      <c r="C25" s="12"/>
      <c r="D25" s="889"/>
      <c r="E25" s="889"/>
      <c r="F25" s="889"/>
      <c r="G25" s="889"/>
      <c r="H25" s="889"/>
      <c r="I25" s="889"/>
      <c r="J25" s="889"/>
      <c r="K25" s="889"/>
      <c r="L25" s="889"/>
      <c r="M25" s="890"/>
      <c r="N25" s="889"/>
      <c r="O25" s="889"/>
      <c r="P25" s="889"/>
      <c r="Q25" s="889"/>
      <c r="R25" s="889"/>
      <c r="S25" s="889"/>
      <c r="T25" s="889"/>
      <c r="U25" s="58"/>
      <c r="V25" s="1"/>
      <c r="W25" s="2"/>
      <c r="X25" s="893"/>
      <c r="Y25" s="1"/>
      <c r="Z25" s="1"/>
      <c r="AA25" s="1"/>
      <c r="AB25" s="1"/>
      <c r="AC25" s="1"/>
      <c r="AD25" s="1"/>
      <c r="AE25" s="1"/>
      <c r="AF25" s="1"/>
      <c r="AG25" s="1"/>
    </row>
    <row r="26" spans="1:33" s="3" customFormat="1" ht="16" customHeight="1">
      <c r="A26" s="49"/>
      <c r="B26" s="52"/>
      <c r="C26" s="12"/>
      <c r="D26" s="889"/>
      <c r="E26" s="889"/>
      <c r="F26" s="889"/>
      <c r="G26" s="889"/>
      <c r="H26" s="889"/>
      <c r="I26" s="889"/>
      <c r="J26" s="889"/>
      <c r="K26" s="889"/>
      <c r="L26" s="889"/>
      <c r="M26" s="890"/>
      <c r="N26" s="889"/>
      <c r="O26" s="889"/>
      <c r="P26" s="889"/>
      <c r="Q26" s="889"/>
      <c r="R26" s="889"/>
      <c r="S26" s="889"/>
      <c r="T26" s="889"/>
      <c r="U26" s="58"/>
      <c r="V26" s="1"/>
      <c r="W26" s="2"/>
      <c r="X26" s="893"/>
      <c r="Y26" s="1"/>
      <c r="Z26" s="1"/>
      <c r="AA26" s="1"/>
      <c r="AB26" s="1"/>
      <c r="AC26" s="1"/>
      <c r="AD26" s="1"/>
      <c r="AE26" s="1"/>
      <c r="AF26" s="1"/>
      <c r="AG26" s="1"/>
    </row>
    <row r="27" spans="1:33" s="3" customFormat="1" ht="16" customHeight="1">
      <c r="A27" s="49"/>
      <c r="B27" s="52"/>
      <c r="C27" s="12"/>
      <c r="D27" s="889"/>
      <c r="E27" s="889"/>
      <c r="F27" s="889"/>
      <c r="G27" s="889"/>
      <c r="H27" s="889"/>
      <c r="I27" s="889"/>
      <c r="J27" s="889"/>
      <c r="K27" s="889"/>
      <c r="L27" s="889"/>
      <c r="M27" s="890"/>
      <c r="N27" s="889"/>
      <c r="O27" s="889"/>
      <c r="P27" s="889"/>
      <c r="Q27" s="889"/>
      <c r="R27" s="889"/>
      <c r="S27" s="889"/>
      <c r="T27" s="889"/>
      <c r="U27" s="58"/>
      <c r="V27" s="1"/>
      <c r="W27" s="2"/>
      <c r="X27" s="893"/>
      <c r="Y27" s="1"/>
      <c r="Z27" s="1"/>
      <c r="AA27" s="1"/>
      <c r="AB27" s="1"/>
      <c r="AC27" s="1"/>
      <c r="AD27" s="1"/>
      <c r="AE27" s="1"/>
      <c r="AF27" s="1"/>
      <c r="AG27" s="1"/>
    </row>
    <row r="28" spans="1:33" s="3" customFormat="1" ht="16" customHeight="1">
      <c r="A28" s="49"/>
      <c r="B28" s="52"/>
      <c r="C28" s="12"/>
      <c r="D28" s="889"/>
      <c r="E28" s="889"/>
      <c r="F28" s="889"/>
      <c r="G28" s="889"/>
      <c r="H28" s="889"/>
      <c r="I28" s="889"/>
      <c r="J28" s="889"/>
      <c r="K28" s="889"/>
      <c r="L28" s="889"/>
      <c r="M28" s="890"/>
      <c r="N28" s="889"/>
      <c r="O28" s="889"/>
      <c r="P28" s="889"/>
      <c r="Q28" s="889"/>
      <c r="R28" s="889"/>
      <c r="S28" s="889"/>
      <c r="T28" s="889"/>
      <c r="U28" s="58"/>
      <c r="V28" s="1"/>
      <c r="W28" s="2"/>
      <c r="X28" s="893"/>
      <c r="Y28" s="1"/>
      <c r="Z28" s="1"/>
      <c r="AA28" s="1"/>
      <c r="AB28" s="1"/>
      <c r="AC28" s="1"/>
      <c r="AD28" s="1"/>
      <c r="AE28" s="1"/>
      <c r="AF28" s="1"/>
      <c r="AG28" s="1"/>
    </row>
    <row r="29" spans="1:33" s="3" customFormat="1" ht="16" customHeight="1">
      <c r="A29" s="25"/>
      <c r="B29" s="26"/>
      <c r="C29" s="26"/>
      <c r="D29" s="28"/>
      <c r="E29" s="28"/>
      <c r="F29" s="28"/>
      <c r="G29" s="28"/>
      <c r="H29" s="28"/>
      <c r="I29" s="28"/>
      <c r="J29" s="28"/>
      <c r="K29" s="28"/>
      <c r="L29" s="28"/>
      <c r="M29" s="28"/>
      <c r="N29" s="28"/>
      <c r="O29" s="28"/>
      <c r="P29" s="28"/>
      <c r="Q29" s="28"/>
      <c r="R29" s="28"/>
      <c r="S29" s="28"/>
      <c r="T29" s="28"/>
      <c r="U29" s="58"/>
      <c r="V29" s="1"/>
      <c r="W29" s="2"/>
      <c r="X29" s="893"/>
      <c r="Y29" s="1"/>
      <c r="Z29" s="1"/>
      <c r="AA29" s="1"/>
      <c r="AB29" s="1"/>
      <c r="AC29" s="1"/>
      <c r="AD29" s="1"/>
      <c r="AE29" s="1"/>
      <c r="AF29" s="1"/>
      <c r="AG29" s="1"/>
    </row>
    <row r="30" spans="1:33" s="3" customFormat="1" ht="16" customHeight="1" thickBot="1">
      <c r="A30" s="49"/>
      <c r="B30" s="50" t="str">
        <f>"FA1 = "&amp;'FIG3'!$W$52&amp;" "&amp;'FIG3'!$X$52</f>
        <v>FA1 = Little Rock School District</v>
      </c>
      <c r="C30" s="49"/>
      <c r="D30" s="54"/>
      <c r="E30" s="54"/>
      <c r="F30" s="54"/>
      <c r="G30" s="54"/>
      <c r="H30" s="54"/>
      <c r="I30" s="54"/>
      <c r="J30" s="54"/>
      <c r="K30" s="54"/>
      <c r="L30" s="54"/>
      <c r="M30" s="55"/>
      <c r="N30" s="54"/>
      <c r="O30" s="54"/>
      <c r="P30" s="54"/>
      <c r="Q30" s="54"/>
      <c r="R30" s="53"/>
      <c r="S30" s="887" t="str">
        <f>'ENR#-DB'!$S$34</f>
        <v>UD1</v>
      </c>
      <c r="T30" s="887" t="str">
        <f>'ENR#-DB'!$T$34</f>
        <v>UD2</v>
      </c>
      <c r="U30" s="60"/>
      <c r="V30" s="56"/>
      <c r="W30" s="2"/>
      <c r="X30" s="893"/>
      <c r="Y30" s="56"/>
      <c r="Z30" s="56"/>
      <c r="AA30" s="56"/>
      <c r="AB30" s="56"/>
      <c r="AC30" s="56"/>
      <c r="AD30" s="56"/>
      <c r="AE30" s="56"/>
      <c r="AF30" s="56"/>
      <c r="AG30" s="1"/>
    </row>
    <row r="31" spans="1:33" s="3" customFormat="1" ht="16" customHeight="1" thickTop="1" thickBot="1">
      <c r="A31" s="49"/>
      <c r="B31" s="51" t="s">
        <v>1399</v>
      </c>
      <c r="C31" s="15"/>
      <c r="D31" s="877" t="s">
        <v>1386</v>
      </c>
      <c r="E31" s="877" t="s">
        <v>1387</v>
      </c>
      <c r="F31" s="877" t="s">
        <v>1388</v>
      </c>
      <c r="G31" s="877" t="s">
        <v>1389</v>
      </c>
      <c r="H31" s="877" t="s">
        <v>1406</v>
      </c>
      <c r="I31" s="877" t="s">
        <v>1390</v>
      </c>
      <c r="J31" s="877" t="s">
        <v>1391</v>
      </c>
      <c r="K31" s="878" t="s">
        <v>1392</v>
      </c>
      <c r="L31" s="877" t="s">
        <v>1188</v>
      </c>
      <c r="M31" s="877" t="s">
        <v>1437</v>
      </c>
      <c r="N31" s="877" t="s">
        <v>1348</v>
      </c>
      <c r="O31" s="877" t="s">
        <v>1393</v>
      </c>
      <c r="P31" s="877" t="s">
        <v>1342</v>
      </c>
      <c r="Q31" s="112" t="s">
        <v>1224</v>
      </c>
      <c r="R31" s="983" t="s">
        <v>846</v>
      </c>
      <c r="S31" s="875" t="s">
        <v>935</v>
      </c>
      <c r="T31" s="875" t="s">
        <v>936</v>
      </c>
      <c r="U31" s="59"/>
      <c r="V31" s="2"/>
      <c r="W31" s="2"/>
      <c r="X31" s="893"/>
      <c r="Y31" s="2"/>
      <c r="Z31" s="2"/>
      <c r="AA31" s="2"/>
      <c r="AB31" s="2"/>
      <c r="AC31" s="2"/>
      <c r="AD31" s="2"/>
      <c r="AE31" s="2"/>
      <c r="AF31" s="2"/>
      <c r="AG31" s="1"/>
    </row>
    <row r="32" spans="1:33" s="3" customFormat="1" ht="16" customHeight="1" thickTop="1">
      <c r="A32" s="49"/>
      <c r="B32" s="50" t="s">
        <v>1346</v>
      </c>
      <c r="C32" s="12"/>
      <c r="D32" s="38"/>
      <c r="E32" s="38"/>
      <c r="F32" s="38"/>
      <c r="G32" s="38"/>
      <c r="H32" s="38"/>
      <c r="I32" s="38"/>
      <c r="J32" s="38"/>
      <c r="K32" s="38"/>
      <c r="L32" s="38" t="s">
        <v>1429</v>
      </c>
      <c r="M32" s="38"/>
      <c r="N32" s="38" t="str">
        <f>$F$8</f>
        <v>FY2010-11</v>
      </c>
      <c r="O32" s="38" t="s">
        <v>1352</v>
      </c>
      <c r="P32" s="38" t="s">
        <v>1338</v>
      </c>
      <c r="Q32" s="38"/>
      <c r="R32" s="38"/>
      <c r="S32" s="38"/>
      <c r="T32" s="38"/>
      <c r="U32" s="58"/>
      <c r="V32" s="1"/>
      <c r="W32" s="2"/>
      <c r="X32" s="893"/>
      <c r="Y32" s="1"/>
      <c r="Z32" s="1"/>
      <c r="AA32" s="1"/>
      <c r="AB32" s="1"/>
      <c r="AC32" s="1"/>
      <c r="AD32" s="1"/>
      <c r="AE32" s="1"/>
      <c r="AF32" s="1"/>
      <c r="AG32" s="1"/>
    </row>
    <row r="33" spans="1:33" s="3" customFormat="1" ht="16" customHeight="1">
      <c r="A33" s="49"/>
      <c r="B33" s="57">
        <f>DSUM('ENR#-DB'!D35:T93,"TOTAL ENROLLMENT",D31:T33)</f>
        <v>24226</v>
      </c>
      <c r="C33" s="12"/>
      <c r="D33" s="38"/>
      <c r="E33" s="38"/>
      <c r="F33" s="38"/>
      <c r="G33" s="38"/>
      <c r="H33" s="38"/>
      <c r="I33" s="38"/>
      <c r="J33" s="38"/>
      <c r="K33" s="38"/>
      <c r="L33" s="38" t="s">
        <v>1429</v>
      </c>
      <c r="M33" s="38"/>
      <c r="N33" s="38" t="str">
        <f>$F$8</f>
        <v>FY2010-11</v>
      </c>
      <c r="O33" s="38" t="s">
        <v>1352</v>
      </c>
      <c r="P33" s="38" t="s">
        <v>1347</v>
      </c>
      <c r="Q33" s="38"/>
      <c r="R33" s="38" t="s">
        <v>1303</v>
      </c>
      <c r="S33" s="38"/>
      <c r="T33" s="38"/>
      <c r="U33" s="58"/>
      <c r="V33" s="1"/>
      <c r="W33" s="2"/>
      <c r="X33" s="893"/>
      <c r="Y33" s="1"/>
      <c r="Z33" s="1"/>
      <c r="AA33" s="1"/>
      <c r="AB33" s="1"/>
      <c r="AC33" s="1"/>
      <c r="AD33" s="1"/>
      <c r="AE33" s="1"/>
      <c r="AF33" s="1"/>
      <c r="AG33" s="1"/>
    </row>
    <row r="34" spans="1:33" s="3" customFormat="1" ht="16" customHeight="1">
      <c r="A34" s="49"/>
      <c r="B34" s="52"/>
      <c r="C34" s="12"/>
      <c r="D34" s="889"/>
      <c r="E34" s="889"/>
      <c r="F34" s="889"/>
      <c r="G34" s="889"/>
      <c r="H34" s="889"/>
      <c r="I34" s="889"/>
      <c r="J34" s="889"/>
      <c r="K34" s="889"/>
      <c r="L34" s="889"/>
      <c r="M34" s="889"/>
      <c r="N34" s="889"/>
      <c r="O34" s="889"/>
      <c r="P34" s="889"/>
      <c r="Q34" s="889"/>
      <c r="R34" s="889"/>
      <c r="S34" s="889"/>
      <c r="T34" s="889"/>
      <c r="U34" s="58"/>
      <c r="V34" s="1"/>
      <c r="W34" s="2"/>
      <c r="X34" s="893"/>
      <c r="Y34" s="1"/>
      <c r="Z34" s="1"/>
      <c r="AA34" s="1"/>
      <c r="AB34" s="1"/>
      <c r="AC34" s="1"/>
      <c r="AD34" s="1"/>
      <c r="AE34" s="1"/>
      <c r="AF34" s="1"/>
      <c r="AG34" s="1"/>
    </row>
    <row r="35" spans="1:33" s="3" customFormat="1" ht="16" customHeight="1">
      <c r="A35" s="49"/>
      <c r="B35" s="52"/>
      <c r="C35" s="12"/>
      <c r="D35" s="889"/>
      <c r="E35" s="889"/>
      <c r="F35" s="889"/>
      <c r="G35" s="889"/>
      <c r="H35" s="889"/>
      <c r="I35" s="889"/>
      <c r="J35" s="889"/>
      <c r="K35" s="889"/>
      <c r="L35" s="889"/>
      <c r="M35" s="889"/>
      <c r="N35" s="889"/>
      <c r="O35" s="889"/>
      <c r="P35" s="889"/>
      <c r="Q35" s="889"/>
      <c r="R35" s="889"/>
      <c r="S35" s="889"/>
      <c r="T35" s="889"/>
      <c r="U35" s="58"/>
      <c r="V35" s="1"/>
      <c r="W35" s="2"/>
      <c r="X35" s="893"/>
      <c r="Y35" s="1"/>
      <c r="Z35" s="1"/>
      <c r="AA35" s="1"/>
      <c r="AB35" s="1"/>
      <c r="AC35" s="1"/>
      <c r="AD35" s="1"/>
      <c r="AE35" s="1"/>
      <c r="AF35" s="1"/>
      <c r="AG35" s="1"/>
    </row>
    <row r="36" spans="1:33" s="3" customFormat="1" ht="16" customHeight="1">
      <c r="A36" s="49"/>
      <c r="B36" s="52"/>
      <c r="C36" s="12"/>
      <c r="D36" s="889"/>
      <c r="E36" s="889"/>
      <c r="F36" s="889"/>
      <c r="G36" s="889"/>
      <c r="H36" s="889"/>
      <c r="I36" s="889"/>
      <c r="J36" s="889"/>
      <c r="K36" s="889"/>
      <c r="L36" s="889"/>
      <c r="M36" s="889"/>
      <c r="N36" s="889"/>
      <c r="O36" s="889"/>
      <c r="P36" s="889"/>
      <c r="Q36" s="889"/>
      <c r="R36" s="889"/>
      <c r="S36" s="889"/>
      <c r="T36" s="889"/>
      <c r="U36" s="58"/>
      <c r="V36" s="1"/>
      <c r="W36" s="2"/>
      <c r="X36" s="893"/>
      <c r="Y36" s="1"/>
      <c r="Z36" s="1"/>
      <c r="AA36" s="1"/>
      <c r="AB36" s="1"/>
      <c r="AC36" s="1"/>
      <c r="AD36" s="1"/>
      <c r="AE36" s="1"/>
      <c r="AF36" s="1"/>
      <c r="AG36" s="1"/>
    </row>
    <row r="37" spans="1:33" s="3" customFormat="1" ht="16" customHeight="1">
      <c r="A37" s="49"/>
      <c r="B37" s="52"/>
      <c r="C37" s="12"/>
      <c r="D37" s="889"/>
      <c r="E37" s="889"/>
      <c r="F37" s="889"/>
      <c r="G37" s="889"/>
      <c r="H37" s="889"/>
      <c r="I37" s="889"/>
      <c r="J37" s="889"/>
      <c r="K37" s="889"/>
      <c r="L37" s="889"/>
      <c r="M37" s="889"/>
      <c r="N37" s="889"/>
      <c r="O37" s="889"/>
      <c r="P37" s="889"/>
      <c r="Q37" s="889"/>
      <c r="R37" s="889"/>
      <c r="S37" s="889"/>
      <c r="T37" s="889"/>
      <c r="U37" s="58"/>
      <c r="V37" s="1"/>
      <c r="W37" s="2"/>
      <c r="X37" s="893"/>
      <c r="Y37" s="1"/>
      <c r="Z37" s="1"/>
      <c r="AA37" s="1"/>
      <c r="AB37" s="1"/>
      <c r="AC37" s="1"/>
      <c r="AD37" s="1"/>
      <c r="AE37" s="1"/>
      <c r="AF37" s="1"/>
      <c r="AG37" s="1"/>
    </row>
    <row r="38" spans="1:33" s="3" customFormat="1" ht="16" customHeight="1">
      <c r="A38" s="49"/>
      <c r="B38" s="52"/>
      <c r="C38" s="12"/>
      <c r="D38" s="889"/>
      <c r="E38" s="889"/>
      <c r="F38" s="889"/>
      <c r="G38" s="889"/>
      <c r="H38" s="889"/>
      <c r="I38" s="889"/>
      <c r="J38" s="889"/>
      <c r="K38" s="889"/>
      <c r="L38" s="889"/>
      <c r="M38" s="889"/>
      <c r="N38" s="889"/>
      <c r="O38" s="889"/>
      <c r="P38" s="889"/>
      <c r="Q38" s="889"/>
      <c r="R38" s="889"/>
      <c r="S38" s="889"/>
      <c r="T38" s="889"/>
      <c r="U38" s="58"/>
      <c r="V38" s="1"/>
      <c r="W38" s="2"/>
      <c r="X38" s="893"/>
      <c r="Y38" s="1"/>
      <c r="Z38" s="1"/>
      <c r="AA38" s="1"/>
      <c r="AB38" s="1"/>
      <c r="AC38" s="1"/>
      <c r="AD38" s="1"/>
      <c r="AE38" s="1"/>
      <c r="AF38" s="1"/>
      <c r="AG38" s="1"/>
    </row>
    <row r="39" spans="1:33" s="3" customFormat="1" ht="16" customHeight="1">
      <c r="A39" s="25"/>
      <c r="B39" s="26"/>
      <c r="C39" s="26"/>
      <c r="D39" s="28"/>
      <c r="E39" s="28"/>
      <c r="F39" s="28"/>
      <c r="G39" s="28"/>
      <c r="H39" s="28"/>
      <c r="I39" s="28"/>
      <c r="J39" s="28"/>
      <c r="K39" s="28"/>
      <c r="L39" s="28"/>
      <c r="M39" s="28"/>
      <c r="N39" s="28"/>
      <c r="O39" s="28"/>
      <c r="P39" s="28"/>
      <c r="Q39" s="28"/>
      <c r="R39" s="28"/>
      <c r="S39" s="28"/>
      <c r="T39" s="28"/>
      <c r="U39" s="58"/>
      <c r="V39" s="1"/>
      <c r="W39" s="2"/>
      <c r="X39" s="893"/>
      <c r="Y39" s="1"/>
      <c r="Z39" s="1"/>
      <c r="AA39" s="1"/>
      <c r="AB39" s="1"/>
      <c r="AC39" s="1"/>
      <c r="AD39" s="1"/>
      <c r="AE39" s="1"/>
      <c r="AF39" s="1"/>
      <c r="AG39" s="1"/>
    </row>
    <row r="40" spans="1:33" s="3" customFormat="1" ht="16" customHeight="1" thickBot="1">
      <c r="A40" s="49"/>
      <c r="B40" s="50" t="str">
        <f>"FA1 = "&amp;'FIG3'!$W$52&amp;" "&amp;'FIG3'!$X$52</f>
        <v>FA1 = Little Rock School District</v>
      </c>
      <c r="C40" s="49"/>
      <c r="D40" s="54"/>
      <c r="E40" s="54"/>
      <c r="F40" s="54"/>
      <c r="G40" s="54"/>
      <c r="H40" s="54"/>
      <c r="I40" s="54"/>
      <c r="J40" s="54"/>
      <c r="K40" s="54"/>
      <c r="L40" s="54"/>
      <c r="M40" s="55"/>
      <c r="N40" s="54"/>
      <c r="O40" s="54"/>
      <c r="P40" s="54"/>
      <c r="Q40" s="54"/>
      <c r="R40" s="53"/>
      <c r="S40" s="887" t="str">
        <f>'ENR#-DB'!$S$34</f>
        <v>UD1</v>
      </c>
      <c r="T40" s="887" t="str">
        <f>'ENR#-DB'!$T$34</f>
        <v>UD2</v>
      </c>
      <c r="U40" s="60"/>
      <c r="V40" s="56"/>
      <c r="W40" s="2"/>
      <c r="X40" s="893"/>
      <c r="Y40" s="56"/>
      <c r="Z40" s="56"/>
      <c r="AA40" s="56"/>
      <c r="AB40" s="56"/>
      <c r="AC40" s="56"/>
      <c r="AD40" s="56"/>
      <c r="AE40" s="56"/>
      <c r="AF40" s="56"/>
      <c r="AG40" s="1"/>
    </row>
    <row r="41" spans="1:33" s="3" customFormat="1" ht="16" customHeight="1" thickTop="1" thickBot="1">
      <c r="A41" s="49"/>
      <c r="B41" s="51" t="s">
        <v>1375</v>
      </c>
      <c r="C41" s="15"/>
      <c r="D41" s="877" t="s">
        <v>1386</v>
      </c>
      <c r="E41" s="877" t="s">
        <v>1387</v>
      </c>
      <c r="F41" s="877" t="s">
        <v>1388</v>
      </c>
      <c r="G41" s="877" t="s">
        <v>1389</v>
      </c>
      <c r="H41" s="877" t="s">
        <v>1406</v>
      </c>
      <c r="I41" s="877" t="s">
        <v>1390</v>
      </c>
      <c r="J41" s="877" t="s">
        <v>1391</v>
      </c>
      <c r="K41" s="878" t="s">
        <v>1392</v>
      </c>
      <c r="L41" s="877" t="s">
        <v>1188</v>
      </c>
      <c r="M41" s="877" t="s">
        <v>1437</v>
      </c>
      <c r="N41" s="877" t="s">
        <v>1348</v>
      </c>
      <c r="O41" s="877" t="s">
        <v>1393</v>
      </c>
      <c r="P41" s="877" t="s">
        <v>1342</v>
      </c>
      <c r="Q41" s="112" t="s">
        <v>1224</v>
      </c>
      <c r="R41" s="983" t="s">
        <v>846</v>
      </c>
      <c r="S41" s="875" t="s">
        <v>935</v>
      </c>
      <c r="T41" s="875" t="s">
        <v>936</v>
      </c>
      <c r="U41" s="59"/>
      <c r="V41" s="2"/>
      <c r="W41" s="2"/>
      <c r="X41" s="893"/>
      <c r="Y41" s="2"/>
      <c r="Z41" s="2"/>
      <c r="AA41" s="2"/>
      <c r="AB41" s="2"/>
      <c r="AC41" s="2"/>
      <c r="AD41" s="2"/>
      <c r="AE41" s="2"/>
      <c r="AF41" s="2"/>
      <c r="AG41" s="1"/>
    </row>
    <row r="42" spans="1:33" s="3" customFormat="1" ht="16" customHeight="1" thickTop="1">
      <c r="A42" s="49"/>
      <c r="B42" s="50" t="s">
        <v>1346</v>
      </c>
      <c r="C42" s="12"/>
      <c r="D42" s="38"/>
      <c r="E42" s="38"/>
      <c r="F42" s="38"/>
      <c r="G42" s="38"/>
      <c r="H42" s="38"/>
      <c r="I42" s="38"/>
      <c r="J42" s="38"/>
      <c r="K42" s="38"/>
      <c r="L42" s="38" t="s">
        <v>1429</v>
      </c>
      <c r="M42" s="38"/>
      <c r="N42" s="38" t="str">
        <f>$F$8</f>
        <v>FY2010-11</v>
      </c>
      <c r="O42" s="38" t="s">
        <v>1352</v>
      </c>
      <c r="P42" s="38" t="s">
        <v>1347</v>
      </c>
      <c r="Q42" s="38"/>
      <c r="R42" s="38" t="s">
        <v>871</v>
      </c>
      <c r="S42" s="38"/>
      <c r="T42" s="38"/>
      <c r="U42" s="58"/>
      <c r="V42" s="1"/>
      <c r="W42" s="2"/>
      <c r="X42" s="893"/>
      <c r="Y42" s="1"/>
      <c r="Z42" s="1"/>
      <c r="AA42" s="1"/>
      <c r="AB42" s="1"/>
      <c r="AC42" s="1"/>
      <c r="AD42" s="1"/>
      <c r="AE42" s="1"/>
      <c r="AF42" s="1"/>
      <c r="AG42" s="1"/>
    </row>
    <row r="43" spans="1:33" s="3" customFormat="1" ht="16" customHeight="1">
      <c r="A43" s="49"/>
      <c r="B43" s="57">
        <f>DSUM('ENR#-DB'!D35:T93,"TOTAL ENROLLMENT",D41:T42)</f>
        <v>2602</v>
      </c>
      <c r="C43" s="12"/>
      <c r="D43" s="889"/>
      <c r="E43" s="889"/>
      <c r="F43" s="889"/>
      <c r="G43" s="889"/>
      <c r="H43" s="889"/>
      <c r="I43" s="889"/>
      <c r="J43" s="889"/>
      <c r="K43" s="889"/>
      <c r="L43" s="889"/>
      <c r="M43" s="889"/>
      <c r="N43" s="889"/>
      <c r="O43" s="889"/>
      <c r="P43" s="889"/>
      <c r="Q43" s="889"/>
      <c r="R43" s="889"/>
      <c r="S43" s="889"/>
      <c r="T43" s="889"/>
      <c r="U43" s="58"/>
      <c r="V43" s="1"/>
      <c r="W43" s="2"/>
      <c r="X43" s="893"/>
      <c r="Y43" s="1"/>
      <c r="Z43" s="1"/>
      <c r="AA43" s="1"/>
      <c r="AB43" s="1"/>
      <c r="AC43" s="1"/>
      <c r="AD43" s="1"/>
      <c r="AE43" s="1"/>
      <c r="AF43" s="1"/>
      <c r="AG43" s="1"/>
    </row>
    <row r="44" spans="1:33" s="3" customFormat="1" ht="16" customHeight="1">
      <c r="A44" s="49"/>
      <c r="B44" s="52"/>
      <c r="C44" s="12"/>
      <c r="D44" s="889"/>
      <c r="E44" s="889"/>
      <c r="F44" s="889"/>
      <c r="G44" s="889"/>
      <c r="H44" s="889"/>
      <c r="I44" s="889"/>
      <c r="J44" s="889"/>
      <c r="K44" s="889"/>
      <c r="L44" s="889"/>
      <c r="M44" s="889"/>
      <c r="N44" s="889"/>
      <c r="O44" s="889"/>
      <c r="P44" s="889"/>
      <c r="Q44" s="889"/>
      <c r="R44" s="889"/>
      <c r="S44" s="889"/>
      <c r="T44" s="889"/>
      <c r="U44" s="58"/>
      <c r="V44" s="1"/>
      <c r="W44" s="2"/>
      <c r="X44" s="893"/>
      <c r="Y44" s="1"/>
      <c r="Z44" s="1"/>
      <c r="AA44" s="1"/>
      <c r="AB44" s="1"/>
      <c r="AC44" s="1"/>
      <c r="AD44" s="1"/>
      <c r="AE44" s="1"/>
      <c r="AF44" s="1"/>
      <c r="AG44" s="1"/>
    </row>
    <row r="45" spans="1:33" s="3" customFormat="1" ht="16" customHeight="1">
      <c r="A45" s="49"/>
      <c r="B45" s="52"/>
      <c r="C45" s="12"/>
      <c r="D45" s="889"/>
      <c r="E45" s="889"/>
      <c r="F45" s="889"/>
      <c r="G45" s="889"/>
      <c r="H45" s="889"/>
      <c r="I45" s="889"/>
      <c r="J45" s="889"/>
      <c r="K45" s="889"/>
      <c r="L45" s="889"/>
      <c r="M45" s="889"/>
      <c r="N45" s="889"/>
      <c r="O45" s="889"/>
      <c r="P45" s="889"/>
      <c r="Q45" s="889"/>
      <c r="R45" s="889"/>
      <c r="S45" s="889"/>
      <c r="T45" s="889"/>
      <c r="U45" s="58"/>
      <c r="V45" s="1"/>
      <c r="W45" s="2"/>
      <c r="X45" s="893"/>
      <c r="Y45" s="1"/>
      <c r="Z45" s="1"/>
      <c r="AA45" s="1"/>
      <c r="AB45" s="1"/>
      <c r="AC45" s="1"/>
      <c r="AD45" s="1"/>
      <c r="AE45" s="1"/>
      <c r="AF45" s="1"/>
      <c r="AG45" s="1"/>
    </row>
    <row r="46" spans="1:33" s="3" customFormat="1" ht="16" customHeight="1">
      <c r="A46" s="49"/>
      <c r="B46" s="52"/>
      <c r="C46" s="12"/>
      <c r="D46" s="889"/>
      <c r="E46" s="889"/>
      <c r="F46" s="889"/>
      <c r="G46" s="889"/>
      <c r="H46" s="889"/>
      <c r="I46" s="889"/>
      <c r="J46" s="889"/>
      <c r="K46" s="889"/>
      <c r="L46" s="889"/>
      <c r="M46" s="889"/>
      <c r="N46" s="889"/>
      <c r="O46" s="889"/>
      <c r="P46" s="889"/>
      <c r="Q46" s="889"/>
      <c r="R46" s="889"/>
      <c r="S46" s="889"/>
      <c r="T46" s="889"/>
      <c r="U46" s="58"/>
      <c r="V46" s="1"/>
      <c r="W46" s="2"/>
      <c r="X46" s="893"/>
      <c r="Y46" s="1"/>
      <c r="Z46" s="1"/>
      <c r="AA46" s="1"/>
      <c r="AB46" s="1"/>
      <c r="AC46" s="1"/>
      <c r="AD46" s="1"/>
      <c r="AE46" s="1"/>
      <c r="AF46" s="1"/>
      <c r="AG46" s="1"/>
    </row>
    <row r="47" spans="1:33" s="3" customFormat="1" ht="16" customHeight="1">
      <c r="A47" s="49"/>
      <c r="B47" s="52"/>
      <c r="C47" s="12"/>
      <c r="D47" s="889"/>
      <c r="E47" s="889"/>
      <c r="F47" s="889"/>
      <c r="G47" s="889"/>
      <c r="H47" s="889"/>
      <c r="I47" s="889"/>
      <c r="J47" s="889"/>
      <c r="K47" s="889"/>
      <c r="L47" s="889"/>
      <c r="M47" s="889"/>
      <c r="N47" s="889"/>
      <c r="O47" s="889"/>
      <c r="P47" s="889"/>
      <c r="Q47" s="889"/>
      <c r="R47" s="889"/>
      <c r="S47" s="889"/>
      <c r="T47" s="889"/>
      <c r="U47" s="58"/>
      <c r="V47" s="1"/>
      <c r="W47" s="2"/>
      <c r="X47" s="893"/>
      <c r="Y47" s="1"/>
      <c r="Z47" s="1"/>
      <c r="AA47" s="1"/>
      <c r="AB47" s="1"/>
      <c r="AC47" s="1"/>
      <c r="AD47" s="1"/>
      <c r="AE47" s="1"/>
      <c r="AF47" s="1"/>
      <c r="AG47" s="1"/>
    </row>
    <row r="48" spans="1:33" s="3" customFormat="1" ht="16" customHeight="1">
      <c r="A48" s="49"/>
      <c r="B48" s="52"/>
      <c r="C48" s="12"/>
      <c r="D48" s="889"/>
      <c r="E48" s="889"/>
      <c r="F48" s="889"/>
      <c r="G48" s="889"/>
      <c r="H48" s="889"/>
      <c r="I48" s="889"/>
      <c r="J48" s="889"/>
      <c r="K48" s="889"/>
      <c r="L48" s="889"/>
      <c r="M48" s="889"/>
      <c r="N48" s="889"/>
      <c r="O48" s="889"/>
      <c r="P48" s="889"/>
      <c r="Q48" s="889"/>
      <c r="R48" s="889"/>
      <c r="S48" s="889"/>
      <c r="T48" s="889"/>
      <c r="U48" s="58"/>
      <c r="V48" s="1"/>
      <c r="W48" s="2"/>
      <c r="X48" s="893"/>
      <c r="Y48" s="1"/>
      <c r="Z48" s="1"/>
      <c r="AA48" s="1"/>
      <c r="AB48" s="1"/>
      <c r="AC48" s="1"/>
      <c r="AD48" s="1"/>
      <c r="AE48" s="1"/>
      <c r="AF48" s="1"/>
      <c r="AG48" s="1"/>
    </row>
    <row r="49" spans="1:33" s="3" customFormat="1" ht="16" customHeight="1">
      <c r="A49" s="29"/>
      <c r="B49" s="30"/>
      <c r="C49" s="30"/>
      <c r="D49" s="32"/>
      <c r="E49" s="32"/>
      <c r="F49" s="32"/>
      <c r="G49" s="32"/>
      <c r="H49" s="32"/>
      <c r="I49" s="32"/>
      <c r="J49" s="32"/>
      <c r="K49" s="32"/>
      <c r="L49" s="32"/>
      <c r="M49" s="32"/>
      <c r="N49" s="32"/>
      <c r="O49" s="32"/>
      <c r="P49" s="32"/>
      <c r="Q49" s="32"/>
      <c r="R49" s="32"/>
      <c r="S49" s="32"/>
      <c r="T49" s="32"/>
      <c r="U49" s="58"/>
      <c r="V49" s="1"/>
      <c r="W49" s="2"/>
      <c r="X49" s="893"/>
      <c r="Y49" s="1"/>
      <c r="Z49" s="1"/>
      <c r="AA49" s="1"/>
      <c r="AB49" s="1"/>
      <c r="AC49" s="1"/>
      <c r="AD49" s="1"/>
      <c r="AE49" s="1"/>
      <c r="AF49" s="1"/>
      <c r="AG49" s="1"/>
    </row>
    <row r="50" spans="1:33" s="3" customFormat="1" ht="16" customHeight="1" thickBot="1">
      <c r="A50" s="49"/>
      <c r="B50" s="50" t="str">
        <f>"FA2 = "&amp;'FIG3'!$W$53&amp;" "&amp;'FIG3'!$X$53</f>
        <v>FA2 = FA2L1 FA2L2</v>
      </c>
      <c r="C50" s="49"/>
      <c r="D50" s="54"/>
      <c r="E50" s="54"/>
      <c r="F50" s="54"/>
      <c r="G50" s="54"/>
      <c r="H50" s="54"/>
      <c r="I50" s="54"/>
      <c r="J50" s="54"/>
      <c r="K50" s="54"/>
      <c r="L50" s="54"/>
      <c r="M50" s="55"/>
      <c r="N50" s="54"/>
      <c r="O50" s="54"/>
      <c r="P50" s="54"/>
      <c r="Q50" s="54"/>
      <c r="R50" s="53"/>
      <c r="S50" s="887" t="str">
        <f>'ENR#-DB'!$S$34</f>
        <v>UD1</v>
      </c>
      <c r="T50" s="887" t="str">
        <f>'ENR#-DB'!$T$34</f>
        <v>UD2</v>
      </c>
      <c r="U50" s="60"/>
      <c r="V50" s="56"/>
      <c r="W50" s="2"/>
      <c r="X50" s="893"/>
      <c r="Y50" s="56"/>
      <c r="Z50" s="56"/>
      <c r="AA50" s="56"/>
      <c r="AB50" s="56"/>
      <c r="AC50" s="56"/>
      <c r="AD50" s="56"/>
      <c r="AE50" s="56"/>
      <c r="AF50" s="56"/>
      <c r="AG50" s="1"/>
    </row>
    <row r="51" spans="1:33" s="3" customFormat="1" ht="16" customHeight="1" thickTop="1" thickBot="1">
      <c r="A51" s="49"/>
      <c r="B51" s="51" t="s">
        <v>1399</v>
      </c>
      <c r="C51" s="15"/>
      <c r="D51" s="877" t="s">
        <v>1386</v>
      </c>
      <c r="E51" s="877" t="s">
        <v>1387</v>
      </c>
      <c r="F51" s="877" t="s">
        <v>1388</v>
      </c>
      <c r="G51" s="877" t="s">
        <v>1389</v>
      </c>
      <c r="H51" s="877" t="s">
        <v>1406</v>
      </c>
      <c r="I51" s="877" t="s">
        <v>1390</v>
      </c>
      <c r="J51" s="877" t="s">
        <v>1391</v>
      </c>
      <c r="K51" s="878" t="s">
        <v>1392</v>
      </c>
      <c r="L51" s="877" t="s">
        <v>1188</v>
      </c>
      <c r="M51" s="877" t="s">
        <v>1437</v>
      </c>
      <c r="N51" s="877" t="s">
        <v>1348</v>
      </c>
      <c r="O51" s="877" t="s">
        <v>1393</v>
      </c>
      <c r="P51" s="877" t="s">
        <v>1342</v>
      </c>
      <c r="Q51" s="112" t="s">
        <v>1224</v>
      </c>
      <c r="R51" s="983" t="s">
        <v>846</v>
      </c>
      <c r="S51" s="875" t="s">
        <v>935</v>
      </c>
      <c r="T51" s="875" t="s">
        <v>936</v>
      </c>
      <c r="U51" s="59"/>
      <c r="V51" s="2"/>
      <c r="W51" s="2"/>
      <c r="X51" s="893"/>
      <c r="Y51" s="2"/>
      <c r="Z51" s="2"/>
      <c r="AA51" s="2"/>
      <c r="AB51" s="2"/>
      <c r="AC51" s="2"/>
      <c r="AD51" s="2"/>
      <c r="AE51" s="2"/>
      <c r="AF51" s="2"/>
      <c r="AG51" s="1"/>
    </row>
    <row r="52" spans="1:33" s="3" customFormat="1" ht="16" customHeight="1" thickTop="1">
      <c r="A52" s="49"/>
      <c r="B52" s="50" t="s">
        <v>1346</v>
      </c>
      <c r="C52" s="12"/>
      <c r="D52" s="47"/>
      <c r="E52" s="47"/>
      <c r="F52" s="47"/>
      <c r="G52" s="47"/>
      <c r="H52" s="47"/>
      <c r="I52" s="47"/>
      <c r="J52" s="47"/>
      <c r="K52" s="47"/>
      <c r="L52" s="47" t="s">
        <v>1429</v>
      </c>
      <c r="M52" s="47"/>
      <c r="N52" s="47" t="str">
        <f>$F$8</f>
        <v>FY2010-11</v>
      </c>
      <c r="O52" s="47" t="s">
        <v>1353</v>
      </c>
      <c r="P52" s="47" t="s">
        <v>1338</v>
      </c>
      <c r="Q52" s="47"/>
      <c r="R52" s="47"/>
      <c r="S52" s="47"/>
      <c r="T52" s="47"/>
      <c r="U52" s="58"/>
      <c r="V52" s="1"/>
      <c r="W52" s="2"/>
      <c r="X52" s="893"/>
      <c r="Y52" s="1"/>
      <c r="Z52" s="1"/>
      <c r="AA52" s="1"/>
      <c r="AB52" s="1"/>
      <c r="AC52" s="1"/>
      <c r="AD52" s="1"/>
      <c r="AE52" s="1"/>
      <c r="AF52" s="1"/>
      <c r="AG52" s="1"/>
    </row>
    <row r="53" spans="1:33" s="3" customFormat="1" ht="16" customHeight="1">
      <c r="A53" s="49"/>
      <c r="B53" s="57">
        <f>DSUM('ENR#-DB'!D35:T93,"TOTAL ENROLLMENT",D51:T53)</f>
        <v>0</v>
      </c>
      <c r="C53" s="12"/>
      <c r="D53" s="47"/>
      <c r="E53" s="47"/>
      <c r="F53" s="47"/>
      <c r="G53" s="47"/>
      <c r="H53" s="47"/>
      <c r="I53" s="47"/>
      <c r="J53" s="47"/>
      <c r="K53" s="47"/>
      <c r="L53" s="47" t="s">
        <v>1429</v>
      </c>
      <c r="M53" s="47"/>
      <c r="N53" s="47" t="str">
        <f>$F$8</f>
        <v>FY2010-11</v>
      </c>
      <c r="O53" s="47" t="s">
        <v>1353</v>
      </c>
      <c r="P53" s="47" t="s">
        <v>1347</v>
      </c>
      <c r="Q53" s="47"/>
      <c r="R53" s="47" t="s">
        <v>1303</v>
      </c>
      <c r="S53" s="47"/>
      <c r="T53" s="47"/>
      <c r="U53" s="58"/>
      <c r="V53" s="1"/>
      <c r="W53" s="2"/>
      <c r="X53" s="893"/>
      <c r="Y53" s="1"/>
      <c r="Z53" s="1"/>
      <c r="AA53" s="1"/>
      <c r="AB53" s="1"/>
      <c r="AC53" s="1"/>
      <c r="AD53" s="1"/>
      <c r="AE53" s="1"/>
      <c r="AF53" s="1"/>
      <c r="AG53" s="1"/>
    </row>
    <row r="54" spans="1:33" s="3" customFormat="1" ht="16" customHeight="1">
      <c r="A54" s="49"/>
      <c r="B54" s="52"/>
      <c r="C54" s="12"/>
      <c r="D54" s="889"/>
      <c r="E54" s="889"/>
      <c r="F54" s="889"/>
      <c r="G54" s="889"/>
      <c r="H54" s="889"/>
      <c r="I54" s="889"/>
      <c r="J54" s="889"/>
      <c r="K54" s="889"/>
      <c r="L54" s="889"/>
      <c r="M54" s="889"/>
      <c r="N54" s="889"/>
      <c r="O54" s="889"/>
      <c r="P54" s="889"/>
      <c r="Q54" s="889"/>
      <c r="R54" s="889"/>
      <c r="S54" s="889"/>
      <c r="T54" s="889"/>
      <c r="U54" s="58"/>
      <c r="V54" s="1"/>
      <c r="W54" s="2"/>
      <c r="X54" s="893"/>
      <c r="Y54" s="1"/>
      <c r="Z54" s="1"/>
      <c r="AA54" s="1"/>
      <c r="AB54" s="1"/>
      <c r="AC54" s="1"/>
      <c r="AD54" s="1"/>
      <c r="AE54" s="1"/>
      <c r="AF54" s="1"/>
      <c r="AG54" s="1"/>
    </row>
    <row r="55" spans="1:33" s="3" customFormat="1" ht="16" customHeight="1">
      <c r="A55" s="49"/>
      <c r="B55" s="52"/>
      <c r="C55" s="12"/>
      <c r="D55" s="889"/>
      <c r="E55" s="889"/>
      <c r="F55" s="889"/>
      <c r="G55" s="889"/>
      <c r="H55" s="889"/>
      <c r="I55" s="889"/>
      <c r="J55" s="889"/>
      <c r="K55" s="889"/>
      <c r="L55" s="889"/>
      <c r="M55" s="889"/>
      <c r="N55" s="889"/>
      <c r="O55" s="889"/>
      <c r="P55" s="889"/>
      <c r="Q55" s="889"/>
      <c r="R55" s="889"/>
      <c r="S55" s="889"/>
      <c r="T55" s="889"/>
      <c r="U55" s="58"/>
      <c r="V55" s="1"/>
      <c r="W55" s="2"/>
      <c r="X55" s="893"/>
      <c r="Y55" s="1"/>
      <c r="Z55" s="1"/>
      <c r="AA55" s="1"/>
      <c r="AB55" s="1"/>
      <c r="AC55" s="1"/>
      <c r="AD55" s="1"/>
      <c r="AE55" s="1"/>
      <c r="AF55" s="1"/>
      <c r="AG55" s="1"/>
    </row>
    <row r="56" spans="1:33" s="3" customFormat="1" ht="16" customHeight="1">
      <c r="A56" s="49"/>
      <c r="B56" s="52"/>
      <c r="C56" s="12"/>
      <c r="D56" s="889"/>
      <c r="E56" s="889"/>
      <c r="F56" s="889"/>
      <c r="G56" s="889"/>
      <c r="H56" s="889"/>
      <c r="I56" s="889"/>
      <c r="J56" s="889"/>
      <c r="K56" s="889"/>
      <c r="L56" s="889"/>
      <c r="M56" s="889"/>
      <c r="N56" s="889"/>
      <c r="O56" s="889"/>
      <c r="P56" s="889"/>
      <c r="Q56" s="889"/>
      <c r="R56" s="889"/>
      <c r="S56" s="889"/>
      <c r="T56" s="889"/>
      <c r="U56" s="58"/>
      <c r="V56" s="1"/>
      <c r="W56" s="2"/>
      <c r="X56" s="893"/>
      <c r="Y56" s="1"/>
      <c r="Z56" s="1"/>
      <c r="AA56" s="1"/>
      <c r="AB56" s="1"/>
      <c r="AC56" s="1"/>
      <c r="AD56" s="1"/>
      <c r="AE56" s="1"/>
      <c r="AF56" s="1"/>
      <c r="AG56" s="1"/>
    </row>
    <row r="57" spans="1:33" s="3" customFormat="1" ht="16" customHeight="1">
      <c r="A57" s="49"/>
      <c r="B57" s="52"/>
      <c r="C57" s="12"/>
      <c r="D57" s="889"/>
      <c r="E57" s="889"/>
      <c r="F57" s="889"/>
      <c r="G57" s="889"/>
      <c r="H57" s="889"/>
      <c r="I57" s="889"/>
      <c r="J57" s="889"/>
      <c r="K57" s="889"/>
      <c r="L57" s="889"/>
      <c r="M57" s="889"/>
      <c r="N57" s="889"/>
      <c r="O57" s="889"/>
      <c r="P57" s="889"/>
      <c r="Q57" s="889"/>
      <c r="R57" s="889"/>
      <c r="S57" s="889"/>
      <c r="T57" s="889"/>
      <c r="U57" s="58"/>
      <c r="V57" s="1"/>
      <c r="W57" s="2"/>
      <c r="X57" s="893"/>
      <c r="Y57" s="1"/>
      <c r="Z57" s="1"/>
      <c r="AA57" s="1"/>
      <c r="AB57" s="1"/>
      <c r="AC57" s="1"/>
      <c r="AD57" s="1"/>
      <c r="AE57" s="1"/>
      <c r="AF57" s="1"/>
      <c r="AG57" s="1"/>
    </row>
    <row r="58" spans="1:33" s="3" customFormat="1" ht="16" customHeight="1">
      <c r="A58" s="49"/>
      <c r="B58" s="52"/>
      <c r="C58" s="12"/>
      <c r="D58" s="889"/>
      <c r="E58" s="889"/>
      <c r="F58" s="889"/>
      <c r="G58" s="889"/>
      <c r="H58" s="889"/>
      <c r="I58" s="889"/>
      <c r="J58" s="889"/>
      <c r="K58" s="889"/>
      <c r="L58" s="889"/>
      <c r="M58" s="889"/>
      <c r="N58" s="889"/>
      <c r="O58" s="889"/>
      <c r="P58" s="889"/>
      <c r="Q58" s="889"/>
      <c r="R58" s="889"/>
      <c r="S58" s="889"/>
      <c r="T58" s="889"/>
      <c r="U58" s="58"/>
      <c r="V58" s="1"/>
      <c r="W58" s="2"/>
      <c r="X58" s="893"/>
      <c r="Y58" s="1"/>
      <c r="Z58" s="1"/>
      <c r="AA58" s="1"/>
      <c r="AB58" s="1"/>
      <c r="AC58" s="1"/>
      <c r="AD58" s="1"/>
      <c r="AE58" s="1"/>
      <c r="AF58" s="1"/>
      <c r="AG58" s="1"/>
    </row>
    <row r="59" spans="1:33" s="3" customFormat="1" ht="16" customHeight="1">
      <c r="A59" s="29"/>
      <c r="B59" s="30"/>
      <c r="C59" s="30"/>
      <c r="D59" s="32"/>
      <c r="E59" s="32"/>
      <c r="F59" s="32"/>
      <c r="G59" s="32"/>
      <c r="H59" s="32"/>
      <c r="I59" s="32"/>
      <c r="J59" s="32"/>
      <c r="K59" s="32"/>
      <c r="L59" s="32"/>
      <c r="M59" s="32"/>
      <c r="N59" s="32"/>
      <c r="O59" s="32"/>
      <c r="P59" s="32"/>
      <c r="Q59" s="32"/>
      <c r="R59" s="32"/>
      <c r="S59" s="32"/>
      <c r="T59" s="32"/>
      <c r="U59" s="58"/>
      <c r="V59" s="1"/>
      <c r="W59" s="2"/>
      <c r="X59" s="893"/>
      <c r="Y59" s="1"/>
      <c r="Z59" s="1"/>
      <c r="AA59" s="1"/>
      <c r="AB59" s="1"/>
      <c r="AC59" s="1"/>
      <c r="AD59" s="1"/>
      <c r="AE59" s="1"/>
      <c r="AF59" s="1"/>
      <c r="AG59" s="1"/>
    </row>
    <row r="60" spans="1:33" s="3" customFormat="1" ht="16" customHeight="1" thickBot="1">
      <c r="A60" s="49"/>
      <c r="B60" s="50" t="str">
        <f>"FA2 = "&amp;'FIG3'!$W$53&amp;" "&amp;'FIG3'!$X$53</f>
        <v>FA2 = FA2L1 FA2L2</v>
      </c>
      <c r="C60" s="49"/>
      <c r="D60" s="54"/>
      <c r="E60" s="54"/>
      <c r="F60" s="54"/>
      <c r="G60" s="54"/>
      <c r="H60" s="54"/>
      <c r="I60" s="54"/>
      <c r="J60" s="54"/>
      <c r="K60" s="54"/>
      <c r="L60" s="54"/>
      <c r="M60" s="55"/>
      <c r="N60" s="54"/>
      <c r="O60" s="54"/>
      <c r="P60" s="54"/>
      <c r="Q60" s="54"/>
      <c r="R60" s="53"/>
      <c r="S60" s="887" t="str">
        <f>'ENR#-DB'!$S$34</f>
        <v>UD1</v>
      </c>
      <c r="T60" s="887" t="str">
        <f>'ENR#-DB'!$T$34</f>
        <v>UD2</v>
      </c>
      <c r="U60" s="60"/>
      <c r="V60" s="56"/>
      <c r="W60" s="2"/>
      <c r="X60" s="893"/>
      <c r="Y60" s="56"/>
      <c r="Z60" s="56"/>
      <c r="AA60" s="56"/>
      <c r="AB60" s="56"/>
      <c r="AC60" s="56"/>
      <c r="AD60" s="56"/>
      <c r="AE60" s="56"/>
      <c r="AF60" s="56"/>
      <c r="AG60" s="1"/>
    </row>
    <row r="61" spans="1:33" s="3" customFormat="1" ht="16" customHeight="1" thickTop="1" thickBot="1">
      <c r="A61" s="49"/>
      <c r="B61" s="51" t="s">
        <v>1375</v>
      </c>
      <c r="C61" s="15"/>
      <c r="D61" s="877" t="s">
        <v>1386</v>
      </c>
      <c r="E61" s="877" t="s">
        <v>1387</v>
      </c>
      <c r="F61" s="877" t="s">
        <v>1388</v>
      </c>
      <c r="G61" s="877" t="s">
        <v>1389</v>
      </c>
      <c r="H61" s="877" t="s">
        <v>1406</v>
      </c>
      <c r="I61" s="877" t="s">
        <v>1390</v>
      </c>
      <c r="J61" s="877" t="s">
        <v>1391</v>
      </c>
      <c r="K61" s="878" t="s">
        <v>1392</v>
      </c>
      <c r="L61" s="877" t="s">
        <v>1188</v>
      </c>
      <c r="M61" s="877" t="s">
        <v>1437</v>
      </c>
      <c r="N61" s="877" t="s">
        <v>1348</v>
      </c>
      <c r="O61" s="877" t="s">
        <v>1393</v>
      </c>
      <c r="P61" s="877" t="s">
        <v>1342</v>
      </c>
      <c r="Q61" s="112" t="s">
        <v>1224</v>
      </c>
      <c r="R61" s="983" t="s">
        <v>846</v>
      </c>
      <c r="S61" s="875" t="s">
        <v>935</v>
      </c>
      <c r="T61" s="875" t="s">
        <v>936</v>
      </c>
      <c r="U61" s="59"/>
      <c r="V61" s="2"/>
      <c r="W61" s="2"/>
      <c r="X61" s="893"/>
      <c r="Y61" s="2"/>
      <c r="Z61" s="2"/>
      <c r="AA61" s="2"/>
      <c r="AB61" s="2"/>
      <c r="AC61" s="2"/>
      <c r="AD61" s="2"/>
      <c r="AE61" s="2"/>
      <c r="AF61" s="2"/>
      <c r="AG61" s="1"/>
    </row>
    <row r="62" spans="1:33" s="3" customFormat="1" ht="16" customHeight="1" thickTop="1">
      <c r="A62" s="49"/>
      <c r="B62" s="50" t="s">
        <v>1346</v>
      </c>
      <c r="C62" s="12"/>
      <c r="D62" s="47"/>
      <c r="E62" s="47"/>
      <c r="F62" s="47"/>
      <c r="G62" s="47"/>
      <c r="H62" s="47"/>
      <c r="I62" s="47"/>
      <c r="J62" s="47"/>
      <c r="K62" s="47"/>
      <c r="L62" s="47" t="s">
        <v>1429</v>
      </c>
      <c r="M62" s="47"/>
      <c r="N62" s="47" t="str">
        <f>$F$8</f>
        <v>FY2010-11</v>
      </c>
      <c r="O62" s="47" t="s">
        <v>1353</v>
      </c>
      <c r="P62" s="47" t="s">
        <v>1347</v>
      </c>
      <c r="Q62" s="47"/>
      <c r="R62" s="47" t="s">
        <v>871</v>
      </c>
      <c r="S62" s="47"/>
      <c r="T62" s="47"/>
      <c r="U62" s="58"/>
      <c r="V62" s="1"/>
      <c r="W62" s="2"/>
      <c r="X62" s="893"/>
      <c r="Y62" s="1"/>
      <c r="Z62" s="1"/>
      <c r="AA62" s="1"/>
      <c r="AB62" s="1"/>
      <c r="AC62" s="1"/>
      <c r="AD62" s="1"/>
      <c r="AE62" s="1"/>
      <c r="AF62" s="1"/>
      <c r="AG62" s="1"/>
    </row>
    <row r="63" spans="1:33" s="3" customFormat="1" ht="16" customHeight="1">
      <c r="A63" s="49"/>
      <c r="B63" s="57">
        <f>DSUM('ENR#-DB'!D35:T93,"TOTAL ENROLLMENT",D61:T62)</f>
        <v>0</v>
      </c>
      <c r="C63" s="12"/>
      <c r="D63" s="889"/>
      <c r="E63" s="889"/>
      <c r="F63" s="889"/>
      <c r="G63" s="889"/>
      <c r="H63" s="889"/>
      <c r="I63" s="889"/>
      <c r="J63" s="889"/>
      <c r="K63" s="889"/>
      <c r="L63" s="889"/>
      <c r="M63" s="889"/>
      <c r="N63" s="889"/>
      <c r="O63" s="889"/>
      <c r="P63" s="889"/>
      <c r="Q63" s="889"/>
      <c r="R63" s="889"/>
      <c r="S63" s="889"/>
      <c r="T63" s="889"/>
      <c r="U63" s="58"/>
      <c r="V63" s="1"/>
      <c r="W63" s="2"/>
      <c r="X63" s="893"/>
      <c r="Y63" s="1"/>
      <c r="Z63" s="1"/>
      <c r="AA63" s="1"/>
      <c r="AB63" s="1"/>
      <c r="AC63" s="1"/>
      <c r="AD63" s="1"/>
      <c r="AE63" s="1"/>
      <c r="AF63" s="1"/>
      <c r="AG63" s="1"/>
    </row>
    <row r="64" spans="1:33" s="3" customFormat="1" ht="16" customHeight="1">
      <c r="A64" s="49"/>
      <c r="B64" s="52"/>
      <c r="C64" s="12"/>
      <c r="D64" s="889"/>
      <c r="E64" s="889"/>
      <c r="F64" s="889"/>
      <c r="G64" s="889"/>
      <c r="H64" s="889"/>
      <c r="I64" s="889"/>
      <c r="J64" s="889"/>
      <c r="K64" s="889"/>
      <c r="L64" s="889"/>
      <c r="M64" s="889"/>
      <c r="N64" s="889"/>
      <c r="O64" s="889"/>
      <c r="P64" s="889"/>
      <c r="Q64" s="889"/>
      <c r="R64" s="889"/>
      <c r="S64" s="889"/>
      <c r="T64" s="889"/>
      <c r="U64" s="58"/>
      <c r="V64" s="1"/>
      <c r="W64" s="2"/>
      <c r="X64" s="893"/>
      <c r="Y64" s="1"/>
      <c r="Z64" s="1"/>
      <c r="AA64" s="1"/>
      <c r="AB64" s="1"/>
      <c r="AC64" s="1"/>
      <c r="AD64" s="1"/>
      <c r="AE64" s="1"/>
      <c r="AF64" s="1"/>
      <c r="AG64" s="1"/>
    </row>
    <row r="65" spans="1:33" s="3" customFormat="1" ht="16" customHeight="1">
      <c r="A65" s="49"/>
      <c r="B65" s="52"/>
      <c r="C65" s="12"/>
      <c r="D65" s="889"/>
      <c r="E65" s="889"/>
      <c r="F65" s="889"/>
      <c r="G65" s="889"/>
      <c r="H65" s="889"/>
      <c r="I65" s="889"/>
      <c r="J65" s="889"/>
      <c r="K65" s="889"/>
      <c r="L65" s="889"/>
      <c r="M65" s="889"/>
      <c r="N65" s="889"/>
      <c r="O65" s="889"/>
      <c r="P65" s="889"/>
      <c r="Q65" s="889"/>
      <c r="R65" s="889"/>
      <c r="S65" s="889"/>
      <c r="T65" s="889"/>
      <c r="U65" s="58"/>
      <c r="V65" s="1"/>
      <c r="W65" s="2"/>
      <c r="X65" s="893"/>
      <c r="Y65" s="1"/>
      <c r="Z65" s="1"/>
      <c r="AA65" s="1"/>
      <c r="AB65" s="1"/>
      <c r="AC65" s="1"/>
      <c r="AD65" s="1"/>
      <c r="AE65" s="1"/>
      <c r="AF65" s="1"/>
      <c r="AG65" s="1"/>
    </row>
    <row r="66" spans="1:33" s="3" customFormat="1" ht="16" customHeight="1">
      <c r="A66" s="49"/>
      <c r="B66" s="52"/>
      <c r="C66" s="12"/>
      <c r="D66" s="889"/>
      <c r="E66" s="889"/>
      <c r="F66" s="889"/>
      <c r="G66" s="889"/>
      <c r="H66" s="889"/>
      <c r="I66" s="889"/>
      <c r="J66" s="889"/>
      <c r="K66" s="889"/>
      <c r="L66" s="889"/>
      <c r="M66" s="889"/>
      <c r="N66" s="889"/>
      <c r="O66" s="889"/>
      <c r="P66" s="889"/>
      <c r="Q66" s="889"/>
      <c r="R66" s="889"/>
      <c r="S66" s="889"/>
      <c r="T66" s="889"/>
      <c r="U66" s="58"/>
      <c r="V66" s="1"/>
      <c r="W66" s="2"/>
      <c r="X66" s="893"/>
      <c r="Y66" s="1"/>
      <c r="Z66" s="1"/>
      <c r="AA66" s="1"/>
      <c r="AB66" s="1"/>
      <c r="AC66" s="1"/>
      <c r="AD66" s="1"/>
      <c r="AE66" s="1"/>
      <c r="AF66" s="1"/>
      <c r="AG66" s="1"/>
    </row>
    <row r="67" spans="1:33" s="3" customFormat="1" ht="16" customHeight="1">
      <c r="A67" s="49"/>
      <c r="B67" s="52"/>
      <c r="C67" s="12"/>
      <c r="D67" s="889"/>
      <c r="E67" s="889"/>
      <c r="F67" s="889"/>
      <c r="G67" s="889"/>
      <c r="H67" s="889"/>
      <c r="I67" s="889"/>
      <c r="J67" s="889"/>
      <c r="K67" s="889"/>
      <c r="L67" s="889"/>
      <c r="M67" s="889"/>
      <c r="N67" s="889"/>
      <c r="O67" s="889"/>
      <c r="P67" s="889"/>
      <c r="Q67" s="889"/>
      <c r="R67" s="889"/>
      <c r="S67" s="889"/>
      <c r="T67" s="889"/>
      <c r="U67" s="58"/>
      <c r="V67" s="1"/>
      <c r="W67" s="2"/>
      <c r="X67" s="893"/>
      <c r="Y67" s="1"/>
      <c r="Z67" s="1"/>
      <c r="AA67" s="1"/>
      <c r="AB67" s="1"/>
      <c r="AC67" s="1"/>
      <c r="AD67" s="1"/>
      <c r="AE67" s="1"/>
      <c r="AF67" s="1"/>
      <c r="AG67" s="1"/>
    </row>
    <row r="68" spans="1:33" s="3" customFormat="1" ht="16" customHeight="1">
      <c r="A68" s="49"/>
      <c r="B68" s="52"/>
      <c r="C68" s="12"/>
      <c r="D68" s="889"/>
      <c r="E68" s="889"/>
      <c r="F68" s="889"/>
      <c r="G68" s="889"/>
      <c r="H68" s="889"/>
      <c r="I68" s="889"/>
      <c r="J68" s="889"/>
      <c r="K68" s="889"/>
      <c r="L68" s="889"/>
      <c r="M68" s="889"/>
      <c r="N68" s="889"/>
      <c r="O68" s="889"/>
      <c r="P68" s="889"/>
      <c r="Q68" s="889"/>
      <c r="R68" s="889"/>
      <c r="S68" s="889"/>
      <c r="T68" s="889"/>
      <c r="U68" s="58"/>
      <c r="V68" s="1"/>
      <c r="W68" s="2"/>
      <c r="X68" s="893"/>
      <c r="Y68" s="1"/>
      <c r="Z68" s="1"/>
      <c r="AA68" s="1"/>
      <c r="AB68" s="1"/>
      <c r="AC68" s="1"/>
      <c r="AD68" s="1"/>
      <c r="AE68" s="1"/>
      <c r="AF68" s="1"/>
      <c r="AG68" s="1"/>
    </row>
    <row r="69" spans="1:33" s="3" customFormat="1" ht="16" customHeight="1">
      <c r="A69" s="21"/>
      <c r="B69" s="22"/>
      <c r="C69" s="22"/>
      <c r="D69" s="24"/>
      <c r="E69" s="24"/>
      <c r="F69" s="24"/>
      <c r="G69" s="24"/>
      <c r="H69" s="24"/>
      <c r="I69" s="24"/>
      <c r="J69" s="24"/>
      <c r="K69" s="24"/>
      <c r="L69" s="24"/>
      <c r="M69" s="24"/>
      <c r="N69" s="24"/>
      <c r="O69" s="24"/>
      <c r="P69" s="24"/>
      <c r="Q69" s="24"/>
      <c r="R69" s="24"/>
      <c r="S69" s="24"/>
      <c r="T69" s="24"/>
      <c r="U69" s="58"/>
      <c r="V69" s="1"/>
      <c r="W69" s="2"/>
      <c r="X69" s="893"/>
      <c r="Y69" s="1"/>
      <c r="Z69" s="1"/>
      <c r="AA69" s="1"/>
      <c r="AB69" s="1"/>
      <c r="AC69" s="1"/>
      <c r="AD69" s="1"/>
      <c r="AE69" s="1"/>
      <c r="AF69" s="1"/>
      <c r="AG69" s="1"/>
    </row>
    <row r="70" spans="1:33" s="3" customFormat="1" ht="16" customHeight="1" thickBot="1">
      <c r="A70" s="49"/>
      <c r="B70" s="50" t="str">
        <f>"FA3 = "&amp;'FIG3'!$W$54&amp;" "&amp;'FIG3'!$X$54</f>
        <v>FA3 = FA3L1 FA3L2</v>
      </c>
      <c r="C70" s="49"/>
      <c r="D70" s="54"/>
      <c r="E70" s="54"/>
      <c r="F70" s="54"/>
      <c r="G70" s="54"/>
      <c r="H70" s="54"/>
      <c r="I70" s="54"/>
      <c r="J70" s="54"/>
      <c r="K70" s="54"/>
      <c r="L70" s="54"/>
      <c r="M70" s="55"/>
      <c r="N70" s="54"/>
      <c r="O70" s="54"/>
      <c r="P70" s="54"/>
      <c r="Q70" s="54"/>
      <c r="R70" s="53"/>
      <c r="S70" s="887" t="str">
        <f>'ENR#-DB'!$S$34</f>
        <v>UD1</v>
      </c>
      <c r="T70" s="887" t="str">
        <f>'ENR#-DB'!$T$34</f>
        <v>UD2</v>
      </c>
      <c r="U70" s="60"/>
      <c r="V70" s="56"/>
      <c r="W70" s="2"/>
      <c r="X70" s="893"/>
      <c r="Y70" s="56"/>
      <c r="Z70" s="56"/>
      <c r="AA70" s="56"/>
      <c r="AB70" s="56"/>
      <c r="AC70" s="56"/>
      <c r="AD70" s="56"/>
      <c r="AE70" s="56"/>
      <c r="AF70" s="56"/>
      <c r="AG70" s="1"/>
    </row>
    <row r="71" spans="1:33" s="3" customFormat="1" ht="16" customHeight="1" thickTop="1" thickBot="1">
      <c r="A71" s="49"/>
      <c r="B71" s="51" t="s">
        <v>1399</v>
      </c>
      <c r="C71" s="15"/>
      <c r="D71" s="877" t="s">
        <v>1386</v>
      </c>
      <c r="E71" s="877" t="s">
        <v>1387</v>
      </c>
      <c r="F71" s="877" t="s">
        <v>1388</v>
      </c>
      <c r="G71" s="877" t="s">
        <v>1389</v>
      </c>
      <c r="H71" s="877" t="s">
        <v>1406</v>
      </c>
      <c r="I71" s="877" t="s">
        <v>1390</v>
      </c>
      <c r="J71" s="877" t="s">
        <v>1391</v>
      </c>
      <c r="K71" s="878" t="s">
        <v>1392</v>
      </c>
      <c r="L71" s="877" t="s">
        <v>1188</v>
      </c>
      <c r="M71" s="877" t="s">
        <v>1437</v>
      </c>
      <c r="N71" s="877" t="s">
        <v>1348</v>
      </c>
      <c r="O71" s="877" t="s">
        <v>1393</v>
      </c>
      <c r="P71" s="877" t="s">
        <v>1342</v>
      </c>
      <c r="Q71" s="112" t="s">
        <v>1224</v>
      </c>
      <c r="R71" s="983" t="s">
        <v>846</v>
      </c>
      <c r="S71" s="875" t="s">
        <v>935</v>
      </c>
      <c r="T71" s="875" t="s">
        <v>936</v>
      </c>
      <c r="U71" s="59"/>
      <c r="V71" s="2"/>
      <c r="W71" s="2"/>
      <c r="X71" s="893"/>
      <c r="Y71" s="2"/>
      <c r="Z71" s="2"/>
      <c r="AA71" s="2"/>
      <c r="AB71" s="2"/>
      <c r="AC71" s="2"/>
      <c r="AD71" s="2"/>
      <c r="AE71" s="2"/>
      <c r="AF71" s="2"/>
      <c r="AG71" s="1"/>
    </row>
    <row r="72" spans="1:33" s="3" customFormat="1" ht="16" customHeight="1" thickTop="1">
      <c r="A72" s="49"/>
      <c r="B72" s="50" t="s">
        <v>1346</v>
      </c>
      <c r="C72" s="12"/>
      <c r="D72" s="39"/>
      <c r="E72" s="39"/>
      <c r="F72" s="39"/>
      <c r="G72" s="39"/>
      <c r="H72" s="39"/>
      <c r="I72" s="39"/>
      <c r="J72" s="39"/>
      <c r="K72" s="39"/>
      <c r="L72" s="39" t="s">
        <v>1429</v>
      </c>
      <c r="M72" s="39"/>
      <c r="N72" s="39" t="str">
        <f>$F$8</f>
        <v>FY2010-11</v>
      </c>
      <c r="O72" s="39" t="s">
        <v>1354</v>
      </c>
      <c r="P72" s="39" t="s">
        <v>1338</v>
      </c>
      <c r="Q72" s="39"/>
      <c r="R72" s="39"/>
      <c r="S72" s="39"/>
      <c r="T72" s="39"/>
      <c r="U72" s="58"/>
      <c r="V72" s="1"/>
      <c r="W72" s="2"/>
      <c r="X72" s="893"/>
      <c r="Y72" s="1"/>
      <c r="Z72" s="1"/>
      <c r="AA72" s="1"/>
      <c r="AB72" s="1"/>
      <c r="AC72" s="1"/>
      <c r="AD72" s="1"/>
      <c r="AE72" s="1"/>
      <c r="AF72" s="1"/>
      <c r="AG72" s="1"/>
    </row>
    <row r="73" spans="1:33" s="3" customFormat="1" ht="16" customHeight="1">
      <c r="A73" s="49"/>
      <c r="B73" s="57">
        <f>DSUM('ENR#-DB'!D35:T93,"TOTAL ENROLLMENT",D71:T73)</f>
        <v>0</v>
      </c>
      <c r="C73" s="12"/>
      <c r="D73" s="39"/>
      <c r="E73" s="39"/>
      <c r="F73" s="39"/>
      <c r="G73" s="39"/>
      <c r="H73" s="39"/>
      <c r="I73" s="39"/>
      <c r="J73" s="39"/>
      <c r="K73" s="39"/>
      <c r="L73" s="39" t="s">
        <v>1429</v>
      </c>
      <c r="M73" s="39"/>
      <c r="N73" s="39" t="str">
        <f>$F$8</f>
        <v>FY2010-11</v>
      </c>
      <c r="O73" s="39" t="s">
        <v>1354</v>
      </c>
      <c r="P73" s="39" t="s">
        <v>1347</v>
      </c>
      <c r="Q73" s="39"/>
      <c r="R73" s="39" t="s">
        <v>1303</v>
      </c>
      <c r="S73" s="39"/>
      <c r="T73" s="39"/>
      <c r="U73" s="58"/>
      <c r="V73" s="1"/>
      <c r="W73" s="2"/>
      <c r="X73" s="893"/>
      <c r="Y73" s="1"/>
      <c r="Z73" s="1"/>
      <c r="AA73" s="1"/>
      <c r="AB73" s="1"/>
      <c r="AC73" s="1"/>
      <c r="AD73" s="1"/>
      <c r="AE73" s="1"/>
      <c r="AF73" s="1"/>
      <c r="AG73" s="1"/>
    </row>
    <row r="74" spans="1:33" s="3" customFormat="1" ht="16" customHeight="1">
      <c r="A74" s="49"/>
      <c r="B74" s="52"/>
      <c r="C74" s="12"/>
      <c r="D74" s="889"/>
      <c r="E74" s="889"/>
      <c r="F74" s="889"/>
      <c r="G74" s="889"/>
      <c r="H74" s="889"/>
      <c r="I74" s="889"/>
      <c r="J74" s="889"/>
      <c r="K74" s="889"/>
      <c r="L74" s="889"/>
      <c r="M74" s="889"/>
      <c r="N74" s="889"/>
      <c r="O74" s="889"/>
      <c r="P74" s="889"/>
      <c r="Q74" s="889"/>
      <c r="R74" s="889"/>
      <c r="S74" s="889"/>
      <c r="T74" s="889"/>
      <c r="U74" s="58"/>
      <c r="V74" s="1"/>
      <c r="W74" s="2"/>
      <c r="X74" s="893"/>
      <c r="Y74" s="1"/>
      <c r="Z74" s="1"/>
      <c r="AA74" s="1"/>
      <c r="AB74" s="1"/>
      <c r="AC74" s="1"/>
      <c r="AD74" s="1"/>
      <c r="AE74" s="1"/>
      <c r="AF74" s="1"/>
      <c r="AG74" s="1"/>
    </row>
    <row r="75" spans="1:33" s="3" customFormat="1" ht="16" customHeight="1">
      <c r="A75" s="49"/>
      <c r="B75" s="52"/>
      <c r="C75" s="12"/>
      <c r="D75" s="889"/>
      <c r="E75" s="889"/>
      <c r="F75" s="889"/>
      <c r="G75" s="889"/>
      <c r="H75" s="889"/>
      <c r="I75" s="889"/>
      <c r="J75" s="889"/>
      <c r="K75" s="889"/>
      <c r="L75" s="889"/>
      <c r="M75" s="889"/>
      <c r="N75" s="889"/>
      <c r="O75" s="889"/>
      <c r="P75" s="889"/>
      <c r="Q75" s="889"/>
      <c r="R75" s="889"/>
      <c r="S75" s="889"/>
      <c r="T75" s="889"/>
      <c r="U75" s="58"/>
      <c r="V75" s="1"/>
      <c r="W75" s="2"/>
      <c r="X75" s="893"/>
      <c r="Y75" s="1"/>
      <c r="Z75" s="1"/>
      <c r="AA75" s="1"/>
      <c r="AB75" s="1"/>
      <c r="AC75" s="1"/>
      <c r="AD75" s="1"/>
      <c r="AE75" s="1"/>
      <c r="AF75" s="1"/>
      <c r="AG75" s="1"/>
    </row>
    <row r="76" spans="1:33" s="3" customFormat="1" ht="16" customHeight="1">
      <c r="A76" s="49"/>
      <c r="B76" s="52"/>
      <c r="C76" s="12"/>
      <c r="D76" s="889"/>
      <c r="E76" s="889"/>
      <c r="F76" s="889"/>
      <c r="G76" s="889"/>
      <c r="H76" s="889"/>
      <c r="I76" s="889"/>
      <c r="J76" s="889"/>
      <c r="K76" s="889"/>
      <c r="L76" s="889"/>
      <c r="M76" s="889"/>
      <c r="N76" s="889"/>
      <c r="O76" s="889"/>
      <c r="P76" s="889"/>
      <c r="Q76" s="889"/>
      <c r="R76" s="889"/>
      <c r="S76" s="889"/>
      <c r="T76" s="889"/>
      <c r="U76" s="58"/>
      <c r="V76" s="1"/>
      <c r="W76" s="2"/>
      <c r="X76" s="893"/>
      <c r="Y76" s="1"/>
      <c r="Z76" s="1"/>
      <c r="AA76" s="1"/>
      <c r="AB76" s="1"/>
      <c r="AC76" s="1"/>
      <c r="AD76" s="1"/>
      <c r="AE76" s="1"/>
      <c r="AF76" s="1"/>
      <c r="AG76" s="1"/>
    </row>
    <row r="77" spans="1:33" s="3" customFormat="1" ht="16" customHeight="1">
      <c r="A77" s="49"/>
      <c r="B77" s="52"/>
      <c r="C77" s="12"/>
      <c r="D77" s="889"/>
      <c r="E77" s="889"/>
      <c r="F77" s="889"/>
      <c r="G77" s="889"/>
      <c r="H77" s="889"/>
      <c r="I77" s="889"/>
      <c r="J77" s="889"/>
      <c r="K77" s="889"/>
      <c r="L77" s="889"/>
      <c r="M77" s="889"/>
      <c r="N77" s="889"/>
      <c r="O77" s="889"/>
      <c r="P77" s="889"/>
      <c r="Q77" s="889"/>
      <c r="R77" s="889"/>
      <c r="S77" s="889"/>
      <c r="T77" s="889"/>
      <c r="U77" s="58"/>
      <c r="V77" s="1"/>
      <c r="W77" s="2"/>
      <c r="X77" s="893"/>
      <c r="Y77" s="1"/>
      <c r="Z77" s="1"/>
      <c r="AA77" s="1"/>
      <c r="AB77" s="1"/>
      <c r="AC77" s="1"/>
      <c r="AD77" s="1"/>
      <c r="AE77" s="1"/>
      <c r="AF77" s="1"/>
      <c r="AG77" s="1"/>
    </row>
    <row r="78" spans="1:33" s="3" customFormat="1" ht="16" customHeight="1">
      <c r="A78" s="49"/>
      <c r="B78" s="52"/>
      <c r="C78" s="12"/>
      <c r="D78" s="889"/>
      <c r="E78" s="889"/>
      <c r="F78" s="889"/>
      <c r="G78" s="889"/>
      <c r="H78" s="889"/>
      <c r="I78" s="889"/>
      <c r="J78" s="889"/>
      <c r="K78" s="889"/>
      <c r="L78" s="889"/>
      <c r="M78" s="889"/>
      <c r="N78" s="889"/>
      <c r="O78" s="889"/>
      <c r="P78" s="889"/>
      <c r="Q78" s="889"/>
      <c r="R78" s="889"/>
      <c r="S78" s="889"/>
      <c r="T78" s="889"/>
      <c r="U78" s="58"/>
      <c r="V78" s="1"/>
      <c r="W78" s="2"/>
      <c r="X78" s="893"/>
      <c r="Y78" s="1"/>
      <c r="Z78" s="1"/>
      <c r="AA78" s="1"/>
      <c r="AB78" s="1"/>
      <c r="AC78" s="1"/>
      <c r="AD78" s="1"/>
      <c r="AE78" s="1"/>
      <c r="AF78" s="1"/>
      <c r="AG78" s="1"/>
    </row>
    <row r="79" spans="1:33" s="3" customFormat="1" ht="16" customHeight="1">
      <c r="A79" s="21"/>
      <c r="B79" s="22"/>
      <c r="C79" s="22"/>
      <c r="D79" s="24"/>
      <c r="E79" s="24"/>
      <c r="F79" s="24"/>
      <c r="G79" s="24"/>
      <c r="H79" s="24"/>
      <c r="I79" s="24"/>
      <c r="J79" s="24"/>
      <c r="K79" s="24"/>
      <c r="L79" s="24"/>
      <c r="M79" s="24"/>
      <c r="N79" s="24"/>
      <c r="O79" s="24"/>
      <c r="P79" s="24"/>
      <c r="Q79" s="24"/>
      <c r="R79" s="24"/>
      <c r="S79" s="24"/>
      <c r="T79" s="24"/>
      <c r="U79" s="58"/>
      <c r="V79" s="1"/>
      <c r="W79" s="2"/>
      <c r="X79" s="893"/>
      <c r="Y79" s="1"/>
      <c r="Z79" s="1"/>
      <c r="AA79" s="1"/>
      <c r="AB79" s="1"/>
      <c r="AC79" s="1"/>
      <c r="AD79" s="1"/>
      <c r="AE79" s="1"/>
      <c r="AF79" s="1"/>
      <c r="AG79" s="1"/>
    </row>
    <row r="80" spans="1:33" s="3" customFormat="1" ht="16" customHeight="1" thickBot="1">
      <c r="A80" s="49"/>
      <c r="B80" s="50" t="str">
        <f>"FA3 = "&amp;'FIG3'!$W$54&amp;" "&amp;'FIG3'!$X$54</f>
        <v>FA3 = FA3L1 FA3L2</v>
      </c>
      <c r="C80" s="49"/>
      <c r="D80" s="54"/>
      <c r="E80" s="54"/>
      <c r="F80" s="54"/>
      <c r="G80" s="54"/>
      <c r="H80" s="54"/>
      <c r="I80" s="54"/>
      <c r="J80" s="54"/>
      <c r="K80" s="54"/>
      <c r="L80" s="54"/>
      <c r="M80" s="55"/>
      <c r="N80" s="54"/>
      <c r="O80" s="54"/>
      <c r="P80" s="54"/>
      <c r="Q80" s="54"/>
      <c r="R80" s="53"/>
      <c r="S80" s="887" t="str">
        <f>'ENR#-DB'!$S$34</f>
        <v>UD1</v>
      </c>
      <c r="T80" s="887" t="str">
        <f>'ENR#-DB'!$T$34</f>
        <v>UD2</v>
      </c>
      <c r="U80" s="60"/>
      <c r="V80" s="56"/>
      <c r="W80" s="2"/>
      <c r="X80" s="893"/>
      <c r="Y80" s="56"/>
      <c r="Z80" s="56"/>
      <c r="AA80" s="56"/>
      <c r="AB80" s="56"/>
      <c r="AC80" s="56"/>
      <c r="AD80" s="56"/>
      <c r="AE80" s="56"/>
      <c r="AF80" s="56"/>
      <c r="AG80" s="1"/>
    </row>
    <row r="81" spans="1:33" s="3" customFormat="1" ht="16" customHeight="1" thickTop="1" thickBot="1">
      <c r="A81" s="49"/>
      <c r="B81" s="51" t="s">
        <v>1375</v>
      </c>
      <c r="C81" s="15"/>
      <c r="D81" s="877" t="s">
        <v>1386</v>
      </c>
      <c r="E81" s="877" t="s">
        <v>1387</v>
      </c>
      <c r="F81" s="877" t="s">
        <v>1388</v>
      </c>
      <c r="G81" s="877" t="s">
        <v>1389</v>
      </c>
      <c r="H81" s="877" t="s">
        <v>1406</v>
      </c>
      <c r="I81" s="877" t="s">
        <v>1390</v>
      </c>
      <c r="J81" s="877" t="s">
        <v>1391</v>
      </c>
      <c r="K81" s="878" t="s">
        <v>1392</v>
      </c>
      <c r="L81" s="877" t="s">
        <v>1188</v>
      </c>
      <c r="M81" s="877" t="s">
        <v>1437</v>
      </c>
      <c r="N81" s="877" t="s">
        <v>1348</v>
      </c>
      <c r="O81" s="877" t="s">
        <v>1393</v>
      </c>
      <c r="P81" s="877" t="s">
        <v>1342</v>
      </c>
      <c r="Q81" s="112" t="s">
        <v>1224</v>
      </c>
      <c r="R81" s="983" t="s">
        <v>846</v>
      </c>
      <c r="S81" s="875" t="s">
        <v>935</v>
      </c>
      <c r="T81" s="875" t="s">
        <v>936</v>
      </c>
      <c r="U81" s="59"/>
      <c r="V81" s="2"/>
      <c r="W81" s="2"/>
      <c r="X81" s="893"/>
      <c r="Y81" s="2"/>
      <c r="Z81" s="2"/>
      <c r="AA81" s="2"/>
      <c r="AB81" s="2"/>
      <c r="AC81" s="2"/>
      <c r="AD81" s="2"/>
      <c r="AE81" s="2"/>
      <c r="AF81" s="2"/>
      <c r="AG81" s="1"/>
    </row>
    <row r="82" spans="1:33" s="3" customFormat="1" ht="16" customHeight="1" thickTop="1">
      <c r="A82" s="49"/>
      <c r="B82" s="50" t="s">
        <v>1346</v>
      </c>
      <c r="C82" s="12"/>
      <c r="D82" s="39"/>
      <c r="E82" s="39"/>
      <c r="F82" s="39"/>
      <c r="G82" s="39"/>
      <c r="H82" s="39"/>
      <c r="I82" s="39"/>
      <c r="J82" s="39"/>
      <c r="K82" s="39"/>
      <c r="L82" s="39" t="s">
        <v>1429</v>
      </c>
      <c r="M82" s="39"/>
      <c r="N82" s="39" t="str">
        <f>$F$8</f>
        <v>FY2010-11</v>
      </c>
      <c r="O82" s="39" t="s">
        <v>1354</v>
      </c>
      <c r="P82" s="39" t="s">
        <v>1347</v>
      </c>
      <c r="Q82" s="39"/>
      <c r="R82" s="39" t="s">
        <v>871</v>
      </c>
      <c r="S82" s="39"/>
      <c r="T82" s="39"/>
      <c r="U82" s="58"/>
      <c r="V82" s="1"/>
      <c r="W82" s="2"/>
      <c r="X82" s="893"/>
      <c r="Y82" s="1"/>
      <c r="Z82" s="1"/>
      <c r="AA82" s="1"/>
      <c r="AB82" s="1"/>
      <c r="AC82" s="1"/>
      <c r="AD82" s="1"/>
      <c r="AE82" s="1"/>
      <c r="AF82" s="1"/>
      <c r="AG82" s="1"/>
    </row>
    <row r="83" spans="1:33" s="3" customFormat="1" ht="16" customHeight="1">
      <c r="A83" s="49"/>
      <c r="B83" s="57">
        <f>DSUM('ENR#-DB'!D35:T93,"TOTAL ENROLLMENT",D81:T82)</f>
        <v>0</v>
      </c>
      <c r="C83" s="12"/>
      <c r="D83" s="889"/>
      <c r="E83" s="889"/>
      <c r="F83" s="889"/>
      <c r="G83" s="889"/>
      <c r="H83" s="889"/>
      <c r="I83" s="889"/>
      <c r="J83" s="889"/>
      <c r="K83" s="889"/>
      <c r="L83" s="889"/>
      <c r="M83" s="889"/>
      <c r="N83" s="889"/>
      <c r="O83" s="889"/>
      <c r="P83" s="889"/>
      <c r="Q83" s="889"/>
      <c r="R83" s="889"/>
      <c r="S83" s="889"/>
      <c r="T83" s="889"/>
      <c r="U83" s="58"/>
      <c r="V83" s="1"/>
      <c r="W83" s="2"/>
      <c r="X83" s="893"/>
      <c r="Y83" s="1"/>
      <c r="Z83" s="1"/>
      <c r="AA83" s="1"/>
      <c r="AB83" s="1"/>
      <c r="AC83" s="1"/>
      <c r="AD83" s="1"/>
      <c r="AE83" s="1"/>
      <c r="AF83" s="1"/>
      <c r="AG83" s="1"/>
    </row>
    <row r="84" spans="1:33" s="3" customFormat="1" ht="16" customHeight="1">
      <c r="A84" s="49"/>
      <c r="B84" s="52"/>
      <c r="C84" s="12"/>
      <c r="D84" s="889"/>
      <c r="E84" s="889"/>
      <c r="F84" s="889"/>
      <c r="G84" s="889"/>
      <c r="H84" s="889"/>
      <c r="I84" s="889"/>
      <c r="J84" s="889"/>
      <c r="K84" s="889"/>
      <c r="L84" s="889"/>
      <c r="M84" s="889"/>
      <c r="N84" s="889"/>
      <c r="O84" s="889"/>
      <c r="P84" s="889"/>
      <c r="Q84" s="889"/>
      <c r="R84" s="889"/>
      <c r="S84" s="889"/>
      <c r="T84" s="889"/>
      <c r="U84" s="58"/>
      <c r="V84" s="1"/>
      <c r="W84" s="2"/>
      <c r="X84" s="893"/>
      <c r="Y84" s="1"/>
      <c r="Z84" s="1"/>
      <c r="AA84" s="1"/>
      <c r="AB84" s="1"/>
      <c r="AC84" s="1"/>
      <c r="AD84" s="1"/>
      <c r="AE84" s="1"/>
      <c r="AF84" s="1"/>
      <c r="AG84" s="1"/>
    </row>
    <row r="85" spans="1:33" s="3" customFormat="1" ht="16" customHeight="1">
      <c r="A85" s="49"/>
      <c r="B85" s="52"/>
      <c r="C85" s="12"/>
      <c r="D85" s="889"/>
      <c r="E85" s="889"/>
      <c r="F85" s="889"/>
      <c r="G85" s="889"/>
      <c r="H85" s="889"/>
      <c r="I85" s="889"/>
      <c r="J85" s="889"/>
      <c r="K85" s="889"/>
      <c r="L85" s="889"/>
      <c r="M85" s="889"/>
      <c r="N85" s="889"/>
      <c r="O85" s="889"/>
      <c r="P85" s="889"/>
      <c r="Q85" s="889"/>
      <c r="R85" s="889"/>
      <c r="S85" s="889"/>
      <c r="T85" s="889"/>
      <c r="U85" s="58"/>
      <c r="V85" s="1"/>
      <c r="W85" s="2"/>
      <c r="X85" s="893"/>
      <c r="Y85" s="1"/>
      <c r="Z85" s="1"/>
      <c r="AA85" s="1"/>
      <c r="AB85" s="1"/>
      <c r="AC85" s="1"/>
      <c r="AD85" s="1"/>
      <c r="AE85" s="1"/>
      <c r="AF85" s="1"/>
      <c r="AG85" s="1"/>
    </row>
    <row r="86" spans="1:33" s="3" customFormat="1" ht="16" customHeight="1">
      <c r="A86" s="49"/>
      <c r="B86" s="52"/>
      <c r="C86" s="12"/>
      <c r="D86" s="889"/>
      <c r="E86" s="889"/>
      <c r="F86" s="889"/>
      <c r="G86" s="889"/>
      <c r="H86" s="889"/>
      <c r="I86" s="889"/>
      <c r="J86" s="889"/>
      <c r="K86" s="889"/>
      <c r="L86" s="889"/>
      <c r="M86" s="889"/>
      <c r="N86" s="889"/>
      <c r="O86" s="889"/>
      <c r="P86" s="889"/>
      <c r="Q86" s="889"/>
      <c r="R86" s="889"/>
      <c r="S86" s="889"/>
      <c r="T86" s="889"/>
      <c r="U86" s="58"/>
      <c r="V86" s="1"/>
      <c r="W86" s="2"/>
      <c r="X86" s="893"/>
      <c r="Y86" s="1"/>
      <c r="Z86" s="1"/>
      <c r="AA86" s="1"/>
      <c r="AB86" s="1"/>
      <c r="AC86" s="1"/>
      <c r="AD86" s="1"/>
      <c r="AE86" s="1"/>
      <c r="AF86" s="1"/>
      <c r="AG86" s="1"/>
    </row>
    <row r="87" spans="1:33" s="3" customFormat="1" ht="16" customHeight="1">
      <c r="A87" s="49"/>
      <c r="B87" s="52"/>
      <c r="C87" s="12"/>
      <c r="D87" s="889"/>
      <c r="E87" s="889"/>
      <c r="F87" s="889"/>
      <c r="G87" s="889"/>
      <c r="H87" s="889"/>
      <c r="I87" s="889"/>
      <c r="J87" s="889"/>
      <c r="K87" s="889"/>
      <c r="L87" s="889"/>
      <c r="M87" s="889"/>
      <c r="N87" s="889"/>
      <c r="O87" s="889"/>
      <c r="P87" s="889"/>
      <c r="Q87" s="889"/>
      <c r="R87" s="889"/>
      <c r="S87" s="889"/>
      <c r="T87" s="889"/>
      <c r="U87" s="58"/>
      <c r="V87" s="1"/>
      <c r="W87" s="2"/>
      <c r="X87" s="893"/>
      <c r="Y87" s="1"/>
      <c r="Z87" s="1"/>
      <c r="AA87" s="1"/>
      <c r="AB87" s="1"/>
      <c r="AC87" s="1"/>
      <c r="AD87" s="1"/>
      <c r="AE87" s="1"/>
      <c r="AF87" s="1"/>
      <c r="AG87" s="1"/>
    </row>
    <row r="88" spans="1:33" s="3" customFormat="1" ht="16" customHeight="1">
      <c r="A88" s="49"/>
      <c r="B88" s="52"/>
      <c r="C88" s="12"/>
      <c r="D88" s="889"/>
      <c r="E88" s="889"/>
      <c r="F88" s="889"/>
      <c r="G88" s="889"/>
      <c r="H88" s="889"/>
      <c r="I88" s="889"/>
      <c r="J88" s="889"/>
      <c r="K88" s="889"/>
      <c r="L88" s="889"/>
      <c r="M88" s="889"/>
      <c r="N88" s="889"/>
      <c r="O88" s="889"/>
      <c r="P88" s="889"/>
      <c r="Q88" s="889"/>
      <c r="R88" s="889"/>
      <c r="S88" s="889"/>
      <c r="T88" s="889"/>
      <c r="U88" s="58"/>
      <c r="V88" s="1"/>
      <c r="W88" s="2"/>
      <c r="X88" s="893"/>
      <c r="Y88" s="1"/>
      <c r="Z88" s="1"/>
      <c r="AA88" s="1"/>
      <c r="AB88" s="1"/>
      <c r="AC88" s="1"/>
      <c r="AD88" s="1"/>
      <c r="AE88" s="1"/>
      <c r="AF88" s="1"/>
      <c r="AG88" s="1"/>
    </row>
    <row r="89" spans="1:33" s="3" customFormat="1" ht="16" customHeight="1">
      <c r="A89" s="36"/>
      <c r="B89" s="33"/>
      <c r="C89" s="33"/>
      <c r="D89" s="35"/>
      <c r="E89" s="35"/>
      <c r="F89" s="35"/>
      <c r="G89" s="35"/>
      <c r="H89" s="35"/>
      <c r="I89" s="35"/>
      <c r="J89" s="35"/>
      <c r="K89" s="35"/>
      <c r="L89" s="35"/>
      <c r="M89" s="35"/>
      <c r="N89" s="35"/>
      <c r="O89" s="35"/>
      <c r="P89" s="35"/>
      <c r="Q89" s="35"/>
      <c r="R89" s="35"/>
      <c r="S89" s="35"/>
      <c r="T89" s="35"/>
      <c r="U89" s="58"/>
      <c r="V89" s="1"/>
      <c r="W89" s="2"/>
      <c r="X89" s="893"/>
      <c r="Y89" s="1"/>
      <c r="Z89" s="1"/>
      <c r="AA89" s="1"/>
      <c r="AB89" s="1"/>
      <c r="AC89" s="1"/>
      <c r="AD89" s="1"/>
      <c r="AE89" s="1"/>
      <c r="AF89" s="1"/>
      <c r="AG89" s="1"/>
    </row>
    <row r="90" spans="1:33" s="3" customFormat="1" ht="16" customHeight="1" thickBot="1">
      <c r="A90" s="49"/>
      <c r="B90" s="50" t="str">
        <f>"FA4 = "&amp;'FIG3'!$W$55&amp;" "&amp;'FIG3'!$X$55</f>
        <v>FA4 = FA4L1 FA4L2</v>
      </c>
      <c r="C90" s="49"/>
      <c r="D90" s="54"/>
      <c r="E90" s="54"/>
      <c r="F90" s="54"/>
      <c r="G90" s="54"/>
      <c r="H90" s="54"/>
      <c r="I90" s="54"/>
      <c r="J90" s="54"/>
      <c r="K90" s="54"/>
      <c r="L90" s="54"/>
      <c r="M90" s="55"/>
      <c r="N90" s="54"/>
      <c r="O90" s="54"/>
      <c r="P90" s="54"/>
      <c r="Q90" s="54"/>
      <c r="R90" s="53"/>
      <c r="S90" s="887" t="str">
        <f>'ENR#-DB'!$S$34</f>
        <v>UD1</v>
      </c>
      <c r="T90" s="887" t="str">
        <f>'ENR#-DB'!$T$34</f>
        <v>UD2</v>
      </c>
      <c r="U90" s="60"/>
      <c r="V90" s="56"/>
      <c r="W90" s="2"/>
      <c r="X90" s="893"/>
      <c r="Y90" s="56"/>
      <c r="Z90" s="56"/>
      <c r="AA90" s="56"/>
      <c r="AB90" s="56"/>
      <c r="AC90" s="56"/>
      <c r="AD90" s="56"/>
      <c r="AE90" s="56"/>
      <c r="AF90" s="56"/>
      <c r="AG90" s="1"/>
    </row>
    <row r="91" spans="1:33" s="3" customFormat="1" ht="16" customHeight="1" thickTop="1" thickBot="1">
      <c r="A91" s="49"/>
      <c r="B91" s="51" t="s">
        <v>1399</v>
      </c>
      <c r="C91" s="15"/>
      <c r="D91" s="877" t="s">
        <v>1386</v>
      </c>
      <c r="E91" s="877" t="s">
        <v>1387</v>
      </c>
      <c r="F91" s="877" t="s">
        <v>1388</v>
      </c>
      <c r="G91" s="877" t="s">
        <v>1389</v>
      </c>
      <c r="H91" s="877" t="s">
        <v>1406</v>
      </c>
      <c r="I91" s="877" t="s">
        <v>1390</v>
      </c>
      <c r="J91" s="877" t="s">
        <v>1391</v>
      </c>
      <c r="K91" s="878" t="s">
        <v>1392</v>
      </c>
      <c r="L91" s="877" t="s">
        <v>1188</v>
      </c>
      <c r="M91" s="877" t="s">
        <v>1437</v>
      </c>
      <c r="N91" s="877" t="s">
        <v>1348</v>
      </c>
      <c r="O91" s="877" t="s">
        <v>1393</v>
      </c>
      <c r="P91" s="877" t="s">
        <v>1342</v>
      </c>
      <c r="Q91" s="112" t="s">
        <v>1224</v>
      </c>
      <c r="R91" s="983" t="s">
        <v>846</v>
      </c>
      <c r="S91" s="875" t="s">
        <v>935</v>
      </c>
      <c r="T91" s="875" t="s">
        <v>936</v>
      </c>
      <c r="U91" s="59"/>
      <c r="V91" s="2"/>
      <c r="W91" s="2"/>
      <c r="X91" s="893"/>
      <c r="Y91" s="2"/>
      <c r="Z91" s="2"/>
      <c r="AA91" s="2"/>
      <c r="AB91" s="2"/>
      <c r="AC91" s="2"/>
      <c r="AD91" s="2"/>
      <c r="AE91" s="2"/>
      <c r="AF91" s="2"/>
      <c r="AG91" s="1"/>
    </row>
    <row r="92" spans="1:33" s="3" customFormat="1" ht="16" customHeight="1" thickTop="1">
      <c r="A92" s="49"/>
      <c r="B92" s="50" t="s">
        <v>1346</v>
      </c>
      <c r="C92" s="12"/>
      <c r="D92" s="40"/>
      <c r="E92" s="40"/>
      <c r="F92" s="40"/>
      <c r="G92" s="40"/>
      <c r="H92" s="40"/>
      <c r="I92" s="40"/>
      <c r="J92" s="40"/>
      <c r="K92" s="40"/>
      <c r="L92" s="40" t="s">
        <v>1429</v>
      </c>
      <c r="M92" s="40"/>
      <c r="N92" s="40" t="str">
        <f>$F$8</f>
        <v>FY2010-11</v>
      </c>
      <c r="O92" s="40" t="s">
        <v>1355</v>
      </c>
      <c r="P92" s="40" t="s">
        <v>1338</v>
      </c>
      <c r="Q92" s="40"/>
      <c r="R92" s="40"/>
      <c r="S92" s="40"/>
      <c r="T92" s="40"/>
      <c r="U92" s="58"/>
      <c r="V92" s="1"/>
      <c r="W92" s="2"/>
      <c r="X92" s="893"/>
      <c r="Y92" s="1"/>
      <c r="Z92" s="1"/>
      <c r="AA92" s="1"/>
      <c r="AB92" s="1"/>
      <c r="AC92" s="1"/>
      <c r="AD92" s="1"/>
      <c r="AE92" s="1"/>
      <c r="AF92" s="1"/>
      <c r="AG92" s="1"/>
    </row>
    <row r="93" spans="1:33" s="3" customFormat="1" ht="16" customHeight="1">
      <c r="A93" s="49"/>
      <c r="B93" s="57">
        <f>DSUM('ENR#-DB'!D35:T93,"TOTAL ENROLLMENT",D91:T93)</f>
        <v>0</v>
      </c>
      <c r="C93" s="12"/>
      <c r="D93" s="40"/>
      <c r="E93" s="40"/>
      <c r="F93" s="40"/>
      <c r="G93" s="40"/>
      <c r="H93" s="40"/>
      <c r="I93" s="40"/>
      <c r="J93" s="40"/>
      <c r="K93" s="40"/>
      <c r="L93" s="40" t="s">
        <v>1429</v>
      </c>
      <c r="M93" s="40"/>
      <c r="N93" s="40" t="str">
        <f>$F$8</f>
        <v>FY2010-11</v>
      </c>
      <c r="O93" s="40" t="s">
        <v>1355</v>
      </c>
      <c r="P93" s="40" t="s">
        <v>1347</v>
      </c>
      <c r="Q93" s="40"/>
      <c r="R93" s="40" t="s">
        <v>1303</v>
      </c>
      <c r="S93" s="40"/>
      <c r="T93" s="40"/>
      <c r="U93" s="58"/>
      <c r="V93" s="1"/>
      <c r="W93" s="2"/>
      <c r="X93" s="893"/>
      <c r="Y93" s="1"/>
      <c r="Z93" s="1"/>
      <c r="AA93" s="1"/>
      <c r="AB93" s="1"/>
      <c r="AC93" s="1"/>
      <c r="AD93" s="1"/>
      <c r="AE93" s="1"/>
      <c r="AF93" s="1"/>
      <c r="AG93" s="1"/>
    </row>
    <row r="94" spans="1:33" s="3" customFormat="1" ht="16" customHeight="1">
      <c r="A94" s="49"/>
      <c r="B94" s="52"/>
      <c r="C94" s="12"/>
      <c r="D94" s="889"/>
      <c r="E94" s="889"/>
      <c r="F94" s="889"/>
      <c r="G94" s="889"/>
      <c r="H94" s="889"/>
      <c r="I94" s="889"/>
      <c r="J94" s="889"/>
      <c r="K94" s="889"/>
      <c r="L94" s="889"/>
      <c r="M94" s="889"/>
      <c r="N94" s="889"/>
      <c r="O94" s="889"/>
      <c r="P94" s="889"/>
      <c r="Q94" s="889"/>
      <c r="R94" s="889"/>
      <c r="S94" s="889"/>
      <c r="T94" s="889"/>
      <c r="U94" s="58"/>
      <c r="V94" s="1"/>
      <c r="W94" s="2"/>
      <c r="X94" s="893"/>
      <c r="Y94" s="1"/>
      <c r="Z94" s="1"/>
      <c r="AA94" s="1"/>
      <c r="AB94" s="1"/>
      <c r="AC94" s="1"/>
      <c r="AD94" s="1"/>
      <c r="AE94" s="1"/>
      <c r="AF94" s="1"/>
      <c r="AG94" s="1"/>
    </row>
    <row r="95" spans="1:33" s="3" customFormat="1" ht="16" customHeight="1">
      <c r="A95" s="49"/>
      <c r="B95" s="52"/>
      <c r="C95" s="12"/>
      <c r="D95" s="889"/>
      <c r="E95" s="889"/>
      <c r="F95" s="889"/>
      <c r="G95" s="889"/>
      <c r="H95" s="889"/>
      <c r="I95" s="889"/>
      <c r="J95" s="889"/>
      <c r="K95" s="889"/>
      <c r="L95" s="889"/>
      <c r="M95" s="889"/>
      <c r="N95" s="889"/>
      <c r="O95" s="889"/>
      <c r="P95" s="889"/>
      <c r="Q95" s="889"/>
      <c r="R95" s="889"/>
      <c r="S95" s="889"/>
      <c r="T95" s="889"/>
      <c r="U95" s="58"/>
      <c r="V95" s="1"/>
      <c r="W95" s="2"/>
      <c r="X95" s="893"/>
      <c r="Y95" s="1"/>
      <c r="Z95" s="1"/>
      <c r="AA95" s="1"/>
      <c r="AB95" s="1"/>
      <c r="AC95" s="1"/>
      <c r="AD95" s="1"/>
      <c r="AE95" s="1"/>
      <c r="AF95" s="1"/>
      <c r="AG95" s="1"/>
    </row>
    <row r="96" spans="1:33" s="3" customFormat="1" ht="16" customHeight="1">
      <c r="A96" s="49"/>
      <c r="B96" s="52"/>
      <c r="C96" s="12"/>
      <c r="D96" s="889"/>
      <c r="E96" s="889"/>
      <c r="F96" s="889"/>
      <c r="G96" s="889"/>
      <c r="H96" s="889"/>
      <c r="I96" s="889"/>
      <c r="J96" s="889"/>
      <c r="K96" s="889"/>
      <c r="L96" s="889"/>
      <c r="M96" s="889"/>
      <c r="N96" s="889"/>
      <c r="O96" s="889"/>
      <c r="P96" s="889"/>
      <c r="Q96" s="889"/>
      <c r="R96" s="889"/>
      <c r="S96" s="889"/>
      <c r="T96" s="889"/>
      <c r="U96" s="58"/>
      <c r="V96" s="1"/>
      <c r="W96" s="2"/>
      <c r="X96" s="893"/>
      <c r="Y96" s="1"/>
      <c r="Z96" s="1"/>
      <c r="AA96" s="1"/>
      <c r="AB96" s="1"/>
      <c r="AC96" s="1"/>
      <c r="AD96" s="1"/>
      <c r="AE96" s="1"/>
      <c r="AF96" s="1"/>
      <c r="AG96" s="1"/>
    </row>
    <row r="97" spans="1:33" s="3" customFormat="1" ht="16" customHeight="1">
      <c r="A97" s="49"/>
      <c r="B97" s="52"/>
      <c r="C97" s="12"/>
      <c r="D97" s="889"/>
      <c r="E97" s="889"/>
      <c r="F97" s="889"/>
      <c r="G97" s="889"/>
      <c r="H97" s="889"/>
      <c r="I97" s="889"/>
      <c r="J97" s="889"/>
      <c r="K97" s="889"/>
      <c r="L97" s="889"/>
      <c r="M97" s="889"/>
      <c r="N97" s="889"/>
      <c r="O97" s="889"/>
      <c r="P97" s="889"/>
      <c r="Q97" s="889"/>
      <c r="R97" s="889"/>
      <c r="S97" s="889"/>
      <c r="T97" s="889"/>
      <c r="U97" s="58"/>
      <c r="V97" s="1"/>
      <c r="W97" s="2"/>
      <c r="X97" s="893"/>
      <c r="Y97" s="1"/>
      <c r="Z97" s="1"/>
      <c r="AA97" s="1"/>
      <c r="AB97" s="1"/>
      <c r="AC97" s="1"/>
      <c r="AD97" s="1"/>
      <c r="AE97" s="1"/>
      <c r="AF97" s="1"/>
      <c r="AG97" s="1"/>
    </row>
    <row r="98" spans="1:33" s="3" customFormat="1" ht="16" customHeight="1">
      <c r="A98" s="49"/>
      <c r="B98" s="52"/>
      <c r="C98" s="12"/>
      <c r="D98" s="889"/>
      <c r="E98" s="889"/>
      <c r="F98" s="889"/>
      <c r="G98" s="889"/>
      <c r="H98" s="889"/>
      <c r="I98" s="889"/>
      <c r="J98" s="889"/>
      <c r="K98" s="889"/>
      <c r="L98" s="889"/>
      <c r="M98" s="889"/>
      <c r="N98" s="889"/>
      <c r="O98" s="889"/>
      <c r="P98" s="889"/>
      <c r="Q98" s="889"/>
      <c r="R98" s="889"/>
      <c r="S98" s="889"/>
      <c r="T98" s="889"/>
      <c r="U98" s="58"/>
      <c r="V98" s="1"/>
      <c r="W98" s="2"/>
      <c r="X98" s="893"/>
      <c r="Y98" s="1"/>
      <c r="Z98" s="1"/>
      <c r="AA98" s="1"/>
      <c r="AB98" s="1"/>
      <c r="AC98" s="1"/>
      <c r="AD98" s="1"/>
      <c r="AE98" s="1"/>
      <c r="AF98" s="1"/>
      <c r="AG98" s="1"/>
    </row>
    <row r="99" spans="1:33" s="3" customFormat="1" ht="16" customHeight="1">
      <c r="A99" s="36"/>
      <c r="B99" s="33"/>
      <c r="C99" s="33"/>
      <c r="D99" s="35"/>
      <c r="E99" s="35"/>
      <c r="F99" s="35"/>
      <c r="G99" s="35"/>
      <c r="H99" s="35"/>
      <c r="I99" s="35"/>
      <c r="J99" s="35"/>
      <c r="K99" s="35"/>
      <c r="L99" s="35"/>
      <c r="M99" s="35"/>
      <c r="N99" s="35"/>
      <c r="O99" s="35"/>
      <c r="P99" s="35"/>
      <c r="Q99" s="35"/>
      <c r="R99" s="35"/>
      <c r="S99" s="35"/>
      <c r="T99" s="35"/>
      <c r="U99" s="58"/>
      <c r="V99" s="1"/>
      <c r="W99" s="2"/>
      <c r="X99" s="893"/>
      <c r="Y99" s="1"/>
      <c r="Z99" s="1"/>
      <c r="AA99" s="1"/>
      <c r="AB99" s="1"/>
      <c r="AC99" s="1"/>
      <c r="AD99" s="1"/>
      <c r="AE99" s="1"/>
      <c r="AF99" s="1"/>
      <c r="AG99" s="1"/>
    </row>
    <row r="100" spans="1:33" s="3" customFormat="1" ht="16" customHeight="1" thickBot="1">
      <c r="A100" s="49"/>
      <c r="B100" s="50" t="str">
        <f>"FA4 = "&amp;'FIG3'!$W$55&amp;" "&amp;'FIG3'!$X$55</f>
        <v>FA4 = FA4L1 FA4L2</v>
      </c>
      <c r="C100" s="49"/>
      <c r="D100" s="54"/>
      <c r="E100" s="54"/>
      <c r="F100" s="54"/>
      <c r="G100" s="54"/>
      <c r="H100" s="54"/>
      <c r="I100" s="54"/>
      <c r="J100" s="54"/>
      <c r="K100" s="54"/>
      <c r="L100" s="54"/>
      <c r="M100" s="55"/>
      <c r="N100" s="54"/>
      <c r="O100" s="54"/>
      <c r="P100" s="54"/>
      <c r="Q100" s="54"/>
      <c r="R100" s="53"/>
      <c r="S100" s="887" t="str">
        <f>'ENR#-DB'!$S$34</f>
        <v>UD1</v>
      </c>
      <c r="T100" s="887" t="str">
        <f>'ENR#-DB'!$T$34</f>
        <v>UD2</v>
      </c>
      <c r="U100" s="60"/>
      <c r="V100" s="56"/>
      <c r="W100" s="2"/>
      <c r="X100" s="893"/>
      <c r="Y100" s="56"/>
      <c r="Z100" s="56"/>
      <c r="AA100" s="56"/>
      <c r="AB100" s="56"/>
      <c r="AC100" s="56"/>
      <c r="AD100" s="56"/>
      <c r="AE100" s="56"/>
      <c r="AF100" s="56"/>
      <c r="AG100" s="1"/>
    </row>
    <row r="101" spans="1:33" s="3" customFormat="1" ht="16" customHeight="1" thickTop="1" thickBot="1">
      <c r="A101" s="49"/>
      <c r="B101" s="51" t="s">
        <v>1375</v>
      </c>
      <c r="C101" s="15"/>
      <c r="D101" s="877" t="s">
        <v>1386</v>
      </c>
      <c r="E101" s="877" t="s">
        <v>1387</v>
      </c>
      <c r="F101" s="877" t="s">
        <v>1388</v>
      </c>
      <c r="G101" s="877" t="s">
        <v>1389</v>
      </c>
      <c r="H101" s="877" t="s">
        <v>1406</v>
      </c>
      <c r="I101" s="877" t="s">
        <v>1390</v>
      </c>
      <c r="J101" s="877" t="s">
        <v>1391</v>
      </c>
      <c r="K101" s="878" t="s">
        <v>1392</v>
      </c>
      <c r="L101" s="877" t="s">
        <v>1188</v>
      </c>
      <c r="M101" s="877" t="s">
        <v>1437</v>
      </c>
      <c r="N101" s="877" t="s">
        <v>1348</v>
      </c>
      <c r="O101" s="877" t="s">
        <v>1393</v>
      </c>
      <c r="P101" s="877" t="s">
        <v>1342</v>
      </c>
      <c r="Q101" s="112" t="s">
        <v>1224</v>
      </c>
      <c r="R101" s="983" t="s">
        <v>846</v>
      </c>
      <c r="S101" s="875" t="s">
        <v>935</v>
      </c>
      <c r="T101" s="875" t="s">
        <v>936</v>
      </c>
      <c r="U101" s="59"/>
      <c r="V101" s="2"/>
      <c r="W101" s="2"/>
      <c r="X101" s="893"/>
      <c r="Y101" s="2"/>
      <c r="Z101" s="2"/>
      <c r="AA101" s="2"/>
      <c r="AB101" s="2"/>
      <c r="AC101" s="2"/>
      <c r="AD101" s="2"/>
      <c r="AE101" s="2"/>
      <c r="AF101" s="2"/>
      <c r="AG101" s="1"/>
    </row>
    <row r="102" spans="1:33" s="3" customFormat="1" ht="16" customHeight="1" thickTop="1">
      <c r="A102" s="49"/>
      <c r="B102" s="50" t="s">
        <v>1346</v>
      </c>
      <c r="C102" s="12"/>
      <c r="D102" s="40"/>
      <c r="E102" s="40"/>
      <c r="F102" s="40"/>
      <c r="G102" s="40"/>
      <c r="H102" s="40"/>
      <c r="I102" s="40"/>
      <c r="J102" s="40"/>
      <c r="K102" s="40"/>
      <c r="L102" s="40" t="s">
        <v>1429</v>
      </c>
      <c r="M102" s="40"/>
      <c r="N102" s="40" t="str">
        <f>$F$8</f>
        <v>FY2010-11</v>
      </c>
      <c r="O102" s="40" t="s">
        <v>1355</v>
      </c>
      <c r="P102" s="40" t="s">
        <v>1347</v>
      </c>
      <c r="Q102" s="40"/>
      <c r="R102" s="40" t="s">
        <v>871</v>
      </c>
      <c r="S102" s="40"/>
      <c r="T102" s="40"/>
      <c r="U102" s="58"/>
      <c r="V102" s="1"/>
      <c r="W102" s="2"/>
      <c r="X102" s="893"/>
      <c r="Y102" s="1"/>
      <c r="Z102" s="1"/>
      <c r="AA102" s="1"/>
      <c r="AB102" s="1"/>
      <c r="AC102" s="1"/>
      <c r="AD102" s="1"/>
      <c r="AE102" s="1"/>
      <c r="AF102" s="1"/>
      <c r="AG102" s="1"/>
    </row>
    <row r="103" spans="1:33" s="3" customFormat="1" ht="16" customHeight="1">
      <c r="A103" s="49"/>
      <c r="B103" s="57">
        <f>DSUM('ENR#-DB'!D35:T93,"TOTAL ENROLLMENT",D101:T102)</f>
        <v>0</v>
      </c>
      <c r="C103" s="12"/>
      <c r="D103" s="889"/>
      <c r="E103" s="889"/>
      <c r="F103" s="889"/>
      <c r="G103" s="889"/>
      <c r="H103" s="889"/>
      <c r="I103" s="889"/>
      <c r="J103" s="889"/>
      <c r="K103" s="889"/>
      <c r="L103" s="889"/>
      <c r="M103" s="889"/>
      <c r="N103" s="889"/>
      <c r="O103" s="889"/>
      <c r="P103" s="889"/>
      <c r="Q103" s="889"/>
      <c r="R103" s="889"/>
      <c r="S103" s="889"/>
      <c r="T103" s="889"/>
      <c r="U103" s="58"/>
      <c r="V103" s="1"/>
      <c r="W103" s="2"/>
      <c r="X103" s="893"/>
      <c r="Y103" s="1"/>
      <c r="Z103" s="1"/>
      <c r="AA103" s="1"/>
      <c r="AB103" s="1"/>
      <c r="AC103" s="1"/>
      <c r="AD103" s="1"/>
      <c r="AE103" s="1"/>
      <c r="AF103" s="1"/>
      <c r="AG103" s="1"/>
    </row>
    <row r="104" spans="1:33" s="3" customFormat="1" ht="16" customHeight="1">
      <c r="A104" s="49"/>
      <c r="B104" s="52"/>
      <c r="C104" s="12"/>
      <c r="D104" s="889"/>
      <c r="E104" s="889"/>
      <c r="F104" s="889"/>
      <c r="G104" s="889"/>
      <c r="H104" s="889"/>
      <c r="I104" s="889"/>
      <c r="J104" s="889"/>
      <c r="K104" s="889"/>
      <c r="L104" s="889"/>
      <c r="M104" s="889"/>
      <c r="N104" s="889"/>
      <c r="O104" s="889"/>
      <c r="P104" s="889"/>
      <c r="Q104" s="889"/>
      <c r="R104" s="889"/>
      <c r="S104" s="889"/>
      <c r="T104" s="889"/>
      <c r="U104" s="58"/>
      <c r="V104" s="1"/>
      <c r="W104" s="2"/>
      <c r="X104" s="893"/>
      <c r="Y104" s="1"/>
      <c r="Z104" s="1"/>
      <c r="AA104" s="1"/>
      <c r="AB104" s="1"/>
      <c r="AC104" s="1"/>
      <c r="AD104" s="1"/>
      <c r="AE104" s="1"/>
      <c r="AF104" s="1"/>
      <c r="AG104" s="1"/>
    </row>
    <row r="105" spans="1:33" s="3" customFormat="1" ht="16" customHeight="1">
      <c r="A105" s="49"/>
      <c r="B105" s="52"/>
      <c r="C105" s="12"/>
      <c r="D105" s="889"/>
      <c r="E105" s="889"/>
      <c r="F105" s="889"/>
      <c r="G105" s="889"/>
      <c r="H105" s="889"/>
      <c r="I105" s="889"/>
      <c r="J105" s="889"/>
      <c r="K105" s="889"/>
      <c r="L105" s="889"/>
      <c r="M105" s="889"/>
      <c r="N105" s="889"/>
      <c r="O105" s="889"/>
      <c r="P105" s="889"/>
      <c r="Q105" s="889"/>
      <c r="R105" s="889"/>
      <c r="S105" s="889"/>
      <c r="T105" s="889"/>
      <c r="U105" s="58"/>
      <c r="V105" s="1"/>
      <c r="W105" s="2"/>
      <c r="X105" s="893"/>
      <c r="Y105" s="1"/>
      <c r="Z105" s="1"/>
      <c r="AA105" s="1"/>
      <c r="AB105" s="1"/>
      <c r="AC105" s="1"/>
      <c r="AD105" s="1"/>
      <c r="AE105" s="1"/>
      <c r="AF105" s="1"/>
      <c r="AG105" s="1"/>
    </row>
    <row r="106" spans="1:33" s="3" customFormat="1" ht="16" customHeight="1">
      <c r="A106" s="49"/>
      <c r="B106" s="52"/>
      <c r="C106" s="12"/>
      <c r="D106" s="889"/>
      <c r="E106" s="889"/>
      <c r="F106" s="889"/>
      <c r="G106" s="889"/>
      <c r="H106" s="889"/>
      <c r="I106" s="889"/>
      <c r="J106" s="889"/>
      <c r="K106" s="889"/>
      <c r="L106" s="889"/>
      <c r="M106" s="889"/>
      <c r="N106" s="889"/>
      <c r="O106" s="889"/>
      <c r="P106" s="889"/>
      <c r="Q106" s="889"/>
      <c r="R106" s="889"/>
      <c r="S106" s="889"/>
      <c r="T106" s="889"/>
      <c r="U106" s="58"/>
      <c r="V106" s="1"/>
      <c r="W106" s="2"/>
      <c r="X106" s="893"/>
      <c r="Y106" s="1"/>
      <c r="Z106" s="1"/>
      <c r="AA106" s="1"/>
      <c r="AB106" s="1"/>
      <c r="AC106" s="1"/>
      <c r="AD106" s="1"/>
      <c r="AE106" s="1"/>
      <c r="AF106" s="1"/>
      <c r="AG106" s="1"/>
    </row>
    <row r="107" spans="1:33" s="3" customFormat="1" ht="16" customHeight="1">
      <c r="A107" s="49"/>
      <c r="B107" s="52"/>
      <c r="C107" s="12"/>
      <c r="D107" s="889"/>
      <c r="E107" s="889"/>
      <c r="F107" s="889"/>
      <c r="G107" s="889"/>
      <c r="H107" s="889"/>
      <c r="I107" s="889"/>
      <c r="J107" s="889"/>
      <c r="K107" s="889"/>
      <c r="L107" s="889"/>
      <c r="M107" s="889"/>
      <c r="N107" s="889"/>
      <c r="O107" s="889"/>
      <c r="P107" s="889"/>
      <c r="Q107" s="889"/>
      <c r="R107" s="889"/>
      <c r="S107" s="889"/>
      <c r="T107" s="889"/>
      <c r="U107" s="58"/>
      <c r="V107" s="1"/>
      <c r="W107" s="2"/>
      <c r="X107" s="893"/>
      <c r="Y107" s="1"/>
      <c r="Z107" s="1"/>
      <c r="AA107" s="1"/>
      <c r="AB107" s="1"/>
      <c r="AC107" s="1"/>
      <c r="AD107" s="1"/>
      <c r="AE107" s="1"/>
      <c r="AF107" s="1"/>
      <c r="AG107" s="1"/>
    </row>
    <row r="108" spans="1:33" s="3" customFormat="1" ht="16" customHeight="1">
      <c r="A108" s="49"/>
      <c r="B108" s="52"/>
      <c r="C108" s="12"/>
      <c r="D108" s="889"/>
      <c r="E108" s="889"/>
      <c r="F108" s="889"/>
      <c r="G108" s="889"/>
      <c r="H108" s="889"/>
      <c r="I108" s="889"/>
      <c r="J108" s="889"/>
      <c r="K108" s="889"/>
      <c r="L108" s="889"/>
      <c r="M108" s="889"/>
      <c r="N108" s="889"/>
      <c r="O108" s="889"/>
      <c r="P108" s="889"/>
      <c r="Q108" s="889"/>
      <c r="R108" s="889"/>
      <c r="S108" s="889"/>
      <c r="T108" s="889"/>
      <c r="U108" s="58"/>
      <c r="V108" s="1"/>
      <c r="W108" s="2"/>
      <c r="X108" s="893"/>
      <c r="Y108" s="1"/>
      <c r="Z108" s="1"/>
      <c r="AA108" s="1"/>
      <c r="AB108" s="1"/>
      <c r="AC108" s="1"/>
      <c r="AD108" s="1"/>
      <c r="AE108" s="1"/>
      <c r="AF108" s="1"/>
      <c r="AG108" s="1"/>
    </row>
    <row r="109" spans="1:33" s="3" customFormat="1" ht="16" customHeight="1">
      <c r="A109" s="44"/>
      <c r="B109" s="41"/>
      <c r="C109" s="41"/>
      <c r="D109" s="43"/>
      <c r="E109" s="43"/>
      <c r="F109" s="43"/>
      <c r="G109" s="43"/>
      <c r="H109" s="43"/>
      <c r="I109" s="43"/>
      <c r="J109" s="43"/>
      <c r="K109" s="43"/>
      <c r="L109" s="43"/>
      <c r="M109" s="43"/>
      <c r="N109" s="43"/>
      <c r="O109" s="43"/>
      <c r="P109" s="43"/>
      <c r="Q109" s="43"/>
      <c r="R109" s="43"/>
      <c r="S109" s="43"/>
      <c r="T109" s="43"/>
      <c r="U109" s="58"/>
      <c r="V109" s="1"/>
      <c r="W109" s="2"/>
      <c r="X109" s="893"/>
      <c r="Y109" s="1"/>
      <c r="Z109" s="1"/>
      <c r="AA109" s="1"/>
      <c r="AB109" s="1"/>
      <c r="AC109" s="1"/>
      <c r="AD109" s="1"/>
      <c r="AE109" s="1"/>
      <c r="AF109" s="1"/>
      <c r="AG109" s="1"/>
    </row>
    <row r="110" spans="1:33" s="3" customFormat="1" ht="16" customHeight="1" thickBot="1">
      <c r="A110" s="49"/>
      <c r="B110" s="50" t="str">
        <f>"FA5 = "&amp;'FIG3'!$W$56&amp;" "&amp;'FIG3'!$X$56</f>
        <v>FA5 = FA5L1 FA5L2</v>
      </c>
      <c r="C110" s="49"/>
      <c r="D110" s="54"/>
      <c r="E110" s="54"/>
      <c r="F110" s="54"/>
      <c r="G110" s="54"/>
      <c r="H110" s="54"/>
      <c r="I110" s="54"/>
      <c r="J110" s="54"/>
      <c r="K110" s="54"/>
      <c r="L110" s="54"/>
      <c r="M110" s="55"/>
      <c r="N110" s="54"/>
      <c r="O110" s="54"/>
      <c r="P110" s="54"/>
      <c r="Q110" s="54"/>
      <c r="R110" s="53"/>
      <c r="S110" s="887" t="str">
        <f>'ENR#-DB'!$S$34</f>
        <v>UD1</v>
      </c>
      <c r="T110" s="887" t="str">
        <f>'ENR#-DB'!$T$34</f>
        <v>UD2</v>
      </c>
      <c r="U110" s="60"/>
      <c r="V110" s="56"/>
      <c r="W110" s="2"/>
      <c r="X110" s="893"/>
      <c r="Y110" s="56"/>
      <c r="Z110" s="56"/>
      <c r="AA110" s="56"/>
      <c r="AB110" s="56"/>
      <c r="AC110" s="56"/>
      <c r="AD110" s="56"/>
      <c r="AE110" s="56"/>
      <c r="AF110" s="56"/>
      <c r="AG110" s="1"/>
    </row>
    <row r="111" spans="1:33" s="3" customFormat="1" ht="16" customHeight="1" thickTop="1" thickBot="1">
      <c r="A111" s="49"/>
      <c r="B111" s="51" t="s">
        <v>1399</v>
      </c>
      <c r="C111" s="15"/>
      <c r="D111" s="877" t="s">
        <v>1386</v>
      </c>
      <c r="E111" s="877" t="s">
        <v>1387</v>
      </c>
      <c r="F111" s="877" t="s">
        <v>1388</v>
      </c>
      <c r="G111" s="877" t="s">
        <v>1389</v>
      </c>
      <c r="H111" s="877" t="s">
        <v>1406</v>
      </c>
      <c r="I111" s="877" t="s">
        <v>1390</v>
      </c>
      <c r="J111" s="877" t="s">
        <v>1391</v>
      </c>
      <c r="K111" s="878" t="s">
        <v>1392</v>
      </c>
      <c r="L111" s="877" t="s">
        <v>1188</v>
      </c>
      <c r="M111" s="877" t="s">
        <v>1437</v>
      </c>
      <c r="N111" s="877" t="s">
        <v>1348</v>
      </c>
      <c r="O111" s="877" t="s">
        <v>1393</v>
      </c>
      <c r="P111" s="877" t="s">
        <v>1342</v>
      </c>
      <c r="Q111" s="112" t="s">
        <v>1224</v>
      </c>
      <c r="R111" s="983" t="s">
        <v>846</v>
      </c>
      <c r="S111" s="875" t="s">
        <v>935</v>
      </c>
      <c r="T111" s="875" t="s">
        <v>936</v>
      </c>
      <c r="U111" s="59"/>
      <c r="V111" s="2"/>
      <c r="W111" s="2"/>
      <c r="X111" s="893"/>
      <c r="Y111" s="2"/>
      <c r="Z111" s="2"/>
      <c r="AA111" s="2"/>
      <c r="AB111" s="2"/>
      <c r="AC111" s="2"/>
      <c r="AD111" s="2"/>
      <c r="AE111" s="2"/>
      <c r="AF111" s="2"/>
      <c r="AG111" s="1"/>
    </row>
    <row r="112" spans="1:33" s="3" customFormat="1" ht="16" customHeight="1" thickTop="1">
      <c r="A112" s="49"/>
      <c r="B112" s="50" t="s">
        <v>1346</v>
      </c>
      <c r="C112" s="12"/>
      <c r="D112" s="45"/>
      <c r="E112" s="45"/>
      <c r="F112" s="45"/>
      <c r="G112" s="45"/>
      <c r="H112" s="45"/>
      <c r="I112" s="45"/>
      <c r="J112" s="45"/>
      <c r="K112" s="45"/>
      <c r="L112" s="45" t="s">
        <v>1429</v>
      </c>
      <c r="M112" s="45"/>
      <c r="N112" s="45" t="str">
        <f>$F$8</f>
        <v>FY2010-11</v>
      </c>
      <c r="O112" s="45" t="s">
        <v>1356</v>
      </c>
      <c r="P112" s="45" t="s">
        <v>1338</v>
      </c>
      <c r="Q112" s="45"/>
      <c r="R112" s="45"/>
      <c r="S112" s="45"/>
      <c r="T112" s="45"/>
      <c r="U112" s="58"/>
      <c r="V112" s="1"/>
      <c r="W112" s="2"/>
      <c r="X112" s="893"/>
      <c r="Y112" s="1"/>
      <c r="Z112" s="1"/>
      <c r="AA112" s="1"/>
      <c r="AB112" s="1"/>
      <c r="AC112" s="1"/>
      <c r="AD112" s="1"/>
      <c r="AE112" s="1"/>
      <c r="AF112" s="1"/>
      <c r="AG112" s="1"/>
    </row>
    <row r="113" spans="1:33" s="3" customFormat="1" ht="16" customHeight="1">
      <c r="A113" s="49"/>
      <c r="B113" s="57">
        <f>DSUM('ENR#-DB'!D35:T93,"TOTAL ENROLLMENT",D111:T113)</f>
        <v>0</v>
      </c>
      <c r="C113" s="12"/>
      <c r="D113" s="45"/>
      <c r="E113" s="45"/>
      <c r="F113" s="45"/>
      <c r="G113" s="45"/>
      <c r="H113" s="45"/>
      <c r="I113" s="45"/>
      <c r="J113" s="45"/>
      <c r="K113" s="45"/>
      <c r="L113" s="45" t="s">
        <v>1429</v>
      </c>
      <c r="M113" s="45"/>
      <c r="N113" s="45" t="str">
        <f>$F$8</f>
        <v>FY2010-11</v>
      </c>
      <c r="O113" s="45" t="s">
        <v>1356</v>
      </c>
      <c r="P113" s="45" t="s">
        <v>1347</v>
      </c>
      <c r="Q113" s="45"/>
      <c r="R113" s="45" t="s">
        <v>1303</v>
      </c>
      <c r="S113" s="45"/>
      <c r="T113" s="45"/>
      <c r="U113" s="58"/>
      <c r="V113" s="1"/>
      <c r="W113" s="2"/>
      <c r="X113" s="893"/>
      <c r="Y113" s="1"/>
      <c r="Z113" s="1"/>
      <c r="AA113" s="1"/>
      <c r="AB113" s="1"/>
      <c r="AC113" s="1"/>
      <c r="AD113" s="1"/>
      <c r="AE113" s="1"/>
      <c r="AF113" s="1"/>
      <c r="AG113" s="1"/>
    </row>
    <row r="114" spans="1:33" s="3" customFormat="1" ht="16" customHeight="1">
      <c r="A114" s="49"/>
      <c r="B114" s="52"/>
      <c r="C114" s="12"/>
      <c r="D114" s="889"/>
      <c r="E114" s="889"/>
      <c r="F114" s="889"/>
      <c r="G114" s="889"/>
      <c r="H114" s="889"/>
      <c r="I114" s="889"/>
      <c r="J114" s="889"/>
      <c r="K114" s="889"/>
      <c r="L114" s="889"/>
      <c r="M114" s="889"/>
      <c r="N114" s="889"/>
      <c r="O114" s="889"/>
      <c r="P114" s="889"/>
      <c r="Q114" s="889"/>
      <c r="R114" s="889"/>
      <c r="S114" s="889"/>
      <c r="T114" s="889"/>
      <c r="U114" s="58"/>
      <c r="V114" s="1"/>
      <c r="W114" s="2"/>
      <c r="X114" s="893"/>
      <c r="Y114" s="1"/>
      <c r="Z114" s="1"/>
      <c r="AA114" s="1"/>
      <c r="AB114" s="1"/>
      <c r="AC114" s="1"/>
      <c r="AD114" s="1"/>
      <c r="AE114" s="1"/>
      <c r="AF114" s="1"/>
      <c r="AG114" s="1"/>
    </row>
    <row r="115" spans="1:33" s="3" customFormat="1" ht="16" customHeight="1">
      <c r="A115" s="49"/>
      <c r="B115" s="52"/>
      <c r="C115" s="12"/>
      <c r="D115" s="889"/>
      <c r="E115" s="889"/>
      <c r="F115" s="889"/>
      <c r="G115" s="889"/>
      <c r="H115" s="889"/>
      <c r="I115" s="889"/>
      <c r="J115" s="889"/>
      <c r="K115" s="889"/>
      <c r="L115" s="889"/>
      <c r="M115" s="889"/>
      <c r="N115" s="889"/>
      <c r="O115" s="889"/>
      <c r="P115" s="889"/>
      <c r="Q115" s="889"/>
      <c r="R115" s="889"/>
      <c r="S115" s="889"/>
      <c r="T115" s="889"/>
      <c r="U115" s="58"/>
      <c r="V115" s="1"/>
      <c r="W115" s="2"/>
      <c r="X115" s="893"/>
      <c r="Y115" s="1"/>
      <c r="Z115" s="1"/>
      <c r="AA115" s="1"/>
      <c r="AB115" s="1"/>
      <c r="AC115" s="1"/>
      <c r="AD115" s="1"/>
      <c r="AE115" s="1"/>
      <c r="AF115" s="1"/>
      <c r="AG115" s="1"/>
    </row>
    <row r="116" spans="1:33" s="3" customFormat="1" ht="16" customHeight="1">
      <c r="A116" s="49"/>
      <c r="B116" s="52"/>
      <c r="C116" s="12"/>
      <c r="D116" s="889"/>
      <c r="E116" s="889"/>
      <c r="F116" s="889"/>
      <c r="G116" s="889"/>
      <c r="H116" s="889"/>
      <c r="I116" s="889"/>
      <c r="J116" s="889"/>
      <c r="K116" s="889"/>
      <c r="L116" s="889"/>
      <c r="M116" s="889"/>
      <c r="N116" s="889"/>
      <c r="O116" s="889"/>
      <c r="P116" s="889"/>
      <c r="Q116" s="889"/>
      <c r="R116" s="889"/>
      <c r="S116" s="889"/>
      <c r="T116" s="889"/>
      <c r="U116" s="58"/>
      <c r="V116" s="1"/>
      <c r="W116" s="2"/>
      <c r="X116" s="893"/>
      <c r="Y116" s="1"/>
      <c r="Z116" s="1"/>
      <c r="AA116" s="1"/>
      <c r="AB116" s="1"/>
      <c r="AC116" s="1"/>
      <c r="AD116" s="1"/>
      <c r="AE116" s="1"/>
      <c r="AF116" s="1"/>
      <c r="AG116" s="1"/>
    </row>
    <row r="117" spans="1:33" s="3" customFormat="1" ht="16" customHeight="1">
      <c r="A117" s="49"/>
      <c r="B117" s="52"/>
      <c r="C117" s="12"/>
      <c r="D117" s="889"/>
      <c r="E117" s="889"/>
      <c r="F117" s="889"/>
      <c r="G117" s="889"/>
      <c r="H117" s="889"/>
      <c r="I117" s="889"/>
      <c r="J117" s="889"/>
      <c r="K117" s="889"/>
      <c r="L117" s="889"/>
      <c r="M117" s="889"/>
      <c r="N117" s="889"/>
      <c r="O117" s="889"/>
      <c r="P117" s="889"/>
      <c r="Q117" s="889"/>
      <c r="R117" s="889"/>
      <c r="S117" s="889"/>
      <c r="T117" s="889"/>
      <c r="U117" s="58"/>
      <c r="V117" s="1"/>
      <c r="W117" s="2"/>
      <c r="X117" s="893"/>
      <c r="Y117" s="1"/>
      <c r="Z117" s="1"/>
      <c r="AA117" s="1"/>
      <c r="AB117" s="1"/>
      <c r="AC117" s="1"/>
      <c r="AD117" s="1"/>
      <c r="AE117" s="1"/>
      <c r="AF117" s="1"/>
      <c r="AG117" s="1"/>
    </row>
    <row r="118" spans="1:33" s="3" customFormat="1" ht="16" customHeight="1">
      <c r="A118" s="49"/>
      <c r="B118" s="52"/>
      <c r="C118" s="12"/>
      <c r="D118" s="889"/>
      <c r="E118" s="889"/>
      <c r="F118" s="889"/>
      <c r="G118" s="889"/>
      <c r="H118" s="889"/>
      <c r="I118" s="889"/>
      <c r="J118" s="889"/>
      <c r="K118" s="889"/>
      <c r="L118" s="889"/>
      <c r="M118" s="889"/>
      <c r="N118" s="889"/>
      <c r="O118" s="889"/>
      <c r="P118" s="889"/>
      <c r="Q118" s="889"/>
      <c r="R118" s="889"/>
      <c r="S118" s="889"/>
      <c r="T118" s="889"/>
      <c r="U118" s="58"/>
      <c r="V118" s="1"/>
      <c r="W118" s="2"/>
      <c r="X118" s="893"/>
      <c r="Y118" s="1"/>
      <c r="Z118" s="1"/>
      <c r="AA118" s="1"/>
      <c r="AB118" s="1"/>
      <c r="AC118" s="1"/>
      <c r="AD118" s="1"/>
      <c r="AE118" s="1"/>
      <c r="AF118" s="1"/>
      <c r="AG118" s="1"/>
    </row>
    <row r="119" spans="1:33" s="3" customFormat="1" ht="16" customHeight="1">
      <c r="A119" s="44"/>
      <c r="B119" s="41"/>
      <c r="C119" s="41"/>
      <c r="D119" s="43"/>
      <c r="E119" s="43"/>
      <c r="F119" s="43"/>
      <c r="G119" s="43"/>
      <c r="H119" s="43"/>
      <c r="I119" s="43"/>
      <c r="J119" s="43"/>
      <c r="K119" s="43"/>
      <c r="L119" s="43"/>
      <c r="M119" s="43"/>
      <c r="N119" s="43"/>
      <c r="O119" s="43"/>
      <c r="P119" s="43"/>
      <c r="Q119" s="43"/>
      <c r="R119" s="43"/>
      <c r="S119" s="43"/>
      <c r="T119" s="43"/>
      <c r="U119" s="58"/>
      <c r="V119" s="1"/>
      <c r="W119" s="2"/>
      <c r="X119" s="893"/>
      <c r="Y119" s="1"/>
      <c r="Z119" s="1"/>
      <c r="AA119" s="1"/>
      <c r="AB119" s="1"/>
      <c r="AC119" s="1"/>
      <c r="AD119" s="1"/>
      <c r="AE119" s="1"/>
      <c r="AF119" s="1"/>
      <c r="AG119" s="1"/>
    </row>
    <row r="120" spans="1:33" s="3" customFormat="1" ht="16" customHeight="1" thickBot="1">
      <c r="A120" s="49"/>
      <c r="B120" s="50" t="str">
        <f>"FA5 = "&amp;'FIG3'!$W$56&amp;" "&amp;'FIG3'!$X$56</f>
        <v>FA5 = FA5L1 FA5L2</v>
      </c>
      <c r="C120" s="49"/>
      <c r="D120" s="54"/>
      <c r="E120" s="54"/>
      <c r="F120" s="54"/>
      <c r="G120" s="54"/>
      <c r="H120" s="54"/>
      <c r="I120" s="54"/>
      <c r="J120" s="54"/>
      <c r="K120" s="54"/>
      <c r="L120" s="54"/>
      <c r="M120" s="55"/>
      <c r="N120" s="54"/>
      <c r="O120" s="54"/>
      <c r="P120" s="54"/>
      <c r="Q120" s="54"/>
      <c r="R120" s="53"/>
      <c r="S120" s="887" t="str">
        <f>'ENR#-DB'!$S$34</f>
        <v>UD1</v>
      </c>
      <c r="T120" s="887" t="str">
        <f>'ENR#-DB'!$T$34</f>
        <v>UD2</v>
      </c>
      <c r="U120" s="60"/>
      <c r="V120" s="56"/>
      <c r="W120" s="2"/>
      <c r="X120" s="893"/>
      <c r="Y120" s="56"/>
      <c r="Z120" s="56"/>
      <c r="AA120" s="56"/>
      <c r="AB120" s="56"/>
      <c r="AC120" s="56"/>
      <c r="AD120" s="56"/>
      <c r="AE120" s="56"/>
      <c r="AF120" s="56"/>
      <c r="AG120" s="1"/>
    </row>
    <row r="121" spans="1:33" s="3" customFormat="1" ht="16" customHeight="1" thickTop="1" thickBot="1">
      <c r="A121" s="49"/>
      <c r="B121" s="51" t="s">
        <v>1375</v>
      </c>
      <c r="C121" s="15"/>
      <c r="D121" s="877" t="s">
        <v>1386</v>
      </c>
      <c r="E121" s="877" t="s">
        <v>1387</v>
      </c>
      <c r="F121" s="877" t="s">
        <v>1388</v>
      </c>
      <c r="G121" s="877" t="s">
        <v>1389</v>
      </c>
      <c r="H121" s="877" t="s">
        <v>1406</v>
      </c>
      <c r="I121" s="877" t="s">
        <v>1390</v>
      </c>
      <c r="J121" s="877" t="s">
        <v>1391</v>
      </c>
      <c r="K121" s="878" t="s">
        <v>1392</v>
      </c>
      <c r="L121" s="877" t="s">
        <v>1188</v>
      </c>
      <c r="M121" s="877" t="s">
        <v>1437</v>
      </c>
      <c r="N121" s="877" t="s">
        <v>1348</v>
      </c>
      <c r="O121" s="877" t="s">
        <v>1393</v>
      </c>
      <c r="P121" s="877" t="s">
        <v>1342</v>
      </c>
      <c r="Q121" s="112" t="s">
        <v>1224</v>
      </c>
      <c r="R121" s="983" t="s">
        <v>846</v>
      </c>
      <c r="S121" s="875" t="s">
        <v>935</v>
      </c>
      <c r="T121" s="875" t="s">
        <v>936</v>
      </c>
      <c r="U121" s="59"/>
      <c r="V121" s="2"/>
      <c r="W121" s="2"/>
      <c r="X121" s="893"/>
      <c r="Y121" s="2"/>
      <c r="Z121" s="2"/>
      <c r="AA121" s="2"/>
      <c r="AB121" s="2"/>
      <c r="AC121" s="2"/>
      <c r="AD121" s="2"/>
      <c r="AE121" s="2"/>
      <c r="AF121" s="2"/>
      <c r="AG121" s="1"/>
    </row>
    <row r="122" spans="1:33" s="3" customFormat="1" ht="16" customHeight="1" thickTop="1">
      <c r="A122" s="49"/>
      <c r="B122" s="50" t="s">
        <v>1346</v>
      </c>
      <c r="C122" s="12"/>
      <c r="D122" s="45"/>
      <c r="E122" s="45"/>
      <c r="F122" s="45"/>
      <c r="G122" s="45"/>
      <c r="H122" s="45"/>
      <c r="I122" s="45"/>
      <c r="J122" s="45"/>
      <c r="K122" s="45"/>
      <c r="L122" s="45" t="s">
        <v>1429</v>
      </c>
      <c r="M122" s="45"/>
      <c r="N122" s="45" t="str">
        <f>$F$8</f>
        <v>FY2010-11</v>
      </c>
      <c r="O122" s="45" t="s">
        <v>1356</v>
      </c>
      <c r="P122" s="45" t="s">
        <v>1347</v>
      </c>
      <c r="Q122" s="45"/>
      <c r="R122" s="45" t="s">
        <v>871</v>
      </c>
      <c r="S122" s="45"/>
      <c r="T122" s="45"/>
      <c r="U122" s="58"/>
      <c r="V122" s="1"/>
      <c r="W122" s="2"/>
      <c r="X122" s="893"/>
      <c r="Y122" s="1"/>
      <c r="Z122" s="1"/>
      <c r="AA122" s="1"/>
      <c r="AB122" s="1"/>
      <c r="AC122" s="1"/>
      <c r="AD122" s="1"/>
      <c r="AE122" s="1"/>
      <c r="AF122" s="1"/>
      <c r="AG122" s="1"/>
    </row>
    <row r="123" spans="1:33" s="3" customFormat="1" ht="16" customHeight="1">
      <c r="A123" s="49"/>
      <c r="B123" s="57">
        <f>DSUM('ENR#-DB'!D35:T93,"TOTAL ENROLLMENT",D121:T122)</f>
        <v>0</v>
      </c>
      <c r="C123" s="12"/>
      <c r="D123" s="889"/>
      <c r="E123" s="889"/>
      <c r="F123" s="889"/>
      <c r="G123" s="889"/>
      <c r="H123" s="889"/>
      <c r="I123" s="889"/>
      <c r="J123" s="889"/>
      <c r="K123" s="889"/>
      <c r="L123" s="889"/>
      <c r="M123" s="889"/>
      <c r="N123" s="889"/>
      <c r="O123" s="889"/>
      <c r="P123" s="889"/>
      <c r="Q123" s="889"/>
      <c r="R123" s="889"/>
      <c r="S123" s="889"/>
      <c r="T123" s="889"/>
      <c r="U123" s="58"/>
      <c r="V123" s="1"/>
      <c r="W123" s="2"/>
      <c r="X123" s="893"/>
      <c r="Y123" s="1"/>
      <c r="Z123" s="1"/>
      <c r="AA123" s="1"/>
      <c r="AB123" s="1"/>
      <c r="AC123" s="1"/>
      <c r="AD123" s="1"/>
      <c r="AE123" s="1"/>
      <c r="AF123" s="1"/>
      <c r="AG123" s="1"/>
    </row>
    <row r="124" spans="1:33" s="3" customFormat="1" ht="16" customHeight="1">
      <c r="A124" s="49"/>
      <c r="B124" s="52"/>
      <c r="C124" s="12"/>
      <c r="D124" s="889"/>
      <c r="E124" s="889"/>
      <c r="F124" s="889"/>
      <c r="G124" s="889"/>
      <c r="H124" s="889"/>
      <c r="I124" s="889"/>
      <c r="J124" s="889"/>
      <c r="K124" s="889"/>
      <c r="L124" s="889"/>
      <c r="M124" s="889"/>
      <c r="N124" s="889"/>
      <c r="O124" s="889"/>
      <c r="P124" s="889"/>
      <c r="Q124" s="889"/>
      <c r="R124" s="889"/>
      <c r="S124" s="889"/>
      <c r="T124" s="889"/>
      <c r="U124" s="58"/>
      <c r="V124" s="1"/>
      <c r="W124" s="2"/>
      <c r="X124" s="893"/>
      <c r="Y124" s="1"/>
      <c r="Z124" s="1"/>
      <c r="AA124" s="1"/>
      <c r="AB124" s="1"/>
      <c r="AC124" s="1"/>
      <c r="AD124" s="1"/>
      <c r="AE124" s="1"/>
      <c r="AF124" s="1"/>
      <c r="AG124" s="1"/>
    </row>
    <row r="125" spans="1:33" s="3" customFormat="1" ht="16" customHeight="1">
      <c r="A125" s="49"/>
      <c r="B125" s="52"/>
      <c r="C125" s="12"/>
      <c r="D125" s="889"/>
      <c r="E125" s="889"/>
      <c r="F125" s="889"/>
      <c r="G125" s="889"/>
      <c r="H125" s="889"/>
      <c r="I125" s="889"/>
      <c r="J125" s="889"/>
      <c r="K125" s="889"/>
      <c r="L125" s="889"/>
      <c r="M125" s="889"/>
      <c r="N125" s="889"/>
      <c r="O125" s="889"/>
      <c r="P125" s="889"/>
      <c r="Q125" s="889"/>
      <c r="R125" s="889"/>
      <c r="S125" s="889"/>
      <c r="T125" s="889"/>
      <c r="U125" s="58"/>
      <c r="V125" s="1"/>
      <c r="W125" s="2"/>
      <c r="X125" s="893"/>
      <c r="Y125" s="1"/>
      <c r="Z125" s="1"/>
      <c r="AA125" s="1"/>
      <c r="AB125" s="1"/>
      <c r="AC125" s="1"/>
      <c r="AD125" s="1"/>
      <c r="AE125" s="1"/>
      <c r="AF125" s="1"/>
      <c r="AG125" s="1"/>
    </row>
    <row r="126" spans="1:33" s="3" customFormat="1" ht="16" customHeight="1">
      <c r="A126" s="49"/>
      <c r="B126" s="52"/>
      <c r="C126" s="12"/>
      <c r="D126" s="889"/>
      <c r="E126" s="889"/>
      <c r="F126" s="889"/>
      <c r="G126" s="889"/>
      <c r="H126" s="889"/>
      <c r="I126" s="889"/>
      <c r="J126" s="889"/>
      <c r="K126" s="889"/>
      <c r="L126" s="889"/>
      <c r="M126" s="889"/>
      <c r="N126" s="889"/>
      <c r="O126" s="889"/>
      <c r="P126" s="889"/>
      <c r="Q126" s="889"/>
      <c r="R126" s="889"/>
      <c r="S126" s="889"/>
      <c r="T126" s="889"/>
      <c r="U126" s="58"/>
      <c r="V126" s="1"/>
      <c r="W126" s="2"/>
      <c r="X126" s="893"/>
      <c r="Y126" s="1"/>
      <c r="Z126" s="1"/>
      <c r="AA126" s="1"/>
      <c r="AB126" s="1"/>
      <c r="AC126" s="1"/>
      <c r="AD126" s="1"/>
      <c r="AE126" s="1"/>
      <c r="AF126" s="1"/>
      <c r="AG126" s="1"/>
    </row>
    <row r="127" spans="1:33" s="3" customFormat="1" ht="16" customHeight="1">
      <c r="A127" s="49"/>
      <c r="B127" s="52"/>
      <c r="C127" s="12"/>
      <c r="D127" s="889"/>
      <c r="E127" s="889"/>
      <c r="F127" s="889"/>
      <c r="G127" s="889"/>
      <c r="H127" s="889"/>
      <c r="I127" s="889"/>
      <c r="J127" s="889"/>
      <c r="K127" s="889"/>
      <c r="L127" s="889"/>
      <c r="M127" s="889"/>
      <c r="N127" s="889"/>
      <c r="O127" s="889"/>
      <c r="P127" s="889"/>
      <c r="Q127" s="889"/>
      <c r="R127" s="889"/>
      <c r="S127" s="889"/>
      <c r="T127" s="889"/>
      <c r="U127" s="58"/>
      <c r="V127" s="1"/>
      <c r="W127" s="2"/>
      <c r="X127" s="893"/>
      <c r="Y127" s="1"/>
      <c r="Z127" s="1"/>
      <c r="AA127" s="1"/>
      <c r="AB127" s="1"/>
      <c r="AC127" s="1"/>
      <c r="AD127" s="1"/>
      <c r="AE127" s="1"/>
      <c r="AF127" s="1"/>
      <c r="AG127" s="1"/>
    </row>
    <row r="128" spans="1:33" s="3" customFormat="1" ht="16" customHeight="1">
      <c r="A128" s="49"/>
      <c r="B128" s="52"/>
      <c r="C128" s="12"/>
      <c r="D128" s="889"/>
      <c r="E128" s="889"/>
      <c r="F128" s="889"/>
      <c r="G128" s="889"/>
      <c r="H128" s="889"/>
      <c r="I128" s="889"/>
      <c r="J128" s="889"/>
      <c r="K128" s="889"/>
      <c r="L128" s="889"/>
      <c r="M128" s="889"/>
      <c r="N128" s="889"/>
      <c r="O128" s="889"/>
      <c r="P128" s="889"/>
      <c r="Q128" s="889"/>
      <c r="R128" s="889"/>
      <c r="S128" s="889"/>
      <c r="T128" s="889"/>
      <c r="U128" s="58"/>
      <c r="V128" s="1"/>
      <c r="W128" s="2"/>
      <c r="X128" s="893"/>
      <c r="Y128" s="1"/>
      <c r="Z128" s="1"/>
      <c r="AA128" s="1"/>
      <c r="AB128" s="1"/>
      <c r="AC128" s="1"/>
      <c r="AD128" s="1"/>
      <c r="AE128" s="1"/>
      <c r="AF128" s="1"/>
      <c r="AG128" s="1"/>
    </row>
    <row r="129" spans="1:33" s="3" customFormat="1" ht="16" customHeight="1">
      <c r="A129" s="979"/>
      <c r="B129" s="980"/>
      <c r="C129" s="980"/>
      <c r="D129" s="981"/>
      <c r="E129" s="981"/>
      <c r="F129" s="981"/>
      <c r="G129" s="981"/>
      <c r="H129" s="981"/>
      <c r="I129" s="981"/>
      <c r="J129" s="981"/>
      <c r="K129" s="981"/>
      <c r="L129" s="981"/>
      <c r="M129" s="981"/>
      <c r="N129" s="981"/>
      <c r="O129" s="981"/>
      <c r="P129" s="981"/>
      <c r="Q129" s="981"/>
      <c r="R129" s="981"/>
      <c r="S129" s="981"/>
      <c r="T129" s="981"/>
      <c r="U129" s="58"/>
      <c r="V129" s="1"/>
      <c r="W129" s="2"/>
      <c r="X129" s="893"/>
      <c r="Y129" s="1"/>
      <c r="Z129" s="1"/>
      <c r="AA129" s="1"/>
      <c r="AB129" s="1"/>
      <c r="AC129" s="1"/>
      <c r="AD129" s="1"/>
      <c r="AE129" s="1"/>
      <c r="AF129" s="1"/>
      <c r="AG129" s="1"/>
    </row>
    <row r="130" spans="1:33" s="3" customFormat="1" ht="16" customHeight="1" thickBot="1">
      <c r="A130" s="49"/>
      <c r="B130" s="50" t="s">
        <v>842</v>
      </c>
      <c r="C130" s="49"/>
      <c r="D130" s="54"/>
      <c r="E130" s="54"/>
      <c r="F130" s="54"/>
      <c r="G130" s="54"/>
      <c r="H130" s="54"/>
      <c r="I130" s="54"/>
      <c r="J130" s="54"/>
      <c r="K130" s="54"/>
      <c r="L130" s="54"/>
      <c r="M130" s="55"/>
      <c r="N130" s="54"/>
      <c r="O130" s="54"/>
      <c r="P130" s="54"/>
      <c r="Q130" s="54"/>
      <c r="R130" s="53"/>
      <c r="S130" s="887" t="str">
        <f>'ENR#-DB'!$S$34</f>
        <v>UD1</v>
      </c>
      <c r="T130" s="887" t="str">
        <f>'ENR#-DB'!$T$34</f>
        <v>UD2</v>
      </c>
      <c r="U130" s="60"/>
      <c r="V130" s="56"/>
      <c r="W130" s="2"/>
      <c r="X130" s="893"/>
      <c r="Y130" s="56"/>
      <c r="Z130" s="56"/>
      <c r="AA130" s="56"/>
      <c r="AB130" s="56"/>
      <c r="AC130" s="56"/>
      <c r="AD130" s="56"/>
      <c r="AE130" s="56"/>
      <c r="AF130" s="56"/>
      <c r="AG130" s="1"/>
    </row>
    <row r="131" spans="1:33" s="3" customFormat="1" ht="16" customHeight="1" thickTop="1" thickBot="1">
      <c r="A131" s="49"/>
      <c r="B131" s="51" t="s">
        <v>1399</v>
      </c>
      <c r="C131" s="15"/>
      <c r="D131" s="939" t="s">
        <v>1386</v>
      </c>
      <c r="E131" s="939" t="s">
        <v>1387</v>
      </c>
      <c r="F131" s="939" t="s">
        <v>1388</v>
      </c>
      <c r="G131" s="939" t="s">
        <v>1389</v>
      </c>
      <c r="H131" s="939" t="s">
        <v>1406</v>
      </c>
      <c r="I131" s="939" t="s">
        <v>1390</v>
      </c>
      <c r="J131" s="939" t="s">
        <v>1391</v>
      </c>
      <c r="K131" s="940" t="s">
        <v>1392</v>
      </c>
      <c r="L131" s="939" t="s">
        <v>1188</v>
      </c>
      <c r="M131" s="939" t="s">
        <v>1437</v>
      </c>
      <c r="N131" s="939" t="s">
        <v>1348</v>
      </c>
      <c r="O131" s="939" t="s">
        <v>1393</v>
      </c>
      <c r="P131" s="939" t="s">
        <v>1342</v>
      </c>
      <c r="Q131" s="112" t="s">
        <v>1224</v>
      </c>
      <c r="R131" s="983" t="s">
        <v>846</v>
      </c>
      <c r="S131" s="944" t="s">
        <v>935</v>
      </c>
      <c r="T131" s="944" t="s">
        <v>936</v>
      </c>
      <c r="U131" s="59"/>
      <c r="V131" s="2"/>
      <c r="W131" s="2"/>
      <c r="X131" s="893"/>
      <c r="Y131" s="2"/>
      <c r="Z131" s="2"/>
      <c r="AA131" s="2"/>
      <c r="AB131" s="2"/>
      <c r="AC131" s="2"/>
      <c r="AD131" s="2"/>
      <c r="AE131" s="2"/>
      <c r="AF131" s="2"/>
      <c r="AG131" s="1"/>
    </row>
    <row r="132" spans="1:33" s="3" customFormat="1" ht="16" customHeight="1" thickTop="1">
      <c r="A132" s="49"/>
      <c r="B132" s="50" t="s">
        <v>1346</v>
      </c>
      <c r="C132" s="12"/>
      <c r="D132" s="45"/>
      <c r="E132" s="45"/>
      <c r="F132" s="45"/>
      <c r="G132" s="45"/>
      <c r="H132" s="45"/>
      <c r="I132" s="45"/>
      <c r="J132" s="45"/>
      <c r="K132" s="45"/>
      <c r="L132" s="45" t="s">
        <v>1429</v>
      </c>
      <c r="M132" s="45"/>
      <c r="N132" s="45" t="str">
        <f>$F$8</f>
        <v>FY2010-11</v>
      </c>
      <c r="O132" s="45" t="s">
        <v>843</v>
      </c>
      <c r="P132" s="45" t="s">
        <v>1338</v>
      </c>
      <c r="Q132" s="45"/>
      <c r="R132" s="45"/>
      <c r="S132" s="45"/>
      <c r="T132" s="45"/>
      <c r="U132" s="58"/>
      <c r="V132" s="1"/>
      <c r="W132" s="2"/>
      <c r="X132" s="893"/>
      <c r="Y132" s="1"/>
      <c r="Z132" s="1"/>
      <c r="AA132" s="1"/>
      <c r="AB132" s="1"/>
      <c r="AC132" s="1"/>
      <c r="AD132" s="1"/>
      <c r="AE132" s="1"/>
      <c r="AF132" s="1"/>
      <c r="AG132" s="1"/>
    </row>
    <row r="133" spans="1:33" s="3" customFormat="1" ht="16" customHeight="1">
      <c r="A133" s="49"/>
      <c r="B133" s="57">
        <f>DSUM('ENR#-DB'!D35:T93,"TOTAL ENROLLMENT",D131:T133)</f>
        <v>24226</v>
      </c>
      <c r="C133" s="12"/>
      <c r="D133" s="45"/>
      <c r="E133" s="45"/>
      <c r="F133" s="45"/>
      <c r="G133" s="45"/>
      <c r="H133" s="45"/>
      <c r="I133" s="45"/>
      <c r="J133" s="45"/>
      <c r="K133" s="45"/>
      <c r="L133" s="45" t="s">
        <v>1429</v>
      </c>
      <c r="M133" s="45"/>
      <c r="N133" s="45" t="str">
        <f>$F$8</f>
        <v>FY2010-11</v>
      </c>
      <c r="O133" s="45" t="s">
        <v>843</v>
      </c>
      <c r="P133" s="45" t="s">
        <v>1347</v>
      </c>
      <c r="Q133" s="45"/>
      <c r="R133" s="45" t="s">
        <v>1303</v>
      </c>
      <c r="S133" s="45"/>
      <c r="T133" s="45"/>
      <c r="U133" s="58"/>
      <c r="V133" s="1"/>
      <c r="W133" s="2"/>
      <c r="X133" s="893"/>
      <c r="Y133" s="1"/>
      <c r="Z133" s="1"/>
      <c r="AA133" s="1"/>
      <c r="AB133" s="1"/>
      <c r="AC133" s="1"/>
      <c r="AD133" s="1"/>
      <c r="AE133" s="1"/>
      <c r="AF133" s="1"/>
      <c r="AG133" s="1"/>
    </row>
    <row r="134" spans="1:33" s="3" customFormat="1" ht="16" customHeight="1">
      <c r="A134" s="49"/>
      <c r="B134" s="52"/>
      <c r="C134" s="12"/>
      <c r="D134" s="889"/>
      <c r="E134" s="889"/>
      <c r="F134" s="889"/>
      <c r="G134" s="889"/>
      <c r="H134" s="889"/>
      <c r="I134" s="889"/>
      <c r="J134" s="889"/>
      <c r="K134" s="889"/>
      <c r="L134" s="889"/>
      <c r="M134" s="889"/>
      <c r="N134" s="889"/>
      <c r="O134" s="889"/>
      <c r="P134" s="889"/>
      <c r="Q134" s="889"/>
      <c r="R134" s="889"/>
      <c r="S134" s="889"/>
      <c r="T134" s="889"/>
      <c r="U134" s="58"/>
      <c r="V134" s="1"/>
      <c r="W134" s="2"/>
      <c r="X134" s="893"/>
      <c r="Y134" s="1"/>
      <c r="Z134" s="1"/>
      <c r="AA134" s="1"/>
      <c r="AB134" s="1"/>
      <c r="AC134" s="1"/>
      <c r="AD134" s="1"/>
      <c r="AE134" s="1"/>
      <c r="AF134" s="1"/>
      <c r="AG134" s="1"/>
    </row>
    <row r="135" spans="1:33" s="3" customFormat="1" ht="16" customHeight="1">
      <c r="A135" s="49"/>
      <c r="B135" s="52"/>
      <c r="C135" s="12"/>
      <c r="D135" s="889"/>
      <c r="E135" s="889"/>
      <c r="F135" s="889"/>
      <c r="G135" s="889"/>
      <c r="H135" s="889"/>
      <c r="I135" s="889"/>
      <c r="J135" s="889"/>
      <c r="K135" s="889"/>
      <c r="L135" s="889"/>
      <c r="M135" s="889"/>
      <c r="N135" s="889"/>
      <c r="O135" s="889"/>
      <c r="P135" s="889"/>
      <c r="Q135" s="889"/>
      <c r="R135" s="889"/>
      <c r="S135" s="889"/>
      <c r="T135" s="889"/>
      <c r="U135" s="58"/>
      <c r="V135" s="1"/>
      <c r="W135" s="2"/>
      <c r="X135" s="893"/>
      <c r="Y135" s="1"/>
      <c r="Z135" s="1"/>
      <c r="AA135" s="1"/>
      <c r="AB135" s="1"/>
      <c r="AC135" s="1"/>
      <c r="AD135" s="1"/>
      <c r="AE135" s="1"/>
      <c r="AF135" s="1"/>
      <c r="AG135" s="1"/>
    </row>
    <row r="136" spans="1:33" s="3" customFormat="1" ht="16" customHeight="1">
      <c r="A136" s="49"/>
      <c r="B136" s="52"/>
      <c r="C136" s="12"/>
      <c r="D136" s="889"/>
      <c r="E136" s="889"/>
      <c r="F136" s="889"/>
      <c r="G136" s="889"/>
      <c r="H136" s="889"/>
      <c r="I136" s="889"/>
      <c r="J136" s="889"/>
      <c r="K136" s="889"/>
      <c r="L136" s="889"/>
      <c r="M136" s="889"/>
      <c r="N136" s="889"/>
      <c r="O136" s="889"/>
      <c r="P136" s="889"/>
      <c r="Q136" s="889"/>
      <c r="R136" s="889"/>
      <c r="S136" s="889"/>
      <c r="T136" s="889"/>
      <c r="U136" s="58"/>
      <c r="V136" s="1"/>
      <c r="W136" s="2"/>
      <c r="X136" s="893"/>
      <c r="Y136" s="1"/>
      <c r="Z136" s="1"/>
      <c r="AA136" s="1"/>
      <c r="AB136" s="1"/>
      <c r="AC136" s="1"/>
      <c r="AD136" s="1"/>
      <c r="AE136" s="1"/>
      <c r="AF136" s="1"/>
      <c r="AG136" s="1"/>
    </row>
    <row r="137" spans="1:33" s="3" customFormat="1" ht="16" customHeight="1">
      <c r="A137" s="49"/>
      <c r="B137" s="52"/>
      <c r="C137" s="12"/>
      <c r="D137" s="889"/>
      <c r="E137" s="889"/>
      <c r="F137" s="889"/>
      <c r="G137" s="889"/>
      <c r="H137" s="889"/>
      <c r="I137" s="889"/>
      <c r="J137" s="889"/>
      <c r="K137" s="889"/>
      <c r="L137" s="889"/>
      <c r="M137" s="889"/>
      <c r="N137" s="889"/>
      <c r="O137" s="889"/>
      <c r="P137" s="889"/>
      <c r="Q137" s="889"/>
      <c r="R137" s="889"/>
      <c r="S137" s="889"/>
      <c r="T137" s="889"/>
      <c r="U137" s="58"/>
      <c r="V137" s="1"/>
      <c r="W137" s="2"/>
      <c r="X137" s="893"/>
      <c r="Y137" s="1"/>
      <c r="Z137" s="1"/>
      <c r="AA137" s="1"/>
      <c r="AB137" s="1"/>
      <c r="AC137" s="1"/>
      <c r="AD137" s="1"/>
      <c r="AE137" s="1"/>
      <c r="AF137" s="1"/>
      <c r="AG137" s="1"/>
    </row>
    <row r="138" spans="1:33" s="3" customFormat="1" ht="16" customHeight="1">
      <c r="A138" s="49"/>
      <c r="B138" s="52"/>
      <c r="C138" s="12"/>
      <c r="D138" s="889"/>
      <c r="E138" s="889"/>
      <c r="F138" s="889"/>
      <c r="G138" s="889"/>
      <c r="H138" s="889"/>
      <c r="I138" s="889"/>
      <c r="J138" s="889"/>
      <c r="K138" s="889"/>
      <c r="L138" s="889"/>
      <c r="M138" s="889"/>
      <c r="N138" s="889"/>
      <c r="O138" s="889"/>
      <c r="P138" s="889"/>
      <c r="Q138" s="889"/>
      <c r="R138" s="889"/>
      <c r="S138" s="889"/>
      <c r="T138" s="889"/>
      <c r="U138" s="58"/>
      <c r="V138" s="1"/>
      <c r="W138" s="2"/>
      <c r="X138" s="893"/>
      <c r="Y138" s="1"/>
      <c r="Z138" s="1"/>
      <c r="AA138" s="1"/>
      <c r="AB138" s="1"/>
      <c r="AC138" s="1"/>
      <c r="AD138" s="1"/>
      <c r="AE138" s="1"/>
      <c r="AF138" s="1"/>
      <c r="AG138" s="1"/>
    </row>
    <row r="139" spans="1:33" s="3" customFormat="1" ht="16" customHeight="1">
      <c r="A139" s="979"/>
      <c r="B139" s="980"/>
      <c r="C139" s="980"/>
      <c r="D139" s="981"/>
      <c r="E139" s="981"/>
      <c r="F139" s="981"/>
      <c r="G139" s="981"/>
      <c r="H139" s="981"/>
      <c r="I139" s="981"/>
      <c r="J139" s="981"/>
      <c r="K139" s="981"/>
      <c r="L139" s="981"/>
      <c r="M139" s="981"/>
      <c r="N139" s="981"/>
      <c r="O139" s="981"/>
      <c r="P139" s="981"/>
      <c r="Q139" s="981"/>
      <c r="R139" s="981"/>
      <c r="S139" s="981"/>
      <c r="T139" s="981"/>
      <c r="U139" s="58"/>
      <c r="V139" s="1"/>
      <c r="W139" s="2"/>
      <c r="X139" s="893"/>
      <c r="Y139" s="1"/>
      <c r="Z139" s="1"/>
      <c r="AA139" s="1"/>
      <c r="AB139" s="1"/>
      <c r="AC139" s="1"/>
      <c r="AD139" s="1"/>
      <c r="AE139" s="1"/>
      <c r="AF139" s="1"/>
      <c r="AG139" s="1"/>
    </row>
    <row r="140" spans="1:33" s="3" customFormat="1" ht="16" customHeight="1" thickBot="1">
      <c r="A140" s="49"/>
      <c r="B140" s="50" t="s">
        <v>842</v>
      </c>
      <c r="C140" s="49"/>
      <c r="D140" s="54"/>
      <c r="E140" s="54"/>
      <c r="F140" s="54"/>
      <c r="G140" s="54"/>
      <c r="H140" s="54"/>
      <c r="I140" s="54"/>
      <c r="J140" s="54"/>
      <c r="K140" s="54"/>
      <c r="L140" s="54"/>
      <c r="M140" s="55"/>
      <c r="N140" s="54"/>
      <c r="O140" s="54"/>
      <c r="P140" s="54"/>
      <c r="Q140" s="54"/>
      <c r="R140" s="53"/>
      <c r="S140" s="887" t="str">
        <f>'ENR#-DB'!$S$34</f>
        <v>UD1</v>
      </c>
      <c r="T140" s="887" t="str">
        <f>'ENR#-DB'!$T$34</f>
        <v>UD2</v>
      </c>
      <c r="U140" s="60"/>
      <c r="V140" s="56"/>
      <c r="W140" s="2"/>
      <c r="X140" s="893"/>
      <c r="Y140" s="56"/>
      <c r="Z140" s="56"/>
      <c r="AA140" s="56"/>
      <c r="AB140" s="56"/>
      <c r="AC140" s="56"/>
      <c r="AD140" s="56"/>
      <c r="AE140" s="56"/>
      <c r="AF140" s="56"/>
      <c r="AG140" s="1"/>
    </row>
    <row r="141" spans="1:33" s="3" customFormat="1" ht="16" customHeight="1" thickTop="1" thickBot="1">
      <c r="A141" s="49"/>
      <c r="B141" s="51" t="s">
        <v>1375</v>
      </c>
      <c r="C141" s="15"/>
      <c r="D141" s="939" t="s">
        <v>1386</v>
      </c>
      <c r="E141" s="939" t="s">
        <v>1387</v>
      </c>
      <c r="F141" s="939" t="s">
        <v>1388</v>
      </c>
      <c r="G141" s="939" t="s">
        <v>1389</v>
      </c>
      <c r="H141" s="939" t="s">
        <v>1406</v>
      </c>
      <c r="I141" s="939" t="s">
        <v>1390</v>
      </c>
      <c r="J141" s="939" t="s">
        <v>1391</v>
      </c>
      <c r="K141" s="940" t="s">
        <v>1392</v>
      </c>
      <c r="L141" s="939" t="s">
        <v>1188</v>
      </c>
      <c r="M141" s="939" t="s">
        <v>1437</v>
      </c>
      <c r="N141" s="939" t="s">
        <v>1348</v>
      </c>
      <c r="O141" s="939" t="s">
        <v>1393</v>
      </c>
      <c r="P141" s="939" t="s">
        <v>1342</v>
      </c>
      <c r="Q141" s="112" t="s">
        <v>1224</v>
      </c>
      <c r="R141" s="983" t="s">
        <v>846</v>
      </c>
      <c r="S141" s="944" t="s">
        <v>935</v>
      </c>
      <c r="T141" s="944" t="s">
        <v>936</v>
      </c>
      <c r="U141" s="59"/>
      <c r="V141" s="2"/>
      <c r="W141" s="2"/>
      <c r="X141" s="893"/>
      <c r="Y141" s="2"/>
      <c r="Z141" s="2"/>
      <c r="AA141" s="2"/>
      <c r="AB141" s="2"/>
      <c r="AC141" s="2"/>
      <c r="AD141" s="2"/>
      <c r="AE141" s="2"/>
      <c r="AF141" s="2"/>
      <c r="AG141" s="1"/>
    </row>
    <row r="142" spans="1:33" s="3" customFormat="1" ht="16" customHeight="1" thickTop="1">
      <c r="A142" s="49"/>
      <c r="B142" s="50" t="s">
        <v>1346</v>
      </c>
      <c r="C142" s="12"/>
      <c r="D142" s="45"/>
      <c r="E142" s="45"/>
      <c r="F142" s="45"/>
      <c r="G142" s="45"/>
      <c r="H142" s="45"/>
      <c r="I142" s="45"/>
      <c r="J142" s="45"/>
      <c r="K142" s="45"/>
      <c r="L142" s="45" t="s">
        <v>1429</v>
      </c>
      <c r="M142" s="45"/>
      <c r="N142" s="45" t="str">
        <f>$F$8</f>
        <v>FY2010-11</v>
      </c>
      <c r="O142" s="45" t="s">
        <v>843</v>
      </c>
      <c r="P142" s="45" t="s">
        <v>1347</v>
      </c>
      <c r="Q142" s="45"/>
      <c r="R142" s="45" t="s">
        <v>871</v>
      </c>
      <c r="S142" s="45"/>
      <c r="T142" s="45"/>
      <c r="U142" s="58"/>
      <c r="V142" s="1"/>
      <c r="W142" s="2"/>
      <c r="X142" s="893"/>
      <c r="Y142" s="1"/>
      <c r="Z142" s="1"/>
      <c r="AA142" s="1"/>
      <c r="AB142" s="1"/>
      <c r="AC142" s="1"/>
      <c r="AD142" s="1"/>
      <c r="AE142" s="1"/>
      <c r="AF142" s="1"/>
      <c r="AG142" s="1"/>
    </row>
    <row r="143" spans="1:33" s="3" customFormat="1" ht="16" customHeight="1">
      <c r="A143" s="49"/>
      <c r="B143" s="57">
        <f>DSUM('ENR#-DB'!D35:T93,"TOTAL ENROLLMENT",D141:T142)</f>
        <v>2602</v>
      </c>
      <c r="C143" s="12"/>
      <c r="D143" s="889"/>
      <c r="E143" s="889"/>
      <c r="F143" s="889"/>
      <c r="G143" s="889"/>
      <c r="H143" s="889"/>
      <c r="I143" s="889"/>
      <c r="J143" s="889"/>
      <c r="K143" s="889"/>
      <c r="L143" s="889"/>
      <c r="M143" s="889"/>
      <c r="N143" s="889"/>
      <c r="O143" s="889"/>
      <c r="P143" s="889"/>
      <c r="Q143" s="889"/>
      <c r="R143" s="889"/>
      <c r="S143" s="889"/>
      <c r="T143" s="889"/>
      <c r="U143" s="58"/>
      <c r="V143" s="1"/>
      <c r="W143" s="2"/>
      <c r="X143" s="893"/>
      <c r="Y143" s="1"/>
      <c r="Z143" s="1"/>
      <c r="AA143" s="1"/>
      <c r="AB143" s="1"/>
      <c r="AC143" s="1"/>
      <c r="AD143" s="1"/>
      <c r="AE143" s="1"/>
      <c r="AF143" s="1"/>
      <c r="AG143" s="1"/>
    </row>
    <row r="144" spans="1:33" s="3" customFormat="1" ht="16" customHeight="1">
      <c r="A144" s="49"/>
      <c r="B144" s="52"/>
      <c r="C144" s="12"/>
      <c r="D144" s="889"/>
      <c r="E144" s="889"/>
      <c r="F144" s="889"/>
      <c r="G144" s="889"/>
      <c r="H144" s="889"/>
      <c r="I144" s="889"/>
      <c r="J144" s="889"/>
      <c r="K144" s="889"/>
      <c r="L144" s="889"/>
      <c r="M144" s="889"/>
      <c r="N144" s="889"/>
      <c r="O144" s="889"/>
      <c r="P144" s="889"/>
      <c r="Q144" s="889"/>
      <c r="R144" s="889"/>
      <c r="S144" s="889"/>
      <c r="T144" s="889"/>
      <c r="U144" s="58"/>
      <c r="V144" s="1"/>
      <c r="W144" s="2"/>
      <c r="X144" s="893"/>
      <c r="Y144" s="1"/>
      <c r="Z144" s="1"/>
      <c r="AA144" s="1"/>
      <c r="AB144" s="1"/>
      <c r="AC144" s="1"/>
      <c r="AD144" s="1"/>
      <c r="AE144" s="1"/>
      <c r="AF144" s="1"/>
      <c r="AG144" s="1"/>
    </row>
    <row r="145" spans="1:33" s="3" customFormat="1" ht="16" customHeight="1">
      <c r="A145" s="49"/>
      <c r="B145" s="52"/>
      <c r="C145" s="12"/>
      <c r="D145" s="889"/>
      <c r="E145" s="889"/>
      <c r="F145" s="889"/>
      <c r="G145" s="889"/>
      <c r="H145" s="889"/>
      <c r="I145" s="889"/>
      <c r="J145" s="889"/>
      <c r="K145" s="889"/>
      <c r="L145" s="889"/>
      <c r="M145" s="889"/>
      <c r="N145" s="889"/>
      <c r="O145" s="889"/>
      <c r="P145" s="889"/>
      <c r="Q145" s="889"/>
      <c r="R145" s="889"/>
      <c r="S145" s="889"/>
      <c r="T145" s="889"/>
      <c r="U145" s="58"/>
      <c r="V145" s="1"/>
      <c r="W145" s="2"/>
      <c r="X145" s="893"/>
      <c r="Y145" s="1"/>
      <c r="Z145" s="1"/>
      <c r="AA145" s="1"/>
      <c r="AB145" s="1"/>
      <c r="AC145" s="1"/>
      <c r="AD145" s="1"/>
      <c r="AE145" s="1"/>
      <c r="AF145" s="1"/>
      <c r="AG145" s="1"/>
    </row>
    <row r="146" spans="1:33" s="3" customFormat="1" ht="16" customHeight="1">
      <c r="A146" s="49"/>
      <c r="B146" s="52"/>
      <c r="C146" s="12"/>
      <c r="D146" s="889"/>
      <c r="E146" s="889"/>
      <c r="F146" s="889"/>
      <c r="G146" s="889"/>
      <c r="H146" s="889"/>
      <c r="I146" s="889"/>
      <c r="J146" s="889"/>
      <c r="K146" s="889"/>
      <c r="L146" s="889"/>
      <c r="M146" s="889"/>
      <c r="N146" s="889"/>
      <c r="O146" s="889"/>
      <c r="P146" s="889"/>
      <c r="Q146" s="889"/>
      <c r="R146" s="889"/>
      <c r="S146" s="889"/>
      <c r="T146" s="889"/>
      <c r="U146" s="58"/>
      <c r="V146" s="1"/>
      <c r="W146" s="2"/>
      <c r="X146" s="893"/>
      <c r="Y146" s="1"/>
      <c r="Z146" s="1"/>
      <c r="AA146" s="1"/>
      <c r="AB146" s="1"/>
      <c r="AC146" s="1"/>
      <c r="AD146" s="1"/>
      <c r="AE146" s="1"/>
      <c r="AF146" s="1"/>
      <c r="AG146" s="1"/>
    </row>
    <row r="147" spans="1:33" s="3" customFormat="1" ht="16" customHeight="1">
      <c r="A147" s="49"/>
      <c r="B147" s="52"/>
      <c r="C147" s="12"/>
      <c r="D147" s="889"/>
      <c r="E147" s="889"/>
      <c r="F147" s="889"/>
      <c r="G147" s="889"/>
      <c r="H147" s="889"/>
      <c r="I147" s="889"/>
      <c r="J147" s="889"/>
      <c r="K147" s="889"/>
      <c r="L147" s="889"/>
      <c r="M147" s="889"/>
      <c r="N147" s="889"/>
      <c r="O147" s="889"/>
      <c r="P147" s="889"/>
      <c r="Q147" s="889"/>
      <c r="R147" s="889"/>
      <c r="S147" s="889"/>
      <c r="T147" s="889"/>
      <c r="U147" s="58"/>
      <c r="V147" s="1"/>
      <c r="W147" s="2"/>
      <c r="X147" s="893"/>
      <c r="Y147" s="1"/>
      <c r="Z147" s="1"/>
      <c r="AA147" s="1"/>
      <c r="AB147" s="1"/>
      <c r="AC147" s="1"/>
      <c r="AD147" s="1"/>
      <c r="AE147" s="1"/>
      <c r="AF147" s="1"/>
      <c r="AG147" s="1"/>
    </row>
    <row r="148" spans="1:33" s="3" customFormat="1" ht="16" customHeight="1">
      <c r="A148" s="49"/>
      <c r="B148" s="52"/>
      <c r="C148" s="12"/>
      <c r="D148" s="889"/>
      <c r="E148" s="889"/>
      <c r="F148" s="889"/>
      <c r="G148" s="889"/>
      <c r="H148" s="889"/>
      <c r="I148" s="889"/>
      <c r="J148" s="889"/>
      <c r="K148" s="889"/>
      <c r="L148" s="889"/>
      <c r="M148" s="889"/>
      <c r="N148" s="889"/>
      <c r="O148" s="889"/>
      <c r="P148" s="889"/>
      <c r="Q148" s="889"/>
      <c r="R148" s="889"/>
      <c r="S148" s="889"/>
      <c r="T148" s="889"/>
      <c r="U148" s="58"/>
      <c r="V148" s="1"/>
      <c r="W148" s="2"/>
      <c r="X148" s="893"/>
      <c r="Y148" s="1"/>
      <c r="Z148" s="1"/>
      <c r="AA148" s="1"/>
      <c r="AB148" s="1"/>
      <c r="AC148" s="1"/>
      <c r="AD148" s="1"/>
      <c r="AE148" s="1"/>
      <c r="AF148" s="1"/>
      <c r="AG148" s="1"/>
    </row>
    <row r="149" spans="1:33" s="3" customFormat="1" ht="16" customHeight="1">
      <c r="A149" s="979"/>
      <c r="B149" s="980"/>
      <c r="C149" s="980"/>
      <c r="D149" s="981"/>
      <c r="E149" s="981"/>
      <c r="F149" s="981"/>
      <c r="G149" s="981"/>
      <c r="H149" s="981"/>
      <c r="I149" s="981"/>
      <c r="J149" s="981"/>
      <c r="K149" s="981"/>
      <c r="L149" s="981"/>
      <c r="M149" s="981"/>
      <c r="N149" s="981"/>
      <c r="O149" s="981"/>
      <c r="P149" s="981"/>
      <c r="Q149" s="981"/>
      <c r="R149" s="981"/>
      <c r="S149" s="981"/>
      <c r="T149" s="981"/>
      <c r="U149" s="58"/>
      <c r="V149" s="1"/>
      <c r="W149" s="2"/>
      <c r="X149" s="893"/>
      <c r="Y149" s="1"/>
      <c r="Z149" s="1"/>
      <c r="AA149" s="1"/>
      <c r="AB149" s="1"/>
      <c r="AC149" s="1"/>
      <c r="AD149" s="1"/>
      <c r="AE149" s="1"/>
      <c r="AF149" s="1"/>
      <c r="AG149" s="1"/>
    </row>
    <row r="150" spans="1:33" s="3" customFormat="1" ht="16" customHeight="1" thickBot="1">
      <c r="A150" s="49"/>
      <c r="B150" s="50" t="s">
        <v>1436</v>
      </c>
      <c r="C150" s="49"/>
      <c r="D150" s="54"/>
      <c r="E150" s="54"/>
      <c r="F150" s="54"/>
      <c r="G150" s="54"/>
      <c r="H150" s="54"/>
      <c r="I150" s="54"/>
      <c r="J150" s="54"/>
      <c r="K150" s="54"/>
      <c r="L150" s="54"/>
      <c r="M150" s="55"/>
      <c r="N150" s="54"/>
      <c r="O150" s="54"/>
      <c r="P150" s="54"/>
      <c r="Q150" s="54"/>
      <c r="R150" s="53"/>
      <c r="S150" s="887" t="str">
        <f>'ENR#-DB'!$S$34</f>
        <v>UD1</v>
      </c>
      <c r="T150" s="887" t="str">
        <f>'ENR#-DB'!$T$34</f>
        <v>UD2</v>
      </c>
      <c r="U150" s="60"/>
      <c r="V150" s="56"/>
      <c r="W150" s="2"/>
      <c r="X150" s="893"/>
      <c r="Y150" s="56"/>
      <c r="Z150" s="56"/>
      <c r="AA150" s="56"/>
      <c r="AB150" s="56"/>
      <c r="AC150" s="56"/>
      <c r="AD150" s="56"/>
      <c r="AE150" s="56"/>
      <c r="AF150" s="56"/>
      <c r="AG150" s="1"/>
    </row>
    <row r="151" spans="1:33" s="3" customFormat="1" ht="16" customHeight="1" thickTop="1" thickBot="1">
      <c r="A151" s="49"/>
      <c r="B151" s="51" t="s">
        <v>1399</v>
      </c>
      <c r="C151" s="15"/>
      <c r="D151" s="939" t="s">
        <v>1386</v>
      </c>
      <c r="E151" s="939" t="s">
        <v>1387</v>
      </c>
      <c r="F151" s="939" t="s">
        <v>1388</v>
      </c>
      <c r="G151" s="939" t="s">
        <v>1389</v>
      </c>
      <c r="H151" s="939" t="s">
        <v>1406</v>
      </c>
      <c r="I151" s="939" t="s">
        <v>1390</v>
      </c>
      <c r="J151" s="939" t="s">
        <v>1391</v>
      </c>
      <c r="K151" s="940" t="s">
        <v>1392</v>
      </c>
      <c r="L151" s="939" t="s">
        <v>1188</v>
      </c>
      <c r="M151" s="939" t="s">
        <v>1437</v>
      </c>
      <c r="N151" s="939" t="s">
        <v>1348</v>
      </c>
      <c r="O151" s="939" t="s">
        <v>1393</v>
      </c>
      <c r="P151" s="939" t="s">
        <v>1342</v>
      </c>
      <c r="Q151" s="112" t="s">
        <v>1224</v>
      </c>
      <c r="R151" s="983" t="s">
        <v>846</v>
      </c>
      <c r="S151" s="944" t="s">
        <v>935</v>
      </c>
      <c r="T151" s="944" t="s">
        <v>936</v>
      </c>
      <c r="U151" s="59"/>
      <c r="V151" s="2"/>
      <c r="W151" s="2"/>
      <c r="X151" s="893"/>
      <c r="Y151" s="2"/>
      <c r="Z151" s="2"/>
      <c r="AA151" s="2"/>
      <c r="AB151" s="2"/>
      <c r="AC151" s="2"/>
      <c r="AD151" s="2"/>
      <c r="AE151" s="2"/>
      <c r="AF151" s="2"/>
      <c r="AG151" s="1"/>
    </row>
    <row r="152" spans="1:33" s="3" customFormat="1" ht="16" customHeight="1" thickTop="1">
      <c r="A152" s="49"/>
      <c r="B152" s="50" t="s">
        <v>1346</v>
      </c>
      <c r="C152" s="12"/>
      <c r="D152" s="45"/>
      <c r="E152" s="45"/>
      <c r="F152" s="45"/>
      <c r="G152" s="45"/>
      <c r="H152" s="45"/>
      <c r="I152" s="45"/>
      <c r="J152" s="45"/>
      <c r="K152" s="45"/>
      <c r="L152" s="45" t="s">
        <v>1429</v>
      </c>
      <c r="M152" s="45"/>
      <c r="N152" s="45" t="str">
        <f>$F$8</f>
        <v>FY2010-11</v>
      </c>
      <c r="O152" s="45" t="s">
        <v>1436</v>
      </c>
      <c r="P152" s="45" t="s">
        <v>1338</v>
      </c>
      <c r="Q152" s="45"/>
      <c r="R152" s="45"/>
      <c r="S152" s="45"/>
      <c r="T152" s="45"/>
      <c r="U152" s="58"/>
      <c r="V152" s="1"/>
      <c r="W152" s="2"/>
      <c r="X152" s="893"/>
      <c r="Y152" s="1"/>
      <c r="Z152" s="1"/>
      <c r="AA152" s="1"/>
      <c r="AB152" s="1"/>
      <c r="AC152" s="1"/>
      <c r="AD152" s="1"/>
      <c r="AE152" s="1"/>
      <c r="AF152" s="1"/>
      <c r="AG152" s="1"/>
    </row>
    <row r="153" spans="1:33" s="3" customFormat="1" ht="16" customHeight="1">
      <c r="A153" s="49"/>
      <c r="B153" s="57">
        <f>DSUM('ENR#-DB'!D35:T93,"TOTAL ENROLLMENT",D151:T153)</f>
        <v>437293</v>
      </c>
      <c r="C153" s="12"/>
      <c r="D153" s="45"/>
      <c r="E153" s="45"/>
      <c r="F153" s="45"/>
      <c r="G153" s="45"/>
      <c r="H153" s="45"/>
      <c r="I153" s="45"/>
      <c r="J153" s="45"/>
      <c r="K153" s="45"/>
      <c r="L153" s="45" t="s">
        <v>1429</v>
      </c>
      <c r="M153" s="45"/>
      <c r="N153" s="45" t="str">
        <f>$F$8</f>
        <v>FY2010-11</v>
      </c>
      <c r="O153" s="45" t="s">
        <v>1436</v>
      </c>
      <c r="P153" s="45" t="s">
        <v>1347</v>
      </c>
      <c r="Q153" s="45"/>
      <c r="R153" s="45" t="s">
        <v>1303</v>
      </c>
      <c r="S153" s="45"/>
      <c r="T153" s="45"/>
      <c r="U153" s="58"/>
      <c r="V153" s="1"/>
      <c r="W153" s="2"/>
      <c r="X153" s="893"/>
      <c r="Y153" s="1"/>
      <c r="Z153" s="1"/>
      <c r="AA153" s="1"/>
      <c r="AB153" s="1"/>
      <c r="AC153" s="1"/>
      <c r="AD153" s="1"/>
      <c r="AE153" s="1"/>
      <c r="AF153" s="1"/>
      <c r="AG153" s="1"/>
    </row>
    <row r="154" spans="1:33" s="3" customFormat="1" ht="16" customHeight="1">
      <c r="A154" s="49"/>
      <c r="B154" s="52"/>
      <c r="C154" s="12"/>
      <c r="D154" s="889"/>
      <c r="E154" s="889"/>
      <c r="F154" s="889"/>
      <c r="G154" s="889"/>
      <c r="H154" s="889"/>
      <c r="I154" s="889"/>
      <c r="J154" s="889"/>
      <c r="K154" s="889"/>
      <c r="L154" s="889"/>
      <c r="M154" s="889"/>
      <c r="N154" s="889"/>
      <c r="O154" s="889"/>
      <c r="P154" s="889"/>
      <c r="Q154" s="889"/>
      <c r="R154" s="889"/>
      <c r="S154" s="889"/>
      <c r="T154" s="889"/>
      <c r="U154" s="58"/>
      <c r="V154" s="1"/>
      <c r="W154" s="2"/>
      <c r="X154" s="893"/>
      <c r="Y154" s="1"/>
      <c r="Z154" s="1"/>
      <c r="AA154" s="1"/>
      <c r="AB154" s="1"/>
      <c r="AC154" s="1"/>
      <c r="AD154" s="1"/>
      <c r="AE154" s="1"/>
      <c r="AF154" s="1"/>
      <c r="AG154" s="1"/>
    </row>
    <row r="155" spans="1:33" s="3" customFormat="1" ht="16" customHeight="1">
      <c r="A155" s="49"/>
      <c r="B155" s="52"/>
      <c r="C155" s="12"/>
      <c r="D155" s="889"/>
      <c r="E155" s="889"/>
      <c r="F155" s="889"/>
      <c r="G155" s="889"/>
      <c r="H155" s="889"/>
      <c r="I155" s="889"/>
      <c r="J155" s="889"/>
      <c r="K155" s="889"/>
      <c r="L155" s="889"/>
      <c r="M155" s="889"/>
      <c r="N155" s="889"/>
      <c r="O155" s="889"/>
      <c r="P155" s="889"/>
      <c r="Q155" s="889"/>
      <c r="R155" s="889"/>
      <c r="S155" s="889"/>
      <c r="T155" s="889"/>
      <c r="U155" s="58"/>
      <c r="V155" s="1"/>
      <c r="W155" s="2"/>
      <c r="X155" s="893"/>
      <c r="Y155" s="1"/>
      <c r="Z155" s="1"/>
      <c r="AA155" s="1"/>
      <c r="AB155" s="1"/>
      <c r="AC155" s="1"/>
      <c r="AD155" s="1"/>
      <c r="AE155" s="1"/>
      <c r="AF155" s="1"/>
      <c r="AG155" s="1"/>
    </row>
    <row r="156" spans="1:33" s="3" customFormat="1" ht="16" customHeight="1">
      <c r="A156" s="49"/>
      <c r="B156" s="52"/>
      <c r="C156" s="12"/>
      <c r="D156" s="889"/>
      <c r="E156" s="889"/>
      <c r="F156" s="889"/>
      <c r="G156" s="889"/>
      <c r="H156" s="889"/>
      <c r="I156" s="889"/>
      <c r="J156" s="889"/>
      <c r="K156" s="889"/>
      <c r="L156" s="889"/>
      <c r="M156" s="889"/>
      <c r="N156" s="889"/>
      <c r="O156" s="889"/>
      <c r="P156" s="889"/>
      <c r="Q156" s="889"/>
      <c r="R156" s="889"/>
      <c r="S156" s="889"/>
      <c r="T156" s="889"/>
      <c r="U156" s="58"/>
      <c r="V156" s="1"/>
      <c r="W156" s="2"/>
      <c r="X156" s="893"/>
      <c r="Y156" s="1"/>
      <c r="Z156" s="1"/>
      <c r="AA156" s="1"/>
      <c r="AB156" s="1"/>
      <c r="AC156" s="1"/>
      <c r="AD156" s="1"/>
      <c r="AE156" s="1"/>
      <c r="AF156" s="1"/>
      <c r="AG156" s="1"/>
    </row>
    <row r="157" spans="1:33" s="3" customFormat="1" ht="16" customHeight="1">
      <c r="A157" s="49"/>
      <c r="B157" s="52"/>
      <c r="C157" s="12"/>
      <c r="D157" s="889"/>
      <c r="E157" s="889"/>
      <c r="F157" s="889"/>
      <c r="G157" s="889"/>
      <c r="H157" s="889"/>
      <c r="I157" s="889"/>
      <c r="J157" s="889"/>
      <c r="K157" s="889"/>
      <c r="L157" s="889"/>
      <c r="M157" s="889"/>
      <c r="N157" s="889"/>
      <c r="O157" s="889"/>
      <c r="P157" s="889"/>
      <c r="Q157" s="889"/>
      <c r="R157" s="889"/>
      <c r="S157" s="889"/>
      <c r="T157" s="889"/>
      <c r="U157" s="58"/>
      <c r="V157" s="1"/>
      <c r="W157" s="2"/>
      <c r="X157" s="893"/>
      <c r="Y157" s="1"/>
      <c r="Z157" s="1"/>
      <c r="AA157" s="1"/>
      <c r="AB157" s="1"/>
      <c r="AC157" s="1"/>
      <c r="AD157" s="1"/>
      <c r="AE157" s="1"/>
      <c r="AF157" s="1"/>
      <c r="AG157" s="1"/>
    </row>
    <row r="158" spans="1:33" s="3" customFormat="1" ht="16" customHeight="1">
      <c r="A158" s="49"/>
      <c r="B158" s="52"/>
      <c r="C158" s="12"/>
      <c r="D158" s="889"/>
      <c r="E158" s="889"/>
      <c r="F158" s="889"/>
      <c r="G158" s="889"/>
      <c r="H158" s="889"/>
      <c r="I158" s="889"/>
      <c r="J158" s="889"/>
      <c r="K158" s="889"/>
      <c r="L158" s="889"/>
      <c r="M158" s="889"/>
      <c r="N158" s="889"/>
      <c r="O158" s="889"/>
      <c r="P158" s="889"/>
      <c r="Q158" s="889"/>
      <c r="R158" s="889"/>
      <c r="S158" s="889"/>
      <c r="T158" s="889"/>
      <c r="U158" s="58"/>
      <c r="V158" s="1"/>
      <c r="W158" s="2"/>
      <c r="X158" s="893"/>
      <c r="Y158" s="1"/>
      <c r="Z158" s="1"/>
      <c r="AA158" s="1"/>
      <c r="AB158" s="1"/>
      <c r="AC158" s="1"/>
      <c r="AD158" s="1"/>
      <c r="AE158" s="1"/>
      <c r="AF158" s="1"/>
      <c r="AG158" s="1"/>
    </row>
    <row r="159" spans="1:33" s="3" customFormat="1" ht="16" customHeight="1">
      <c r="A159" s="979"/>
      <c r="B159" s="980"/>
      <c r="C159" s="980"/>
      <c r="D159" s="981"/>
      <c r="E159" s="981"/>
      <c r="F159" s="981"/>
      <c r="G159" s="981"/>
      <c r="H159" s="981"/>
      <c r="I159" s="981"/>
      <c r="J159" s="981"/>
      <c r="K159" s="981"/>
      <c r="L159" s="981"/>
      <c r="M159" s="981"/>
      <c r="N159" s="981"/>
      <c r="O159" s="981"/>
      <c r="P159" s="981"/>
      <c r="Q159" s="981"/>
      <c r="R159" s="981"/>
      <c r="S159" s="981"/>
      <c r="T159" s="981"/>
      <c r="U159" s="58"/>
      <c r="V159" s="1"/>
      <c r="W159" s="2"/>
      <c r="X159" s="893"/>
      <c r="Y159" s="1"/>
      <c r="Z159" s="1"/>
      <c r="AA159" s="1"/>
      <c r="AB159" s="1"/>
      <c r="AC159" s="1"/>
      <c r="AD159" s="1"/>
      <c r="AE159" s="1"/>
      <c r="AF159" s="1"/>
      <c r="AG159" s="1"/>
    </row>
    <row r="160" spans="1:33" s="3" customFormat="1" ht="16" customHeight="1" thickBot="1">
      <c r="A160" s="49"/>
      <c r="B160" s="50" t="s">
        <v>1436</v>
      </c>
      <c r="C160" s="49"/>
      <c r="D160" s="54"/>
      <c r="E160" s="54"/>
      <c r="F160" s="54"/>
      <c r="G160" s="54"/>
      <c r="H160" s="54"/>
      <c r="I160" s="54"/>
      <c r="J160" s="54"/>
      <c r="K160" s="54"/>
      <c r="L160" s="54"/>
      <c r="M160" s="55"/>
      <c r="N160" s="54"/>
      <c r="O160" s="54"/>
      <c r="P160" s="54"/>
      <c r="Q160" s="54"/>
      <c r="R160" s="53"/>
      <c r="S160" s="887" t="str">
        <f>'ENR#-DB'!$S$34</f>
        <v>UD1</v>
      </c>
      <c r="T160" s="887" t="str">
        <f>'ENR#-DB'!$T$34</f>
        <v>UD2</v>
      </c>
      <c r="U160" s="60"/>
      <c r="V160" s="56"/>
      <c r="W160" s="2"/>
      <c r="X160" s="893"/>
      <c r="Y160" s="56"/>
      <c r="Z160" s="56"/>
      <c r="AA160" s="56"/>
      <c r="AB160" s="56"/>
      <c r="AC160" s="56"/>
      <c r="AD160" s="56"/>
      <c r="AE160" s="56"/>
      <c r="AF160" s="56"/>
      <c r="AG160" s="1"/>
    </row>
    <row r="161" spans="1:33" s="3" customFormat="1" ht="16" customHeight="1" thickTop="1" thickBot="1">
      <c r="A161" s="49"/>
      <c r="B161" s="51" t="s">
        <v>1375</v>
      </c>
      <c r="C161" s="15"/>
      <c r="D161" s="939" t="s">
        <v>1386</v>
      </c>
      <c r="E161" s="939" t="s">
        <v>1387</v>
      </c>
      <c r="F161" s="939" t="s">
        <v>1388</v>
      </c>
      <c r="G161" s="939" t="s">
        <v>1389</v>
      </c>
      <c r="H161" s="939" t="s">
        <v>1406</v>
      </c>
      <c r="I161" s="939" t="s">
        <v>1390</v>
      </c>
      <c r="J161" s="939" t="s">
        <v>1391</v>
      </c>
      <c r="K161" s="940" t="s">
        <v>1392</v>
      </c>
      <c r="L161" s="939" t="s">
        <v>1188</v>
      </c>
      <c r="M161" s="939" t="s">
        <v>1437</v>
      </c>
      <c r="N161" s="939" t="s">
        <v>1348</v>
      </c>
      <c r="O161" s="939" t="s">
        <v>1393</v>
      </c>
      <c r="P161" s="939" t="s">
        <v>1342</v>
      </c>
      <c r="Q161" s="112" t="s">
        <v>1224</v>
      </c>
      <c r="R161" s="983" t="s">
        <v>846</v>
      </c>
      <c r="S161" s="944" t="s">
        <v>935</v>
      </c>
      <c r="T161" s="944" t="s">
        <v>936</v>
      </c>
      <c r="U161" s="59"/>
      <c r="V161" s="2"/>
      <c r="W161" s="2"/>
      <c r="X161" s="893"/>
      <c r="Y161" s="2"/>
      <c r="Z161" s="2"/>
      <c r="AA161" s="2"/>
      <c r="AB161" s="2"/>
      <c r="AC161" s="2"/>
      <c r="AD161" s="2"/>
      <c r="AE161" s="2"/>
      <c r="AF161" s="2"/>
      <c r="AG161" s="1"/>
    </row>
    <row r="162" spans="1:33" s="3" customFormat="1" ht="16" customHeight="1" thickTop="1">
      <c r="A162" s="49"/>
      <c r="B162" s="50" t="s">
        <v>1346</v>
      </c>
      <c r="C162" s="12"/>
      <c r="D162" s="45"/>
      <c r="E162" s="45"/>
      <c r="F162" s="45"/>
      <c r="G162" s="45"/>
      <c r="H162" s="45"/>
      <c r="I162" s="45"/>
      <c r="J162" s="45"/>
      <c r="K162" s="45"/>
      <c r="L162" s="45" t="s">
        <v>1429</v>
      </c>
      <c r="M162" s="45"/>
      <c r="N162" s="45" t="str">
        <f>$F$8</f>
        <v>FY2010-11</v>
      </c>
      <c r="O162" s="45" t="s">
        <v>1436</v>
      </c>
      <c r="P162" s="45" t="s">
        <v>1347</v>
      </c>
      <c r="Q162" s="45"/>
      <c r="R162" s="45" t="s">
        <v>871</v>
      </c>
      <c r="S162" s="45"/>
      <c r="T162" s="45"/>
      <c r="U162" s="58"/>
      <c r="V162" s="1"/>
      <c r="W162" s="2"/>
      <c r="X162" s="893"/>
      <c r="Y162" s="1"/>
      <c r="Z162" s="1"/>
      <c r="AA162" s="1"/>
      <c r="AB162" s="1"/>
      <c r="AC162" s="1"/>
      <c r="AD162" s="1"/>
      <c r="AE162" s="1"/>
      <c r="AF162" s="1"/>
      <c r="AG162" s="1"/>
    </row>
    <row r="163" spans="1:33" s="3" customFormat="1" ht="16" customHeight="1">
      <c r="A163" s="49"/>
      <c r="B163" s="57">
        <f>DSUM('ENR#-DB'!D35:T93,"TOTAL ENROLLMENT",D161:T162)</f>
        <v>3738</v>
      </c>
      <c r="C163" s="12"/>
      <c r="D163" s="889"/>
      <c r="E163" s="889"/>
      <c r="F163" s="889"/>
      <c r="G163" s="889"/>
      <c r="H163" s="889"/>
      <c r="I163" s="889"/>
      <c r="J163" s="889"/>
      <c r="K163" s="889"/>
      <c r="L163" s="889"/>
      <c r="M163" s="889"/>
      <c r="N163" s="889"/>
      <c r="O163" s="889"/>
      <c r="P163" s="889"/>
      <c r="Q163" s="889"/>
      <c r="R163" s="889"/>
      <c r="S163" s="889"/>
      <c r="T163" s="889"/>
      <c r="U163" s="58"/>
      <c r="V163" s="1"/>
      <c r="W163" s="2"/>
      <c r="X163" s="893"/>
      <c r="Y163" s="1"/>
      <c r="Z163" s="1"/>
      <c r="AA163" s="1"/>
      <c r="AB163" s="1"/>
      <c r="AC163" s="1"/>
      <c r="AD163" s="1"/>
      <c r="AE163" s="1"/>
      <c r="AF163" s="1"/>
      <c r="AG163" s="1"/>
    </row>
    <row r="164" spans="1:33" s="3" customFormat="1" ht="16" customHeight="1">
      <c r="A164" s="49"/>
      <c r="B164" s="52"/>
      <c r="C164" s="12"/>
      <c r="D164" s="889"/>
      <c r="E164" s="889"/>
      <c r="F164" s="889"/>
      <c r="G164" s="889"/>
      <c r="H164" s="889"/>
      <c r="I164" s="889"/>
      <c r="J164" s="889"/>
      <c r="K164" s="889"/>
      <c r="L164" s="889"/>
      <c r="M164" s="889"/>
      <c r="N164" s="889"/>
      <c r="O164" s="889"/>
      <c r="P164" s="889"/>
      <c r="Q164" s="889"/>
      <c r="R164" s="889"/>
      <c r="S164" s="889"/>
      <c r="T164" s="889"/>
      <c r="U164" s="58"/>
      <c r="V164" s="1"/>
      <c r="W164" s="2"/>
      <c r="X164" s="893"/>
      <c r="Y164" s="1"/>
      <c r="Z164" s="1"/>
      <c r="AA164" s="1"/>
      <c r="AB164" s="1"/>
      <c r="AC164" s="1"/>
      <c r="AD164" s="1"/>
      <c r="AE164" s="1"/>
      <c r="AF164" s="1"/>
      <c r="AG164" s="1"/>
    </row>
    <row r="165" spans="1:33" s="3" customFormat="1" ht="16" customHeight="1">
      <c r="A165" s="49"/>
      <c r="B165" s="52"/>
      <c r="C165" s="12"/>
      <c r="D165" s="889"/>
      <c r="E165" s="889"/>
      <c r="F165" s="889"/>
      <c r="G165" s="889"/>
      <c r="H165" s="889"/>
      <c r="I165" s="889"/>
      <c r="J165" s="889"/>
      <c r="K165" s="889"/>
      <c r="L165" s="889"/>
      <c r="M165" s="889"/>
      <c r="N165" s="889"/>
      <c r="O165" s="889"/>
      <c r="P165" s="889"/>
      <c r="Q165" s="889"/>
      <c r="R165" s="889"/>
      <c r="S165" s="889"/>
      <c r="T165" s="889"/>
      <c r="U165" s="58"/>
      <c r="V165" s="1"/>
      <c r="W165" s="2"/>
      <c r="X165" s="893"/>
      <c r="Y165" s="1"/>
      <c r="Z165" s="1"/>
      <c r="AA165" s="1"/>
      <c r="AB165" s="1"/>
      <c r="AC165" s="1"/>
      <c r="AD165" s="1"/>
      <c r="AE165" s="1"/>
      <c r="AF165" s="1"/>
      <c r="AG165" s="1"/>
    </row>
    <row r="166" spans="1:33" s="3" customFormat="1" ht="16" customHeight="1">
      <c r="A166" s="49"/>
      <c r="B166" s="52"/>
      <c r="C166" s="12"/>
      <c r="D166" s="889"/>
      <c r="E166" s="889"/>
      <c r="F166" s="889"/>
      <c r="G166" s="889"/>
      <c r="H166" s="889"/>
      <c r="I166" s="889"/>
      <c r="J166" s="889"/>
      <c r="K166" s="889"/>
      <c r="L166" s="889"/>
      <c r="M166" s="889"/>
      <c r="N166" s="889"/>
      <c r="O166" s="889"/>
      <c r="P166" s="889"/>
      <c r="Q166" s="889"/>
      <c r="R166" s="889"/>
      <c r="S166" s="889"/>
      <c r="T166" s="889"/>
      <c r="U166" s="58"/>
      <c r="V166" s="1"/>
      <c r="W166" s="2"/>
      <c r="X166" s="893"/>
      <c r="Y166" s="1"/>
      <c r="Z166" s="1"/>
      <c r="AA166" s="1"/>
      <c r="AB166" s="1"/>
      <c r="AC166" s="1"/>
      <c r="AD166" s="1"/>
      <c r="AE166" s="1"/>
      <c r="AF166" s="1"/>
      <c r="AG166" s="1"/>
    </row>
    <row r="167" spans="1:33" s="3" customFormat="1" ht="16" customHeight="1">
      <c r="A167" s="49"/>
      <c r="B167" s="52"/>
      <c r="C167" s="12"/>
      <c r="D167" s="889"/>
      <c r="E167" s="889"/>
      <c r="F167" s="889"/>
      <c r="G167" s="889"/>
      <c r="H167" s="889"/>
      <c r="I167" s="889"/>
      <c r="J167" s="889"/>
      <c r="K167" s="889"/>
      <c r="L167" s="889"/>
      <c r="M167" s="889"/>
      <c r="N167" s="889"/>
      <c r="O167" s="889"/>
      <c r="P167" s="889"/>
      <c r="Q167" s="889"/>
      <c r="R167" s="889"/>
      <c r="S167" s="889"/>
      <c r="T167" s="889"/>
      <c r="U167" s="58"/>
      <c r="V167" s="1"/>
      <c r="W167" s="2"/>
      <c r="X167" s="893"/>
      <c r="Y167" s="1"/>
      <c r="Z167" s="1"/>
      <c r="AA167" s="1"/>
      <c r="AB167" s="1"/>
      <c r="AC167" s="1"/>
      <c r="AD167" s="1"/>
      <c r="AE167" s="1"/>
      <c r="AF167" s="1"/>
      <c r="AG167" s="1"/>
    </row>
    <row r="168" spans="1:33" s="3" customFormat="1" ht="16" customHeight="1">
      <c r="A168" s="49"/>
      <c r="B168" s="52"/>
      <c r="C168" s="12"/>
      <c r="D168" s="889"/>
      <c r="E168" s="889"/>
      <c r="F168" s="889"/>
      <c r="G168" s="889"/>
      <c r="H168" s="889"/>
      <c r="I168" s="889"/>
      <c r="J168" s="889"/>
      <c r="K168" s="889"/>
      <c r="L168" s="889"/>
      <c r="M168" s="889"/>
      <c r="N168" s="889"/>
      <c r="O168" s="889"/>
      <c r="P168" s="889"/>
      <c r="Q168" s="889"/>
      <c r="R168" s="889"/>
      <c r="S168" s="889"/>
      <c r="T168" s="889"/>
      <c r="U168" s="58"/>
      <c r="V168" s="1"/>
      <c r="W168" s="2"/>
      <c r="X168" s="893"/>
      <c r="Y168" s="1"/>
      <c r="Z168" s="1"/>
      <c r="AA168" s="1"/>
      <c r="AB168" s="1"/>
      <c r="AC168" s="1"/>
      <c r="AD168" s="1"/>
      <c r="AE168" s="1"/>
      <c r="AF168" s="1"/>
      <c r="AG168" s="1"/>
    </row>
    <row r="169" spans="1:33" s="3" customFormat="1" ht="16" customHeight="1">
      <c r="A169" s="979"/>
      <c r="B169" s="980"/>
      <c r="C169" s="980"/>
      <c r="D169" s="981"/>
      <c r="E169" s="981"/>
      <c r="F169" s="981"/>
      <c r="G169" s="981"/>
      <c r="H169" s="981"/>
      <c r="I169" s="981"/>
      <c r="J169" s="981"/>
      <c r="K169" s="981"/>
      <c r="L169" s="981"/>
      <c r="M169" s="981"/>
      <c r="N169" s="981"/>
      <c r="O169" s="981"/>
      <c r="P169" s="981"/>
      <c r="Q169" s="981"/>
      <c r="R169" s="981"/>
      <c r="S169" s="981"/>
      <c r="T169" s="981"/>
      <c r="U169" s="58"/>
      <c r="V169" s="1"/>
      <c r="W169" s="2"/>
      <c r="X169" s="893"/>
      <c r="Y169" s="1"/>
      <c r="Z169" s="1"/>
      <c r="AA169" s="1"/>
      <c r="AB169" s="1"/>
      <c r="AC169" s="1"/>
      <c r="AD169" s="1"/>
      <c r="AE169" s="1"/>
      <c r="AF169" s="1"/>
      <c r="AG169" s="1"/>
    </row>
    <row r="170" spans="1:33" s="1052" customFormat="1" ht="16" customHeight="1" thickBot="1">
      <c r="A170" s="49"/>
      <c r="B170" s="50" t="s">
        <v>867</v>
      </c>
      <c r="C170" s="49"/>
      <c r="D170" s="54"/>
      <c r="E170" s="54"/>
      <c r="F170" s="54"/>
      <c r="G170" s="54"/>
      <c r="H170" s="54"/>
      <c r="I170" s="54"/>
      <c r="J170" s="54"/>
      <c r="K170" s="54"/>
      <c r="L170" s="54"/>
      <c r="M170" s="55"/>
      <c r="N170" s="54"/>
      <c r="O170" s="54"/>
      <c r="P170" s="54"/>
      <c r="Q170" s="54"/>
      <c r="R170" s="53"/>
      <c r="S170" s="887" t="str">
        <f>'[1]ENR#-DB'!$S$34</f>
        <v>UD1</v>
      </c>
      <c r="T170" s="887" t="str">
        <f>'[1]ENR#-DB'!$T$34</f>
        <v>UD2</v>
      </c>
      <c r="U170" s="60"/>
      <c r="W170" s="891"/>
      <c r="X170" s="894"/>
    </row>
    <row r="171" spans="1:33" s="1052" customFormat="1" ht="16" customHeight="1" thickTop="1" thickBot="1">
      <c r="A171" s="49"/>
      <c r="B171" s="51" t="s">
        <v>864</v>
      </c>
      <c r="C171" s="15"/>
      <c r="D171" s="990" t="s">
        <v>1386</v>
      </c>
      <c r="E171" s="990" t="s">
        <v>1387</v>
      </c>
      <c r="F171" s="990" t="s">
        <v>1388</v>
      </c>
      <c r="G171" s="990" t="s">
        <v>1389</v>
      </c>
      <c r="H171" s="990" t="s">
        <v>1406</v>
      </c>
      <c r="I171" s="990" t="s">
        <v>1390</v>
      </c>
      <c r="J171" s="990" t="s">
        <v>1391</v>
      </c>
      <c r="K171" s="1051" t="s">
        <v>1392</v>
      </c>
      <c r="L171" s="990" t="s">
        <v>1188</v>
      </c>
      <c r="M171" s="990" t="s">
        <v>1437</v>
      </c>
      <c r="N171" s="990" t="s">
        <v>1348</v>
      </c>
      <c r="O171" s="990" t="s">
        <v>1393</v>
      </c>
      <c r="P171" s="990" t="s">
        <v>1342</v>
      </c>
      <c r="Q171" s="112" t="s">
        <v>1224</v>
      </c>
      <c r="R171" s="1053" t="s">
        <v>846</v>
      </c>
      <c r="S171" s="944" t="s">
        <v>935</v>
      </c>
      <c r="T171" s="944" t="s">
        <v>936</v>
      </c>
      <c r="U171" s="59"/>
      <c r="W171" s="891"/>
      <c r="X171" s="894"/>
    </row>
    <row r="172" spans="1:33" s="1052" customFormat="1" ht="16" customHeight="1" thickTop="1">
      <c r="A172" s="49"/>
      <c r="B172" s="50" t="s">
        <v>1346</v>
      </c>
      <c r="C172" s="12"/>
      <c r="D172" s="45"/>
      <c r="E172" s="45"/>
      <c r="F172" s="45"/>
      <c r="G172" s="45"/>
      <c r="H172" s="45"/>
      <c r="I172" s="45"/>
      <c r="J172" s="45"/>
      <c r="K172" s="45"/>
      <c r="L172" s="45" t="s">
        <v>1429</v>
      </c>
      <c r="M172" s="45"/>
      <c r="N172" s="45" t="str">
        <f>$F$8</f>
        <v>FY2010-11</v>
      </c>
      <c r="O172" s="45"/>
      <c r="P172" s="45" t="s">
        <v>1347</v>
      </c>
      <c r="Q172" s="45"/>
      <c r="R172" s="45" t="s">
        <v>1303</v>
      </c>
      <c r="S172" s="45"/>
      <c r="T172" s="45"/>
      <c r="U172" s="58"/>
      <c r="W172" s="891"/>
      <c r="X172" s="894"/>
    </row>
    <row r="173" spans="1:33" s="1052" customFormat="1" ht="16" customHeight="1">
      <c r="A173" s="49"/>
      <c r="B173" s="57">
        <f>DSUM('ENR#-DB'!D35:T93,"TOTAL ENROLLMENT",D171:T172)</f>
        <v>0</v>
      </c>
      <c r="C173" s="12"/>
      <c r="D173" s="889"/>
      <c r="E173" s="889"/>
      <c r="F173" s="889"/>
      <c r="G173" s="889"/>
      <c r="H173" s="889"/>
      <c r="I173" s="889"/>
      <c r="J173" s="889"/>
      <c r="K173" s="889"/>
      <c r="L173" s="889"/>
      <c r="M173" s="889"/>
      <c r="N173" s="889"/>
      <c r="O173" s="889"/>
      <c r="P173" s="889"/>
      <c r="Q173" s="889"/>
      <c r="R173" s="889"/>
      <c r="S173" s="889"/>
      <c r="T173" s="889"/>
      <c r="U173" s="58"/>
      <c r="W173" s="891"/>
      <c r="X173" s="894"/>
    </row>
    <row r="174" spans="1:33" s="1052" customFormat="1" ht="16" customHeight="1">
      <c r="A174" s="49"/>
      <c r="B174" s="52"/>
      <c r="C174" s="12"/>
      <c r="D174" s="889"/>
      <c r="E174" s="889"/>
      <c r="F174" s="889"/>
      <c r="G174" s="889"/>
      <c r="H174" s="889"/>
      <c r="I174" s="889"/>
      <c r="J174" s="889"/>
      <c r="K174" s="889"/>
      <c r="L174" s="889"/>
      <c r="M174" s="889"/>
      <c r="N174" s="889"/>
      <c r="O174" s="889"/>
      <c r="P174" s="889"/>
      <c r="Q174" s="889"/>
      <c r="R174" s="889"/>
      <c r="S174" s="889"/>
      <c r="T174" s="889"/>
      <c r="U174" s="58"/>
      <c r="W174" s="891"/>
      <c r="X174" s="894"/>
    </row>
    <row r="175" spans="1:33" s="1052" customFormat="1" ht="16" customHeight="1">
      <c r="A175" s="49"/>
      <c r="B175" s="52"/>
      <c r="C175" s="12"/>
      <c r="D175" s="889"/>
      <c r="E175" s="889"/>
      <c r="F175" s="889"/>
      <c r="G175" s="889"/>
      <c r="H175" s="889"/>
      <c r="I175" s="889"/>
      <c r="J175" s="889"/>
      <c r="K175" s="889"/>
      <c r="L175" s="889"/>
      <c r="M175" s="889"/>
      <c r="N175" s="889"/>
      <c r="O175" s="889"/>
      <c r="P175" s="889"/>
      <c r="Q175" s="889"/>
      <c r="R175" s="889"/>
      <c r="S175" s="889"/>
      <c r="T175" s="889"/>
      <c r="U175" s="58"/>
      <c r="W175" s="891"/>
      <c r="X175" s="894"/>
    </row>
    <row r="176" spans="1:33" s="1052" customFormat="1" ht="16" customHeight="1">
      <c r="A176" s="49"/>
      <c r="B176" s="52"/>
      <c r="C176" s="12"/>
      <c r="D176" s="889"/>
      <c r="E176" s="889"/>
      <c r="F176" s="889"/>
      <c r="G176" s="889"/>
      <c r="H176" s="889"/>
      <c r="I176" s="889"/>
      <c r="J176" s="889"/>
      <c r="K176" s="889"/>
      <c r="L176" s="889"/>
      <c r="M176" s="889"/>
      <c r="N176" s="889"/>
      <c r="O176" s="889"/>
      <c r="P176" s="889"/>
      <c r="Q176" s="889"/>
      <c r="R176" s="889"/>
      <c r="S176" s="889"/>
      <c r="T176" s="889"/>
      <c r="U176" s="58"/>
      <c r="W176" s="891"/>
      <c r="X176" s="894"/>
    </row>
    <row r="177" spans="1:24" s="1052" customFormat="1" ht="16" customHeight="1">
      <c r="A177" s="49"/>
      <c r="B177" s="52"/>
      <c r="C177" s="12"/>
      <c r="D177" s="889"/>
      <c r="E177" s="889"/>
      <c r="F177" s="889"/>
      <c r="G177" s="889"/>
      <c r="H177" s="889"/>
      <c r="I177" s="889"/>
      <c r="J177" s="889"/>
      <c r="K177" s="889"/>
      <c r="L177" s="889"/>
      <c r="M177" s="889"/>
      <c r="N177" s="889"/>
      <c r="O177" s="889"/>
      <c r="P177" s="889"/>
      <c r="Q177" s="889"/>
      <c r="R177" s="889"/>
      <c r="S177" s="889"/>
      <c r="T177" s="889"/>
      <c r="U177" s="58"/>
      <c r="W177" s="891"/>
      <c r="X177" s="894"/>
    </row>
    <row r="178" spans="1:24" s="1052" customFormat="1" ht="16" customHeight="1">
      <c r="A178" s="49"/>
      <c r="B178" s="52"/>
      <c r="C178" s="12"/>
      <c r="D178" s="889"/>
      <c r="E178" s="889"/>
      <c r="F178" s="889"/>
      <c r="G178" s="889"/>
      <c r="H178" s="889"/>
      <c r="I178" s="889"/>
      <c r="J178" s="889"/>
      <c r="K178" s="889"/>
      <c r="L178" s="889"/>
      <c r="M178" s="889"/>
      <c r="N178" s="889"/>
      <c r="O178" s="889"/>
      <c r="P178" s="889"/>
      <c r="Q178" s="889"/>
      <c r="R178" s="889"/>
      <c r="S178" s="889"/>
      <c r="T178" s="889"/>
      <c r="U178" s="58"/>
      <c r="W178" s="891"/>
      <c r="X178" s="894"/>
    </row>
    <row r="179" spans="1:24" s="1052" customFormat="1" ht="16" customHeight="1">
      <c r="A179" s="979"/>
      <c r="B179" s="980"/>
      <c r="C179" s="980"/>
      <c r="D179" s="981"/>
      <c r="E179" s="981"/>
      <c r="F179" s="981"/>
      <c r="G179" s="981"/>
      <c r="H179" s="981"/>
      <c r="I179" s="981"/>
      <c r="J179" s="981"/>
      <c r="K179" s="981"/>
      <c r="L179" s="981"/>
      <c r="M179" s="981"/>
      <c r="N179" s="981"/>
      <c r="O179" s="981"/>
      <c r="P179" s="981"/>
      <c r="Q179" s="981"/>
      <c r="R179" s="981"/>
      <c r="S179" s="981"/>
      <c r="T179" s="981"/>
      <c r="U179" s="58"/>
      <c r="W179" s="891"/>
      <c r="X179" s="894"/>
    </row>
    <row r="180" spans="1:24" s="1052" customFormat="1" ht="16" customHeight="1" thickBot="1">
      <c r="A180" s="49"/>
      <c r="B180" s="50" t="s">
        <v>1352</v>
      </c>
      <c r="C180" s="49"/>
      <c r="D180" s="54"/>
      <c r="E180" s="54"/>
      <c r="F180" s="54"/>
      <c r="G180" s="54"/>
      <c r="H180" s="54"/>
      <c r="I180" s="54"/>
      <c r="J180" s="54"/>
      <c r="K180" s="54"/>
      <c r="L180" s="54"/>
      <c r="M180" s="55"/>
      <c r="N180" s="54"/>
      <c r="O180" s="54"/>
      <c r="P180" s="54"/>
      <c r="Q180" s="54"/>
      <c r="R180" s="53"/>
      <c r="S180" s="887" t="str">
        <f>'[1]ENR#-DB'!$S$34</f>
        <v>UD1</v>
      </c>
      <c r="T180" s="887" t="str">
        <f>'[1]ENR#-DB'!$T$34</f>
        <v>UD2</v>
      </c>
      <c r="U180" s="60"/>
      <c r="W180" s="891"/>
      <c r="X180" s="894"/>
    </row>
    <row r="181" spans="1:24" s="1052" customFormat="1" ht="16" customHeight="1" thickTop="1" thickBot="1">
      <c r="A181" s="49"/>
      <c r="B181" s="51" t="s">
        <v>864</v>
      </c>
      <c r="C181" s="15"/>
      <c r="D181" s="990" t="s">
        <v>1386</v>
      </c>
      <c r="E181" s="990" t="s">
        <v>1387</v>
      </c>
      <c r="F181" s="990" t="s">
        <v>1388</v>
      </c>
      <c r="G181" s="990" t="s">
        <v>1389</v>
      </c>
      <c r="H181" s="990" t="s">
        <v>1406</v>
      </c>
      <c r="I181" s="990" t="s">
        <v>1390</v>
      </c>
      <c r="J181" s="990" t="s">
        <v>1391</v>
      </c>
      <c r="K181" s="1051" t="s">
        <v>1392</v>
      </c>
      <c r="L181" s="990" t="s">
        <v>1188</v>
      </c>
      <c r="M181" s="990" t="s">
        <v>1437</v>
      </c>
      <c r="N181" s="990" t="s">
        <v>1348</v>
      </c>
      <c r="O181" s="990" t="s">
        <v>1393</v>
      </c>
      <c r="P181" s="990" t="s">
        <v>1342</v>
      </c>
      <c r="Q181" s="112" t="s">
        <v>1224</v>
      </c>
      <c r="R181" s="1053" t="s">
        <v>846</v>
      </c>
      <c r="S181" s="944" t="s">
        <v>935</v>
      </c>
      <c r="T181" s="944" t="s">
        <v>936</v>
      </c>
      <c r="U181" s="59"/>
      <c r="W181" s="891"/>
      <c r="X181" s="894"/>
    </row>
    <row r="182" spans="1:24" s="1052" customFormat="1" ht="16" customHeight="1" thickTop="1">
      <c r="A182" s="49"/>
      <c r="B182" s="50" t="s">
        <v>1346</v>
      </c>
      <c r="C182" s="12"/>
      <c r="D182" s="45"/>
      <c r="E182" s="45"/>
      <c r="F182" s="45"/>
      <c r="G182" s="45"/>
      <c r="H182" s="45"/>
      <c r="I182" s="45"/>
      <c r="J182" s="45"/>
      <c r="K182" s="45"/>
      <c r="L182" s="45" t="s">
        <v>1429</v>
      </c>
      <c r="M182" s="45"/>
      <c r="N182" s="45" t="str">
        <f>$F$8</f>
        <v>FY2010-11</v>
      </c>
      <c r="O182" s="45" t="s">
        <v>1352</v>
      </c>
      <c r="P182" s="45" t="s">
        <v>1347</v>
      </c>
      <c r="Q182" s="45"/>
      <c r="R182" s="45" t="s">
        <v>1303</v>
      </c>
      <c r="S182" s="45"/>
      <c r="T182" s="45"/>
      <c r="U182" s="58"/>
      <c r="W182" s="891"/>
      <c r="X182" s="894"/>
    </row>
    <row r="183" spans="1:24" s="1052" customFormat="1" ht="16" customHeight="1">
      <c r="A183" s="49"/>
      <c r="B183" s="57">
        <f>DSUM('ENR#-DB'!D35:T93,"TOTAL ENROLLMENT",D181:T182)</f>
        <v>0</v>
      </c>
      <c r="C183" s="12"/>
      <c r="D183" s="889"/>
      <c r="E183" s="889"/>
      <c r="F183" s="889"/>
      <c r="G183" s="889"/>
      <c r="H183" s="889"/>
      <c r="I183" s="889"/>
      <c r="J183" s="889"/>
      <c r="K183" s="889"/>
      <c r="L183" s="889"/>
      <c r="M183" s="889"/>
      <c r="N183" s="889"/>
      <c r="O183" s="889"/>
      <c r="P183" s="889"/>
      <c r="Q183" s="889"/>
      <c r="R183" s="889"/>
      <c r="S183" s="889"/>
      <c r="T183" s="889"/>
      <c r="U183" s="58"/>
      <c r="W183" s="891"/>
      <c r="X183" s="894"/>
    </row>
    <row r="184" spans="1:24" s="1052" customFormat="1" ht="16" customHeight="1">
      <c r="A184" s="49"/>
      <c r="B184" s="52"/>
      <c r="C184" s="12"/>
      <c r="D184" s="889"/>
      <c r="E184" s="889"/>
      <c r="F184" s="889"/>
      <c r="G184" s="889"/>
      <c r="H184" s="889"/>
      <c r="I184" s="889"/>
      <c r="J184" s="889"/>
      <c r="K184" s="889"/>
      <c r="L184" s="889"/>
      <c r="M184" s="889"/>
      <c r="N184" s="889"/>
      <c r="O184" s="889"/>
      <c r="P184" s="889"/>
      <c r="Q184" s="889"/>
      <c r="R184" s="889"/>
      <c r="S184" s="889"/>
      <c r="T184" s="889"/>
      <c r="U184" s="58"/>
      <c r="W184" s="891"/>
      <c r="X184" s="894"/>
    </row>
    <row r="185" spans="1:24" s="1052" customFormat="1" ht="16" customHeight="1">
      <c r="A185" s="49"/>
      <c r="B185" s="52"/>
      <c r="C185" s="12"/>
      <c r="D185" s="889"/>
      <c r="E185" s="889"/>
      <c r="F185" s="889"/>
      <c r="G185" s="889"/>
      <c r="H185" s="889"/>
      <c r="I185" s="889"/>
      <c r="J185" s="889"/>
      <c r="K185" s="889"/>
      <c r="L185" s="889"/>
      <c r="M185" s="889"/>
      <c r="N185" s="889"/>
      <c r="O185" s="889"/>
      <c r="P185" s="889"/>
      <c r="Q185" s="889"/>
      <c r="R185" s="889"/>
      <c r="S185" s="889"/>
      <c r="T185" s="889"/>
      <c r="U185" s="58"/>
      <c r="W185" s="891"/>
      <c r="X185" s="894"/>
    </row>
    <row r="186" spans="1:24" s="1052" customFormat="1" ht="16" customHeight="1">
      <c r="A186" s="49"/>
      <c r="B186" s="52"/>
      <c r="C186" s="12"/>
      <c r="D186" s="889"/>
      <c r="E186" s="889"/>
      <c r="F186" s="889"/>
      <c r="G186" s="889"/>
      <c r="H186" s="889"/>
      <c r="I186" s="889"/>
      <c r="J186" s="889"/>
      <c r="K186" s="889"/>
      <c r="L186" s="889"/>
      <c r="M186" s="889"/>
      <c r="N186" s="889"/>
      <c r="O186" s="889"/>
      <c r="P186" s="889"/>
      <c r="Q186" s="889"/>
      <c r="R186" s="889"/>
      <c r="S186" s="889"/>
      <c r="T186" s="889"/>
      <c r="U186" s="58"/>
      <c r="W186" s="891"/>
      <c r="X186" s="894"/>
    </row>
    <row r="187" spans="1:24" s="1052" customFormat="1" ht="16" customHeight="1">
      <c r="A187" s="49"/>
      <c r="B187" s="52"/>
      <c r="C187" s="12"/>
      <c r="D187" s="889"/>
      <c r="E187" s="889"/>
      <c r="F187" s="889"/>
      <c r="G187" s="889"/>
      <c r="H187" s="889"/>
      <c r="I187" s="889"/>
      <c r="J187" s="889"/>
      <c r="K187" s="889"/>
      <c r="L187" s="889"/>
      <c r="M187" s="889"/>
      <c r="N187" s="889"/>
      <c r="O187" s="889"/>
      <c r="P187" s="889"/>
      <c r="Q187" s="889"/>
      <c r="R187" s="889"/>
      <c r="S187" s="889"/>
      <c r="T187" s="889"/>
      <c r="U187" s="58"/>
      <c r="W187" s="891"/>
      <c r="X187" s="894"/>
    </row>
    <row r="188" spans="1:24" s="1052" customFormat="1" ht="16" customHeight="1">
      <c r="A188" s="49"/>
      <c r="B188" s="52"/>
      <c r="C188" s="12"/>
      <c r="D188" s="889"/>
      <c r="E188" s="889"/>
      <c r="F188" s="889"/>
      <c r="G188" s="889"/>
      <c r="H188" s="889"/>
      <c r="I188" s="889"/>
      <c r="J188" s="889"/>
      <c r="K188" s="889"/>
      <c r="L188" s="889"/>
      <c r="M188" s="889"/>
      <c r="N188" s="889"/>
      <c r="O188" s="889"/>
      <c r="P188" s="889"/>
      <c r="Q188" s="889"/>
      <c r="R188" s="889"/>
      <c r="S188" s="889"/>
      <c r="T188" s="889"/>
      <c r="U188" s="58"/>
      <c r="W188" s="891"/>
      <c r="X188" s="894"/>
    </row>
    <row r="189" spans="1:24" s="1052" customFormat="1" ht="16" customHeight="1">
      <c r="A189" s="979"/>
      <c r="B189" s="980"/>
      <c r="C189" s="980"/>
      <c r="D189" s="981"/>
      <c r="E189" s="981"/>
      <c r="F189" s="981"/>
      <c r="G189" s="981"/>
      <c r="H189" s="981"/>
      <c r="I189" s="981"/>
      <c r="J189" s="981"/>
      <c r="K189" s="981"/>
      <c r="L189" s="981"/>
      <c r="M189" s="981"/>
      <c r="N189" s="981"/>
      <c r="O189" s="981"/>
      <c r="P189" s="981"/>
      <c r="Q189" s="981"/>
      <c r="R189" s="981"/>
      <c r="S189" s="981"/>
      <c r="T189" s="981"/>
      <c r="U189" s="58"/>
      <c r="W189" s="891"/>
      <c r="X189" s="894"/>
    </row>
    <row r="190" spans="1:24" s="1052" customFormat="1" ht="16" customHeight="1" thickBot="1">
      <c r="A190" s="49"/>
      <c r="B190" s="50" t="s">
        <v>1353</v>
      </c>
      <c r="C190" s="49"/>
      <c r="D190" s="54"/>
      <c r="E190" s="54"/>
      <c r="F190" s="54"/>
      <c r="G190" s="54"/>
      <c r="H190" s="54"/>
      <c r="I190" s="54"/>
      <c r="J190" s="54"/>
      <c r="K190" s="54"/>
      <c r="L190" s="54"/>
      <c r="M190" s="55"/>
      <c r="N190" s="54"/>
      <c r="O190" s="54"/>
      <c r="P190" s="54"/>
      <c r="Q190" s="54"/>
      <c r="R190" s="53"/>
      <c r="S190" s="887" t="str">
        <f>'[1]ENR#-DB'!$S$34</f>
        <v>UD1</v>
      </c>
      <c r="T190" s="887" t="str">
        <f>'[1]ENR#-DB'!$T$34</f>
        <v>UD2</v>
      </c>
      <c r="U190" s="60"/>
      <c r="W190" s="891"/>
      <c r="X190" s="894"/>
    </row>
    <row r="191" spans="1:24" s="1052" customFormat="1" ht="16" customHeight="1" thickTop="1" thickBot="1">
      <c r="A191" s="49"/>
      <c r="B191" s="51" t="s">
        <v>864</v>
      </c>
      <c r="C191" s="15"/>
      <c r="D191" s="990" t="s">
        <v>1386</v>
      </c>
      <c r="E191" s="990" t="s">
        <v>1387</v>
      </c>
      <c r="F191" s="990" t="s">
        <v>1388</v>
      </c>
      <c r="G191" s="990" t="s">
        <v>1389</v>
      </c>
      <c r="H191" s="990" t="s">
        <v>1406</v>
      </c>
      <c r="I191" s="990" t="s">
        <v>1390</v>
      </c>
      <c r="J191" s="990" t="s">
        <v>1391</v>
      </c>
      <c r="K191" s="1051" t="s">
        <v>1392</v>
      </c>
      <c r="L191" s="990" t="s">
        <v>1188</v>
      </c>
      <c r="M191" s="990" t="s">
        <v>1437</v>
      </c>
      <c r="N191" s="990" t="s">
        <v>1348</v>
      </c>
      <c r="O191" s="990" t="s">
        <v>1393</v>
      </c>
      <c r="P191" s="990" t="s">
        <v>1342</v>
      </c>
      <c r="Q191" s="112" t="s">
        <v>1224</v>
      </c>
      <c r="R191" s="1053" t="s">
        <v>846</v>
      </c>
      <c r="S191" s="944" t="s">
        <v>935</v>
      </c>
      <c r="T191" s="944" t="s">
        <v>936</v>
      </c>
      <c r="U191" s="59"/>
      <c r="W191" s="891"/>
      <c r="X191" s="894"/>
    </row>
    <row r="192" spans="1:24" s="1052" customFormat="1" ht="16" customHeight="1" thickTop="1">
      <c r="A192" s="49"/>
      <c r="B192" s="50" t="s">
        <v>1346</v>
      </c>
      <c r="C192" s="12"/>
      <c r="D192" s="45"/>
      <c r="E192" s="45"/>
      <c r="F192" s="45"/>
      <c r="G192" s="45"/>
      <c r="H192" s="45"/>
      <c r="I192" s="45"/>
      <c r="J192" s="45"/>
      <c r="K192" s="45"/>
      <c r="L192" s="45" t="s">
        <v>1429</v>
      </c>
      <c r="M192" s="45"/>
      <c r="N192" s="45" t="str">
        <f>$F$8</f>
        <v>FY2010-11</v>
      </c>
      <c r="O192" s="45" t="s">
        <v>1353</v>
      </c>
      <c r="P192" s="45" t="s">
        <v>1347</v>
      </c>
      <c r="Q192" s="45"/>
      <c r="R192" s="45" t="s">
        <v>1303</v>
      </c>
      <c r="S192" s="45"/>
      <c r="T192" s="45"/>
      <c r="U192" s="58"/>
      <c r="W192" s="891"/>
      <c r="X192" s="894"/>
    </row>
    <row r="193" spans="1:24" s="1052" customFormat="1" ht="16" customHeight="1">
      <c r="A193" s="49"/>
      <c r="B193" s="57">
        <f>DSUM('ENR#-DB'!D35:T93,"TOTAL ENROLLMENT",D191:T192)</f>
        <v>0</v>
      </c>
      <c r="C193" s="12"/>
      <c r="D193" s="889"/>
      <c r="E193" s="889"/>
      <c r="F193" s="889"/>
      <c r="G193" s="889"/>
      <c r="H193" s="889"/>
      <c r="I193" s="889"/>
      <c r="J193" s="889"/>
      <c r="K193" s="889"/>
      <c r="L193" s="889"/>
      <c r="M193" s="889"/>
      <c r="N193" s="889"/>
      <c r="O193" s="889"/>
      <c r="P193" s="889"/>
      <c r="Q193" s="889"/>
      <c r="R193" s="889"/>
      <c r="S193" s="889"/>
      <c r="T193" s="889"/>
      <c r="U193" s="58"/>
      <c r="W193" s="891"/>
      <c r="X193" s="894"/>
    </row>
    <row r="194" spans="1:24" s="1052" customFormat="1" ht="16" customHeight="1">
      <c r="A194" s="49"/>
      <c r="B194" s="52"/>
      <c r="C194" s="12"/>
      <c r="D194" s="889"/>
      <c r="E194" s="889"/>
      <c r="F194" s="889"/>
      <c r="G194" s="889"/>
      <c r="H194" s="889"/>
      <c r="I194" s="889"/>
      <c r="J194" s="889"/>
      <c r="K194" s="889"/>
      <c r="L194" s="889"/>
      <c r="M194" s="889"/>
      <c r="N194" s="889"/>
      <c r="O194" s="889"/>
      <c r="P194" s="889"/>
      <c r="Q194" s="889"/>
      <c r="R194" s="889"/>
      <c r="S194" s="889"/>
      <c r="T194" s="889"/>
      <c r="U194" s="58"/>
      <c r="W194" s="891"/>
      <c r="X194" s="894"/>
    </row>
    <row r="195" spans="1:24" s="1052" customFormat="1" ht="16" customHeight="1">
      <c r="A195" s="49"/>
      <c r="B195" s="52"/>
      <c r="C195" s="12"/>
      <c r="D195" s="889"/>
      <c r="E195" s="889"/>
      <c r="F195" s="889"/>
      <c r="G195" s="889"/>
      <c r="H195" s="889"/>
      <c r="I195" s="889"/>
      <c r="J195" s="889"/>
      <c r="K195" s="889"/>
      <c r="L195" s="889"/>
      <c r="M195" s="889"/>
      <c r="N195" s="889"/>
      <c r="O195" s="889"/>
      <c r="P195" s="889"/>
      <c r="Q195" s="889"/>
      <c r="R195" s="889"/>
      <c r="S195" s="889"/>
      <c r="T195" s="889"/>
      <c r="U195" s="58"/>
      <c r="W195" s="891"/>
      <c r="X195" s="894"/>
    </row>
    <row r="196" spans="1:24" s="1052" customFormat="1" ht="16" customHeight="1">
      <c r="A196" s="49"/>
      <c r="B196" s="52"/>
      <c r="C196" s="12"/>
      <c r="D196" s="889"/>
      <c r="E196" s="889"/>
      <c r="F196" s="889"/>
      <c r="G196" s="889"/>
      <c r="H196" s="889"/>
      <c r="I196" s="889"/>
      <c r="J196" s="889"/>
      <c r="K196" s="889"/>
      <c r="L196" s="889"/>
      <c r="M196" s="889"/>
      <c r="N196" s="889"/>
      <c r="O196" s="889"/>
      <c r="P196" s="889"/>
      <c r="Q196" s="889"/>
      <c r="R196" s="889"/>
      <c r="S196" s="889"/>
      <c r="T196" s="889"/>
      <c r="U196" s="58"/>
      <c r="W196" s="891"/>
      <c r="X196" s="894"/>
    </row>
    <row r="197" spans="1:24" s="1052" customFormat="1" ht="16" customHeight="1">
      <c r="A197" s="49"/>
      <c r="B197" s="52"/>
      <c r="C197" s="12"/>
      <c r="D197" s="889"/>
      <c r="E197" s="889"/>
      <c r="F197" s="889"/>
      <c r="G197" s="889"/>
      <c r="H197" s="889"/>
      <c r="I197" s="889"/>
      <c r="J197" s="889"/>
      <c r="K197" s="889"/>
      <c r="L197" s="889"/>
      <c r="M197" s="889"/>
      <c r="N197" s="889"/>
      <c r="O197" s="889"/>
      <c r="P197" s="889"/>
      <c r="Q197" s="889"/>
      <c r="R197" s="889"/>
      <c r="S197" s="889"/>
      <c r="T197" s="889"/>
      <c r="U197" s="58"/>
      <c r="W197" s="891"/>
      <c r="X197" s="894"/>
    </row>
    <row r="198" spans="1:24" s="1052" customFormat="1" ht="16" customHeight="1">
      <c r="A198" s="49"/>
      <c r="B198" s="52"/>
      <c r="C198" s="12"/>
      <c r="D198" s="889"/>
      <c r="E198" s="889"/>
      <c r="F198" s="889"/>
      <c r="G198" s="889"/>
      <c r="H198" s="889"/>
      <c r="I198" s="889"/>
      <c r="J198" s="889"/>
      <c r="K198" s="889"/>
      <c r="L198" s="889"/>
      <c r="M198" s="889"/>
      <c r="N198" s="889"/>
      <c r="O198" s="889"/>
      <c r="P198" s="889"/>
      <c r="Q198" s="889"/>
      <c r="R198" s="889"/>
      <c r="S198" s="889"/>
      <c r="T198" s="889"/>
      <c r="U198" s="58"/>
      <c r="W198" s="891"/>
      <c r="X198" s="894"/>
    </row>
    <row r="199" spans="1:24" s="1052" customFormat="1" ht="16" customHeight="1">
      <c r="A199" s="979"/>
      <c r="B199" s="980"/>
      <c r="C199" s="980"/>
      <c r="D199" s="981"/>
      <c r="E199" s="981"/>
      <c r="F199" s="981"/>
      <c r="G199" s="981"/>
      <c r="H199" s="981"/>
      <c r="I199" s="981"/>
      <c r="J199" s="981"/>
      <c r="K199" s="981"/>
      <c r="L199" s="981"/>
      <c r="M199" s="981"/>
      <c r="N199" s="981"/>
      <c r="O199" s="981"/>
      <c r="P199" s="981"/>
      <c r="Q199" s="981"/>
      <c r="R199" s="981"/>
      <c r="S199" s="981"/>
      <c r="T199" s="981"/>
      <c r="U199" s="58"/>
      <c r="W199" s="891"/>
      <c r="X199" s="894"/>
    </row>
    <row r="200" spans="1:24" s="1052" customFormat="1" ht="16" customHeight="1" thickBot="1">
      <c r="A200" s="49"/>
      <c r="B200" s="50" t="s">
        <v>1354</v>
      </c>
      <c r="C200" s="49"/>
      <c r="D200" s="54"/>
      <c r="E200" s="54"/>
      <c r="F200" s="54"/>
      <c r="G200" s="54"/>
      <c r="H200" s="54"/>
      <c r="I200" s="54"/>
      <c r="J200" s="54"/>
      <c r="K200" s="54"/>
      <c r="L200" s="54"/>
      <c r="M200" s="55"/>
      <c r="N200" s="54"/>
      <c r="O200" s="54"/>
      <c r="P200" s="54"/>
      <c r="Q200" s="54"/>
      <c r="R200" s="53"/>
      <c r="S200" s="887" t="str">
        <f>'[1]ENR#-DB'!$S$34</f>
        <v>UD1</v>
      </c>
      <c r="T200" s="887" t="str">
        <f>'[1]ENR#-DB'!$T$34</f>
        <v>UD2</v>
      </c>
      <c r="U200" s="60"/>
      <c r="W200" s="891"/>
      <c r="X200" s="894"/>
    </row>
    <row r="201" spans="1:24" s="1052" customFormat="1" ht="16" customHeight="1" thickTop="1" thickBot="1">
      <c r="A201" s="49"/>
      <c r="B201" s="51" t="s">
        <v>864</v>
      </c>
      <c r="C201" s="15"/>
      <c r="D201" s="990" t="s">
        <v>1386</v>
      </c>
      <c r="E201" s="990" t="s">
        <v>1387</v>
      </c>
      <c r="F201" s="990" t="s">
        <v>1388</v>
      </c>
      <c r="G201" s="990" t="s">
        <v>1389</v>
      </c>
      <c r="H201" s="990" t="s">
        <v>1406</v>
      </c>
      <c r="I201" s="990" t="s">
        <v>1390</v>
      </c>
      <c r="J201" s="990" t="s">
        <v>1391</v>
      </c>
      <c r="K201" s="1051" t="s">
        <v>1392</v>
      </c>
      <c r="L201" s="990" t="s">
        <v>1188</v>
      </c>
      <c r="M201" s="990" t="s">
        <v>1437</v>
      </c>
      <c r="N201" s="990" t="s">
        <v>1348</v>
      </c>
      <c r="O201" s="990" t="s">
        <v>1393</v>
      </c>
      <c r="P201" s="990" t="s">
        <v>1342</v>
      </c>
      <c r="Q201" s="112" t="s">
        <v>1224</v>
      </c>
      <c r="R201" s="1053" t="s">
        <v>846</v>
      </c>
      <c r="S201" s="944" t="s">
        <v>935</v>
      </c>
      <c r="T201" s="944" t="s">
        <v>936</v>
      </c>
      <c r="U201" s="59"/>
      <c r="W201" s="891"/>
      <c r="X201" s="894"/>
    </row>
    <row r="202" spans="1:24" s="1052" customFormat="1" ht="16" customHeight="1" thickTop="1">
      <c r="A202" s="49"/>
      <c r="B202" s="50" t="s">
        <v>1346</v>
      </c>
      <c r="C202" s="12"/>
      <c r="D202" s="45"/>
      <c r="E202" s="45"/>
      <c r="F202" s="45"/>
      <c r="G202" s="45"/>
      <c r="H202" s="45"/>
      <c r="I202" s="45"/>
      <c r="J202" s="45"/>
      <c r="K202" s="45"/>
      <c r="L202" s="45" t="s">
        <v>1429</v>
      </c>
      <c r="M202" s="45"/>
      <c r="N202" s="45" t="str">
        <f>$F$8</f>
        <v>FY2010-11</v>
      </c>
      <c r="O202" s="45" t="s">
        <v>1354</v>
      </c>
      <c r="P202" s="45" t="s">
        <v>1347</v>
      </c>
      <c r="Q202" s="45"/>
      <c r="R202" s="45" t="s">
        <v>1303</v>
      </c>
      <c r="S202" s="45"/>
      <c r="T202" s="45"/>
      <c r="U202" s="58"/>
      <c r="W202" s="891"/>
      <c r="X202" s="894"/>
    </row>
    <row r="203" spans="1:24" s="1052" customFormat="1" ht="16" customHeight="1">
      <c r="A203" s="49"/>
      <c r="B203" s="57">
        <f>DSUM('ENR#-DB'!D35:T93,"TOTAL ENROLLMENT",D201:T202)</f>
        <v>0</v>
      </c>
      <c r="C203" s="12"/>
      <c r="D203" s="889"/>
      <c r="E203" s="889"/>
      <c r="F203" s="889"/>
      <c r="G203" s="889"/>
      <c r="H203" s="889"/>
      <c r="I203" s="889"/>
      <c r="J203" s="889"/>
      <c r="K203" s="889"/>
      <c r="L203" s="889"/>
      <c r="M203" s="889"/>
      <c r="N203" s="889"/>
      <c r="O203" s="889"/>
      <c r="P203" s="889"/>
      <c r="Q203" s="889"/>
      <c r="R203" s="889"/>
      <c r="S203" s="889"/>
      <c r="T203" s="889"/>
      <c r="U203" s="58"/>
      <c r="W203" s="891"/>
      <c r="X203" s="894"/>
    </row>
    <row r="204" spans="1:24" s="1052" customFormat="1" ht="16" customHeight="1">
      <c r="A204" s="49"/>
      <c r="B204" s="52"/>
      <c r="C204" s="12"/>
      <c r="D204" s="889"/>
      <c r="E204" s="889"/>
      <c r="F204" s="889"/>
      <c r="G204" s="889"/>
      <c r="H204" s="889"/>
      <c r="I204" s="889"/>
      <c r="J204" s="889"/>
      <c r="K204" s="889"/>
      <c r="L204" s="889"/>
      <c r="M204" s="889"/>
      <c r="N204" s="889"/>
      <c r="O204" s="889"/>
      <c r="P204" s="889"/>
      <c r="Q204" s="889"/>
      <c r="R204" s="889"/>
      <c r="S204" s="889"/>
      <c r="T204" s="889"/>
      <c r="U204" s="58"/>
      <c r="W204" s="891"/>
      <c r="X204" s="894"/>
    </row>
    <row r="205" spans="1:24" s="1052" customFormat="1" ht="16" customHeight="1">
      <c r="A205" s="49"/>
      <c r="B205" s="52"/>
      <c r="C205" s="12"/>
      <c r="D205" s="889"/>
      <c r="E205" s="889"/>
      <c r="F205" s="889"/>
      <c r="G205" s="889"/>
      <c r="H205" s="889"/>
      <c r="I205" s="889"/>
      <c r="J205" s="889"/>
      <c r="K205" s="889"/>
      <c r="L205" s="889"/>
      <c r="M205" s="889"/>
      <c r="N205" s="889"/>
      <c r="O205" s="889"/>
      <c r="P205" s="889"/>
      <c r="Q205" s="889"/>
      <c r="R205" s="889"/>
      <c r="S205" s="889"/>
      <c r="T205" s="889"/>
      <c r="U205" s="58"/>
      <c r="W205" s="891"/>
      <c r="X205" s="894"/>
    </row>
    <row r="206" spans="1:24" s="1052" customFormat="1" ht="16" customHeight="1">
      <c r="A206" s="49"/>
      <c r="B206" s="52"/>
      <c r="C206" s="12"/>
      <c r="D206" s="889"/>
      <c r="E206" s="889"/>
      <c r="F206" s="889"/>
      <c r="G206" s="889"/>
      <c r="H206" s="889"/>
      <c r="I206" s="889"/>
      <c r="J206" s="889"/>
      <c r="K206" s="889"/>
      <c r="L206" s="889"/>
      <c r="M206" s="889"/>
      <c r="N206" s="889"/>
      <c r="O206" s="889"/>
      <c r="P206" s="889"/>
      <c r="Q206" s="889"/>
      <c r="R206" s="889"/>
      <c r="S206" s="889"/>
      <c r="T206" s="889"/>
      <c r="U206" s="58"/>
      <c r="W206" s="891"/>
      <c r="X206" s="894"/>
    </row>
    <row r="207" spans="1:24" s="1052" customFormat="1" ht="16" customHeight="1">
      <c r="A207" s="49"/>
      <c r="B207" s="52"/>
      <c r="C207" s="12"/>
      <c r="D207" s="889"/>
      <c r="E207" s="889"/>
      <c r="F207" s="889"/>
      <c r="G207" s="889"/>
      <c r="H207" s="889"/>
      <c r="I207" s="889"/>
      <c r="J207" s="889"/>
      <c r="K207" s="889"/>
      <c r="L207" s="889"/>
      <c r="M207" s="889"/>
      <c r="N207" s="889"/>
      <c r="O207" s="889"/>
      <c r="P207" s="889"/>
      <c r="Q207" s="889"/>
      <c r="R207" s="889"/>
      <c r="S207" s="889"/>
      <c r="T207" s="889"/>
      <c r="U207" s="58"/>
      <c r="W207" s="891"/>
      <c r="X207" s="894"/>
    </row>
    <row r="208" spans="1:24" s="1052" customFormat="1" ht="16" customHeight="1">
      <c r="A208" s="49"/>
      <c r="B208" s="52"/>
      <c r="C208" s="12"/>
      <c r="D208" s="889"/>
      <c r="E208" s="889"/>
      <c r="F208" s="889"/>
      <c r="G208" s="889"/>
      <c r="H208" s="889"/>
      <c r="I208" s="889"/>
      <c r="J208" s="889"/>
      <c r="K208" s="889"/>
      <c r="L208" s="889"/>
      <c r="M208" s="889"/>
      <c r="N208" s="889"/>
      <c r="O208" s="889"/>
      <c r="P208" s="889"/>
      <c r="Q208" s="889"/>
      <c r="R208" s="889"/>
      <c r="S208" s="889"/>
      <c r="T208" s="889"/>
      <c r="U208" s="58"/>
      <c r="W208" s="891"/>
      <c r="X208" s="894"/>
    </row>
    <row r="209" spans="1:24" s="1052" customFormat="1" ht="16" customHeight="1">
      <c r="A209" s="979"/>
      <c r="B209" s="980"/>
      <c r="C209" s="980"/>
      <c r="D209" s="981"/>
      <c r="E209" s="981"/>
      <c r="F209" s="981"/>
      <c r="G209" s="981"/>
      <c r="H209" s="981"/>
      <c r="I209" s="981"/>
      <c r="J209" s="981"/>
      <c r="K209" s="981"/>
      <c r="L209" s="981"/>
      <c r="M209" s="981"/>
      <c r="N209" s="981"/>
      <c r="O209" s="981"/>
      <c r="P209" s="981"/>
      <c r="Q209" s="981"/>
      <c r="R209" s="981"/>
      <c r="S209" s="981"/>
      <c r="T209" s="981"/>
      <c r="U209" s="58"/>
      <c r="W209" s="891"/>
      <c r="X209" s="894"/>
    </row>
    <row r="210" spans="1:24" s="1052" customFormat="1" ht="16" customHeight="1" thickBot="1">
      <c r="A210" s="49"/>
      <c r="B210" s="50" t="s">
        <v>1355</v>
      </c>
      <c r="C210" s="49"/>
      <c r="D210" s="54"/>
      <c r="E210" s="54"/>
      <c r="F210" s="54"/>
      <c r="G210" s="54"/>
      <c r="H210" s="54"/>
      <c r="I210" s="54"/>
      <c r="J210" s="54"/>
      <c r="K210" s="54"/>
      <c r="L210" s="54"/>
      <c r="M210" s="55"/>
      <c r="N210" s="54"/>
      <c r="O210" s="54"/>
      <c r="P210" s="54"/>
      <c r="Q210" s="54"/>
      <c r="R210" s="53"/>
      <c r="S210" s="887" t="str">
        <f>'[1]ENR#-DB'!$S$34</f>
        <v>UD1</v>
      </c>
      <c r="T210" s="887" t="str">
        <f>'[1]ENR#-DB'!$T$34</f>
        <v>UD2</v>
      </c>
      <c r="U210" s="60"/>
      <c r="W210" s="891"/>
      <c r="X210" s="894"/>
    </row>
    <row r="211" spans="1:24" s="1052" customFormat="1" ht="16" customHeight="1" thickTop="1" thickBot="1">
      <c r="A211" s="49"/>
      <c r="B211" s="51" t="s">
        <v>864</v>
      </c>
      <c r="C211" s="15"/>
      <c r="D211" s="990" t="s">
        <v>1386</v>
      </c>
      <c r="E211" s="990" t="s">
        <v>1387</v>
      </c>
      <c r="F211" s="990" t="s">
        <v>1388</v>
      </c>
      <c r="G211" s="990" t="s">
        <v>1389</v>
      </c>
      <c r="H211" s="990" t="s">
        <v>1406</v>
      </c>
      <c r="I211" s="990" t="s">
        <v>1390</v>
      </c>
      <c r="J211" s="990" t="s">
        <v>1391</v>
      </c>
      <c r="K211" s="1051" t="s">
        <v>1392</v>
      </c>
      <c r="L211" s="990" t="s">
        <v>1188</v>
      </c>
      <c r="M211" s="990" t="s">
        <v>1437</v>
      </c>
      <c r="N211" s="990" t="s">
        <v>1348</v>
      </c>
      <c r="O211" s="990" t="s">
        <v>1393</v>
      </c>
      <c r="P211" s="990" t="s">
        <v>1342</v>
      </c>
      <c r="Q211" s="112" t="s">
        <v>1224</v>
      </c>
      <c r="R211" s="1053" t="s">
        <v>846</v>
      </c>
      <c r="S211" s="944" t="s">
        <v>935</v>
      </c>
      <c r="T211" s="944" t="s">
        <v>936</v>
      </c>
      <c r="U211" s="59"/>
      <c r="W211" s="891"/>
      <c r="X211" s="894"/>
    </row>
    <row r="212" spans="1:24" s="1052" customFormat="1" ht="16" customHeight="1" thickTop="1">
      <c r="A212" s="49"/>
      <c r="B212" s="50" t="s">
        <v>1346</v>
      </c>
      <c r="C212" s="12"/>
      <c r="D212" s="45"/>
      <c r="E212" s="45"/>
      <c r="F212" s="45"/>
      <c r="G212" s="45"/>
      <c r="H212" s="45"/>
      <c r="I212" s="45"/>
      <c r="J212" s="45"/>
      <c r="K212" s="45"/>
      <c r="L212" s="45" t="s">
        <v>1429</v>
      </c>
      <c r="M212" s="45"/>
      <c r="N212" s="45" t="str">
        <f>$F$8</f>
        <v>FY2010-11</v>
      </c>
      <c r="O212" s="45" t="s">
        <v>1355</v>
      </c>
      <c r="P212" s="45" t="s">
        <v>1347</v>
      </c>
      <c r="Q212" s="45"/>
      <c r="R212" s="45" t="s">
        <v>1303</v>
      </c>
      <c r="S212" s="45"/>
      <c r="T212" s="45"/>
      <c r="U212" s="58"/>
      <c r="W212" s="891"/>
      <c r="X212" s="894"/>
    </row>
    <row r="213" spans="1:24" s="1052" customFormat="1" ht="16" customHeight="1">
      <c r="A213" s="49"/>
      <c r="B213" s="57">
        <f>DSUM('ENR#-DB'!D35:T93,"TOTAL ENROLLMENT",D211:T212)</f>
        <v>0</v>
      </c>
      <c r="C213" s="12"/>
      <c r="D213" s="889"/>
      <c r="E213" s="889"/>
      <c r="F213" s="889"/>
      <c r="G213" s="889"/>
      <c r="H213" s="889"/>
      <c r="I213" s="889"/>
      <c r="J213" s="889"/>
      <c r="K213" s="889"/>
      <c r="L213" s="889"/>
      <c r="M213" s="889"/>
      <c r="N213" s="889"/>
      <c r="O213" s="889"/>
      <c r="P213" s="889"/>
      <c r="Q213" s="889"/>
      <c r="R213" s="889"/>
      <c r="S213" s="889"/>
      <c r="T213" s="889"/>
      <c r="U213" s="58"/>
      <c r="W213" s="891"/>
      <c r="X213" s="894"/>
    </row>
    <row r="214" spans="1:24" s="1052" customFormat="1" ht="16" customHeight="1">
      <c r="A214" s="49"/>
      <c r="B214" s="52"/>
      <c r="C214" s="12"/>
      <c r="D214" s="889"/>
      <c r="E214" s="889"/>
      <c r="F214" s="889"/>
      <c r="G214" s="889"/>
      <c r="H214" s="889"/>
      <c r="I214" s="889"/>
      <c r="J214" s="889"/>
      <c r="K214" s="889"/>
      <c r="L214" s="889"/>
      <c r="M214" s="889"/>
      <c r="N214" s="889"/>
      <c r="O214" s="889"/>
      <c r="P214" s="889"/>
      <c r="Q214" s="889"/>
      <c r="R214" s="889"/>
      <c r="S214" s="889"/>
      <c r="T214" s="889"/>
      <c r="U214" s="58"/>
      <c r="W214" s="891"/>
      <c r="X214" s="894"/>
    </row>
    <row r="215" spans="1:24" s="1052" customFormat="1" ht="16" customHeight="1">
      <c r="A215" s="49"/>
      <c r="B215" s="52"/>
      <c r="C215" s="12"/>
      <c r="D215" s="889"/>
      <c r="E215" s="889"/>
      <c r="F215" s="889"/>
      <c r="G215" s="889"/>
      <c r="H215" s="889"/>
      <c r="I215" s="889"/>
      <c r="J215" s="889"/>
      <c r="K215" s="889"/>
      <c r="L215" s="889"/>
      <c r="M215" s="889"/>
      <c r="N215" s="889"/>
      <c r="O215" s="889"/>
      <c r="P215" s="889"/>
      <c r="Q215" s="889"/>
      <c r="R215" s="889"/>
      <c r="S215" s="889"/>
      <c r="T215" s="889"/>
      <c r="U215" s="58"/>
      <c r="W215" s="891"/>
      <c r="X215" s="894"/>
    </row>
    <row r="216" spans="1:24" s="1052" customFormat="1" ht="16" customHeight="1">
      <c r="A216" s="49"/>
      <c r="B216" s="52"/>
      <c r="C216" s="12"/>
      <c r="D216" s="889"/>
      <c r="E216" s="889"/>
      <c r="F216" s="889"/>
      <c r="G216" s="889"/>
      <c r="H216" s="889"/>
      <c r="I216" s="889"/>
      <c r="J216" s="889"/>
      <c r="K216" s="889"/>
      <c r="L216" s="889"/>
      <c r="M216" s="889"/>
      <c r="N216" s="889"/>
      <c r="O216" s="889"/>
      <c r="P216" s="889"/>
      <c r="Q216" s="889"/>
      <c r="R216" s="889"/>
      <c r="S216" s="889"/>
      <c r="T216" s="889"/>
      <c r="U216" s="58"/>
      <c r="W216" s="891"/>
      <c r="X216" s="894"/>
    </row>
    <row r="217" spans="1:24" s="1052" customFormat="1" ht="16" customHeight="1">
      <c r="A217" s="49"/>
      <c r="B217" s="52"/>
      <c r="C217" s="12"/>
      <c r="D217" s="889"/>
      <c r="E217" s="889"/>
      <c r="F217" s="889"/>
      <c r="G217" s="889"/>
      <c r="H217" s="889"/>
      <c r="I217" s="889"/>
      <c r="J217" s="889"/>
      <c r="K217" s="889"/>
      <c r="L217" s="889"/>
      <c r="M217" s="889"/>
      <c r="N217" s="889"/>
      <c r="O217" s="889"/>
      <c r="P217" s="889"/>
      <c r="Q217" s="889"/>
      <c r="R217" s="889"/>
      <c r="S217" s="889"/>
      <c r="T217" s="889"/>
      <c r="U217" s="58"/>
      <c r="W217" s="891"/>
      <c r="X217" s="894"/>
    </row>
    <row r="218" spans="1:24" s="1052" customFormat="1" ht="16" customHeight="1">
      <c r="A218" s="49"/>
      <c r="B218" s="52"/>
      <c r="C218" s="12"/>
      <c r="D218" s="889"/>
      <c r="E218" s="889"/>
      <c r="F218" s="889"/>
      <c r="G218" s="889"/>
      <c r="H218" s="889"/>
      <c r="I218" s="889"/>
      <c r="J218" s="889"/>
      <c r="K218" s="889"/>
      <c r="L218" s="889"/>
      <c r="M218" s="889"/>
      <c r="N218" s="889"/>
      <c r="O218" s="889"/>
      <c r="P218" s="889"/>
      <c r="Q218" s="889"/>
      <c r="R218" s="889"/>
      <c r="S218" s="889"/>
      <c r="T218" s="889"/>
      <c r="U218" s="58"/>
      <c r="W218" s="891"/>
      <c r="X218" s="894"/>
    </row>
    <row r="219" spans="1:24" s="1052" customFormat="1" ht="16" customHeight="1">
      <c r="A219" s="979"/>
      <c r="B219" s="980"/>
      <c r="C219" s="980"/>
      <c r="D219" s="981"/>
      <c r="E219" s="981"/>
      <c r="F219" s="981"/>
      <c r="G219" s="981"/>
      <c r="H219" s="981"/>
      <c r="I219" s="981"/>
      <c r="J219" s="981"/>
      <c r="K219" s="981"/>
      <c r="L219" s="981"/>
      <c r="M219" s="981"/>
      <c r="N219" s="981"/>
      <c r="O219" s="981"/>
      <c r="P219" s="981"/>
      <c r="Q219" s="981"/>
      <c r="R219" s="981"/>
      <c r="S219" s="981"/>
      <c r="T219" s="981"/>
      <c r="U219" s="58"/>
      <c r="W219" s="891"/>
      <c r="X219" s="894"/>
    </row>
    <row r="220" spans="1:24" s="1052" customFormat="1" ht="16" customHeight="1" thickBot="1">
      <c r="A220" s="49"/>
      <c r="B220" s="50" t="s">
        <v>1356</v>
      </c>
      <c r="C220" s="49"/>
      <c r="D220" s="54"/>
      <c r="E220" s="54"/>
      <c r="F220" s="54"/>
      <c r="G220" s="54"/>
      <c r="H220" s="54"/>
      <c r="I220" s="54"/>
      <c r="J220" s="54"/>
      <c r="K220" s="54"/>
      <c r="L220" s="54"/>
      <c r="M220" s="55"/>
      <c r="N220" s="54"/>
      <c r="O220" s="54"/>
      <c r="P220" s="54"/>
      <c r="Q220" s="54"/>
      <c r="R220" s="53"/>
      <c r="S220" s="887" t="str">
        <f>'[1]ENR#-DB'!$S$34</f>
        <v>UD1</v>
      </c>
      <c r="T220" s="887" t="str">
        <f>'[1]ENR#-DB'!$T$34</f>
        <v>UD2</v>
      </c>
      <c r="U220" s="60"/>
      <c r="W220" s="891"/>
      <c r="X220" s="894"/>
    </row>
    <row r="221" spans="1:24" s="1052" customFormat="1" ht="16" customHeight="1" thickTop="1" thickBot="1">
      <c r="A221" s="49"/>
      <c r="B221" s="51" t="s">
        <v>864</v>
      </c>
      <c r="C221" s="15"/>
      <c r="D221" s="990" t="s">
        <v>1386</v>
      </c>
      <c r="E221" s="990" t="s">
        <v>1387</v>
      </c>
      <c r="F221" s="990" t="s">
        <v>1388</v>
      </c>
      <c r="G221" s="990" t="s">
        <v>1389</v>
      </c>
      <c r="H221" s="990" t="s">
        <v>1406</v>
      </c>
      <c r="I221" s="990" t="s">
        <v>1390</v>
      </c>
      <c r="J221" s="990" t="s">
        <v>1391</v>
      </c>
      <c r="K221" s="1051" t="s">
        <v>1392</v>
      </c>
      <c r="L221" s="990" t="s">
        <v>1188</v>
      </c>
      <c r="M221" s="990" t="s">
        <v>1437</v>
      </c>
      <c r="N221" s="990" t="s">
        <v>1348</v>
      </c>
      <c r="O221" s="990" t="s">
        <v>1393</v>
      </c>
      <c r="P221" s="990" t="s">
        <v>1342</v>
      </c>
      <c r="Q221" s="112" t="s">
        <v>1224</v>
      </c>
      <c r="R221" s="1053" t="s">
        <v>846</v>
      </c>
      <c r="S221" s="944" t="s">
        <v>935</v>
      </c>
      <c r="T221" s="944" t="s">
        <v>936</v>
      </c>
      <c r="U221" s="59"/>
      <c r="W221" s="891"/>
      <c r="X221" s="894"/>
    </row>
    <row r="222" spans="1:24" s="1052" customFormat="1" ht="16" customHeight="1" thickTop="1">
      <c r="A222" s="49"/>
      <c r="B222" s="50" t="s">
        <v>1346</v>
      </c>
      <c r="C222" s="12"/>
      <c r="D222" s="45"/>
      <c r="E222" s="45"/>
      <c r="F222" s="45"/>
      <c r="G222" s="45"/>
      <c r="H222" s="45"/>
      <c r="I222" s="45"/>
      <c r="J222" s="45"/>
      <c r="K222" s="45"/>
      <c r="L222" s="45" t="s">
        <v>1429</v>
      </c>
      <c r="M222" s="45"/>
      <c r="N222" s="45" t="str">
        <f>$F$8</f>
        <v>FY2010-11</v>
      </c>
      <c r="O222" s="45" t="s">
        <v>1356</v>
      </c>
      <c r="P222" s="45" t="s">
        <v>1347</v>
      </c>
      <c r="Q222" s="45"/>
      <c r="R222" s="45" t="s">
        <v>1303</v>
      </c>
      <c r="S222" s="45"/>
      <c r="T222" s="45"/>
      <c r="U222" s="58"/>
      <c r="W222" s="891"/>
      <c r="X222" s="894"/>
    </row>
    <row r="223" spans="1:24" s="1052" customFormat="1" ht="16" customHeight="1">
      <c r="A223" s="49"/>
      <c r="B223" s="57">
        <f>DSUM('ENR#-DB'!D35:T93,"TOTAL ENROLLMENT",D221:T222)</f>
        <v>0</v>
      </c>
      <c r="C223" s="12"/>
      <c r="D223" s="889"/>
      <c r="E223" s="889"/>
      <c r="F223" s="889"/>
      <c r="G223" s="889"/>
      <c r="H223" s="889"/>
      <c r="I223" s="889"/>
      <c r="J223" s="889"/>
      <c r="K223" s="889"/>
      <c r="L223" s="889"/>
      <c r="M223" s="889"/>
      <c r="N223" s="889"/>
      <c r="O223" s="889"/>
      <c r="P223" s="889"/>
      <c r="Q223" s="889"/>
      <c r="R223" s="889"/>
      <c r="S223" s="889"/>
      <c r="T223" s="889"/>
      <c r="U223" s="58"/>
      <c r="W223" s="891"/>
      <c r="X223" s="894"/>
    </row>
    <row r="224" spans="1:24" s="1052" customFormat="1" ht="16" customHeight="1">
      <c r="A224" s="49"/>
      <c r="B224" s="52"/>
      <c r="C224" s="12"/>
      <c r="D224" s="889"/>
      <c r="E224" s="889"/>
      <c r="F224" s="889"/>
      <c r="G224" s="889"/>
      <c r="H224" s="889"/>
      <c r="I224" s="889"/>
      <c r="J224" s="889"/>
      <c r="K224" s="889"/>
      <c r="L224" s="889"/>
      <c r="M224" s="889"/>
      <c r="N224" s="889"/>
      <c r="O224" s="889"/>
      <c r="P224" s="889"/>
      <c r="Q224" s="889"/>
      <c r="R224" s="889"/>
      <c r="S224" s="889"/>
      <c r="T224" s="889"/>
      <c r="U224" s="58"/>
      <c r="W224" s="891"/>
      <c r="X224" s="894"/>
    </row>
    <row r="225" spans="1:24" s="1052" customFormat="1" ht="16" customHeight="1">
      <c r="A225" s="49"/>
      <c r="B225" s="52"/>
      <c r="C225" s="12"/>
      <c r="D225" s="889"/>
      <c r="E225" s="889"/>
      <c r="F225" s="889"/>
      <c r="G225" s="889"/>
      <c r="H225" s="889"/>
      <c r="I225" s="889"/>
      <c r="J225" s="889"/>
      <c r="K225" s="889"/>
      <c r="L225" s="889"/>
      <c r="M225" s="889"/>
      <c r="N225" s="889"/>
      <c r="O225" s="889"/>
      <c r="P225" s="889"/>
      <c r="Q225" s="889"/>
      <c r="R225" s="889"/>
      <c r="S225" s="889"/>
      <c r="T225" s="889"/>
      <c r="U225" s="58"/>
      <c r="W225" s="891"/>
      <c r="X225" s="894"/>
    </row>
    <row r="226" spans="1:24" s="1052" customFormat="1" ht="16" customHeight="1">
      <c r="A226" s="49"/>
      <c r="B226" s="52"/>
      <c r="C226" s="12"/>
      <c r="D226" s="889"/>
      <c r="E226" s="889"/>
      <c r="F226" s="889"/>
      <c r="G226" s="889"/>
      <c r="H226" s="889"/>
      <c r="I226" s="889"/>
      <c r="J226" s="889"/>
      <c r="K226" s="889"/>
      <c r="L226" s="889"/>
      <c r="M226" s="889"/>
      <c r="N226" s="889"/>
      <c r="O226" s="889"/>
      <c r="P226" s="889"/>
      <c r="Q226" s="889"/>
      <c r="R226" s="889"/>
      <c r="S226" s="889"/>
      <c r="T226" s="889"/>
      <c r="U226" s="58"/>
      <c r="W226" s="891"/>
      <c r="X226" s="894"/>
    </row>
    <row r="227" spans="1:24" s="1052" customFormat="1" ht="16" customHeight="1">
      <c r="A227" s="49"/>
      <c r="B227" s="52"/>
      <c r="C227" s="12"/>
      <c r="D227" s="889"/>
      <c r="E227" s="889"/>
      <c r="F227" s="889"/>
      <c r="G227" s="889"/>
      <c r="H227" s="889"/>
      <c r="I227" s="889"/>
      <c r="J227" s="889"/>
      <c r="K227" s="889"/>
      <c r="L227" s="889"/>
      <c r="M227" s="889"/>
      <c r="N227" s="889"/>
      <c r="O227" s="889"/>
      <c r="P227" s="889"/>
      <c r="Q227" s="889"/>
      <c r="R227" s="889"/>
      <c r="S227" s="889"/>
      <c r="T227" s="889"/>
      <c r="U227" s="58"/>
      <c r="W227" s="891"/>
      <c r="X227" s="894"/>
    </row>
    <row r="228" spans="1:24" s="1052" customFormat="1" ht="16" customHeight="1">
      <c r="A228" s="49"/>
      <c r="B228" s="52"/>
      <c r="C228" s="12"/>
      <c r="D228" s="889"/>
      <c r="E228" s="889"/>
      <c r="F228" s="889"/>
      <c r="G228" s="889"/>
      <c r="H228" s="889"/>
      <c r="I228" s="889"/>
      <c r="J228" s="889"/>
      <c r="K228" s="889"/>
      <c r="L228" s="889"/>
      <c r="M228" s="889"/>
      <c r="N228" s="889"/>
      <c r="O228" s="889"/>
      <c r="P228" s="889"/>
      <c r="Q228" s="889"/>
      <c r="R228" s="889"/>
      <c r="S228" s="889"/>
      <c r="T228" s="889"/>
      <c r="U228" s="58"/>
      <c r="W228" s="891"/>
      <c r="X228" s="894"/>
    </row>
    <row r="229" spans="1:24" s="1052" customFormat="1" ht="16" customHeight="1">
      <c r="A229" s="979"/>
      <c r="B229" s="980"/>
      <c r="C229" s="980"/>
      <c r="D229" s="981"/>
      <c r="E229" s="981"/>
      <c r="F229" s="981"/>
      <c r="G229" s="981"/>
      <c r="H229" s="981"/>
      <c r="I229" s="981"/>
      <c r="J229" s="981"/>
      <c r="K229" s="981"/>
      <c r="L229" s="981"/>
      <c r="M229" s="981"/>
      <c r="N229" s="981"/>
      <c r="O229" s="981"/>
      <c r="P229" s="981"/>
      <c r="Q229" s="981"/>
      <c r="R229" s="981"/>
      <c r="S229" s="981"/>
      <c r="T229" s="981"/>
      <c r="U229" s="58"/>
      <c r="W229" s="891"/>
      <c r="X229" s="894"/>
    </row>
    <row r="230" spans="1:24" s="1052" customFormat="1" ht="16" customHeight="1" thickBot="1">
      <c r="A230" s="49"/>
      <c r="B230" s="50" t="s">
        <v>1436</v>
      </c>
      <c r="C230" s="49"/>
      <c r="D230" s="54"/>
      <c r="E230" s="54"/>
      <c r="F230" s="54"/>
      <c r="G230" s="54"/>
      <c r="H230" s="54"/>
      <c r="I230" s="54"/>
      <c r="J230" s="54"/>
      <c r="K230" s="54"/>
      <c r="L230" s="54"/>
      <c r="M230" s="55"/>
      <c r="N230" s="54"/>
      <c r="O230" s="54"/>
      <c r="P230" s="54"/>
      <c r="Q230" s="54"/>
      <c r="R230" s="53"/>
      <c r="S230" s="887" t="str">
        <f>'[1]ENR#-DB'!$S$34</f>
        <v>UD1</v>
      </c>
      <c r="T230" s="887" t="str">
        <f>'[1]ENR#-DB'!$T$34</f>
        <v>UD2</v>
      </c>
      <c r="U230" s="60"/>
      <c r="W230" s="891"/>
      <c r="X230" s="894"/>
    </row>
    <row r="231" spans="1:24" s="1052" customFormat="1" ht="16" customHeight="1" thickTop="1" thickBot="1">
      <c r="A231" s="49"/>
      <c r="B231" s="51" t="s">
        <v>864</v>
      </c>
      <c r="C231" s="15"/>
      <c r="D231" s="990" t="s">
        <v>1386</v>
      </c>
      <c r="E231" s="990" t="s">
        <v>1387</v>
      </c>
      <c r="F231" s="990" t="s">
        <v>1388</v>
      </c>
      <c r="G231" s="990" t="s">
        <v>1389</v>
      </c>
      <c r="H231" s="990" t="s">
        <v>1406</v>
      </c>
      <c r="I231" s="990" t="s">
        <v>1390</v>
      </c>
      <c r="J231" s="990" t="s">
        <v>1391</v>
      </c>
      <c r="K231" s="1051" t="s">
        <v>1392</v>
      </c>
      <c r="L231" s="990" t="s">
        <v>1188</v>
      </c>
      <c r="M231" s="990" t="s">
        <v>1437</v>
      </c>
      <c r="N231" s="990" t="s">
        <v>1348</v>
      </c>
      <c r="O231" s="990" t="s">
        <v>1393</v>
      </c>
      <c r="P231" s="990" t="s">
        <v>1342</v>
      </c>
      <c r="Q231" s="112" t="s">
        <v>1224</v>
      </c>
      <c r="R231" s="1053" t="s">
        <v>846</v>
      </c>
      <c r="S231" s="944" t="s">
        <v>935</v>
      </c>
      <c r="T231" s="944" t="s">
        <v>936</v>
      </c>
      <c r="U231" s="59"/>
      <c r="W231" s="891"/>
      <c r="X231" s="894"/>
    </row>
    <row r="232" spans="1:24" s="1052" customFormat="1" ht="16" customHeight="1" thickTop="1">
      <c r="A232" s="49"/>
      <c r="B232" s="50" t="s">
        <v>1346</v>
      </c>
      <c r="C232" s="12"/>
      <c r="D232" s="45"/>
      <c r="E232" s="45"/>
      <c r="F232" s="45"/>
      <c r="G232" s="45"/>
      <c r="H232" s="45"/>
      <c r="I232" s="45"/>
      <c r="J232" s="45"/>
      <c r="K232" s="45"/>
      <c r="L232" s="45" t="s">
        <v>1429</v>
      </c>
      <c r="M232" s="45"/>
      <c r="N232" s="45" t="str">
        <f>$F$8</f>
        <v>FY2010-11</v>
      </c>
      <c r="O232" s="45" t="s">
        <v>1436</v>
      </c>
      <c r="P232" s="45" t="s">
        <v>1347</v>
      </c>
      <c r="Q232" s="45"/>
      <c r="R232" s="45" t="s">
        <v>1303</v>
      </c>
      <c r="S232" s="45"/>
      <c r="T232" s="45"/>
      <c r="U232" s="58"/>
      <c r="W232" s="891"/>
      <c r="X232" s="894"/>
    </row>
    <row r="233" spans="1:24" s="1052" customFormat="1" ht="16" customHeight="1">
      <c r="A233" s="49"/>
      <c r="B233" s="57">
        <f>DSUM('ENR#-DB'!D35:T93,"TOTAL ENROLLMENT",D231:T232)</f>
        <v>0</v>
      </c>
      <c r="C233" s="12"/>
      <c r="D233" s="889"/>
      <c r="E233" s="889"/>
      <c r="F233" s="889"/>
      <c r="G233" s="889"/>
      <c r="H233" s="889"/>
      <c r="I233" s="889"/>
      <c r="J233" s="889"/>
      <c r="K233" s="889"/>
      <c r="L233" s="889"/>
      <c r="M233" s="889"/>
      <c r="N233" s="889"/>
      <c r="O233" s="889"/>
      <c r="P233" s="889"/>
      <c r="Q233" s="889"/>
      <c r="R233" s="889"/>
      <c r="S233" s="889"/>
      <c r="T233" s="889"/>
      <c r="U233" s="58"/>
      <c r="W233" s="891"/>
      <c r="X233" s="894"/>
    </row>
    <row r="234" spans="1:24" s="1052" customFormat="1" ht="16" customHeight="1">
      <c r="A234" s="49"/>
      <c r="B234" s="52"/>
      <c r="C234" s="12"/>
      <c r="D234" s="889"/>
      <c r="E234" s="889"/>
      <c r="F234" s="889"/>
      <c r="G234" s="889"/>
      <c r="H234" s="889"/>
      <c r="I234" s="889"/>
      <c r="J234" s="889"/>
      <c r="K234" s="889"/>
      <c r="L234" s="889"/>
      <c r="M234" s="889"/>
      <c r="N234" s="889"/>
      <c r="O234" s="889"/>
      <c r="P234" s="889"/>
      <c r="Q234" s="889"/>
      <c r="R234" s="889"/>
      <c r="S234" s="889"/>
      <c r="T234" s="889"/>
      <c r="U234" s="58"/>
      <c r="W234" s="891"/>
      <c r="X234" s="894"/>
    </row>
    <row r="235" spans="1:24" s="1052" customFormat="1" ht="16" customHeight="1">
      <c r="A235" s="49"/>
      <c r="B235" s="52"/>
      <c r="C235" s="12"/>
      <c r="D235" s="889"/>
      <c r="E235" s="889"/>
      <c r="F235" s="889"/>
      <c r="G235" s="889"/>
      <c r="H235" s="889"/>
      <c r="I235" s="889"/>
      <c r="J235" s="889"/>
      <c r="K235" s="889"/>
      <c r="L235" s="889"/>
      <c r="M235" s="889"/>
      <c r="N235" s="889"/>
      <c r="O235" s="889"/>
      <c r="P235" s="889"/>
      <c r="Q235" s="889"/>
      <c r="R235" s="889"/>
      <c r="S235" s="889"/>
      <c r="T235" s="889"/>
      <c r="U235" s="58"/>
      <c r="W235" s="891"/>
      <c r="X235" s="894"/>
    </row>
    <row r="236" spans="1:24" s="1052" customFormat="1" ht="16" customHeight="1">
      <c r="A236" s="49"/>
      <c r="B236" s="52"/>
      <c r="C236" s="12"/>
      <c r="D236" s="889"/>
      <c r="E236" s="889"/>
      <c r="F236" s="889"/>
      <c r="G236" s="889"/>
      <c r="H236" s="889"/>
      <c r="I236" s="889"/>
      <c r="J236" s="889"/>
      <c r="K236" s="889"/>
      <c r="L236" s="889"/>
      <c r="M236" s="889"/>
      <c r="N236" s="889"/>
      <c r="O236" s="889"/>
      <c r="P236" s="889"/>
      <c r="Q236" s="889"/>
      <c r="R236" s="889"/>
      <c r="S236" s="889"/>
      <c r="T236" s="889"/>
      <c r="U236" s="58"/>
      <c r="W236" s="891"/>
      <c r="X236" s="894"/>
    </row>
    <row r="237" spans="1:24" s="1052" customFormat="1" ht="16" customHeight="1">
      <c r="A237" s="49"/>
      <c r="B237" s="52"/>
      <c r="C237" s="12"/>
      <c r="D237" s="889"/>
      <c r="E237" s="889"/>
      <c r="F237" s="889"/>
      <c r="G237" s="889"/>
      <c r="H237" s="889"/>
      <c r="I237" s="889"/>
      <c r="J237" s="889"/>
      <c r="K237" s="889"/>
      <c r="L237" s="889"/>
      <c r="M237" s="889"/>
      <c r="N237" s="889"/>
      <c r="O237" s="889"/>
      <c r="P237" s="889"/>
      <c r="Q237" s="889"/>
      <c r="R237" s="889"/>
      <c r="S237" s="889"/>
      <c r="T237" s="889"/>
      <c r="U237" s="58"/>
      <c r="W237" s="891"/>
      <c r="X237" s="894"/>
    </row>
    <row r="238" spans="1:24" s="1052" customFormat="1" ht="16" customHeight="1">
      <c r="A238" s="49"/>
      <c r="B238" s="52"/>
      <c r="C238" s="12"/>
      <c r="D238" s="889"/>
      <c r="E238" s="889"/>
      <c r="F238" s="889"/>
      <c r="G238" s="889"/>
      <c r="H238" s="889"/>
      <c r="I238" s="889"/>
      <c r="J238" s="889"/>
      <c r="K238" s="889"/>
      <c r="L238" s="889"/>
      <c r="M238" s="889"/>
      <c r="N238" s="889"/>
      <c r="O238" s="889"/>
      <c r="P238" s="889"/>
      <c r="Q238" s="889"/>
      <c r="R238" s="889"/>
      <c r="S238" s="889"/>
      <c r="T238" s="889"/>
      <c r="U238" s="58"/>
      <c r="W238" s="891"/>
      <c r="X238" s="894"/>
    </row>
    <row r="239" spans="1:24" s="1052" customFormat="1" ht="16" customHeight="1">
      <c r="A239" s="979"/>
      <c r="B239" s="980"/>
      <c r="C239" s="980"/>
      <c r="D239" s="981"/>
      <c r="E239" s="981"/>
      <c r="F239" s="981"/>
      <c r="G239" s="981"/>
      <c r="H239" s="981"/>
      <c r="I239" s="981"/>
      <c r="J239" s="981"/>
      <c r="K239" s="981"/>
      <c r="L239" s="981"/>
      <c r="M239" s="981"/>
      <c r="N239" s="981"/>
      <c r="O239" s="981"/>
      <c r="P239" s="981"/>
      <c r="Q239" s="981"/>
      <c r="R239" s="981"/>
      <c r="S239" s="981"/>
      <c r="T239" s="981"/>
      <c r="U239" s="58"/>
      <c r="W239" s="891"/>
      <c r="X239" s="894"/>
    </row>
  </sheetData>
  <mergeCells count="5">
    <mergeCell ref="E7:F7"/>
    <mergeCell ref="E9:F9"/>
    <mergeCell ref="B15:B18"/>
    <mergeCell ref="A8:D9"/>
    <mergeCell ref="G8:U9"/>
  </mergeCells>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BF997"/>
  </sheetPr>
  <dimension ref="A1:BX29"/>
  <sheetViews>
    <sheetView workbookViewId="0"/>
  </sheetViews>
  <sheetFormatPr baseColWidth="10" defaultColWidth="8.83203125" defaultRowHeight="16" customHeight="1" x14ac:dyDescent="0"/>
  <cols>
    <col min="1" max="1" width="14" style="142" customWidth="1"/>
    <col min="2" max="2" width="34" style="142" customWidth="1"/>
    <col min="3" max="3" width="14.83203125" style="142" customWidth="1"/>
    <col min="4" max="4" width="17.83203125" style="142" customWidth="1"/>
    <col min="5" max="5" width="17.6640625" style="142" customWidth="1"/>
    <col min="6" max="6" width="20.83203125" style="142" customWidth="1"/>
    <col min="7" max="7" width="8.83203125" style="142"/>
    <col min="8" max="8" width="31.33203125" style="142" customWidth="1"/>
    <col min="9" max="9" width="4.33203125" style="142" customWidth="1"/>
    <col min="10" max="10" width="3.6640625" style="142" customWidth="1"/>
    <col min="11" max="16384" width="8.83203125" style="142"/>
  </cols>
  <sheetData>
    <row r="1" spans="1:76" ht="16" customHeight="1">
      <c r="A1" s="171"/>
      <c r="B1" s="171"/>
      <c r="C1" s="171"/>
      <c r="D1" s="171"/>
      <c r="E1" s="171"/>
      <c r="F1" s="171"/>
      <c r="G1" s="171"/>
      <c r="H1" s="171"/>
      <c r="I1" s="171"/>
      <c r="J1" s="171"/>
    </row>
    <row r="2" spans="1:76" ht="16" customHeight="1">
      <c r="A2" s="171"/>
      <c r="B2" s="1943" t="s">
        <v>863</v>
      </c>
      <c r="C2" s="1943"/>
      <c r="D2" s="1943"/>
      <c r="E2" s="1943"/>
      <c r="F2" s="1943"/>
      <c r="G2" s="171"/>
      <c r="H2" s="171"/>
      <c r="I2" s="171"/>
      <c r="J2" s="171"/>
    </row>
    <row r="3" spans="1:76" ht="16" customHeight="1">
      <c r="A3" s="171"/>
      <c r="B3" s="1944" t="s">
        <v>1336</v>
      </c>
      <c r="C3" s="1944"/>
      <c r="D3" s="1944"/>
      <c r="E3" s="1944"/>
      <c r="F3" s="1944"/>
      <c r="G3" s="162"/>
      <c r="H3" s="162"/>
      <c r="I3" s="162"/>
      <c r="J3" s="162"/>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row>
    <row r="4" spans="1:76" ht="16" customHeight="1">
      <c r="A4" s="171"/>
      <c r="B4" s="1945" t="s">
        <v>1169</v>
      </c>
      <c r="C4" s="1945"/>
      <c r="D4" s="1945"/>
      <c r="E4" s="1945"/>
      <c r="F4" s="1945"/>
      <c r="G4" s="162"/>
      <c r="H4" s="162"/>
      <c r="I4" s="162"/>
      <c r="J4" s="162"/>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row>
    <row r="5" spans="1:76" ht="16" customHeight="1">
      <c r="A5" s="171"/>
      <c r="B5" s="1945"/>
      <c r="C5" s="1945"/>
      <c r="D5" s="1945"/>
      <c r="E5" s="1945"/>
      <c r="F5" s="1945"/>
      <c r="G5" s="162"/>
      <c r="H5" s="162"/>
      <c r="I5" s="162"/>
      <c r="J5" s="162"/>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row>
    <row r="6" spans="1:76" ht="16" customHeight="1">
      <c r="A6" s="171"/>
      <c r="B6" s="1942" t="str">
        <f>'FIG3'!W49</f>
        <v>AR</v>
      </c>
      <c r="C6" s="1942"/>
      <c r="D6" s="153"/>
      <c r="E6" s="153"/>
      <c r="F6" s="153"/>
      <c r="G6" s="162"/>
      <c r="H6" s="1941"/>
      <c r="I6" s="162"/>
      <c r="J6" s="162"/>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row>
    <row r="7" spans="1:76" ht="16" customHeight="1">
      <c r="A7" s="171"/>
      <c r="B7" s="1942" t="str">
        <f>'FIG3'!W50</f>
        <v>FY2010-11</v>
      </c>
      <c r="C7" s="1942"/>
      <c r="D7" s="153"/>
      <c r="E7" s="153"/>
      <c r="F7" s="153"/>
      <c r="G7" s="162"/>
      <c r="H7" s="2035"/>
      <c r="I7" s="162"/>
      <c r="J7" s="162"/>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row>
    <row r="8" spans="1:76" ht="16" customHeight="1">
      <c r="A8" s="171"/>
      <c r="B8" s="163" t="s">
        <v>1335</v>
      </c>
      <c r="C8" s="153"/>
      <c r="D8" s="153"/>
      <c r="E8" s="153"/>
      <c r="F8" s="153"/>
      <c r="G8" s="162"/>
      <c r="H8" s="2035"/>
      <c r="I8" s="162"/>
      <c r="J8" s="162"/>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row>
    <row r="9" spans="1:76" ht="16" customHeight="1">
      <c r="A9" s="171"/>
      <c r="B9" s="144" t="s">
        <v>1324</v>
      </c>
      <c r="C9" s="144" t="s">
        <v>1323</v>
      </c>
      <c r="D9" s="145" t="s">
        <v>1321</v>
      </c>
      <c r="E9" s="145" t="s">
        <v>1322</v>
      </c>
      <c r="F9" s="145" t="s">
        <v>1371</v>
      </c>
      <c r="G9" s="162"/>
      <c r="H9" s="2035"/>
      <c r="I9" s="162"/>
      <c r="J9" s="162"/>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row>
    <row r="10" spans="1:76" ht="16" customHeight="1">
      <c r="A10" s="171"/>
      <c r="B10" s="154" t="s">
        <v>1351</v>
      </c>
      <c r="C10" s="148" t="s">
        <v>1399</v>
      </c>
      <c r="D10" s="247">
        <f>'ENR#-DSUM'!B13</f>
        <v>461519</v>
      </c>
      <c r="E10" s="857">
        <f>'ENR#-DB'!Q23</f>
        <v>461519</v>
      </c>
      <c r="F10" s="230">
        <f>D10-E10</f>
        <v>0</v>
      </c>
      <c r="G10" s="162"/>
      <c r="H10" s="2035"/>
      <c r="I10" s="162"/>
      <c r="J10" s="162"/>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row>
    <row r="11" spans="1:76" ht="16" customHeight="1">
      <c r="A11" s="171"/>
      <c r="B11" s="156"/>
      <c r="C11" s="147" t="s">
        <v>1375</v>
      </c>
      <c r="D11" s="233">
        <f>'ENR#-DSUM'!B23</f>
        <v>6340</v>
      </c>
      <c r="E11" s="858">
        <f>'ENR#-DB'!Q24</f>
        <v>6340</v>
      </c>
      <c r="F11" s="234">
        <f t="shared" ref="F11:F21" si="0">D11-E11</f>
        <v>0</v>
      </c>
      <c r="G11" s="162"/>
      <c r="H11" s="2035"/>
      <c r="I11" s="162"/>
      <c r="J11" s="162"/>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row>
    <row r="12" spans="1:76" ht="16" customHeight="1">
      <c r="A12" s="171"/>
      <c r="B12" s="155" t="str">
        <f>'ENR#-DSUM'!B30</f>
        <v>FA1 = Little Rock School District</v>
      </c>
      <c r="C12" s="148" t="s">
        <v>1399</v>
      </c>
      <c r="D12" s="231">
        <f>'ENR#-DSUM'!B33</f>
        <v>24226</v>
      </c>
      <c r="E12" s="859">
        <f>'ENR#-DB'!Q9</f>
        <v>24226</v>
      </c>
      <c r="F12" s="232">
        <f t="shared" si="0"/>
        <v>0</v>
      </c>
      <c r="G12" s="162"/>
      <c r="H12" s="2035"/>
      <c r="I12" s="162"/>
      <c r="J12" s="162"/>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row>
    <row r="13" spans="1:76" ht="16" customHeight="1">
      <c r="A13" s="171"/>
      <c r="B13" s="156"/>
      <c r="C13" s="147" t="s">
        <v>1375</v>
      </c>
      <c r="D13" s="233">
        <f>'ENR#-DSUM'!B43</f>
        <v>2602</v>
      </c>
      <c r="E13" s="858">
        <f>'ENR#-DB'!Q10</f>
        <v>2602</v>
      </c>
      <c r="F13" s="234">
        <f t="shared" si="0"/>
        <v>0</v>
      </c>
      <c r="G13" s="162"/>
      <c r="H13" s="2035"/>
      <c r="I13" s="162"/>
      <c r="J13" s="162"/>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c r="BQ13" s="143"/>
      <c r="BR13" s="143"/>
      <c r="BS13" s="143"/>
      <c r="BT13" s="143"/>
      <c r="BU13" s="143"/>
      <c r="BV13" s="143"/>
      <c r="BW13" s="143"/>
      <c r="BX13" s="143"/>
    </row>
    <row r="14" spans="1:76" ht="16" customHeight="1">
      <c r="A14" s="171"/>
      <c r="B14" s="155" t="str">
        <f>'ENR#-DSUM'!B50</f>
        <v>FA2 = FA2L1 FA2L2</v>
      </c>
      <c r="C14" s="148" t="s">
        <v>1399</v>
      </c>
      <c r="D14" s="231">
        <f>'ENR#-DSUM'!B53</f>
        <v>0</v>
      </c>
      <c r="E14" s="859">
        <f>'ENR#-DB'!Q11</f>
        <v>0</v>
      </c>
      <c r="F14" s="232">
        <f t="shared" si="0"/>
        <v>0</v>
      </c>
      <c r="G14" s="162"/>
      <c r="H14" s="162"/>
      <c r="I14" s="162"/>
      <c r="J14" s="162"/>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c r="BQ14" s="143"/>
      <c r="BR14" s="143"/>
      <c r="BS14" s="143"/>
      <c r="BT14" s="143"/>
      <c r="BU14" s="143"/>
      <c r="BV14" s="143"/>
      <c r="BW14" s="143"/>
      <c r="BX14" s="143"/>
    </row>
    <row r="15" spans="1:76" ht="16" customHeight="1">
      <c r="A15" s="171"/>
      <c r="B15" s="156"/>
      <c r="C15" s="147" t="s">
        <v>1375</v>
      </c>
      <c r="D15" s="233">
        <f>'ENR#-DSUM'!B63</f>
        <v>0</v>
      </c>
      <c r="E15" s="858">
        <f>'ENR#-DB'!Q12</f>
        <v>0</v>
      </c>
      <c r="F15" s="234">
        <f t="shared" si="0"/>
        <v>0</v>
      </c>
      <c r="G15" s="162"/>
      <c r="H15" s="162"/>
      <c r="I15" s="162"/>
      <c r="J15" s="162"/>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row>
    <row r="16" spans="1:76" ht="16" customHeight="1">
      <c r="A16" s="171"/>
      <c r="B16" s="155" t="str">
        <f>'ENR#-DSUM'!B70</f>
        <v>FA3 = FA3L1 FA3L2</v>
      </c>
      <c r="C16" s="248" t="s">
        <v>1399</v>
      </c>
      <c r="D16" s="231">
        <f>'ENR#-DSUM'!B73</f>
        <v>0</v>
      </c>
      <c r="E16" s="859">
        <f>'ENR#-DB'!Q13</f>
        <v>0</v>
      </c>
      <c r="F16" s="232">
        <f>D16-E16</f>
        <v>0</v>
      </c>
      <c r="G16" s="162"/>
      <c r="H16" s="162"/>
      <c r="I16" s="162"/>
      <c r="J16" s="162"/>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143"/>
      <c r="BQ16" s="143"/>
      <c r="BR16" s="143"/>
      <c r="BS16" s="143"/>
      <c r="BT16" s="143"/>
      <c r="BU16" s="143"/>
      <c r="BV16" s="143"/>
      <c r="BW16" s="143"/>
      <c r="BX16" s="143"/>
    </row>
    <row r="17" spans="1:76" ht="16" customHeight="1">
      <c r="A17" s="171"/>
      <c r="B17" s="156"/>
      <c r="C17" s="147" t="s">
        <v>1375</v>
      </c>
      <c r="D17" s="233">
        <f>'ENR#-DSUM'!B83</f>
        <v>0</v>
      </c>
      <c r="E17" s="858">
        <f>'ENR#-DB'!Q14</f>
        <v>0</v>
      </c>
      <c r="F17" s="234">
        <f t="shared" si="0"/>
        <v>0</v>
      </c>
      <c r="G17" s="162"/>
      <c r="H17" s="162"/>
      <c r="I17" s="162"/>
      <c r="J17" s="162"/>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143"/>
      <c r="BQ17" s="143"/>
      <c r="BR17" s="143"/>
      <c r="BS17" s="143"/>
      <c r="BT17" s="143"/>
      <c r="BU17" s="143"/>
      <c r="BV17" s="143"/>
      <c r="BW17" s="143"/>
      <c r="BX17" s="143"/>
    </row>
    <row r="18" spans="1:76" ht="16" customHeight="1">
      <c r="A18" s="171"/>
      <c r="B18" s="155" t="str">
        <f>'ENR#-DSUM'!B90</f>
        <v>FA4 = FA4L1 FA4L2</v>
      </c>
      <c r="C18" s="248" t="s">
        <v>1399</v>
      </c>
      <c r="D18" s="231">
        <f>'ENR#-DSUM'!B93</f>
        <v>0</v>
      </c>
      <c r="E18" s="859">
        <f>'ENR#-DB'!Q15</f>
        <v>0</v>
      </c>
      <c r="F18" s="232">
        <f t="shared" si="0"/>
        <v>0</v>
      </c>
      <c r="G18" s="162"/>
      <c r="H18" s="162"/>
      <c r="I18" s="162"/>
      <c r="J18" s="162"/>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row>
    <row r="19" spans="1:76" ht="16" customHeight="1">
      <c r="A19" s="171"/>
      <c r="B19" s="156"/>
      <c r="C19" s="147" t="s">
        <v>1375</v>
      </c>
      <c r="D19" s="233">
        <f>'ENR#-DSUM'!B103</f>
        <v>0</v>
      </c>
      <c r="E19" s="858">
        <f>'ENR#-DB'!Q16</f>
        <v>0</v>
      </c>
      <c r="F19" s="234">
        <f t="shared" si="0"/>
        <v>0</v>
      </c>
      <c r="G19" s="162"/>
      <c r="H19" s="162"/>
      <c r="I19" s="162"/>
      <c r="J19" s="162"/>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row>
    <row r="20" spans="1:76" ht="16" customHeight="1">
      <c r="A20" s="171"/>
      <c r="B20" s="155" t="str">
        <f>'ENR#-DSUM'!B110</f>
        <v>FA5 = FA5L1 FA5L2</v>
      </c>
      <c r="C20" s="248" t="s">
        <v>1399</v>
      </c>
      <c r="D20" s="231">
        <f>'ENR#-DSUM'!B113</f>
        <v>0</v>
      </c>
      <c r="E20" s="859">
        <f>'ENR#-DB'!Q17</f>
        <v>0</v>
      </c>
      <c r="F20" s="232">
        <f t="shared" si="0"/>
        <v>0</v>
      </c>
      <c r="G20" s="162"/>
      <c r="H20" s="162"/>
      <c r="I20" s="162"/>
      <c r="J20" s="162"/>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3"/>
      <c r="BW20" s="143"/>
      <c r="BX20" s="143"/>
    </row>
    <row r="21" spans="1:76" ht="16" customHeight="1">
      <c r="A21" s="171"/>
      <c r="B21" s="156"/>
      <c r="C21" s="147" t="s">
        <v>1375</v>
      </c>
      <c r="D21" s="233">
        <f>'ENR#-DSUM'!B123</f>
        <v>0</v>
      </c>
      <c r="E21" s="858">
        <f>'ENR#-DB'!Q18</f>
        <v>0</v>
      </c>
      <c r="F21" s="234">
        <f t="shared" si="0"/>
        <v>0</v>
      </c>
      <c r="G21" s="162"/>
      <c r="H21" s="162"/>
      <c r="I21" s="162"/>
      <c r="J21" s="162"/>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row>
    <row r="22" spans="1:76" ht="16" customHeight="1">
      <c r="A22" s="171"/>
      <c r="B22" s="171"/>
      <c r="C22" s="171"/>
      <c r="D22" s="171"/>
      <c r="E22" s="171"/>
      <c r="F22" s="171"/>
      <c r="G22" s="171"/>
      <c r="H22" s="171"/>
      <c r="I22" s="171"/>
      <c r="J22" s="171"/>
    </row>
    <row r="23" spans="1:76" ht="16" customHeight="1">
      <c r="A23" s="171"/>
      <c r="B23" s="171"/>
      <c r="C23" s="171"/>
      <c r="D23" s="171"/>
      <c r="E23" s="171"/>
      <c r="F23" s="171"/>
      <c r="G23" s="171"/>
      <c r="H23" s="171"/>
      <c r="I23" s="171"/>
      <c r="J23" s="171"/>
    </row>
    <row r="24" spans="1:76" ht="16" customHeight="1">
      <c r="A24" s="171"/>
      <c r="B24" s="171"/>
      <c r="C24" s="171"/>
      <c r="D24" s="171"/>
      <c r="E24" s="171"/>
      <c r="F24" s="171"/>
      <c r="G24" s="171"/>
      <c r="H24" s="171"/>
      <c r="I24" s="171"/>
      <c r="J24" s="171"/>
    </row>
    <row r="26" spans="1:76" ht="16" customHeight="1">
      <c r="E26" s="160"/>
      <c r="F26" s="160"/>
      <c r="G26" s="160"/>
    </row>
    <row r="27" spans="1:76" ht="16" customHeight="1">
      <c r="E27" s="160"/>
      <c r="F27" s="161"/>
      <c r="G27" s="160"/>
    </row>
    <row r="28" spans="1:76" ht="16" customHeight="1">
      <c r="E28" s="160"/>
      <c r="F28" s="160"/>
      <c r="G28" s="160"/>
    </row>
    <row r="29" spans="1:76" ht="16" customHeight="1">
      <c r="E29" s="160"/>
      <c r="F29" s="160"/>
      <c r="G29" s="160"/>
    </row>
  </sheetData>
  <mergeCells count="7">
    <mergeCell ref="B7:C7"/>
    <mergeCell ref="H6:H13"/>
    <mergeCell ref="B2:F2"/>
    <mergeCell ref="B3:F3"/>
    <mergeCell ref="B4:F4"/>
    <mergeCell ref="B5:F5"/>
    <mergeCell ref="B6:C6"/>
  </mergeCells>
  <conditionalFormatting sqref="F10:F21">
    <cfRule type="cellIs" dxfId="4" priority="4" operator="between">
      <formula>-0.005</formula>
      <formula>0.005</formula>
    </cfRule>
  </conditionalFormatting>
  <conditionalFormatting sqref="F27">
    <cfRule type="cellIs" dxfId="3" priority="3" operator="notEqual">
      <formula>0</formula>
    </cfRule>
  </conditionalFormatting>
  <conditionalFormatting sqref="F27">
    <cfRule type="cellIs" dxfId="2" priority="1" operator="notEqual">
      <formula>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BF997"/>
  </sheetPr>
  <dimension ref="A1:AQ14"/>
  <sheetViews>
    <sheetView workbookViewId="0"/>
  </sheetViews>
  <sheetFormatPr baseColWidth="10" defaultColWidth="8.83203125" defaultRowHeight="11" x14ac:dyDescent="0"/>
  <cols>
    <col min="1" max="1" width="6.5" customWidth="1"/>
    <col min="2" max="2" width="5.83203125" customWidth="1"/>
    <col min="3" max="3" width="5.1640625" customWidth="1"/>
    <col min="4" max="4" width="19.5" customWidth="1"/>
    <col min="5" max="5" width="16.33203125" customWidth="1"/>
    <col min="6" max="6" width="14.6640625" customWidth="1"/>
    <col min="7" max="7" width="19.5" customWidth="1"/>
    <col min="8" max="8" width="11.6640625" customWidth="1"/>
    <col min="9" max="9" width="11.33203125" customWidth="1"/>
    <col min="10" max="10" width="15.6640625" customWidth="1"/>
    <col min="11" max="11" width="12.33203125" customWidth="1"/>
    <col min="12" max="12" width="18.1640625" customWidth="1"/>
    <col min="14" max="14" width="15.6640625" customWidth="1"/>
    <col min="15" max="15" width="17.33203125" customWidth="1"/>
    <col min="16" max="16" width="10.5" customWidth="1"/>
    <col min="17" max="17" width="22.6640625" customWidth="1"/>
    <col min="18" max="18" width="25.6640625" customWidth="1"/>
  </cols>
  <sheetData>
    <row r="1" spans="1:43" ht="17" thickBot="1">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61"/>
      <c r="AA1" s="61"/>
      <c r="AB1" s="61"/>
      <c r="AC1" s="61"/>
    </row>
    <row r="2" spans="1:43" ht="18" thickTop="1" thickBot="1">
      <c r="A2" s="140"/>
      <c r="B2" s="140"/>
      <c r="C2" s="140"/>
      <c r="D2" s="252" t="s">
        <v>1157</v>
      </c>
      <c r="E2" s="253" t="s">
        <v>1146</v>
      </c>
      <c r="F2" s="254" t="s">
        <v>1414</v>
      </c>
      <c r="G2" s="253" t="s">
        <v>1147</v>
      </c>
      <c r="H2" s="254" t="s">
        <v>1415</v>
      </c>
      <c r="I2" s="253" t="s">
        <v>1148</v>
      </c>
      <c r="J2" s="254" t="s">
        <v>1365</v>
      </c>
      <c r="K2" s="253" t="s">
        <v>1149</v>
      </c>
      <c r="L2" s="254" t="s">
        <v>1367</v>
      </c>
      <c r="M2" s="253" t="s">
        <v>1150</v>
      </c>
      <c r="N2" s="255" t="s">
        <v>1151</v>
      </c>
      <c r="O2" s="254"/>
      <c r="P2" s="253" t="s">
        <v>1152</v>
      </c>
      <c r="Q2" s="254" t="s">
        <v>1344</v>
      </c>
      <c r="R2" s="253" t="s">
        <v>1153</v>
      </c>
      <c r="S2" s="256" t="s">
        <v>1349</v>
      </c>
      <c r="T2" s="253" t="s">
        <v>1154</v>
      </c>
      <c r="U2" s="257" t="s">
        <v>1155</v>
      </c>
      <c r="V2" s="258"/>
      <c r="W2" s="259"/>
      <c r="X2" s="140"/>
      <c r="Y2" s="140"/>
      <c r="Z2" s="61"/>
      <c r="AA2" s="61"/>
      <c r="AB2" s="61"/>
      <c r="AC2" s="61"/>
    </row>
    <row r="3" spans="1:43" ht="18" thickTop="1" thickBot="1">
      <c r="A3" s="140"/>
      <c r="B3" s="140"/>
      <c r="C3" s="140"/>
      <c r="D3" s="252" t="s">
        <v>1328</v>
      </c>
      <c r="E3" s="260" t="s">
        <v>1156</v>
      </c>
      <c r="F3" s="255"/>
      <c r="G3" s="255"/>
      <c r="H3" s="255"/>
      <c r="I3" s="255"/>
      <c r="J3" s="254"/>
      <c r="K3" s="261" t="s">
        <v>1174</v>
      </c>
      <c r="L3" s="262"/>
      <c r="M3" s="263" t="str">
        <f>'FIG3'!W50</f>
        <v>FY2010-11</v>
      </c>
      <c r="N3" s="254"/>
      <c r="O3" s="253"/>
      <c r="P3" s="254"/>
      <c r="Q3" s="253"/>
      <c r="R3" s="254"/>
      <c r="S3" s="253"/>
      <c r="T3" s="254"/>
      <c r="U3" s="253"/>
      <c r="V3" s="254"/>
      <c r="W3" s="264"/>
      <c r="X3" s="140"/>
      <c r="Y3" s="140"/>
      <c r="Z3" s="61"/>
      <c r="AA3" s="61"/>
      <c r="AB3" s="61"/>
      <c r="AC3" s="61"/>
    </row>
    <row r="4" spans="1:43" ht="16" customHeight="1" thickTop="1">
      <c r="A4" s="141"/>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43" ht="16" customHeight="1" thickBot="1">
      <c r="A5" s="141"/>
      <c r="B5" s="141"/>
      <c r="C5" s="141"/>
      <c r="D5" s="141"/>
      <c r="E5" s="141"/>
      <c r="F5" s="141"/>
      <c r="G5" s="141"/>
      <c r="H5" s="141"/>
      <c r="I5" s="141"/>
      <c r="J5" s="141"/>
      <c r="K5" s="141"/>
      <c r="L5" s="141"/>
      <c r="M5" s="141"/>
      <c r="N5" s="141"/>
      <c r="O5" s="141"/>
      <c r="P5" s="141"/>
      <c r="Q5" s="141"/>
      <c r="R5" s="141"/>
      <c r="S5" s="141"/>
      <c r="T5" s="141"/>
      <c r="U5" s="141"/>
      <c r="V5" s="141"/>
      <c r="W5" s="141"/>
      <c r="X5" s="141"/>
      <c r="Y5" s="141"/>
    </row>
    <row r="6" spans="1:43" s="3" customFormat="1" ht="16" customHeight="1" thickTop="1" thickBot="1">
      <c r="A6" s="96" t="s">
        <v>1337</v>
      </c>
      <c r="B6" s="96" t="s">
        <v>1425</v>
      </c>
      <c r="C6" s="96" t="s">
        <v>1347</v>
      </c>
      <c r="D6" s="990" t="s">
        <v>1338</v>
      </c>
      <c r="E6" s="990" t="s">
        <v>1426</v>
      </c>
      <c r="F6" s="990" t="s">
        <v>1380</v>
      </c>
      <c r="G6" s="990" t="s">
        <v>1427</v>
      </c>
      <c r="H6" s="990" t="s">
        <v>1428</v>
      </c>
      <c r="I6" s="990" t="s">
        <v>1429</v>
      </c>
      <c r="J6" s="990" t="s">
        <v>1430</v>
      </c>
      <c r="K6" s="991" t="s">
        <v>1431</v>
      </c>
      <c r="L6" s="874" t="s">
        <v>1379</v>
      </c>
      <c r="M6" s="874" t="s">
        <v>1432</v>
      </c>
      <c r="N6" s="874" t="s">
        <v>1340</v>
      </c>
      <c r="O6" s="874" t="s">
        <v>1397</v>
      </c>
      <c r="P6" s="874" t="s">
        <v>1465</v>
      </c>
      <c r="Q6" s="874" t="s">
        <v>1466</v>
      </c>
      <c r="R6" s="874" t="s">
        <v>1297</v>
      </c>
      <c r="S6" s="990" t="s">
        <v>1339</v>
      </c>
      <c r="T6" s="990" t="s">
        <v>1298</v>
      </c>
      <c r="U6" s="120"/>
      <c r="V6" s="120"/>
      <c r="W6" s="120"/>
      <c r="X6" s="120"/>
      <c r="Y6" s="120"/>
      <c r="Z6" s="120"/>
      <c r="AA6" s="120"/>
      <c r="AB6" s="120"/>
      <c r="AC6" s="120"/>
      <c r="AD6" s="120"/>
      <c r="AE6" s="120"/>
      <c r="AF6" s="120"/>
      <c r="AG6" s="120"/>
      <c r="AH6" s="120"/>
      <c r="AI6" s="120"/>
      <c r="AJ6" s="120"/>
      <c r="AK6" s="120"/>
      <c r="AL6" s="120"/>
      <c r="AM6" s="120"/>
      <c r="AN6" s="120"/>
      <c r="AO6" s="120"/>
      <c r="AP6" s="120"/>
      <c r="AQ6" s="120"/>
    </row>
    <row r="7" spans="1:43" s="3" customFormat="1" ht="16" customHeight="1" thickTop="1" thickBot="1">
      <c r="A7" s="114" t="s">
        <v>1296</v>
      </c>
      <c r="B7" s="115"/>
      <c r="C7" s="116"/>
      <c r="D7" s="113">
        <v>0</v>
      </c>
      <c r="E7" s="113">
        <v>0</v>
      </c>
      <c r="F7" s="113">
        <v>0</v>
      </c>
      <c r="G7" s="113">
        <v>0</v>
      </c>
      <c r="H7" s="113">
        <v>0</v>
      </c>
      <c r="I7" s="113">
        <v>0</v>
      </c>
      <c r="J7" s="113">
        <v>0</v>
      </c>
      <c r="K7" s="356">
        <v>0</v>
      </c>
      <c r="L7" s="360">
        <f t="shared" ref="L7:T7" si="0">COUNTBLANK(L10:L11)-2</f>
        <v>0</v>
      </c>
      <c r="M7" s="360">
        <f t="shared" si="0"/>
        <v>0</v>
      </c>
      <c r="N7" s="360">
        <f t="shared" si="0"/>
        <v>0</v>
      </c>
      <c r="O7" s="360">
        <f t="shared" si="0"/>
        <v>0</v>
      </c>
      <c r="P7" s="360">
        <f t="shared" si="0"/>
        <v>0</v>
      </c>
      <c r="Q7" s="360">
        <f t="shared" si="0"/>
        <v>0</v>
      </c>
      <c r="R7" s="360">
        <f t="shared" si="0"/>
        <v>0</v>
      </c>
      <c r="S7" s="113">
        <f t="shared" si="0"/>
        <v>0</v>
      </c>
      <c r="T7" s="113">
        <f t="shared" si="0"/>
        <v>0</v>
      </c>
      <c r="U7" s="120"/>
      <c r="V7" s="120"/>
      <c r="W7" s="120"/>
      <c r="X7" s="120"/>
      <c r="Y7" s="120"/>
      <c r="Z7" s="120"/>
      <c r="AA7" s="120"/>
      <c r="AB7" s="120"/>
      <c r="AC7" s="120"/>
      <c r="AD7" s="120"/>
      <c r="AE7" s="120"/>
      <c r="AF7" s="120"/>
      <c r="AG7" s="120"/>
      <c r="AH7" s="120"/>
      <c r="AI7" s="120"/>
      <c r="AJ7" s="120"/>
      <c r="AK7" s="120"/>
      <c r="AL7" s="120"/>
      <c r="AM7" s="120"/>
      <c r="AN7" s="120"/>
      <c r="AO7" s="120"/>
      <c r="AP7" s="120"/>
      <c r="AQ7" s="120"/>
    </row>
    <row r="8" spans="1:43" s="3" customFormat="1" ht="16" customHeight="1" thickTop="1" thickBot="1">
      <c r="A8" s="62"/>
      <c r="B8" s="62" t="s">
        <v>1189</v>
      </c>
      <c r="C8" s="62"/>
      <c r="D8" s="1983" t="s">
        <v>1385</v>
      </c>
      <c r="E8" s="1984"/>
      <c r="F8" s="1984"/>
      <c r="G8" s="1985"/>
      <c r="H8" s="1983" t="s">
        <v>1381</v>
      </c>
      <c r="I8" s="1984"/>
      <c r="J8" s="1984"/>
      <c r="K8" s="1984"/>
      <c r="L8" s="1990" t="s">
        <v>1187</v>
      </c>
      <c r="M8" s="1991"/>
      <c r="N8" s="1991"/>
      <c r="O8" s="1991"/>
      <c r="P8" s="1991"/>
      <c r="Q8" s="1991"/>
      <c r="R8" s="886"/>
      <c r="S8" s="110" t="s">
        <v>935</v>
      </c>
      <c r="T8" s="110" t="s">
        <v>936</v>
      </c>
      <c r="U8" s="120"/>
      <c r="V8" s="120"/>
      <c r="W8" s="120"/>
      <c r="X8" s="120"/>
      <c r="Y8" s="120"/>
      <c r="Z8" s="120"/>
      <c r="AA8" s="120"/>
      <c r="AB8" s="120"/>
      <c r="AC8" s="120"/>
      <c r="AD8" s="120"/>
      <c r="AE8" s="120"/>
      <c r="AF8" s="120"/>
      <c r="AG8" s="120"/>
      <c r="AH8" s="120"/>
      <c r="AI8" s="120"/>
      <c r="AJ8" s="120"/>
      <c r="AK8" s="120"/>
      <c r="AL8" s="120"/>
      <c r="AM8" s="120"/>
      <c r="AN8" s="120"/>
      <c r="AO8" s="120"/>
      <c r="AP8" s="120"/>
      <c r="AQ8" s="120"/>
    </row>
    <row r="9" spans="1:43" s="3" customFormat="1" ht="16" customHeight="1" thickTop="1" thickBot="1">
      <c r="A9" s="292" t="s">
        <v>1337</v>
      </c>
      <c r="B9" s="292" t="s">
        <v>1425</v>
      </c>
      <c r="C9" s="292" t="s">
        <v>1347</v>
      </c>
      <c r="D9" s="111" t="s">
        <v>1386</v>
      </c>
      <c r="E9" s="111" t="s">
        <v>1387</v>
      </c>
      <c r="F9" s="111" t="s">
        <v>1388</v>
      </c>
      <c r="G9" s="111" t="s">
        <v>1389</v>
      </c>
      <c r="H9" s="111" t="s">
        <v>1406</v>
      </c>
      <c r="I9" s="111" t="s">
        <v>1390</v>
      </c>
      <c r="J9" s="111" t="s">
        <v>1391</v>
      </c>
      <c r="K9" s="992" t="s">
        <v>1392</v>
      </c>
      <c r="L9" s="361" t="s">
        <v>1188</v>
      </c>
      <c r="M9" s="361" t="s">
        <v>1437</v>
      </c>
      <c r="N9" s="361" t="s">
        <v>1348</v>
      </c>
      <c r="O9" s="361" t="s">
        <v>1393</v>
      </c>
      <c r="P9" s="361" t="s">
        <v>1342</v>
      </c>
      <c r="Q9" s="362" t="s">
        <v>1224</v>
      </c>
      <c r="R9" s="362" t="s">
        <v>846</v>
      </c>
      <c r="S9" s="990" t="s">
        <v>935</v>
      </c>
      <c r="T9" s="990" t="s">
        <v>936</v>
      </c>
      <c r="U9" s="120"/>
      <c r="V9" s="120"/>
      <c r="W9" s="120"/>
      <c r="X9" s="120"/>
      <c r="Y9" s="120"/>
      <c r="Z9" s="120"/>
      <c r="AA9" s="120"/>
      <c r="AB9" s="120"/>
      <c r="AC9" s="120"/>
      <c r="AD9" s="120"/>
      <c r="AE9" s="120"/>
      <c r="AF9" s="120"/>
      <c r="AG9" s="120"/>
      <c r="AH9" s="120"/>
      <c r="AI9" s="120"/>
      <c r="AJ9" s="120"/>
      <c r="AK9" s="120"/>
      <c r="AL9" s="120"/>
      <c r="AM9" s="120"/>
      <c r="AN9" s="120"/>
      <c r="AO9" s="120"/>
      <c r="AP9" s="120"/>
      <c r="AQ9" s="120"/>
    </row>
    <row r="10" spans="1:43" ht="16" customHeight="1" thickTop="1">
      <c r="A10" s="139"/>
      <c r="B10" s="139"/>
      <c r="C10" s="139"/>
      <c r="D10" s="275"/>
      <c r="E10" s="139"/>
      <c r="F10" s="139"/>
      <c r="G10" s="139"/>
      <c r="H10" s="139"/>
      <c r="I10" s="139"/>
      <c r="J10" s="139"/>
      <c r="K10" s="139"/>
      <c r="L10" s="139"/>
      <c r="M10" s="139"/>
      <c r="N10" s="139"/>
      <c r="O10" s="139"/>
      <c r="P10" s="139"/>
      <c r="Q10" s="139"/>
      <c r="R10" s="139"/>
      <c r="S10" s="139"/>
      <c r="T10" s="139"/>
      <c r="U10" s="139"/>
      <c r="V10" s="139"/>
      <c r="W10" s="139"/>
      <c r="X10" s="139"/>
      <c r="Y10" s="139"/>
    </row>
    <row r="11" spans="1:43" ht="22.5" customHeight="1">
      <c r="A11" s="139"/>
      <c r="B11" s="139"/>
      <c r="C11" s="139"/>
      <c r="D11" s="139"/>
      <c r="E11" s="140"/>
      <c r="F11" s="274"/>
      <c r="G11" s="274"/>
      <c r="H11" s="274"/>
      <c r="I11" s="274"/>
      <c r="J11" s="274"/>
      <c r="K11" s="274"/>
      <c r="L11" s="274"/>
      <c r="M11" s="274"/>
      <c r="N11" s="274"/>
      <c r="O11" s="274"/>
      <c r="P11" s="274"/>
      <c r="Q11" s="274"/>
      <c r="R11" s="274"/>
      <c r="S11" s="274"/>
      <c r="T11" s="274"/>
      <c r="U11" s="139"/>
      <c r="V11" s="139"/>
      <c r="W11" s="139"/>
      <c r="X11" s="139"/>
      <c r="Y11" s="139"/>
    </row>
    <row r="12" spans="1:43" ht="16" customHeight="1">
      <c r="A12" s="139"/>
      <c r="B12" s="139"/>
      <c r="C12" s="139"/>
      <c r="D12" s="140" t="s">
        <v>1229</v>
      </c>
      <c r="E12" s="139"/>
      <c r="F12" s="139"/>
      <c r="G12" s="139"/>
      <c r="H12" s="139"/>
      <c r="I12" s="139"/>
      <c r="J12" s="139"/>
      <c r="K12" s="139"/>
      <c r="L12" s="139"/>
      <c r="M12" s="139"/>
      <c r="N12" s="139"/>
      <c r="O12" s="139"/>
      <c r="P12" s="139"/>
      <c r="Q12" s="139"/>
      <c r="R12" s="139"/>
      <c r="S12" s="139"/>
      <c r="T12" s="139"/>
      <c r="U12" s="139"/>
      <c r="V12" s="139"/>
      <c r="W12" s="139"/>
      <c r="X12" s="139"/>
      <c r="Y12" s="139"/>
    </row>
    <row r="13" spans="1:43" ht="16" customHeight="1">
      <c r="A13" s="139"/>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row>
    <row r="14" spans="1:43" ht="16" customHeight="1">
      <c r="A14" s="139"/>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row>
  </sheetData>
  <mergeCells count="3">
    <mergeCell ref="D8:G8"/>
    <mergeCell ref="H8:K8"/>
    <mergeCell ref="L8:Q8"/>
  </mergeCells>
  <conditionalFormatting sqref="R7">
    <cfRule type="cellIs" dxfId="1" priority="1" operator="notEqual">
      <formula>0</formula>
    </cfRule>
  </conditionalFormatting>
  <conditionalFormatting sqref="D7:Q7 S7:T7">
    <cfRule type="cellIs" dxfId="0" priority="2" operator="notEqual">
      <formula>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BF997"/>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GB247"/>
  <sheetViews>
    <sheetView workbookViewId="0"/>
  </sheetViews>
  <sheetFormatPr baseColWidth="10" defaultColWidth="8.83203125" defaultRowHeight="12.75" customHeight="1" x14ac:dyDescent="0"/>
  <cols>
    <col min="1" max="1" width="8.5" style="1313" customWidth="1"/>
    <col min="2" max="2" width="25.83203125" style="1313" customWidth="1"/>
    <col min="3" max="3" width="10" style="1313" customWidth="1"/>
    <col min="4" max="4" width="12" style="1313" customWidth="1"/>
    <col min="5" max="5" width="10" style="1313" customWidth="1"/>
    <col min="6" max="6" width="12" style="1313" customWidth="1"/>
    <col min="7" max="7" width="12.33203125" style="1313" customWidth="1"/>
    <col min="8" max="8" width="12" style="1313" customWidth="1"/>
    <col min="9" max="9" width="10" style="1313" customWidth="1"/>
    <col min="10" max="10" width="12" style="1313" customWidth="1"/>
    <col min="11" max="11" width="10" style="1313" customWidth="1"/>
    <col min="12" max="12" width="12" style="1313" customWidth="1"/>
    <col min="13" max="13" width="11.33203125" style="1313" customWidth="1"/>
    <col min="14" max="14" width="12" style="1313" customWidth="1"/>
    <col min="15" max="15" width="10" style="1313" customWidth="1"/>
    <col min="16" max="16" width="12" style="1313" customWidth="1"/>
    <col min="17" max="17" width="10" style="1313" customWidth="1"/>
    <col min="18" max="18" width="12" style="1313" customWidth="1"/>
    <col min="19" max="19" width="10" style="1313" customWidth="1"/>
    <col min="20" max="20" width="12" style="1313" customWidth="1"/>
    <col min="21" max="21" width="10" style="1313" customWidth="1"/>
    <col min="22" max="22" width="12" style="1313" customWidth="1"/>
    <col min="23" max="23" width="10" style="1313" customWidth="1"/>
    <col min="24" max="24" width="12" style="1313" customWidth="1"/>
    <col min="25" max="25" width="10" style="1313" customWidth="1"/>
    <col min="26" max="26" width="12" style="1313" customWidth="1"/>
    <col min="27" max="27" width="12.1640625" style="1313" customWidth="1"/>
    <col min="28" max="28" width="12" style="1313" customWidth="1"/>
    <col min="29" max="29" width="12.1640625" style="1375" customWidth="1"/>
    <col min="30" max="30" width="12" style="1313" customWidth="1"/>
    <col min="31" max="31" width="11.33203125" style="1313" customWidth="1"/>
    <col min="32" max="32" width="12" style="1313" customWidth="1"/>
    <col min="33" max="33" width="10" style="1313" customWidth="1"/>
    <col min="34" max="34" width="12" style="1376" customWidth="1"/>
    <col min="35" max="35" width="11" style="1313" customWidth="1"/>
    <col min="36" max="36" width="12" style="1313" customWidth="1"/>
    <col min="37" max="37" width="10" style="1313" customWidth="1"/>
    <col min="38" max="38" width="12" style="1313" customWidth="1"/>
    <col min="39" max="39" width="10" style="1313" customWidth="1"/>
    <col min="40" max="40" width="12" style="1313" customWidth="1"/>
    <col min="41" max="41" width="10" style="1313" customWidth="1"/>
    <col min="42" max="42" width="12" style="1313" customWidth="1"/>
    <col min="43" max="43" width="10" style="1313" customWidth="1"/>
    <col min="44" max="44" width="12" style="1313" customWidth="1"/>
    <col min="45" max="45" width="10" style="1313" customWidth="1"/>
    <col min="46" max="46" width="12" style="1313" customWidth="1"/>
    <col min="47" max="47" width="10" style="1313" customWidth="1"/>
    <col min="48" max="48" width="12" style="1313" customWidth="1"/>
    <col min="49" max="49" width="10" style="1313" customWidth="1"/>
    <col min="50" max="50" width="12" style="1313" customWidth="1"/>
    <col min="51" max="51" width="12.1640625" style="1313" customWidth="1"/>
    <col min="52" max="52" width="13.5" style="1313" customWidth="1"/>
    <col min="53" max="53" width="10" style="1313" customWidth="1"/>
    <col min="54" max="54" width="12" style="1313" customWidth="1"/>
    <col min="55" max="55" width="10" style="1313" customWidth="1"/>
    <col min="56" max="56" width="12" style="1313" customWidth="1"/>
    <col min="57" max="57" width="10" style="1313" customWidth="1"/>
    <col min="58" max="58" width="12" style="1313" customWidth="1"/>
    <col min="59" max="59" width="10" style="1313" customWidth="1"/>
    <col min="60" max="60" width="12" style="1313" customWidth="1"/>
    <col min="61" max="61" width="10" style="1313" customWidth="1"/>
    <col min="62" max="62" width="12" style="1313" customWidth="1"/>
    <col min="63" max="63" width="10" style="1313" customWidth="1"/>
    <col min="64" max="64" width="12" style="1313" customWidth="1"/>
    <col min="65" max="65" width="10" style="1313" customWidth="1"/>
    <col min="66" max="66" width="12" style="1313" customWidth="1"/>
    <col min="67" max="67" width="11" style="1313" customWidth="1"/>
    <col min="68" max="68" width="12" style="1313" customWidth="1"/>
    <col min="69" max="69" width="11" style="1313" customWidth="1"/>
    <col min="70" max="70" width="12" style="1313" customWidth="1"/>
    <col min="71" max="71" width="10" style="1313" customWidth="1"/>
    <col min="72" max="72" width="12" style="1313" customWidth="1"/>
    <col min="73" max="73" width="10" style="1313" customWidth="1"/>
    <col min="74" max="74" width="12" style="1313" customWidth="1"/>
    <col min="75" max="75" width="11" style="1313" customWidth="1"/>
    <col min="76" max="76" width="12" style="1313" customWidth="1"/>
    <col min="77" max="77" width="11.33203125" style="1313" customWidth="1"/>
    <col min="78" max="78" width="12" style="1313" customWidth="1"/>
    <col min="79" max="79" width="11" style="1313" customWidth="1"/>
    <col min="80" max="80" width="12" style="1313" customWidth="1"/>
    <col min="81" max="81" width="11.33203125" style="1313" customWidth="1"/>
    <col min="82" max="82" width="12" style="1313" customWidth="1"/>
    <col min="83" max="83" width="11.33203125" style="1313" customWidth="1"/>
    <col min="84" max="84" width="12" style="1313" customWidth="1"/>
    <col min="85" max="85" width="11.33203125" style="1313" customWidth="1"/>
    <col min="86" max="86" width="13.5" style="1313" customWidth="1"/>
    <col min="87" max="87" width="10" style="1313" customWidth="1"/>
    <col min="88" max="88" width="12" style="1313" customWidth="1"/>
    <col min="89" max="89" width="10" style="1313" customWidth="1"/>
    <col min="90" max="90" width="12" style="1313" customWidth="1"/>
    <col min="91" max="91" width="10" style="1313" customWidth="1"/>
    <col min="92" max="92" width="12" style="1313" customWidth="1"/>
    <col min="93" max="93" width="10" style="1313" customWidth="1"/>
    <col min="94" max="94" width="12" style="1313" customWidth="1"/>
    <col min="95" max="95" width="10" style="1313" customWidth="1"/>
    <col min="96" max="96" width="12" style="1313" customWidth="1"/>
    <col min="97" max="97" width="11.33203125" style="1313" customWidth="1"/>
    <col min="98" max="98" width="12" style="1313" customWidth="1"/>
    <col min="99" max="99" width="16.83203125" style="1313" customWidth="1"/>
    <col min="100" max="100" width="12" style="1313" customWidth="1"/>
    <col min="101" max="101" width="12.1640625" style="1313" customWidth="1"/>
    <col min="102" max="102" width="12" style="1313" customWidth="1"/>
    <col min="103" max="103" width="11.33203125" style="1313" customWidth="1"/>
    <col min="104" max="104" width="12" style="1313" customWidth="1"/>
    <col min="105" max="105" width="11" style="1313" customWidth="1"/>
    <col min="106" max="106" width="12" style="1313" customWidth="1"/>
    <col min="107" max="107" width="11" style="1313" customWidth="1"/>
    <col min="108" max="108" width="12" style="1313" customWidth="1"/>
    <col min="109" max="109" width="11.33203125" style="1313" customWidth="1"/>
    <col min="110" max="110" width="12" style="1313" customWidth="1"/>
    <col min="111" max="111" width="11.33203125" style="1313" customWidth="1"/>
    <col min="112" max="112" width="12" style="1313" customWidth="1"/>
    <col min="113" max="113" width="12.1640625" style="1313" customWidth="1"/>
    <col min="114" max="114" width="12" style="1313" customWidth="1"/>
    <col min="115" max="115" width="11" style="1313" customWidth="1"/>
    <col min="116" max="116" width="12" style="1313" customWidth="1"/>
    <col min="117" max="117" width="11" style="1313" customWidth="1"/>
    <col min="118" max="118" width="12" style="1313" customWidth="1"/>
    <col min="119" max="119" width="11.33203125" style="1313" customWidth="1"/>
    <col min="120" max="120" width="12" style="1313" customWidth="1"/>
    <col min="121" max="121" width="11.33203125" style="1313" customWidth="1"/>
    <col min="122" max="122" width="12" style="1313" customWidth="1"/>
    <col min="123" max="123" width="11" style="1313" customWidth="1"/>
    <col min="124" max="124" width="13.5" style="1313" customWidth="1"/>
    <col min="125" max="125" width="11.33203125" style="1313" customWidth="1"/>
    <col min="126" max="126" width="13.5" style="1313" customWidth="1"/>
    <col min="127" max="127" width="11.33203125" style="1313" customWidth="1"/>
    <col min="128" max="128" width="13.5" style="1313" customWidth="1"/>
    <col min="129" max="129" width="11.33203125" style="1313" customWidth="1"/>
    <col min="130" max="130" width="13.5" style="1313" customWidth="1"/>
    <col min="131" max="131" width="11.33203125" style="1313" customWidth="1"/>
    <col min="132" max="132" width="13.5" style="1313" customWidth="1"/>
    <col min="133" max="133" width="11.33203125" style="1313" customWidth="1"/>
    <col min="134" max="134" width="13.5" style="1313" customWidth="1"/>
    <col min="135" max="135" width="11.33203125" style="1313" customWidth="1"/>
    <col min="136" max="136" width="13.5" style="1313" customWidth="1"/>
    <col min="137" max="137" width="11" style="1313" customWidth="1"/>
    <col min="138" max="138" width="13.5" style="1313" customWidth="1"/>
    <col min="139" max="139" width="11" style="1313" customWidth="1"/>
    <col min="140" max="140" width="13.5" style="1313" customWidth="1"/>
    <col min="141" max="141" width="11" style="1313" customWidth="1"/>
    <col min="142" max="142" width="13.5" style="1313" customWidth="1"/>
    <col min="143" max="143" width="11.33203125" style="1313" customWidth="1"/>
    <col min="144" max="144" width="13.5" style="1313" customWidth="1"/>
    <col min="145" max="145" width="11.33203125" style="1313" customWidth="1"/>
    <col min="146" max="146" width="12" style="1313" customWidth="1"/>
    <col min="147" max="147" width="11.33203125" style="1313" customWidth="1"/>
    <col min="148" max="148" width="13.5" style="1313" customWidth="1"/>
    <col min="149" max="149" width="11.33203125" style="1313" customWidth="1"/>
    <col min="150" max="150" width="13.5" style="1313" customWidth="1"/>
    <col min="151" max="151" width="12.1640625" style="1313" customWidth="1"/>
    <col min="152" max="152" width="13.5" style="1313" customWidth="1"/>
    <col min="153" max="153" width="11.33203125" style="1313" customWidth="1"/>
    <col min="154" max="154" width="13.5" style="1313" customWidth="1"/>
    <col min="155" max="155" width="11.33203125" style="1313" customWidth="1"/>
    <col min="156" max="156" width="13.5" style="1313" customWidth="1"/>
    <col min="157" max="157" width="12.1640625" style="1313" customWidth="1"/>
    <col min="158" max="158" width="12" style="1313" customWidth="1"/>
    <col min="159" max="159" width="11.33203125" style="1313" customWidth="1"/>
    <col min="160" max="160" width="13.5" style="1313" customWidth="1"/>
    <col min="161" max="161" width="12.1640625" style="1313" customWidth="1"/>
    <col min="162" max="162" width="12" style="1313" customWidth="1"/>
    <col min="163" max="163" width="12.5" style="1313" customWidth="1"/>
    <col min="164" max="164" width="7.5" style="1313" customWidth="1"/>
    <col min="165" max="165" width="11" style="1313" customWidth="1"/>
    <col min="166" max="166" width="12" style="1313" customWidth="1"/>
    <col min="167" max="167" width="12.5" style="1313" customWidth="1"/>
    <col min="168" max="168" width="13.5" style="1313" customWidth="1"/>
    <col min="169" max="169" width="10" style="1313" customWidth="1"/>
    <col min="170" max="170" width="12" style="1313" customWidth="1"/>
    <col min="171" max="171" width="12.5" style="1313" customWidth="1"/>
    <col min="172" max="172" width="12" style="1313" customWidth="1"/>
    <col min="173" max="173" width="11.33203125" style="1313" customWidth="1"/>
    <col min="174" max="174" width="12" style="1313" customWidth="1"/>
    <col min="175" max="175" width="11" style="1313" customWidth="1"/>
    <col min="176" max="176" width="12" style="1313" customWidth="1"/>
    <col min="177" max="177" width="11.33203125" style="1313" customWidth="1"/>
    <col min="178" max="178" width="12" style="1313" customWidth="1"/>
    <col min="179" max="179" width="11.33203125" style="1313" customWidth="1"/>
    <col min="180" max="180" width="12" style="1313" customWidth="1"/>
    <col min="181" max="181" width="11.33203125" style="1313" customWidth="1"/>
    <col min="182" max="182" width="12" style="1313" customWidth="1"/>
    <col min="183" max="183" width="11" style="1313" customWidth="1"/>
    <col min="184" max="184" width="15.83203125" style="1313" customWidth="1"/>
    <col min="185" max="16384" width="8.83203125" style="1313"/>
  </cols>
  <sheetData>
    <row r="1" spans="1:184" ht="12.75" customHeight="1" thickBot="1">
      <c r="AC1" s="2042" t="s">
        <v>734</v>
      </c>
      <c r="AD1" s="2043"/>
      <c r="AE1" s="2043"/>
      <c r="AF1" s="2043"/>
      <c r="AG1" s="2043"/>
      <c r="AH1" s="2043"/>
      <c r="AI1" s="2044" t="s">
        <v>173</v>
      </c>
      <c r="AJ1" s="2044"/>
      <c r="AK1" s="2044"/>
      <c r="AL1" s="2044"/>
      <c r="AM1" s="2044"/>
      <c r="AN1" s="2044"/>
      <c r="AO1" s="2044"/>
      <c r="AP1" s="2044"/>
      <c r="AQ1" s="2044"/>
      <c r="AR1" s="2044"/>
      <c r="AS1" s="2044"/>
      <c r="AT1" s="2044"/>
      <c r="AU1" s="2044"/>
      <c r="AV1" s="2044"/>
      <c r="AW1" s="2044"/>
      <c r="AX1" s="2044"/>
    </row>
    <row r="2" spans="1:184" ht="12.75" customHeight="1" thickBot="1">
      <c r="A2" s="2045" t="s">
        <v>704</v>
      </c>
      <c r="B2" s="2046"/>
      <c r="C2" s="2036" t="s">
        <v>736</v>
      </c>
      <c r="D2" s="2037"/>
      <c r="E2" s="2036" t="s">
        <v>804</v>
      </c>
      <c r="F2" s="2037"/>
      <c r="G2" s="2036" t="s">
        <v>805</v>
      </c>
      <c r="H2" s="2037"/>
      <c r="I2" s="2036" t="s">
        <v>806</v>
      </c>
      <c r="J2" s="2037"/>
      <c r="K2" s="2036" t="s">
        <v>737</v>
      </c>
      <c r="L2" s="2037"/>
      <c r="M2" s="2036" t="s">
        <v>738</v>
      </c>
      <c r="N2" s="2037"/>
      <c r="O2" s="2036" t="s">
        <v>739</v>
      </c>
      <c r="P2" s="2037"/>
      <c r="Q2" s="2036" t="s">
        <v>740</v>
      </c>
      <c r="R2" s="2037"/>
      <c r="S2" s="2036" t="s">
        <v>568</v>
      </c>
      <c r="T2" s="2037"/>
      <c r="U2" s="2036" t="s">
        <v>569</v>
      </c>
      <c r="V2" s="2037"/>
      <c r="W2" s="2036" t="s">
        <v>570</v>
      </c>
      <c r="X2" s="2037"/>
      <c r="Y2" s="2036" t="s">
        <v>571</v>
      </c>
      <c r="Z2" s="2037"/>
      <c r="AA2" s="2036" t="s">
        <v>572</v>
      </c>
      <c r="AB2" s="2037"/>
      <c r="AC2" s="2036" t="s">
        <v>807</v>
      </c>
      <c r="AD2" s="2037"/>
      <c r="AE2" s="2036" t="s">
        <v>840</v>
      </c>
      <c r="AF2" s="2037"/>
      <c r="AG2" s="2036" t="s">
        <v>808</v>
      </c>
      <c r="AH2" s="2037"/>
      <c r="AI2" s="2036" t="s">
        <v>809</v>
      </c>
      <c r="AJ2" s="2037"/>
      <c r="AK2" s="2036" t="s">
        <v>810</v>
      </c>
      <c r="AL2" s="2037"/>
      <c r="AM2" s="2036" t="s">
        <v>811</v>
      </c>
      <c r="AN2" s="2037"/>
      <c r="AO2" s="2036" t="s">
        <v>812</v>
      </c>
      <c r="AP2" s="2037"/>
      <c r="AQ2" s="2036" t="s">
        <v>813</v>
      </c>
      <c r="AR2" s="2037"/>
      <c r="AS2" s="2036" t="s">
        <v>814</v>
      </c>
      <c r="AT2" s="2037"/>
      <c r="AU2" s="2036" t="s">
        <v>815</v>
      </c>
      <c r="AV2" s="2037"/>
      <c r="AW2" s="2036" t="s">
        <v>816</v>
      </c>
      <c r="AX2" s="2037"/>
      <c r="AY2" s="2036" t="s">
        <v>174</v>
      </c>
      <c r="AZ2" s="2037"/>
      <c r="BA2" s="2036" t="s">
        <v>817</v>
      </c>
      <c r="BB2" s="2037"/>
      <c r="BC2" s="2036" t="s">
        <v>818</v>
      </c>
      <c r="BD2" s="2037"/>
      <c r="BE2" s="2036" t="s">
        <v>819</v>
      </c>
      <c r="BF2" s="2037"/>
      <c r="BG2" s="2036" t="s">
        <v>820</v>
      </c>
      <c r="BH2" s="2037"/>
      <c r="BI2" s="2036" t="s">
        <v>821</v>
      </c>
      <c r="BJ2" s="2037"/>
      <c r="BK2" s="2036" t="s">
        <v>822</v>
      </c>
      <c r="BL2" s="2037"/>
      <c r="BM2" s="2036" t="s">
        <v>823</v>
      </c>
      <c r="BN2" s="2037"/>
      <c r="BO2" s="2036" t="s">
        <v>824</v>
      </c>
      <c r="BP2" s="2037"/>
      <c r="BQ2" s="2036" t="s">
        <v>825</v>
      </c>
      <c r="BR2" s="2037"/>
      <c r="BS2" s="2036" t="s">
        <v>826</v>
      </c>
      <c r="BT2" s="2037"/>
      <c r="BU2" s="2036" t="s">
        <v>827</v>
      </c>
      <c r="BV2" s="2037"/>
      <c r="BW2" s="2036" t="s">
        <v>828</v>
      </c>
      <c r="BX2" s="2037"/>
      <c r="BY2" s="2036" t="s">
        <v>829</v>
      </c>
      <c r="BZ2" s="2037"/>
      <c r="CA2" s="2036" t="s">
        <v>830</v>
      </c>
      <c r="CB2" s="2037"/>
      <c r="CC2" s="2036" t="s">
        <v>175</v>
      </c>
      <c r="CD2" s="2037"/>
      <c r="CE2" s="2036" t="s">
        <v>832</v>
      </c>
      <c r="CF2" s="2037"/>
      <c r="CG2" s="2036" t="s">
        <v>833</v>
      </c>
      <c r="CH2" s="2037"/>
      <c r="CI2" s="2036" t="s">
        <v>834</v>
      </c>
      <c r="CJ2" s="2037"/>
      <c r="CK2" s="2036" t="s">
        <v>835</v>
      </c>
      <c r="CL2" s="2037"/>
      <c r="CM2" s="2036" t="s">
        <v>836</v>
      </c>
      <c r="CN2" s="2037"/>
      <c r="CO2" s="2036" t="s">
        <v>837</v>
      </c>
      <c r="CP2" s="2037"/>
      <c r="CQ2" s="2036" t="s">
        <v>838</v>
      </c>
      <c r="CR2" s="2037"/>
      <c r="CS2" s="2036" t="s">
        <v>839</v>
      </c>
      <c r="CT2" s="2037"/>
      <c r="CU2" s="2036" t="s">
        <v>176</v>
      </c>
      <c r="CV2" s="2037"/>
      <c r="CW2" s="2036" t="s">
        <v>177</v>
      </c>
      <c r="CX2" s="2037"/>
      <c r="CY2" s="2036" t="s">
        <v>178</v>
      </c>
      <c r="CZ2" s="2037"/>
      <c r="DA2" s="2036" t="s">
        <v>179</v>
      </c>
      <c r="DB2" s="2037"/>
      <c r="DC2" s="2036" t="s">
        <v>180</v>
      </c>
      <c r="DD2" s="2037"/>
      <c r="DE2" s="2036" t="s">
        <v>181</v>
      </c>
      <c r="DF2" s="2037"/>
      <c r="DG2" s="2036" t="s">
        <v>182</v>
      </c>
      <c r="DH2" s="2037"/>
      <c r="DI2" s="2036" t="s">
        <v>183</v>
      </c>
      <c r="DJ2" s="2037"/>
      <c r="DK2" s="2036" t="s">
        <v>184</v>
      </c>
      <c r="DL2" s="2037"/>
      <c r="DM2" s="2036" t="s">
        <v>185</v>
      </c>
      <c r="DN2" s="2037"/>
      <c r="DO2" s="2036" t="s">
        <v>186</v>
      </c>
      <c r="DP2" s="2037"/>
      <c r="DQ2" s="2036" t="s">
        <v>187</v>
      </c>
      <c r="DR2" s="2037"/>
      <c r="DS2" s="2036" t="s">
        <v>188</v>
      </c>
      <c r="DT2" s="2037"/>
      <c r="DU2" s="2036" t="s">
        <v>189</v>
      </c>
      <c r="DV2" s="2037"/>
      <c r="DW2" s="2036" t="s">
        <v>190</v>
      </c>
      <c r="DX2" s="2037"/>
      <c r="DY2" s="2036" t="s">
        <v>191</v>
      </c>
      <c r="DZ2" s="2037"/>
      <c r="EA2" s="2036" t="s">
        <v>192</v>
      </c>
      <c r="EB2" s="2037"/>
      <c r="EC2" s="2036" t="s">
        <v>193</v>
      </c>
      <c r="ED2" s="2041"/>
      <c r="EE2" s="2036" t="s">
        <v>194</v>
      </c>
      <c r="EF2" s="2037"/>
      <c r="EG2" s="2036" t="s">
        <v>195</v>
      </c>
      <c r="EH2" s="2037"/>
      <c r="EI2" s="2036" t="s">
        <v>196</v>
      </c>
      <c r="EJ2" s="2037"/>
      <c r="EK2" s="2036" t="s">
        <v>197</v>
      </c>
      <c r="EL2" s="2037"/>
      <c r="EM2" s="2036" t="s">
        <v>198</v>
      </c>
      <c r="EN2" s="2037"/>
      <c r="EO2" s="2036" t="s">
        <v>199</v>
      </c>
      <c r="EP2" s="2037"/>
      <c r="EQ2" s="2036" t="s">
        <v>200</v>
      </c>
      <c r="ER2" s="2037"/>
      <c r="ES2" s="2036" t="s">
        <v>201</v>
      </c>
      <c r="ET2" s="2037"/>
      <c r="EU2" s="2036" t="s">
        <v>202</v>
      </c>
      <c r="EV2" s="2037"/>
      <c r="EW2" s="2036" t="s">
        <v>203</v>
      </c>
      <c r="EX2" s="2037"/>
      <c r="EY2" s="2036" t="s">
        <v>204</v>
      </c>
      <c r="EZ2" s="2037"/>
      <c r="FA2" s="2036" t="s">
        <v>205</v>
      </c>
      <c r="FB2" s="2037"/>
      <c r="FC2" s="2036" t="s">
        <v>206</v>
      </c>
      <c r="FD2" s="2037"/>
      <c r="FE2" s="2036" t="s">
        <v>207</v>
      </c>
      <c r="FF2" s="2037"/>
      <c r="FG2" s="2036" t="s">
        <v>573</v>
      </c>
      <c r="FH2" s="2037"/>
      <c r="FI2" s="2036" t="s">
        <v>208</v>
      </c>
      <c r="FJ2" s="2037"/>
      <c r="FK2" s="2036" t="s">
        <v>209</v>
      </c>
      <c r="FL2" s="2041"/>
      <c r="FM2" s="2036" t="s">
        <v>210</v>
      </c>
      <c r="FN2" s="2037"/>
      <c r="FO2" s="2036" t="s">
        <v>211</v>
      </c>
      <c r="FP2" s="2041"/>
      <c r="FQ2" s="2036" t="s">
        <v>212</v>
      </c>
      <c r="FR2" s="2037"/>
      <c r="FS2" s="2036" t="s">
        <v>213</v>
      </c>
      <c r="FT2" s="2037"/>
      <c r="FU2" s="2036" t="s">
        <v>214</v>
      </c>
      <c r="FV2" s="2037"/>
      <c r="FW2" s="2036" t="s">
        <v>215</v>
      </c>
      <c r="FX2" s="2041"/>
      <c r="FY2" s="2036" t="s">
        <v>216</v>
      </c>
      <c r="FZ2" s="2037"/>
      <c r="GA2" s="2036" t="s">
        <v>217</v>
      </c>
      <c r="GB2" s="2041"/>
    </row>
    <row r="3" spans="1:184" ht="12.75" customHeight="1" thickBot="1">
      <c r="A3" s="2047"/>
      <c r="B3" s="2048"/>
      <c r="C3" s="2036" t="s">
        <v>574</v>
      </c>
      <c r="D3" s="2037"/>
      <c r="E3" s="2036" t="s">
        <v>663</v>
      </c>
      <c r="F3" s="2037"/>
      <c r="G3" s="2036" t="s">
        <v>664</v>
      </c>
      <c r="H3" s="2037"/>
      <c r="I3" s="2036" t="s">
        <v>665</v>
      </c>
      <c r="J3" s="2037"/>
      <c r="K3" s="2036" t="s">
        <v>575</v>
      </c>
      <c r="L3" s="2037"/>
      <c r="M3" s="2036" t="s">
        <v>576</v>
      </c>
      <c r="N3" s="2037"/>
      <c r="O3" s="2036" t="s">
        <v>577</v>
      </c>
      <c r="P3" s="2037"/>
      <c r="Q3" s="2036" t="s">
        <v>578</v>
      </c>
      <c r="R3" s="2037"/>
      <c r="S3" s="2036" t="s">
        <v>579</v>
      </c>
      <c r="T3" s="2037"/>
      <c r="U3" s="2036" t="s">
        <v>580</v>
      </c>
      <c r="V3" s="2037"/>
      <c r="W3" s="2036" t="s">
        <v>581</v>
      </c>
      <c r="X3" s="2037"/>
      <c r="Y3" s="2036" t="s">
        <v>582</v>
      </c>
      <c r="Z3" s="2037"/>
      <c r="AA3" s="2036" t="s">
        <v>583</v>
      </c>
      <c r="AB3" s="2037"/>
      <c r="AC3" s="2036" t="s">
        <v>666</v>
      </c>
      <c r="AD3" s="2037"/>
      <c r="AE3" s="2036" t="s">
        <v>697</v>
      </c>
      <c r="AF3" s="2037"/>
      <c r="AG3" s="2036" t="s">
        <v>667</v>
      </c>
      <c r="AH3" s="2037"/>
      <c r="AI3" s="2036" t="s">
        <v>668</v>
      </c>
      <c r="AJ3" s="2037"/>
      <c r="AK3" s="2036" t="s">
        <v>669</v>
      </c>
      <c r="AL3" s="2037"/>
      <c r="AM3" s="2036" t="s">
        <v>670</v>
      </c>
      <c r="AN3" s="2037"/>
      <c r="AO3" s="2036" t="s">
        <v>671</v>
      </c>
      <c r="AP3" s="2037"/>
      <c r="AQ3" s="2036" t="s">
        <v>672</v>
      </c>
      <c r="AR3" s="2037"/>
      <c r="AS3" s="2036" t="s">
        <v>673</v>
      </c>
      <c r="AT3" s="2037"/>
      <c r="AU3" s="2036" t="s">
        <v>674</v>
      </c>
      <c r="AV3" s="2037"/>
      <c r="AW3" s="2036" t="s">
        <v>675</v>
      </c>
      <c r="AX3" s="2037"/>
      <c r="AY3" s="2036" t="s">
        <v>218</v>
      </c>
      <c r="AZ3" s="2037"/>
      <c r="BA3" s="2036" t="s">
        <v>676</v>
      </c>
      <c r="BB3" s="2037"/>
      <c r="BC3" s="2036" t="s">
        <v>677</v>
      </c>
      <c r="BD3" s="2037"/>
      <c r="BE3" s="2036" t="s">
        <v>678</v>
      </c>
      <c r="BF3" s="2037"/>
      <c r="BG3" s="2036" t="s">
        <v>679</v>
      </c>
      <c r="BH3" s="2037"/>
      <c r="BI3" s="2036" t="s">
        <v>680</v>
      </c>
      <c r="BJ3" s="2037"/>
      <c r="BK3" s="2036" t="s">
        <v>681</v>
      </c>
      <c r="BL3" s="2037"/>
      <c r="BM3" s="2036" t="s">
        <v>682</v>
      </c>
      <c r="BN3" s="2037"/>
      <c r="BO3" s="2036" t="s">
        <v>683</v>
      </c>
      <c r="BP3" s="2037"/>
      <c r="BQ3" s="2036" t="s">
        <v>684</v>
      </c>
      <c r="BR3" s="2037"/>
      <c r="BS3" s="2036" t="s">
        <v>685</v>
      </c>
      <c r="BT3" s="2037"/>
      <c r="BU3" s="2036" t="s">
        <v>686</v>
      </c>
      <c r="BV3" s="2037"/>
      <c r="BW3" s="2036" t="s">
        <v>687</v>
      </c>
      <c r="BX3" s="2037"/>
      <c r="BY3" s="2036" t="s">
        <v>688</v>
      </c>
      <c r="BZ3" s="2037"/>
      <c r="CA3" s="2036" t="s">
        <v>689</v>
      </c>
      <c r="CB3" s="2037"/>
      <c r="CC3" s="2036" t="s">
        <v>219</v>
      </c>
      <c r="CD3" s="2037"/>
      <c r="CE3" s="2036" t="s">
        <v>690</v>
      </c>
      <c r="CF3" s="2037"/>
      <c r="CG3" s="2036" t="s">
        <v>691</v>
      </c>
      <c r="CH3" s="2037"/>
      <c r="CI3" s="2036" t="s">
        <v>692</v>
      </c>
      <c r="CJ3" s="2037"/>
      <c r="CK3" s="2036" t="s">
        <v>693</v>
      </c>
      <c r="CL3" s="2037"/>
      <c r="CM3" s="2036" t="s">
        <v>694</v>
      </c>
      <c r="CN3" s="2037"/>
      <c r="CO3" s="2036" t="s">
        <v>695</v>
      </c>
      <c r="CP3" s="2037"/>
      <c r="CQ3" s="2036" t="s">
        <v>1349</v>
      </c>
      <c r="CR3" s="2037"/>
      <c r="CS3" s="2036" t="s">
        <v>696</v>
      </c>
      <c r="CT3" s="2037"/>
      <c r="CU3" s="2036" t="s">
        <v>57</v>
      </c>
      <c r="CV3" s="2037"/>
      <c r="CW3" s="2036" t="s">
        <v>58</v>
      </c>
      <c r="CX3" s="2037"/>
      <c r="CY3" s="2036" t="s">
        <v>1133</v>
      </c>
      <c r="CZ3" s="2037"/>
      <c r="DA3" s="2036" t="s">
        <v>684</v>
      </c>
      <c r="DB3" s="2037"/>
      <c r="DC3" s="2036" t="s">
        <v>676</v>
      </c>
      <c r="DD3" s="2037"/>
      <c r="DE3" s="2036" t="s">
        <v>59</v>
      </c>
      <c r="DF3" s="2037"/>
      <c r="DG3" s="2036" t="s">
        <v>1349</v>
      </c>
      <c r="DH3" s="2037"/>
      <c r="DI3" s="2036" t="s">
        <v>60</v>
      </c>
      <c r="DJ3" s="2037"/>
      <c r="DK3" s="2036" t="s">
        <v>61</v>
      </c>
      <c r="DL3" s="2037"/>
      <c r="DM3" s="2036" t="s">
        <v>62</v>
      </c>
      <c r="DN3" s="2037"/>
      <c r="DO3" s="2036" t="s">
        <v>63</v>
      </c>
      <c r="DP3" s="2037"/>
      <c r="DQ3" s="2036" t="s">
        <v>64</v>
      </c>
      <c r="DR3" s="2037"/>
      <c r="DS3" s="2036" t="s">
        <v>65</v>
      </c>
      <c r="DT3" s="2037"/>
      <c r="DU3" s="2036" t="s">
        <v>66</v>
      </c>
      <c r="DV3" s="2037"/>
      <c r="DW3" s="2036" t="s">
        <v>67</v>
      </c>
      <c r="DX3" s="2037"/>
      <c r="DY3" s="2036" t="s">
        <v>68</v>
      </c>
      <c r="DZ3" s="2037"/>
      <c r="EA3" s="2036" t="s">
        <v>69</v>
      </c>
      <c r="EB3" s="2037"/>
      <c r="EC3" s="2036" t="s">
        <v>66</v>
      </c>
      <c r="ED3" s="2037"/>
      <c r="EE3" s="2036" t="s">
        <v>70</v>
      </c>
      <c r="EF3" s="2037"/>
      <c r="EG3" s="2036" t="s">
        <v>71</v>
      </c>
      <c r="EH3" s="2037"/>
      <c r="EI3" s="2036" t="s">
        <v>72</v>
      </c>
      <c r="EJ3" s="2037"/>
      <c r="EK3" s="2036" t="s">
        <v>73</v>
      </c>
      <c r="EL3" s="2037"/>
      <c r="EM3" s="2036" t="s">
        <v>74</v>
      </c>
      <c r="EN3" s="2037"/>
      <c r="EO3" s="2036" t="s">
        <v>75</v>
      </c>
      <c r="EP3" s="2037"/>
      <c r="EQ3" s="2036" t="s">
        <v>76</v>
      </c>
      <c r="ER3" s="2037"/>
      <c r="ES3" s="2036" t="s">
        <v>77</v>
      </c>
      <c r="ET3" s="2037"/>
      <c r="EU3" s="2036" t="s">
        <v>78</v>
      </c>
      <c r="EV3" s="2037"/>
      <c r="EW3" s="2036" t="s">
        <v>79</v>
      </c>
      <c r="EX3" s="2037"/>
      <c r="EY3" s="2036" t="s">
        <v>80</v>
      </c>
      <c r="EZ3" s="2037"/>
      <c r="FA3" s="2036" t="s">
        <v>81</v>
      </c>
      <c r="FB3" s="2037"/>
      <c r="FC3" s="2036" t="s">
        <v>82</v>
      </c>
      <c r="FD3" s="2037"/>
      <c r="FE3" s="2036" t="s">
        <v>83</v>
      </c>
      <c r="FF3" s="2037"/>
      <c r="FG3" s="2036" t="s">
        <v>584</v>
      </c>
      <c r="FH3" s="2037"/>
      <c r="FI3" s="2036" t="s">
        <v>84</v>
      </c>
      <c r="FJ3" s="2037"/>
      <c r="FK3" s="2036" t="s">
        <v>85</v>
      </c>
      <c r="FL3" s="2037"/>
      <c r="FM3" s="2036" t="s">
        <v>86</v>
      </c>
      <c r="FN3" s="2037"/>
      <c r="FO3" s="2036" t="s">
        <v>87</v>
      </c>
      <c r="FP3" s="2037"/>
      <c r="FQ3" s="2036" t="s">
        <v>88</v>
      </c>
      <c r="FR3" s="2037"/>
      <c r="FS3" s="2036" t="s">
        <v>89</v>
      </c>
      <c r="FT3" s="2037"/>
      <c r="FU3" s="2036" t="s">
        <v>90</v>
      </c>
      <c r="FV3" s="2037"/>
      <c r="FW3" s="2036" t="s">
        <v>91</v>
      </c>
      <c r="FX3" s="2037"/>
      <c r="FY3" s="2036" t="s">
        <v>92</v>
      </c>
      <c r="FZ3" s="2037"/>
      <c r="GA3" s="2036" t="s">
        <v>93</v>
      </c>
      <c r="GB3" s="2037"/>
    </row>
    <row r="4" spans="1:184" ht="12.75" customHeight="1" thickBot="1">
      <c r="A4" s="2049"/>
      <c r="B4" s="2050"/>
      <c r="C4" s="1418" t="s">
        <v>704</v>
      </c>
      <c r="D4" s="1418" t="s">
        <v>94</v>
      </c>
      <c r="E4" s="1418" t="s">
        <v>704</v>
      </c>
      <c r="F4" s="1418" t="s">
        <v>94</v>
      </c>
      <c r="G4" s="1418" t="s">
        <v>704</v>
      </c>
      <c r="H4" s="1418" t="s">
        <v>94</v>
      </c>
      <c r="I4" s="1418" t="s">
        <v>704</v>
      </c>
      <c r="J4" s="1418" t="s">
        <v>94</v>
      </c>
      <c r="K4" s="1418" t="s">
        <v>704</v>
      </c>
      <c r="L4" s="1418" t="s">
        <v>94</v>
      </c>
      <c r="M4" s="1418" t="s">
        <v>704</v>
      </c>
      <c r="N4" s="1418" t="s">
        <v>94</v>
      </c>
      <c r="O4" s="1418" t="s">
        <v>704</v>
      </c>
      <c r="P4" s="1418" t="s">
        <v>94</v>
      </c>
      <c r="Q4" s="1418" t="s">
        <v>704</v>
      </c>
      <c r="R4" s="1418" t="s">
        <v>94</v>
      </c>
      <c r="S4" s="1418" t="s">
        <v>704</v>
      </c>
      <c r="T4" s="1418" t="s">
        <v>94</v>
      </c>
      <c r="U4" s="1418" t="s">
        <v>704</v>
      </c>
      <c r="V4" s="1418" t="s">
        <v>94</v>
      </c>
      <c r="W4" s="1418" t="s">
        <v>704</v>
      </c>
      <c r="X4" s="1418" t="s">
        <v>94</v>
      </c>
      <c r="Y4" s="1418" t="s">
        <v>704</v>
      </c>
      <c r="Z4" s="1418" t="s">
        <v>94</v>
      </c>
      <c r="AA4" s="1418" t="s">
        <v>704</v>
      </c>
      <c r="AB4" s="1451" t="s">
        <v>94</v>
      </c>
      <c r="AC4" s="1452" t="s">
        <v>704</v>
      </c>
      <c r="AD4" s="1418" t="s">
        <v>94</v>
      </c>
      <c r="AE4" s="1418" t="s">
        <v>704</v>
      </c>
      <c r="AF4" s="1418" t="s">
        <v>94</v>
      </c>
      <c r="AG4" s="1418" t="s">
        <v>704</v>
      </c>
      <c r="AH4" s="1453" t="s">
        <v>94</v>
      </c>
      <c r="AI4" s="1454" t="s">
        <v>704</v>
      </c>
      <c r="AJ4" s="1418" t="s">
        <v>94</v>
      </c>
      <c r="AK4" s="1418" t="s">
        <v>704</v>
      </c>
      <c r="AL4" s="1418" t="s">
        <v>94</v>
      </c>
      <c r="AM4" s="1418" t="s">
        <v>704</v>
      </c>
      <c r="AN4" s="1418" t="s">
        <v>94</v>
      </c>
      <c r="AO4" s="1418" t="s">
        <v>704</v>
      </c>
      <c r="AP4" s="1418" t="s">
        <v>94</v>
      </c>
      <c r="AQ4" s="1418" t="s">
        <v>704</v>
      </c>
      <c r="AR4" s="1418" t="s">
        <v>94</v>
      </c>
      <c r="AS4" s="1418" t="s">
        <v>704</v>
      </c>
      <c r="AT4" s="1418" t="s">
        <v>94</v>
      </c>
      <c r="AU4" s="1418" t="s">
        <v>704</v>
      </c>
      <c r="AV4" s="1418" t="s">
        <v>94</v>
      </c>
      <c r="AW4" s="1418" t="s">
        <v>704</v>
      </c>
      <c r="AX4" s="1418" t="s">
        <v>94</v>
      </c>
      <c r="AY4" s="1418" t="s">
        <v>704</v>
      </c>
      <c r="AZ4" s="1418" t="s">
        <v>94</v>
      </c>
      <c r="BA4" s="1418" t="s">
        <v>704</v>
      </c>
      <c r="BB4" s="1418" t="s">
        <v>94</v>
      </c>
      <c r="BC4" s="1418" t="s">
        <v>704</v>
      </c>
      <c r="BD4" s="1418" t="s">
        <v>94</v>
      </c>
      <c r="BE4" s="1418" t="s">
        <v>704</v>
      </c>
      <c r="BF4" s="1418" t="s">
        <v>94</v>
      </c>
      <c r="BG4" s="1418" t="s">
        <v>704</v>
      </c>
      <c r="BH4" s="1418" t="s">
        <v>94</v>
      </c>
      <c r="BI4" s="1418" t="s">
        <v>704</v>
      </c>
      <c r="BJ4" s="1418" t="s">
        <v>94</v>
      </c>
      <c r="BK4" s="1418" t="s">
        <v>704</v>
      </c>
      <c r="BL4" s="1418" t="s">
        <v>94</v>
      </c>
      <c r="BM4" s="1418" t="s">
        <v>704</v>
      </c>
      <c r="BN4" s="1418" t="s">
        <v>94</v>
      </c>
      <c r="BO4" s="1418" t="s">
        <v>704</v>
      </c>
      <c r="BP4" s="1418" t="s">
        <v>94</v>
      </c>
      <c r="BQ4" s="1418" t="s">
        <v>704</v>
      </c>
      <c r="BR4" s="1418" t="s">
        <v>94</v>
      </c>
      <c r="BS4" s="1418" t="s">
        <v>704</v>
      </c>
      <c r="BT4" s="1418" t="s">
        <v>94</v>
      </c>
      <c r="BU4" s="1418" t="s">
        <v>704</v>
      </c>
      <c r="BV4" s="1418" t="s">
        <v>94</v>
      </c>
      <c r="BW4" s="1418" t="s">
        <v>704</v>
      </c>
      <c r="BX4" s="1418" t="s">
        <v>94</v>
      </c>
      <c r="BY4" s="1418" t="s">
        <v>704</v>
      </c>
      <c r="BZ4" s="1418" t="s">
        <v>94</v>
      </c>
      <c r="CA4" s="1418" t="s">
        <v>704</v>
      </c>
      <c r="CB4" s="1418" t="s">
        <v>94</v>
      </c>
      <c r="CC4" s="1418" t="s">
        <v>704</v>
      </c>
      <c r="CD4" s="1418" t="s">
        <v>94</v>
      </c>
      <c r="CE4" s="1418" t="s">
        <v>704</v>
      </c>
      <c r="CF4" s="1418" t="s">
        <v>94</v>
      </c>
      <c r="CG4" s="1418" t="s">
        <v>704</v>
      </c>
      <c r="CH4" s="1418" t="s">
        <v>94</v>
      </c>
      <c r="CI4" s="1418" t="s">
        <v>704</v>
      </c>
      <c r="CJ4" s="1418" t="s">
        <v>94</v>
      </c>
      <c r="CK4" s="1418" t="s">
        <v>704</v>
      </c>
      <c r="CL4" s="1418" t="s">
        <v>94</v>
      </c>
      <c r="CM4" s="1418" t="s">
        <v>704</v>
      </c>
      <c r="CN4" s="1418" t="s">
        <v>94</v>
      </c>
      <c r="CO4" s="1418" t="s">
        <v>704</v>
      </c>
      <c r="CP4" s="1418" t="s">
        <v>94</v>
      </c>
      <c r="CQ4" s="1418" t="s">
        <v>704</v>
      </c>
      <c r="CR4" s="1418" t="s">
        <v>94</v>
      </c>
      <c r="CS4" s="1418" t="s">
        <v>704</v>
      </c>
      <c r="CT4" s="1418" t="s">
        <v>94</v>
      </c>
      <c r="CU4" s="1418" t="s">
        <v>704</v>
      </c>
      <c r="CV4" s="1418" t="s">
        <v>94</v>
      </c>
      <c r="CW4" s="1418" t="s">
        <v>704</v>
      </c>
      <c r="CX4" s="1418" t="s">
        <v>94</v>
      </c>
      <c r="CY4" s="1418" t="s">
        <v>704</v>
      </c>
      <c r="CZ4" s="1418" t="s">
        <v>94</v>
      </c>
      <c r="DA4" s="1418" t="s">
        <v>704</v>
      </c>
      <c r="DB4" s="1418" t="s">
        <v>94</v>
      </c>
      <c r="DC4" s="1418" t="s">
        <v>704</v>
      </c>
      <c r="DD4" s="1418" t="s">
        <v>94</v>
      </c>
      <c r="DE4" s="1418" t="s">
        <v>704</v>
      </c>
      <c r="DF4" s="1418" t="s">
        <v>94</v>
      </c>
      <c r="DG4" s="1418" t="s">
        <v>704</v>
      </c>
      <c r="DH4" s="1418" t="s">
        <v>94</v>
      </c>
      <c r="DI4" s="1418" t="s">
        <v>704</v>
      </c>
      <c r="DJ4" s="1418" t="s">
        <v>94</v>
      </c>
      <c r="DK4" s="1418" t="s">
        <v>704</v>
      </c>
      <c r="DL4" s="1418" t="s">
        <v>94</v>
      </c>
      <c r="DM4" s="1418" t="s">
        <v>704</v>
      </c>
      <c r="DN4" s="1418" t="s">
        <v>94</v>
      </c>
      <c r="DO4" s="1418" t="s">
        <v>704</v>
      </c>
      <c r="DP4" s="1418" t="s">
        <v>94</v>
      </c>
      <c r="DQ4" s="1418" t="s">
        <v>704</v>
      </c>
      <c r="DR4" s="1418" t="s">
        <v>94</v>
      </c>
      <c r="DS4" s="1418" t="s">
        <v>704</v>
      </c>
      <c r="DT4" s="1418" t="s">
        <v>94</v>
      </c>
      <c r="DU4" s="1418" t="s">
        <v>704</v>
      </c>
      <c r="DV4" s="1418" t="s">
        <v>94</v>
      </c>
      <c r="DW4" s="1418" t="s">
        <v>704</v>
      </c>
      <c r="DX4" s="1418" t="s">
        <v>94</v>
      </c>
      <c r="DY4" s="1418" t="s">
        <v>704</v>
      </c>
      <c r="DZ4" s="1418" t="s">
        <v>94</v>
      </c>
      <c r="EA4" s="1418" t="s">
        <v>704</v>
      </c>
      <c r="EB4" s="1418" t="s">
        <v>94</v>
      </c>
      <c r="EC4" s="1418" t="s">
        <v>704</v>
      </c>
      <c r="ED4" s="1418" t="s">
        <v>94</v>
      </c>
      <c r="EE4" s="1418" t="s">
        <v>704</v>
      </c>
      <c r="EF4" s="1418" t="s">
        <v>94</v>
      </c>
      <c r="EG4" s="1418" t="s">
        <v>704</v>
      </c>
      <c r="EH4" s="1418" t="s">
        <v>94</v>
      </c>
      <c r="EI4" s="1418" t="s">
        <v>704</v>
      </c>
      <c r="EJ4" s="1418" t="s">
        <v>94</v>
      </c>
      <c r="EK4" s="1418" t="s">
        <v>704</v>
      </c>
      <c r="EL4" s="1418" t="s">
        <v>94</v>
      </c>
      <c r="EM4" s="1418" t="s">
        <v>704</v>
      </c>
      <c r="EN4" s="1418" t="s">
        <v>94</v>
      </c>
      <c r="EO4" s="1418" t="s">
        <v>704</v>
      </c>
      <c r="EP4" s="1418" t="s">
        <v>94</v>
      </c>
      <c r="EQ4" s="1418" t="s">
        <v>704</v>
      </c>
      <c r="ER4" s="1418" t="s">
        <v>94</v>
      </c>
      <c r="ES4" s="1418" t="s">
        <v>704</v>
      </c>
      <c r="ET4" s="1418" t="s">
        <v>94</v>
      </c>
      <c r="EU4" s="1418" t="s">
        <v>704</v>
      </c>
      <c r="EV4" s="1418" t="s">
        <v>94</v>
      </c>
      <c r="EW4" s="1418" t="s">
        <v>704</v>
      </c>
      <c r="EX4" s="1418" t="s">
        <v>94</v>
      </c>
      <c r="EY4" s="1418" t="s">
        <v>704</v>
      </c>
      <c r="EZ4" s="1418" t="s">
        <v>94</v>
      </c>
      <c r="FA4" s="1418" t="s">
        <v>704</v>
      </c>
      <c r="FB4" s="1418" t="s">
        <v>94</v>
      </c>
      <c r="FC4" s="1418" t="s">
        <v>704</v>
      </c>
      <c r="FD4" s="1418" t="s">
        <v>94</v>
      </c>
      <c r="FE4" s="1418" t="s">
        <v>704</v>
      </c>
      <c r="FF4" s="1418" t="s">
        <v>94</v>
      </c>
      <c r="FG4" s="1418" t="s">
        <v>704</v>
      </c>
      <c r="FH4" s="1418" t="s">
        <v>94</v>
      </c>
      <c r="FI4" s="1418" t="s">
        <v>704</v>
      </c>
      <c r="FJ4" s="1418" t="s">
        <v>94</v>
      </c>
      <c r="FK4" s="1418" t="s">
        <v>704</v>
      </c>
      <c r="FL4" s="1418" t="s">
        <v>94</v>
      </c>
      <c r="FM4" s="1418" t="s">
        <v>704</v>
      </c>
      <c r="FN4" s="1418" t="s">
        <v>94</v>
      </c>
      <c r="FO4" s="1418" t="s">
        <v>704</v>
      </c>
      <c r="FP4" s="1418" t="s">
        <v>94</v>
      </c>
      <c r="FQ4" s="1418" t="s">
        <v>704</v>
      </c>
      <c r="FR4" s="1418" t="s">
        <v>94</v>
      </c>
      <c r="FS4" s="1418" t="s">
        <v>704</v>
      </c>
      <c r="FT4" s="1418" t="s">
        <v>94</v>
      </c>
      <c r="FU4" s="1418" t="s">
        <v>704</v>
      </c>
      <c r="FV4" s="1418" t="s">
        <v>94</v>
      </c>
      <c r="FW4" s="1418" t="s">
        <v>704</v>
      </c>
      <c r="FX4" s="1418" t="s">
        <v>94</v>
      </c>
      <c r="FY4" s="1418" t="s">
        <v>704</v>
      </c>
      <c r="FZ4" s="1418" t="s">
        <v>94</v>
      </c>
      <c r="GA4" s="1418" t="s">
        <v>704</v>
      </c>
      <c r="GB4" s="1418" t="s">
        <v>94</v>
      </c>
    </row>
    <row r="5" spans="1:184" ht="12.75" customHeight="1" thickBot="1">
      <c r="A5" s="1418" t="s">
        <v>585</v>
      </c>
      <c r="B5" s="1418" t="s">
        <v>586</v>
      </c>
      <c r="C5" s="1420">
        <v>921.91</v>
      </c>
      <c r="D5" s="1439"/>
      <c r="E5" s="1420">
        <v>1291.2</v>
      </c>
      <c r="F5" s="1439"/>
      <c r="G5" s="1421">
        <v>-0.12</v>
      </c>
      <c r="H5" s="1439"/>
      <c r="I5" s="1420">
        <v>1326.94</v>
      </c>
      <c r="J5" s="1439"/>
      <c r="K5" s="1420">
        <v>1359.14</v>
      </c>
      <c r="L5" s="1439"/>
      <c r="M5" s="1422">
        <v>125817937</v>
      </c>
      <c r="N5" s="1439"/>
      <c r="O5" s="1422">
        <v>25</v>
      </c>
      <c r="P5" s="1439"/>
      <c r="Q5" s="1422">
        <v>25</v>
      </c>
      <c r="R5" s="1439"/>
      <c r="S5" s="1422">
        <v>0</v>
      </c>
      <c r="T5" s="1439"/>
      <c r="U5" s="1422">
        <v>0</v>
      </c>
      <c r="V5" s="1439"/>
      <c r="W5" s="1420">
        <v>9.5</v>
      </c>
      <c r="X5" s="1439"/>
      <c r="Y5" s="1420">
        <v>34.5</v>
      </c>
      <c r="Z5" s="1439"/>
      <c r="AA5" s="1420">
        <v>7708148.8600000003</v>
      </c>
      <c r="AB5" s="1455"/>
      <c r="AC5" s="1424">
        <v>4088692.19</v>
      </c>
      <c r="AD5" s="1420">
        <v>3623573.09</v>
      </c>
      <c r="AE5" s="1420">
        <v>440094.45</v>
      </c>
      <c r="AF5" s="1422">
        <v>166645</v>
      </c>
      <c r="AG5" s="1422">
        <v>0</v>
      </c>
      <c r="AH5" s="1456">
        <v>0</v>
      </c>
      <c r="AI5" s="1428">
        <v>5114208</v>
      </c>
      <c r="AJ5" s="1422">
        <v>5004029</v>
      </c>
      <c r="AK5" s="1422">
        <v>24076</v>
      </c>
      <c r="AL5" s="1422">
        <v>20000</v>
      </c>
      <c r="AM5" s="1422">
        <v>0</v>
      </c>
      <c r="AN5" s="1422">
        <v>0</v>
      </c>
      <c r="AO5" s="1422">
        <v>217009</v>
      </c>
      <c r="AP5" s="1422">
        <v>75663</v>
      </c>
      <c r="AQ5" s="1422">
        <v>0</v>
      </c>
      <c r="AR5" s="1422">
        <v>0</v>
      </c>
      <c r="AS5" s="1422">
        <v>63300</v>
      </c>
      <c r="AT5" s="1422">
        <v>76000</v>
      </c>
      <c r="AU5" s="1422">
        <v>0</v>
      </c>
      <c r="AV5" s="1422">
        <v>0</v>
      </c>
      <c r="AW5" s="1422">
        <v>0</v>
      </c>
      <c r="AX5" s="1422">
        <v>0</v>
      </c>
      <c r="AY5" s="1420">
        <v>9947379.6400000006</v>
      </c>
      <c r="AZ5" s="1420">
        <v>8965910.0899999999</v>
      </c>
      <c r="BA5" s="1422">
        <v>0</v>
      </c>
      <c r="BB5" s="1422">
        <v>0</v>
      </c>
      <c r="BC5" s="1422">
        <v>56214</v>
      </c>
      <c r="BD5" s="1422">
        <v>56557</v>
      </c>
      <c r="BE5" s="1420">
        <v>15686.15</v>
      </c>
      <c r="BF5" s="1422">
        <v>7000</v>
      </c>
      <c r="BG5" s="1422">
        <v>450</v>
      </c>
      <c r="BH5" s="1422">
        <v>0</v>
      </c>
      <c r="BI5" s="1422">
        <v>59807</v>
      </c>
      <c r="BJ5" s="1422">
        <v>43481</v>
      </c>
      <c r="BK5" s="1422">
        <v>3516</v>
      </c>
      <c r="BL5" s="1422">
        <v>3588</v>
      </c>
      <c r="BM5" s="1422">
        <v>410688</v>
      </c>
      <c r="BN5" s="1422">
        <v>411378</v>
      </c>
      <c r="BO5" s="1420">
        <v>150119.89000000001</v>
      </c>
      <c r="BP5" s="1422">
        <v>144000</v>
      </c>
      <c r="BQ5" s="1420">
        <v>115104.6</v>
      </c>
      <c r="BR5" s="1422">
        <v>121062</v>
      </c>
      <c r="BS5" s="1420">
        <v>4823.6000000000004</v>
      </c>
      <c r="BT5" s="1422">
        <v>4500</v>
      </c>
      <c r="BU5" s="1422">
        <v>0</v>
      </c>
      <c r="BV5" s="1422">
        <v>0</v>
      </c>
      <c r="BW5" s="1422">
        <v>67068</v>
      </c>
      <c r="BX5" s="1422">
        <v>65000</v>
      </c>
      <c r="BY5" s="1422">
        <v>0</v>
      </c>
      <c r="BZ5" s="1422">
        <v>0</v>
      </c>
      <c r="CA5" s="1422">
        <v>60716</v>
      </c>
      <c r="CB5" s="1422">
        <v>51210</v>
      </c>
      <c r="CC5" s="1420">
        <v>944193.24</v>
      </c>
      <c r="CD5" s="1422">
        <v>907776</v>
      </c>
      <c r="CE5" s="1420">
        <v>2300964.2400000002</v>
      </c>
      <c r="CF5" s="1422">
        <v>1279096</v>
      </c>
      <c r="CG5" s="1420">
        <v>15311.34</v>
      </c>
      <c r="CH5" s="1422">
        <v>102628</v>
      </c>
      <c r="CI5" s="1422">
        <v>0</v>
      </c>
      <c r="CJ5" s="1422">
        <v>0</v>
      </c>
      <c r="CK5" s="1420">
        <v>5597.08</v>
      </c>
      <c r="CL5" s="1422">
        <v>5000</v>
      </c>
      <c r="CM5" s="1420">
        <v>117683.6</v>
      </c>
      <c r="CN5" s="1422">
        <v>2500</v>
      </c>
      <c r="CO5" s="1420">
        <v>83834.37</v>
      </c>
      <c r="CP5" s="1422">
        <v>1000</v>
      </c>
      <c r="CQ5" s="1422">
        <v>0</v>
      </c>
      <c r="CR5" s="1422">
        <v>0</v>
      </c>
      <c r="CS5" s="1420">
        <v>222426.39</v>
      </c>
      <c r="CT5" s="1422">
        <v>111128</v>
      </c>
      <c r="CU5" s="1420">
        <v>13414963.51</v>
      </c>
      <c r="CV5" s="1420">
        <v>11263910.09</v>
      </c>
      <c r="CW5" s="1420">
        <v>5097859.01</v>
      </c>
      <c r="CX5" s="1422">
        <v>4200746</v>
      </c>
      <c r="CY5" s="1420">
        <v>968687.01</v>
      </c>
      <c r="CZ5" s="1420">
        <v>943255.44</v>
      </c>
      <c r="DA5" s="1420">
        <v>545957.93000000005</v>
      </c>
      <c r="DB5" s="1422">
        <v>561284</v>
      </c>
      <c r="DC5" s="1422">
        <v>0</v>
      </c>
      <c r="DD5" s="1422">
        <v>0</v>
      </c>
      <c r="DE5" s="1420">
        <v>295324.07</v>
      </c>
      <c r="DF5" s="1422">
        <v>260905</v>
      </c>
      <c r="DG5" s="1420">
        <v>135541.14000000001</v>
      </c>
      <c r="DH5" s="1422">
        <v>159974</v>
      </c>
      <c r="DI5" s="1420">
        <v>7043369.1600000001</v>
      </c>
      <c r="DJ5" s="1420">
        <v>6126164.4400000004</v>
      </c>
      <c r="DK5" s="1420">
        <v>500099.76</v>
      </c>
      <c r="DL5" s="1422">
        <v>437260</v>
      </c>
      <c r="DM5" s="1420">
        <v>134420.20000000001</v>
      </c>
      <c r="DN5" s="1422">
        <v>191676</v>
      </c>
      <c r="DO5" s="1420">
        <v>993015.96</v>
      </c>
      <c r="DP5" s="1422">
        <v>846040</v>
      </c>
      <c r="DQ5" s="1420">
        <v>466543.81</v>
      </c>
      <c r="DR5" s="1422">
        <v>488787</v>
      </c>
      <c r="DS5" s="1420">
        <v>20603.28</v>
      </c>
      <c r="DT5" s="1422">
        <v>7000</v>
      </c>
      <c r="DU5" s="1420">
        <v>2114683.0099999998</v>
      </c>
      <c r="DV5" s="1422">
        <v>1970763</v>
      </c>
      <c r="DW5" s="1420">
        <v>419368.47</v>
      </c>
      <c r="DX5" s="1422">
        <v>415623</v>
      </c>
      <c r="DY5" s="1420">
        <v>1104456.6200000001</v>
      </c>
      <c r="DZ5" s="1422">
        <v>709010</v>
      </c>
      <c r="EA5" s="1420">
        <v>768542.57</v>
      </c>
      <c r="EB5" s="1422">
        <v>670159</v>
      </c>
      <c r="EC5" s="1420">
        <v>2292367.66</v>
      </c>
      <c r="ED5" s="1422">
        <v>1794792</v>
      </c>
      <c r="EE5" s="1420">
        <v>654687.81999999995</v>
      </c>
      <c r="EF5" s="1422">
        <v>556721</v>
      </c>
      <c r="EG5" s="1422">
        <v>0</v>
      </c>
      <c r="EH5" s="1422">
        <v>0</v>
      </c>
      <c r="EI5" s="1422">
        <v>0</v>
      </c>
      <c r="EJ5" s="1422">
        <v>0</v>
      </c>
      <c r="EK5" s="1422">
        <v>0</v>
      </c>
      <c r="EL5" s="1422">
        <v>0</v>
      </c>
      <c r="EM5" s="1420">
        <v>654687.81999999995</v>
      </c>
      <c r="EN5" s="1422">
        <v>556721</v>
      </c>
      <c r="EO5" s="1420">
        <v>601318.78</v>
      </c>
      <c r="EP5" s="1422">
        <v>0</v>
      </c>
      <c r="EQ5" s="1420">
        <v>622864.27</v>
      </c>
      <c r="ER5" s="1422">
        <v>560396</v>
      </c>
      <c r="ES5" s="1422">
        <v>0</v>
      </c>
      <c r="ET5" s="1422">
        <v>0</v>
      </c>
      <c r="EU5" s="1420">
        <v>13329290.699999999</v>
      </c>
      <c r="EV5" s="1420">
        <v>11008836.439999999</v>
      </c>
      <c r="EW5" s="1420">
        <v>621836.68000000005</v>
      </c>
      <c r="EX5" s="1422">
        <v>128500</v>
      </c>
      <c r="EY5" s="1420">
        <v>622864.27</v>
      </c>
      <c r="EZ5" s="1422">
        <v>560396</v>
      </c>
      <c r="FA5" s="1420">
        <v>12084589.75</v>
      </c>
      <c r="FB5" s="1420">
        <v>10319940.439999999</v>
      </c>
      <c r="FC5" s="1420">
        <v>506377.07</v>
      </c>
      <c r="FD5" s="1439"/>
      <c r="FE5" s="1420">
        <v>11578212.68</v>
      </c>
      <c r="FF5" s="1439"/>
      <c r="FG5" s="1422">
        <v>8967</v>
      </c>
      <c r="FH5" s="1439"/>
      <c r="FI5" s="1420">
        <v>100.79</v>
      </c>
      <c r="FJ5" s="1439"/>
      <c r="FK5" s="1422">
        <v>44451</v>
      </c>
      <c r="FL5" s="1439"/>
      <c r="FM5" s="1420">
        <v>112.15</v>
      </c>
      <c r="FN5" s="1439"/>
      <c r="FO5" s="1422">
        <v>46882</v>
      </c>
      <c r="FP5" s="1439"/>
      <c r="FQ5" s="1420">
        <v>1489197.64</v>
      </c>
      <c r="FR5" s="1439"/>
      <c r="FS5" s="1420">
        <v>57760.25</v>
      </c>
      <c r="FT5" s="1439"/>
      <c r="FU5" s="1422">
        <v>0</v>
      </c>
      <c r="FV5" s="1439"/>
      <c r="FW5" s="1420">
        <v>1431437.39</v>
      </c>
      <c r="FX5" s="1439"/>
      <c r="FY5" s="1420">
        <v>34629.46</v>
      </c>
      <c r="FZ5" s="1439"/>
      <c r="GA5" s="1422">
        <v>0</v>
      </c>
      <c r="GB5" s="1439"/>
    </row>
    <row r="6" spans="1:184" ht="12.75" customHeight="1" thickBot="1">
      <c r="A6" s="1418" t="s">
        <v>587</v>
      </c>
      <c r="B6" s="1418" t="s">
        <v>588</v>
      </c>
      <c r="C6" s="1420">
        <v>212.5</v>
      </c>
      <c r="D6" s="1439"/>
      <c r="E6" s="1420">
        <v>1673.21</v>
      </c>
      <c r="F6" s="1439"/>
      <c r="G6" s="1421">
        <v>-0.08</v>
      </c>
      <c r="H6" s="1439"/>
      <c r="I6" s="1420">
        <v>1785.54</v>
      </c>
      <c r="J6" s="1439"/>
      <c r="K6" s="1420">
        <v>1843.58</v>
      </c>
      <c r="L6" s="1439"/>
      <c r="M6" s="1422">
        <v>177909015</v>
      </c>
      <c r="N6" s="1439"/>
      <c r="O6" s="1422">
        <v>25</v>
      </c>
      <c r="P6" s="1439"/>
      <c r="Q6" s="1422">
        <v>25</v>
      </c>
      <c r="R6" s="1439"/>
      <c r="S6" s="1422">
        <v>0</v>
      </c>
      <c r="T6" s="1439"/>
      <c r="U6" s="1422">
        <v>0</v>
      </c>
      <c r="V6" s="1439"/>
      <c r="W6" s="1420">
        <v>6.9</v>
      </c>
      <c r="X6" s="1439"/>
      <c r="Y6" s="1420">
        <v>31.9</v>
      </c>
      <c r="Z6" s="1439"/>
      <c r="AA6" s="1420">
        <v>12091421.83</v>
      </c>
      <c r="AB6" s="1455"/>
      <c r="AC6" s="1424">
        <v>5322715.43</v>
      </c>
      <c r="AD6" s="1422">
        <v>5004000</v>
      </c>
      <c r="AE6" s="1420">
        <v>648656.9</v>
      </c>
      <c r="AF6" s="1422">
        <v>273650</v>
      </c>
      <c r="AG6" s="1422">
        <v>0</v>
      </c>
      <c r="AH6" s="1456">
        <v>0</v>
      </c>
      <c r="AI6" s="1428">
        <v>6890765</v>
      </c>
      <c r="AJ6" s="1422">
        <v>6655242</v>
      </c>
      <c r="AK6" s="1422">
        <v>0</v>
      </c>
      <c r="AL6" s="1422">
        <v>0</v>
      </c>
      <c r="AM6" s="1422">
        <v>0</v>
      </c>
      <c r="AN6" s="1422">
        <v>0</v>
      </c>
      <c r="AO6" s="1422">
        <v>0</v>
      </c>
      <c r="AP6" s="1422">
        <v>0</v>
      </c>
      <c r="AQ6" s="1422">
        <v>0</v>
      </c>
      <c r="AR6" s="1422">
        <v>0</v>
      </c>
      <c r="AS6" s="1422">
        <v>0</v>
      </c>
      <c r="AT6" s="1422">
        <v>0</v>
      </c>
      <c r="AU6" s="1422">
        <v>0</v>
      </c>
      <c r="AV6" s="1422">
        <v>0</v>
      </c>
      <c r="AW6" s="1422">
        <v>0</v>
      </c>
      <c r="AX6" s="1422">
        <v>0</v>
      </c>
      <c r="AY6" s="1420">
        <v>12862137.33</v>
      </c>
      <c r="AZ6" s="1422">
        <v>11932892</v>
      </c>
      <c r="BA6" s="1420">
        <v>228152.61</v>
      </c>
      <c r="BB6" s="1422">
        <v>192159</v>
      </c>
      <c r="BC6" s="1422">
        <v>76250</v>
      </c>
      <c r="BD6" s="1422">
        <v>75980</v>
      </c>
      <c r="BE6" s="1420">
        <v>25806.63</v>
      </c>
      <c r="BF6" s="1422">
        <v>19300</v>
      </c>
      <c r="BG6" s="1422">
        <v>4605</v>
      </c>
      <c r="BH6" s="1422">
        <v>0</v>
      </c>
      <c r="BI6" s="1422">
        <v>89345</v>
      </c>
      <c r="BJ6" s="1422">
        <v>135086</v>
      </c>
      <c r="BK6" s="1422">
        <v>10255</v>
      </c>
      <c r="BL6" s="1422">
        <v>0</v>
      </c>
      <c r="BM6" s="1422">
        <v>574368</v>
      </c>
      <c r="BN6" s="1422">
        <v>562166</v>
      </c>
      <c r="BO6" s="1420">
        <v>50968.49</v>
      </c>
      <c r="BP6" s="1422">
        <v>23200</v>
      </c>
      <c r="BQ6" s="1420">
        <v>76266.41</v>
      </c>
      <c r="BR6" s="1422">
        <v>91500</v>
      </c>
      <c r="BS6" s="1420">
        <v>7658.07</v>
      </c>
      <c r="BT6" s="1422">
        <v>7800</v>
      </c>
      <c r="BU6" s="1422">
        <v>0</v>
      </c>
      <c r="BV6" s="1422">
        <v>0</v>
      </c>
      <c r="BW6" s="1422">
        <v>167224</v>
      </c>
      <c r="BX6" s="1422">
        <v>170100</v>
      </c>
      <c r="BY6" s="1422">
        <v>0</v>
      </c>
      <c r="BZ6" s="1422">
        <v>0</v>
      </c>
      <c r="CA6" s="1422">
        <v>74015</v>
      </c>
      <c r="CB6" s="1422">
        <v>61294</v>
      </c>
      <c r="CC6" s="1420">
        <v>1384914.21</v>
      </c>
      <c r="CD6" s="1422">
        <v>1338585</v>
      </c>
      <c r="CE6" s="1420">
        <v>3459815.65</v>
      </c>
      <c r="CF6" s="1420">
        <v>2715079.64</v>
      </c>
      <c r="CG6" s="1420">
        <v>26024.37</v>
      </c>
      <c r="CH6" s="1422">
        <v>0</v>
      </c>
      <c r="CI6" s="1422">
        <v>0</v>
      </c>
      <c r="CJ6" s="1422">
        <v>0</v>
      </c>
      <c r="CK6" s="1420">
        <v>11348.84</v>
      </c>
      <c r="CL6" s="1422">
        <v>0</v>
      </c>
      <c r="CM6" s="1422">
        <v>0</v>
      </c>
      <c r="CN6" s="1422">
        <v>0</v>
      </c>
      <c r="CO6" s="1420">
        <v>1703.13</v>
      </c>
      <c r="CP6" s="1422">
        <v>0</v>
      </c>
      <c r="CQ6" s="1422">
        <v>0</v>
      </c>
      <c r="CR6" s="1422">
        <v>0</v>
      </c>
      <c r="CS6" s="1420">
        <v>39076.339999999997</v>
      </c>
      <c r="CT6" s="1422">
        <v>0</v>
      </c>
      <c r="CU6" s="1420">
        <v>17745943.530000001</v>
      </c>
      <c r="CV6" s="1420">
        <v>15986556.640000001</v>
      </c>
      <c r="CW6" s="1420">
        <v>6313753.4299999997</v>
      </c>
      <c r="CX6" s="1420">
        <v>5901257.5300000003</v>
      </c>
      <c r="CY6" s="1420">
        <v>674707.57</v>
      </c>
      <c r="CZ6" s="1420">
        <v>791864.22</v>
      </c>
      <c r="DA6" s="1420">
        <v>264229.69</v>
      </c>
      <c r="DB6" s="1420">
        <v>287250.3</v>
      </c>
      <c r="DC6" s="1420">
        <v>251021.95</v>
      </c>
      <c r="DD6" s="1420">
        <v>225296.13</v>
      </c>
      <c r="DE6" s="1420">
        <v>507878.1</v>
      </c>
      <c r="DF6" s="1420">
        <v>600688.77</v>
      </c>
      <c r="DG6" s="1420">
        <v>562739.37</v>
      </c>
      <c r="DH6" s="1420">
        <v>610017.39</v>
      </c>
      <c r="DI6" s="1420">
        <v>8574330.1099999994</v>
      </c>
      <c r="DJ6" s="1420">
        <v>8416374.3399999999</v>
      </c>
      <c r="DK6" s="1420">
        <v>437098.09</v>
      </c>
      <c r="DL6" s="1420">
        <v>492101.3</v>
      </c>
      <c r="DM6" s="1420">
        <v>633581.15</v>
      </c>
      <c r="DN6" s="1420">
        <v>440018.78</v>
      </c>
      <c r="DO6" s="1420">
        <v>1504065.3</v>
      </c>
      <c r="DP6" s="1420">
        <v>1374475.03</v>
      </c>
      <c r="DQ6" s="1420">
        <v>363814.05</v>
      </c>
      <c r="DR6" s="1420">
        <v>448714.93</v>
      </c>
      <c r="DS6" s="1420">
        <v>33986.730000000003</v>
      </c>
      <c r="DT6" s="1422">
        <v>28397</v>
      </c>
      <c r="DU6" s="1420">
        <v>2972545.32</v>
      </c>
      <c r="DV6" s="1420">
        <v>2783707.04</v>
      </c>
      <c r="DW6" s="1420">
        <v>742644.99</v>
      </c>
      <c r="DX6" s="1420">
        <v>692520.52</v>
      </c>
      <c r="DY6" s="1420">
        <v>1493737.11</v>
      </c>
      <c r="DZ6" s="1420">
        <v>1368428.32</v>
      </c>
      <c r="EA6" s="1420">
        <v>863466.72</v>
      </c>
      <c r="EB6" s="1420">
        <v>786358.21</v>
      </c>
      <c r="EC6" s="1420">
        <v>3099848.82</v>
      </c>
      <c r="ED6" s="1420">
        <v>2847307.05</v>
      </c>
      <c r="EE6" s="1420">
        <v>901818.61</v>
      </c>
      <c r="EF6" s="1420">
        <v>787098.21</v>
      </c>
      <c r="EG6" s="1420">
        <v>425.54</v>
      </c>
      <c r="EH6" s="1422">
        <v>0</v>
      </c>
      <c r="EI6" s="1420">
        <v>39088.14</v>
      </c>
      <c r="EJ6" s="1420">
        <v>40164.74</v>
      </c>
      <c r="EK6" s="1422">
        <v>0</v>
      </c>
      <c r="EL6" s="1422">
        <v>0</v>
      </c>
      <c r="EM6" s="1420">
        <v>941332.29</v>
      </c>
      <c r="EN6" s="1420">
        <v>827262.95</v>
      </c>
      <c r="EO6" s="1420">
        <v>351420.31</v>
      </c>
      <c r="EP6" s="1422">
        <v>318509</v>
      </c>
      <c r="EQ6" s="1420">
        <v>305966.21000000002</v>
      </c>
      <c r="ER6" s="1420">
        <v>893786.5</v>
      </c>
      <c r="ES6" s="1420">
        <v>480.57</v>
      </c>
      <c r="ET6" s="1422">
        <v>0</v>
      </c>
      <c r="EU6" s="1420">
        <v>16245923.630000001</v>
      </c>
      <c r="EV6" s="1420">
        <v>16086946.880000001</v>
      </c>
      <c r="EW6" s="1420">
        <v>935500.12</v>
      </c>
      <c r="EX6" s="1420">
        <v>720591.3</v>
      </c>
      <c r="EY6" s="1420">
        <v>305966.21000000002</v>
      </c>
      <c r="EZ6" s="1420">
        <v>893786.5</v>
      </c>
      <c r="FA6" s="1420">
        <v>15004457.300000001</v>
      </c>
      <c r="FB6" s="1420">
        <v>14472569.08</v>
      </c>
      <c r="FC6" s="1420">
        <v>948478.55</v>
      </c>
      <c r="FD6" s="1439"/>
      <c r="FE6" s="1420">
        <v>14055978.75</v>
      </c>
      <c r="FF6" s="1439"/>
      <c r="FG6" s="1422">
        <v>8400</v>
      </c>
      <c r="FH6" s="1439"/>
      <c r="FI6" s="1420">
        <v>120.05</v>
      </c>
      <c r="FJ6" s="1439"/>
      <c r="FK6" s="1422">
        <v>42468</v>
      </c>
      <c r="FL6" s="1439"/>
      <c r="FM6" s="1420">
        <v>133.71</v>
      </c>
      <c r="FN6" s="1439"/>
      <c r="FO6" s="1422">
        <v>45739</v>
      </c>
      <c r="FP6" s="1439"/>
      <c r="FQ6" s="1420">
        <v>4640658.53</v>
      </c>
      <c r="FR6" s="1439"/>
      <c r="FS6" s="1420">
        <v>247511.45</v>
      </c>
      <c r="FT6" s="1439"/>
      <c r="FU6" s="1422">
        <v>0</v>
      </c>
      <c r="FV6" s="1439"/>
      <c r="FW6" s="1420">
        <v>4393147.08</v>
      </c>
      <c r="FX6" s="1439"/>
      <c r="FY6" s="1420">
        <v>54733.760000000002</v>
      </c>
      <c r="FZ6" s="1439"/>
      <c r="GA6" s="1422">
        <v>0</v>
      </c>
      <c r="GB6" s="1439"/>
    </row>
    <row r="7" spans="1:184" ht="12.75" customHeight="1" thickBot="1">
      <c r="A7" s="1418" t="s">
        <v>589</v>
      </c>
      <c r="B7" s="1418" t="s">
        <v>590</v>
      </c>
      <c r="C7" s="1420">
        <v>214.9</v>
      </c>
      <c r="D7" s="1439"/>
      <c r="E7" s="1420">
        <v>1765.83</v>
      </c>
      <c r="F7" s="1439"/>
      <c r="G7" s="1421">
        <v>-0.17</v>
      </c>
      <c r="H7" s="1439"/>
      <c r="I7" s="1420">
        <v>1865.79</v>
      </c>
      <c r="J7" s="1439"/>
      <c r="K7" s="1420">
        <v>1905.16</v>
      </c>
      <c r="L7" s="1439"/>
      <c r="M7" s="1422">
        <v>228029748</v>
      </c>
      <c r="N7" s="1439"/>
      <c r="O7" s="1422">
        <v>25</v>
      </c>
      <c r="P7" s="1439"/>
      <c r="Q7" s="1422">
        <v>25</v>
      </c>
      <c r="R7" s="1439"/>
      <c r="S7" s="1422">
        <v>0</v>
      </c>
      <c r="T7" s="1439"/>
      <c r="U7" s="1420">
        <v>1.27</v>
      </c>
      <c r="V7" s="1439"/>
      <c r="W7" s="1420">
        <v>9.6999999999999993</v>
      </c>
      <c r="X7" s="1439"/>
      <c r="Y7" s="1420">
        <v>35.97</v>
      </c>
      <c r="Z7" s="1439"/>
      <c r="AA7" s="1420">
        <v>12390677.800000001</v>
      </c>
      <c r="AB7" s="1455"/>
      <c r="AC7" s="1424">
        <v>7898686.5199999996</v>
      </c>
      <c r="AD7" s="1422">
        <v>6611800</v>
      </c>
      <c r="AE7" s="1420">
        <v>931364.25</v>
      </c>
      <c r="AF7" s="1422">
        <v>523000</v>
      </c>
      <c r="AG7" s="1420">
        <v>12051.97</v>
      </c>
      <c r="AH7" s="1456">
        <v>12000</v>
      </c>
      <c r="AI7" s="1428">
        <v>5958505</v>
      </c>
      <c r="AJ7" s="1422">
        <v>5843146</v>
      </c>
      <c r="AK7" s="1422">
        <v>43858</v>
      </c>
      <c r="AL7" s="1422">
        <v>45000</v>
      </c>
      <c r="AM7" s="1422">
        <v>0</v>
      </c>
      <c r="AN7" s="1422">
        <v>0</v>
      </c>
      <c r="AO7" s="1422">
        <v>47762</v>
      </c>
      <c r="AP7" s="1422">
        <v>117965</v>
      </c>
      <c r="AQ7" s="1422">
        <v>0</v>
      </c>
      <c r="AR7" s="1422">
        <v>0</v>
      </c>
      <c r="AS7" s="1422">
        <v>0</v>
      </c>
      <c r="AT7" s="1422">
        <v>0</v>
      </c>
      <c r="AU7" s="1422">
        <v>0</v>
      </c>
      <c r="AV7" s="1422">
        <v>0</v>
      </c>
      <c r="AW7" s="1422">
        <v>0</v>
      </c>
      <c r="AX7" s="1422">
        <v>0</v>
      </c>
      <c r="AY7" s="1420">
        <v>14892227.74</v>
      </c>
      <c r="AZ7" s="1422">
        <v>13152911</v>
      </c>
      <c r="BA7" s="1422">
        <v>0</v>
      </c>
      <c r="BB7" s="1422">
        <v>0</v>
      </c>
      <c r="BC7" s="1422">
        <v>78797</v>
      </c>
      <c r="BD7" s="1422">
        <v>79113</v>
      </c>
      <c r="BE7" s="1420">
        <v>25155.62</v>
      </c>
      <c r="BF7" s="1422">
        <v>5000</v>
      </c>
      <c r="BG7" s="1422">
        <v>2562</v>
      </c>
      <c r="BH7" s="1422">
        <v>0</v>
      </c>
      <c r="BI7" s="1422">
        <v>124937</v>
      </c>
      <c r="BJ7" s="1422">
        <v>107646</v>
      </c>
      <c r="BK7" s="1422">
        <v>8204</v>
      </c>
      <c r="BL7" s="1422">
        <v>8000</v>
      </c>
      <c r="BM7" s="1422">
        <v>540640</v>
      </c>
      <c r="BN7" s="1422">
        <v>547998</v>
      </c>
      <c r="BO7" s="1420">
        <v>49446.89</v>
      </c>
      <c r="BP7" s="1422">
        <v>42075</v>
      </c>
      <c r="BQ7" s="1422">
        <v>0</v>
      </c>
      <c r="BR7" s="1422">
        <v>0</v>
      </c>
      <c r="BS7" s="1420">
        <v>6580.37</v>
      </c>
      <c r="BT7" s="1422">
        <v>6000</v>
      </c>
      <c r="BU7" s="1422">
        <v>0</v>
      </c>
      <c r="BV7" s="1422">
        <v>0</v>
      </c>
      <c r="BW7" s="1422">
        <v>391300</v>
      </c>
      <c r="BX7" s="1422">
        <v>389800</v>
      </c>
      <c r="BY7" s="1422">
        <v>0</v>
      </c>
      <c r="BZ7" s="1422">
        <v>0</v>
      </c>
      <c r="CA7" s="1422">
        <v>23643</v>
      </c>
      <c r="CB7" s="1422">
        <v>16370</v>
      </c>
      <c r="CC7" s="1420">
        <v>1251265.8799999999</v>
      </c>
      <c r="CD7" s="1422">
        <v>1202002</v>
      </c>
      <c r="CE7" s="1420">
        <v>3399485.53</v>
      </c>
      <c r="CF7" s="1420">
        <v>2596687.92</v>
      </c>
      <c r="CG7" s="1422">
        <v>0</v>
      </c>
      <c r="CH7" s="1422">
        <v>0</v>
      </c>
      <c r="CI7" s="1422">
        <v>0</v>
      </c>
      <c r="CJ7" s="1422">
        <v>0</v>
      </c>
      <c r="CK7" s="1422">
        <v>0</v>
      </c>
      <c r="CL7" s="1422">
        <v>0</v>
      </c>
      <c r="CM7" s="1422">
        <v>0</v>
      </c>
      <c r="CN7" s="1422">
        <v>0</v>
      </c>
      <c r="CO7" s="1420">
        <v>10985.93</v>
      </c>
      <c r="CP7" s="1422">
        <v>0</v>
      </c>
      <c r="CQ7" s="1422">
        <v>0</v>
      </c>
      <c r="CR7" s="1422">
        <v>0</v>
      </c>
      <c r="CS7" s="1420">
        <v>10985.93</v>
      </c>
      <c r="CT7" s="1422">
        <v>0</v>
      </c>
      <c r="CU7" s="1420">
        <v>19553965.079999998</v>
      </c>
      <c r="CV7" s="1420">
        <v>16951600.920000002</v>
      </c>
      <c r="CW7" s="1420">
        <v>7920677.7599999998</v>
      </c>
      <c r="CX7" s="1420">
        <v>7268119.79</v>
      </c>
      <c r="CY7" s="1420">
        <v>823300.02</v>
      </c>
      <c r="CZ7" s="1420">
        <v>896807.57</v>
      </c>
      <c r="DA7" s="1420">
        <v>545971.93999999994</v>
      </c>
      <c r="DB7" s="1420">
        <v>549408.82999999996</v>
      </c>
      <c r="DC7" s="1422">
        <v>0</v>
      </c>
      <c r="DD7" s="1422">
        <v>0</v>
      </c>
      <c r="DE7" s="1420">
        <v>686796.22</v>
      </c>
      <c r="DF7" s="1420">
        <v>629477.39</v>
      </c>
      <c r="DG7" s="1420">
        <v>701856.39</v>
      </c>
      <c r="DH7" s="1420">
        <v>774154.67</v>
      </c>
      <c r="DI7" s="1420">
        <v>10678602.33</v>
      </c>
      <c r="DJ7" s="1420">
        <v>10117968.25</v>
      </c>
      <c r="DK7" s="1420">
        <v>538819.43000000005</v>
      </c>
      <c r="DL7" s="1420">
        <v>474902.72</v>
      </c>
      <c r="DM7" s="1420">
        <v>378317.88</v>
      </c>
      <c r="DN7" s="1420">
        <v>324022.76</v>
      </c>
      <c r="DO7" s="1420">
        <v>1978872.01</v>
      </c>
      <c r="DP7" s="1420">
        <v>2076544.5</v>
      </c>
      <c r="DQ7" s="1420">
        <v>637717.03</v>
      </c>
      <c r="DR7" s="1420">
        <v>825383.06</v>
      </c>
      <c r="DS7" s="1420">
        <v>16696.740000000002</v>
      </c>
      <c r="DT7" s="1422">
        <v>17000</v>
      </c>
      <c r="DU7" s="1420">
        <v>3550423.09</v>
      </c>
      <c r="DV7" s="1420">
        <v>3717853.04</v>
      </c>
      <c r="DW7" s="1420">
        <v>907616.49</v>
      </c>
      <c r="DX7" s="1420">
        <v>985681.98</v>
      </c>
      <c r="DY7" s="1420">
        <v>1787961.91</v>
      </c>
      <c r="DZ7" s="1420">
        <v>1462861.34</v>
      </c>
      <c r="EA7" s="1420">
        <v>952548.04</v>
      </c>
      <c r="EB7" s="1420">
        <v>982887.01</v>
      </c>
      <c r="EC7" s="1420">
        <v>3648126.44</v>
      </c>
      <c r="ED7" s="1420">
        <v>3431430.33</v>
      </c>
      <c r="EE7" s="1420">
        <v>990047.83</v>
      </c>
      <c r="EF7" s="1420">
        <v>1006343.42</v>
      </c>
      <c r="EG7" s="1422">
        <v>0</v>
      </c>
      <c r="EH7" s="1422">
        <v>0</v>
      </c>
      <c r="EI7" s="1420">
        <v>2527.56</v>
      </c>
      <c r="EJ7" s="1422">
        <v>1200</v>
      </c>
      <c r="EK7" s="1422">
        <v>0</v>
      </c>
      <c r="EL7" s="1422">
        <v>0</v>
      </c>
      <c r="EM7" s="1420">
        <v>992575.39</v>
      </c>
      <c r="EN7" s="1420">
        <v>1007543.42</v>
      </c>
      <c r="EO7" s="1420">
        <v>1692090.49</v>
      </c>
      <c r="EP7" s="1422">
        <v>229368</v>
      </c>
      <c r="EQ7" s="1420">
        <v>559315.93999999994</v>
      </c>
      <c r="ER7" s="1422">
        <v>700000</v>
      </c>
      <c r="ES7" s="1422">
        <v>0</v>
      </c>
      <c r="ET7" s="1422">
        <v>0</v>
      </c>
      <c r="EU7" s="1420">
        <v>21121133.68</v>
      </c>
      <c r="EV7" s="1420">
        <v>19204163.039999999</v>
      </c>
      <c r="EW7" s="1420">
        <v>1948138.27</v>
      </c>
      <c r="EX7" s="1420">
        <v>463941.4</v>
      </c>
      <c r="EY7" s="1420">
        <v>559315.93999999994</v>
      </c>
      <c r="EZ7" s="1422">
        <v>700000</v>
      </c>
      <c r="FA7" s="1420">
        <v>18613679.469999999</v>
      </c>
      <c r="FB7" s="1420">
        <v>18040221.640000001</v>
      </c>
      <c r="FC7" s="1420">
        <v>1039048.73</v>
      </c>
      <c r="FD7" s="1439"/>
      <c r="FE7" s="1420">
        <v>17574630.739999998</v>
      </c>
      <c r="FF7" s="1439"/>
      <c r="FG7" s="1422">
        <v>9952</v>
      </c>
      <c r="FH7" s="1439"/>
      <c r="FI7" s="1420">
        <v>103.74</v>
      </c>
      <c r="FJ7" s="1439"/>
      <c r="FK7" s="1422">
        <v>54728</v>
      </c>
      <c r="FL7" s="1439"/>
      <c r="FM7" s="1420">
        <v>114.45</v>
      </c>
      <c r="FN7" s="1439"/>
      <c r="FO7" s="1422">
        <v>57199</v>
      </c>
      <c r="FP7" s="1439"/>
      <c r="FQ7" s="1420">
        <v>5063048.79</v>
      </c>
      <c r="FR7" s="1439"/>
      <c r="FS7" s="1420">
        <v>4756.67</v>
      </c>
      <c r="FT7" s="1439"/>
      <c r="FU7" s="1422">
        <v>0</v>
      </c>
      <c r="FV7" s="1439"/>
      <c r="FW7" s="1420">
        <v>5058292.12</v>
      </c>
      <c r="FX7" s="1439"/>
      <c r="FY7" s="1420">
        <v>129267.23</v>
      </c>
      <c r="FZ7" s="1439"/>
      <c r="GA7" s="1420">
        <v>588063.05000000005</v>
      </c>
      <c r="GB7" s="1439"/>
    </row>
    <row r="8" spans="1:184" ht="12.75" customHeight="1" thickBot="1">
      <c r="A8" s="1418" t="s">
        <v>591</v>
      </c>
      <c r="B8" s="1418" t="s">
        <v>592</v>
      </c>
      <c r="C8" s="1420">
        <v>731.93</v>
      </c>
      <c r="D8" s="1439"/>
      <c r="E8" s="1420">
        <v>1803.23</v>
      </c>
      <c r="F8" s="1439"/>
      <c r="G8" s="1421">
        <v>0.04</v>
      </c>
      <c r="H8" s="1439"/>
      <c r="I8" s="1420">
        <v>1887.1</v>
      </c>
      <c r="J8" s="1439"/>
      <c r="K8" s="1420">
        <v>1939.73</v>
      </c>
      <c r="L8" s="1439"/>
      <c r="M8" s="1422">
        <v>96021915</v>
      </c>
      <c r="N8" s="1439"/>
      <c r="O8" s="1422">
        <v>25</v>
      </c>
      <c r="P8" s="1439"/>
      <c r="Q8" s="1422">
        <v>25</v>
      </c>
      <c r="R8" s="1439"/>
      <c r="S8" s="1422">
        <v>0</v>
      </c>
      <c r="T8" s="1439"/>
      <c r="U8" s="1422">
        <v>0</v>
      </c>
      <c r="V8" s="1439"/>
      <c r="W8" s="1420">
        <v>10.5</v>
      </c>
      <c r="X8" s="1439"/>
      <c r="Y8" s="1420">
        <v>35.5</v>
      </c>
      <c r="Z8" s="1439"/>
      <c r="AA8" s="1420">
        <v>11507750.140000001</v>
      </c>
      <c r="AB8" s="1455"/>
      <c r="AC8" s="1424">
        <v>3232786.99</v>
      </c>
      <c r="AD8" s="1422">
        <v>3320219</v>
      </c>
      <c r="AE8" s="1420">
        <v>1102660.1599999999</v>
      </c>
      <c r="AF8" s="1422">
        <v>558000</v>
      </c>
      <c r="AG8" s="1422">
        <v>0</v>
      </c>
      <c r="AH8" s="1456">
        <v>0</v>
      </c>
      <c r="AI8" s="1428">
        <v>9370050</v>
      </c>
      <c r="AJ8" s="1422">
        <v>9285310</v>
      </c>
      <c r="AK8" s="1422">
        <v>19738</v>
      </c>
      <c r="AL8" s="1422">
        <v>25000</v>
      </c>
      <c r="AM8" s="1422">
        <v>0</v>
      </c>
      <c r="AN8" s="1422">
        <v>0</v>
      </c>
      <c r="AO8" s="1422">
        <v>0</v>
      </c>
      <c r="AP8" s="1422">
        <v>133693</v>
      </c>
      <c r="AQ8" s="1422">
        <v>0</v>
      </c>
      <c r="AR8" s="1422">
        <v>0</v>
      </c>
      <c r="AS8" s="1422">
        <v>11357</v>
      </c>
      <c r="AT8" s="1422">
        <v>8000</v>
      </c>
      <c r="AU8" s="1422">
        <v>6886</v>
      </c>
      <c r="AV8" s="1422">
        <v>5509</v>
      </c>
      <c r="AW8" s="1422">
        <v>20032</v>
      </c>
      <c r="AX8" s="1422">
        <v>0</v>
      </c>
      <c r="AY8" s="1420">
        <v>13763510.15</v>
      </c>
      <c r="AZ8" s="1422">
        <v>13335731</v>
      </c>
      <c r="BA8" s="1422">
        <v>0</v>
      </c>
      <c r="BB8" s="1422">
        <v>0</v>
      </c>
      <c r="BC8" s="1422">
        <v>80227</v>
      </c>
      <c r="BD8" s="1422">
        <v>80361</v>
      </c>
      <c r="BE8" s="1420">
        <v>31670.58</v>
      </c>
      <c r="BF8" s="1422">
        <v>0</v>
      </c>
      <c r="BG8" s="1422">
        <v>5353</v>
      </c>
      <c r="BH8" s="1422">
        <v>0</v>
      </c>
      <c r="BI8" s="1422">
        <v>109417</v>
      </c>
      <c r="BJ8" s="1422">
        <v>72869</v>
      </c>
      <c r="BK8" s="1422">
        <v>47466</v>
      </c>
      <c r="BL8" s="1422">
        <v>40000</v>
      </c>
      <c r="BM8" s="1422">
        <v>1454272</v>
      </c>
      <c r="BN8" s="1422">
        <v>1447160</v>
      </c>
      <c r="BO8" s="1420">
        <v>275593.90000000002</v>
      </c>
      <c r="BP8" s="1422">
        <v>0</v>
      </c>
      <c r="BQ8" s="1422">
        <v>0</v>
      </c>
      <c r="BR8" s="1422">
        <v>0</v>
      </c>
      <c r="BS8" s="1420">
        <v>9732.43</v>
      </c>
      <c r="BT8" s="1422">
        <v>10500</v>
      </c>
      <c r="BU8" s="1422">
        <v>0</v>
      </c>
      <c r="BV8" s="1422">
        <v>0</v>
      </c>
      <c r="BW8" s="1422">
        <v>685400</v>
      </c>
      <c r="BX8" s="1422">
        <v>680400</v>
      </c>
      <c r="BY8" s="1422">
        <v>0</v>
      </c>
      <c r="BZ8" s="1422">
        <v>0</v>
      </c>
      <c r="CA8" s="1420">
        <v>1442953.29</v>
      </c>
      <c r="CB8" s="1422">
        <v>1463902</v>
      </c>
      <c r="CC8" s="1420">
        <v>4142085.2</v>
      </c>
      <c r="CD8" s="1422">
        <v>3795192</v>
      </c>
      <c r="CE8" s="1420">
        <v>4298343.53</v>
      </c>
      <c r="CF8" s="1420">
        <v>3412333.49</v>
      </c>
      <c r="CG8" s="1420">
        <v>606625.51</v>
      </c>
      <c r="CH8" s="1422">
        <v>0</v>
      </c>
      <c r="CI8" s="1422">
        <v>0</v>
      </c>
      <c r="CJ8" s="1422">
        <v>0</v>
      </c>
      <c r="CK8" s="1420">
        <v>75489.119999999995</v>
      </c>
      <c r="CL8" s="1420">
        <v>70363.25</v>
      </c>
      <c r="CM8" s="1422">
        <v>0</v>
      </c>
      <c r="CN8" s="1422">
        <v>0</v>
      </c>
      <c r="CO8" s="1422">
        <v>0</v>
      </c>
      <c r="CP8" s="1422">
        <v>0</v>
      </c>
      <c r="CQ8" s="1422">
        <v>7439</v>
      </c>
      <c r="CR8" s="1422">
        <v>0</v>
      </c>
      <c r="CS8" s="1420">
        <v>689553.63</v>
      </c>
      <c r="CT8" s="1420">
        <v>70363.25</v>
      </c>
      <c r="CU8" s="1420">
        <v>22893492.510000002</v>
      </c>
      <c r="CV8" s="1420">
        <v>20613619.739999998</v>
      </c>
      <c r="CW8" s="1420">
        <v>7249033.29</v>
      </c>
      <c r="CX8" s="1420">
        <v>6776247.0199999996</v>
      </c>
      <c r="CY8" s="1420">
        <v>1092117.02</v>
      </c>
      <c r="CZ8" s="1420">
        <v>799652.84</v>
      </c>
      <c r="DA8" s="1420">
        <v>681785.58</v>
      </c>
      <c r="DB8" s="1422">
        <v>659323</v>
      </c>
      <c r="DC8" s="1422">
        <v>0</v>
      </c>
      <c r="DD8" s="1422">
        <v>0</v>
      </c>
      <c r="DE8" s="1420">
        <v>619354.09</v>
      </c>
      <c r="DF8" s="1420">
        <v>762669.06</v>
      </c>
      <c r="DG8" s="1420">
        <v>1109334.1200000001</v>
      </c>
      <c r="DH8" s="1420">
        <v>1086593.07</v>
      </c>
      <c r="DI8" s="1420">
        <v>10751624.1</v>
      </c>
      <c r="DJ8" s="1420">
        <v>10084484.99</v>
      </c>
      <c r="DK8" s="1420">
        <v>455152.45</v>
      </c>
      <c r="DL8" s="1420">
        <v>417492.43</v>
      </c>
      <c r="DM8" s="1420">
        <v>356403.67</v>
      </c>
      <c r="DN8" s="1420">
        <v>442844.62</v>
      </c>
      <c r="DO8" s="1420">
        <v>1535913.6</v>
      </c>
      <c r="DP8" s="1420">
        <v>1524076.68</v>
      </c>
      <c r="DQ8" s="1420">
        <v>717522.13</v>
      </c>
      <c r="DR8" s="1420">
        <v>799310.01</v>
      </c>
      <c r="DS8" s="1420">
        <v>84973.29</v>
      </c>
      <c r="DT8" s="1420">
        <v>80363.25</v>
      </c>
      <c r="DU8" s="1420">
        <v>3149965.14</v>
      </c>
      <c r="DV8" s="1420">
        <v>3264086.99</v>
      </c>
      <c r="DW8" s="1420">
        <v>922415.22</v>
      </c>
      <c r="DX8" s="1420">
        <v>833426.05</v>
      </c>
      <c r="DY8" s="1420">
        <v>1985279.55</v>
      </c>
      <c r="DZ8" s="1420">
        <v>1569176.81</v>
      </c>
      <c r="EA8" s="1420">
        <v>935825.36</v>
      </c>
      <c r="EB8" s="1420">
        <v>1003078.19</v>
      </c>
      <c r="EC8" s="1420">
        <v>3843520.13</v>
      </c>
      <c r="ED8" s="1420">
        <v>3405681.05</v>
      </c>
      <c r="EE8" s="1420">
        <v>1416024.03</v>
      </c>
      <c r="EF8" s="1420">
        <v>1426899.67</v>
      </c>
      <c r="EG8" s="1420">
        <v>18210.97</v>
      </c>
      <c r="EH8" s="1422">
        <v>0</v>
      </c>
      <c r="EI8" s="1420">
        <v>12370.3</v>
      </c>
      <c r="EJ8" s="1422">
        <v>29000</v>
      </c>
      <c r="EK8" s="1422">
        <v>0</v>
      </c>
      <c r="EL8" s="1422">
        <v>0</v>
      </c>
      <c r="EM8" s="1420">
        <v>1446605.3</v>
      </c>
      <c r="EN8" s="1420">
        <v>1455899.67</v>
      </c>
      <c r="EO8" s="1420">
        <v>3575953.18</v>
      </c>
      <c r="EP8" s="1422">
        <v>2730886</v>
      </c>
      <c r="EQ8" s="1420">
        <v>1105608.0900000001</v>
      </c>
      <c r="ER8" s="1420">
        <v>875323.79</v>
      </c>
      <c r="ES8" s="1420">
        <v>7079.48</v>
      </c>
      <c r="ET8" s="1422">
        <v>0</v>
      </c>
      <c r="EU8" s="1420">
        <v>23880355.420000002</v>
      </c>
      <c r="EV8" s="1420">
        <v>21816362.489999998</v>
      </c>
      <c r="EW8" s="1420">
        <v>3861654.47</v>
      </c>
      <c r="EX8" s="1420">
        <v>2873685.53</v>
      </c>
      <c r="EY8" s="1420">
        <v>1105608.0900000001</v>
      </c>
      <c r="EZ8" s="1420">
        <v>875323.79</v>
      </c>
      <c r="FA8" s="1420">
        <v>18913092.859999999</v>
      </c>
      <c r="FB8" s="1420">
        <v>18067353.170000002</v>
      </c>
      <c r="FC8" s="1420">
        <v>1622291.46</v>
      </c>
      <c r="FD8" s="1439"/>
      <c r="FE8" s="1420">
        <v>17290801.399999999</v>
      </c>
      <c r="FF8" s="1439"/>
      <c r="FG8" s="1422">
        <v>9588</v>
      </c>
      <c r="FH8" s="1439"/>
      <c r="FI8" s="1420">
        <v>145.41999999999999</v>
      </c>
      <c r="FJ8" s="1439"/>
      <c r="FK8" s="1422">
        <v>40472</v>
      </c>
      <c r="FL8" s="1439"/>
      <c r="FM8" s="1420">
        <v>162.18</v>
      </c>
      <c r="FN8" s="1439"/>
      <c r="FO8" s="1422">
        <v>42531</v>
      </c>
      <c r="FP8" s="1439"/>
      <c r="FQ8" s="1420">
        <v>2042727.07</v>
      </c>
      <c r="FR8" s="1439"/>
      <c r="FS8" s="1420">
        <v>40097.08</v>
      </c>
      <c r="FT8" s="1439"/>
      <c r="FU8" s="1422">
        <v>0</v>
      </c>
      <c r="FV8" s="1439"/>
      <c r="FW8" s="1420">
        <v>2002629.99</v>
      </c>
      <c r="FX8" s="1439"/>
      <c r="FY8" s="1420">
        <v>1325532.57</v>
      </c>
      <c r="FZ8" s="1439"/>
      <c r="GA8" s="1422">
        <v>0</v>
      </c>
      <c r="GB8" s="1439"/>
    </row>
    <row r="9" spans="1:184" ht="12.75" customHeight="1" thickBot="1">
      <c r="A9" s="1418" t="s">
        <v>593</v>
      </c>
      <c r="B9" s="1418" t="s">
        <v>594</v>
      </c>
      <c r="C9" s="1420">
        <v>34.22</v>
      </c>
      <c r="D9" s="1439"/>
      <c r="E9" s="1420">
        <v>627.51</v>
      </c>
      <c r="F9" s="1439"/>
      <c r="G9" s="1421">
        <v>0.06</v>
      </c>
      <c r="H9" s="1439"/>
      <c r="I9" s="1420">
        <v>660.57</v>
      </c>
      <c r="J9" s="1439"/>
      <c r="K9" s="1420">
        <v>651.25</v>
      </c>
      <c r="L9" s="1439"/>
      <c r="M9" s="1422">
        <v>51056755</v>
      </c>
      <c r="N9" s="1439"/>
      <c r="O9" s="1422">
        <v>25</v>
      </c>
      <c r="P9" s="1439"/>
      <c r="Q9" s="1422">
        <v>25</v>
      </c>
      <c r="R9" s="1439"/>
      <c r="S9" s="1422">
        <v>0</v>
      </c>
      <c r="T9" s="1439"/>
      <c r="U9" s="1422">
        <v>0</v>
      </c>
      <c r="V9" s="1439"/>
      <c r="W9" s="1420">
        <v>7.67</v>
      </c>
      <c r="X9" s="1439"/>
      <c r="Y9" s="1420">
        <v>32.67</v>
      </c>
      <c r="Z9" s="1439"/>
      <c r="AA9" s="1420">
        <v>3067840.26</v>
      </c>
      <c r="AB9" s="1455"/>
      <c r="AC9" s="1424">
        <v>1441718.04</v>
      </c>
      <c r="AD9" s="1422">
        <v>1612318</v>
      </c>
      <c r="AE9" s="1420">
        <v>299601.7</v>
      </c>
      <c r="AF9" s="1422">
        <v>96000</v>
      </c>
      <c r="AG9" s="1422">
        <v>0</v>
      </c>
      <c r="AH9" s="1456">
        <v>0</v>
      </c>
      <c r="AI9" s="1428">
        <v>2714869</v>
      </c>
      <c r="AJ9" s="1422">
        <v>2812874</v>
      </c>
      <c r="AK9" s="1422">
        <v>43847</v>
      </c>
      <c r="AL9" s="1422">
        <v>0</v>
      </c>
      <c r="AM9" s="1422">
        <v>56511</v>
      </c>
      <c r="AN9" s="1422">
        <v>0</v>
      </c>
      <c r="AO9" s="1422">
        <v>0</v>
      </c>
      <c r="AP9" s="1422">
        <v>0</v>
      </c>
      <c r="AQ9" s="1422">
        <v>0</v>
      </c>
      <c r="AR9" s="1422">
        <v>0</v>
      </c>
      <c r="AS9" s="1422">
        <v>0</v>
      </c>
      <c r="AT9" s="1422">
        <v>0</v>
      </c>
      <c r="AU9" s="1422">
        <v>0</v>
      </c>
      <c r="AV9" s="1422">
        <v>0</v>
      </c>
      <c r="AW9" s="1422">
        <v>11873</v>
      </c>
      <c r="AX9" s="1422">
        <v>11873</v>
      </c>
      <c r="AY9" s="1420">
        <v>4568419.74</v>
      </c>
      <c r="AZ9" s="1422">
        <v>4533065</v>
      </c>
      <c r="BA9" s="1422">
        <v>0</v>
      </c>
      <c r="BB9" s="1422">
        <v>0</v>
      </c>
      <c r="BC9" s="1422">
        <v>26936</v>
      </c>
      <c r="BD9" s="1422">
        <v>28031</v>
      </c>
      <c r="BE9" s="1420">
        <v>820.49</v>
      </c>
      <c r="BF9" s="1422">
        <v>1800</v>
      </c>
      <c r="BG9" s="1422">
        <v>1300</v>
      </c>
      <c r="BH9" s="1422">
        <v>0</v>
      </c>
      <c r="BI9" s="1422">
        <v>11214</v>
      </c>
      <c r="BJ9" s="1422">
        <v>16704</v>
      </c>
      <c r="BK9" s="1422">
        <v>0</v>
      </c>
      <c r="BL9" s="1422">
        <v>0</v>
      </c>
      <c r="BM9" s="1422">
        <v>211792</v>
      </c>
      <c r="BN9" s="1422">
        <v>231748</v>
      </c>
      <c r="BO9" s="1420">
        <v>59189.95</v>
      </c>
      <c r="BP9" s="1422">
        <v>3500</v>
      </c>
      <c r="BQ9" s="1422">
        <v>3250</v>
      </c>
      <c r="BR9" s="1422">
        <v>0</v>
      </c>
      <c r="BS9" s="1420">
        <v>2297.85</v>
      </c>
      <c r="BT9" s="1422">
        <v>2300</v>
      </c>
      <c r="BU9" s="1422">
        <v>0</v>
      </c>
      <c r="BV9" s="1422">
        <v>0</v>
      </c>
      <c r="BW9" s="1422">
        <v>0</v>
      </c>
      <c r="BX9" s="1422">
        <v>0</v>
      </c>
      <c r="BY9" s="1422">
        <v>0</v>
      </c>
      <c r="BZ9" s="1422">
        <v>0</v>
      </c>
      <c r="CA9" s="1420">
        <v>34400.78</v>
      </c>
      <c r="CB9" s="1422">
        <v>28041</v>
      </c>
      <c r="CC9" s="1420">
        <v>351201.07</v>
      </c>
      <c r="CD9" s="1422">
        <v>312124</v>
      </c>
      <c r="CE9" s="1420">
        <v>1460515.3</v>
      </c>
      <c r="CF9" s="1420">
        <v>960956.39</v>
      </c>
      <c r="CG9" s="1422">
        <v>431400</v>
      </c>
      <c r="CH9" s="1422">
        <v>0</v>
      </c>
      <c r="CI9" s="1422">
        <v>0</v>
      </c>
      <c r="CJ9" s="1422">
        <v>0</v>
      </c>
      <c r="CK9" s="1422">
        <v>7400</v>
      </c>
      <c r="CL9" s="1422">
        <v>7400</v>
      </c>
      <c r="CM9" s="1422">
        <v>0</v>
      </c>
      <c r="CN9" s="1422">
        <v>0</v>
      </c>
      <c r="CO9" s="1422">
        <v>0</v>
      </c>
      <c r="CP9" s="1422">
        <v>0</v>
      </c>
      <c r="CQ9" s="1422">
        <v>0</v>
      </c>
      <c r="CR9" s="1422">
        <v>0</v>
      </c>
      <c r="CS9" s="1422">
        <v>438800</v>
      </c>
      <c r="CT9" s="1422">
        <v>7400</v>
      </c>
      <c r="CU9" s="1420">
        <v>6818936.1100000003</v>
      </c>
      <c r="CV9" s="1420">
        <v>5813545.3899999997</v>
      </c>
      <c r="CW9" s="1420">
        <v>2482124.63</v>
      </c>
      <c r="CX9" s="1420">
        <v>2100524.0699999998</v>
      </c>
      <c r="CY9" s="1420">
        <v>431129.05</v>
      </c>
      <c r="CZ9" s="1420">
        <v>374619.9</v>
      </c>
      <c r="DA9" s="1420">
        <v>163461.4</v>
      </c>
      <c r="DB9" s="1420">
        <v>217678.53</v>
      </c>
      <c r="DC9" s="1422">
        <v>0</v>
      </c>
      <c r="DD9" s="1422">
        <v>0</v>
      </c>
      <c r="DE9" s="1420">
        <v>382511.93</v>
      </c>
      <c r="DF9" s="1420">
        <v>573731.68000000005</v>
      </c>
      <c r="DG9" s="1420">
        <v>284037.02</v>
      </c>
      <c r="DH9" s="1420">
        <v>260264.71</v>
      </c>
      <c r="DI9" s="1420">
        <v>3743264.03</v>
      </c>
      <c r="DJ9" s="1420">
        <v>3526818.89</v>
      </c>
      <c r="DK9" s="1420">
        <v>201933.67</v>
      </c>
      <c r="DL9" s="1420">
        <v>195112.23</v>
      </c>
      <c r="DM9" s="1420">
        <v>149676.96</v>
      </c>
      <c r="DN9" s="1420">
        <v>118732.39</v>
      </c>
      <c r="DO9" s="1420">
        <v>593663.13</v>
      </c>
      <c r="DP9" s="1420">
        <v>519288.75</v>
      </c>
      <c r="DQ9" s="1420">
        <v>193720.74</v>
      </c>
      <c r="DR9" s="1420">
        <v>124895.99</v>
      </c>
      <c r="DS9" s="1420">
        <v>11441.64</v>
      </c>
      <c r="DT9" s="1420">
        <v>12257.93</v>
      </c>
      <c r="DU9" s="1420">
        <v>1150436.1399999999</v>
      </c>
      <c r="DV9" s="1420">
        <v>970287.29</v>
      </c>
      <c r="DW9" s="1420">
        <v>201282.81</v>
      </c>
      <c r="DX9" s="1420">
        <v>264165.25</v>
      </c>
      <c r="DY9" s="1420">
        <v>234039.13</v>
      </c>
      <c r="DZ9" s="1420">
        <v>214191.55</v>
      </c>
      <c r="EA9" s="1420">
        <v>292362.17</v>
      </c>
      <c r="EB9" s="1420">
        <v>275922.55</v>
      </c>
      <c r="EC9" s="1420">
        <v>727684.11</v>
      </c>
      <c r="ED9" s="1420">
        <v>754279.35</v>
      </c>
      <c r="EE9" s="1420">
        <v>337487.44</v>
      </c>
      <c r="EF9" s="1420">
        <v>295919.84999999998</v>
      </c>
      <c r="EG9" s="1422">
        <v>0</v>
      </c>
      <c r="EH9" s="1422">
        <v>0</v>
      </c>
      <c r="EI9" s="1422">
        <v>0</v>
      </c>
      <c r="EJ9" s="1422">
        <v>6900</v>
      </c>
      <c r="EK9" s="1422">
        <v>0</v>
      </c>
      <c r="EL9" s="1422">
        <v>0</v>
      </c>
      <c r="EM9" s="1420">
        <v>337487.44</v>
      </c>
      <c r="EN9" s="1420">
        <v>302819.84999999998</v>
      </c>
      <c r="EO9" s="1420">
        <v>765773.24</v>
      </c>
      <c r="EP9" s="1420">
        <v>14252.05</v>
      </c>
      <c r="EQ9" s="1420">
        <v>296646.27</v>
      </c>
      <c r="ER9" s="1422">
        <v>294546</v>
      </c>
      <c r="ES9" s="1422">
        <v>29285</v>
      </c>
      <c r="ET9" s="1422">
        <v>0</v>
      </c>
      <c r="EU9" s="1420">
        <v>7050576.2300000004</v>
      </c>
      <c r="EV9" s="1420">
        <v>5863003.4299999997</v>
      </c>
      <c r="EW9" s="1420">
        <v>991053.27</v>
      </c>
      <c r="EX9" s="1420">
        <v>80152.05</v>
      </c>
      <c r="EY9" s="1420">
        <v>296646.27</v>
      </c>
      <c r="EZ9" s="1422">
        <v>294546</v>
      </c>
      <c r="FA9" s="1420">
        <v>5762876.6900000004</v>
      </c>
      <c r="FB9" s="1420">
        <v>5488305.3799999999</v>
      </c>
      <c r="FC9" s="1420">
        <v>297557.40000000002</v>
      </c>
      <c r="FD9" s="1439"/>
      <c r="FE9" s="1420">
        <v>5465319.29</v>
      </c>
      <c r="FF9" s="1439"/>
      <c r="FG9" s="1422">
        <v>8709</v>
      </c>
      <c r="FH9" s="1439"/>
      <c r="FI9" s="1420">
        <v>51.79</v>
      </c>
      <c r="FJ9" s="1439"/>
      <c r="FK9" s="1422">
        <v>39891</v>
      </c>
      <c r="FL9" s="1439"/>
      <c r="FM9" s="1420">
        <v>55.44</v>
      </c>
      <c r="FN9" s="1439"/>
      <c r="FO9" s="1422">
        <v>42344</v>
      </c>
      <c r="FP9" s="1439"/>
      <c r="FQ9" s="1420">
        <v>782941.66</v>
      </c>
      <c r="FR9" s="1439"/>
      <c r="FS9" s="1420">
        <v>36373.019999999997</v>
      </c>
      <c r="FT9" s="1439"/>
      <c r="FU9" s="1422">
        <v>0</v>
      </c>
      <c r="FV9" s="1439"/>
      <c r="FW9" s="1420">
        <v>746568.64</v>
      </c>
      <c r="FX9" s="1439"/>
      <c r="FY9" s="1420">
        <v>124013.45</v>
      </c>
      <c r="FZ9" s="1439"/>
      <c r="GA9" s="1422">
        <v>0</v>
      </c>
      <c r="GB9" s="1439"/>
    </row>
    <row r="10" spans="1:184" ht="12.75" customHeight="1" thickBot="1">
      <c r="A10" s="1418" t="s">
        <v>595</v>
      </c>
      <c r="B10" s="1418" t="s">
        <v>596</v>
      </c>
      <c r="C10" s="1420">
        <v>349.65</v>
      </c>
      <c r="D10" s="1439"/>
      <c r="E10" s="1420">
        <v>3761.99</v>
      </c>
      <c r="F10" s="1439"/>
      <c r="G10" s="1421">
        <v>0.01</v>
      </c>
      <c r="H10" s="1439"/>
      <c r="I10" s="1420">
        <v>3976.86</v>
      </c>
      <c r="J10" s="1439"/>
      <c r="K10" s="1420">
        <v>3971.78</v>
      </c>
      <c r="L10" s="1439"/>
      <c r="M10" s="1422">
        <v>552953863</v>
      </c>
      <c r="N10" s="1439"/>
      <c r="O10" s="1420">
        <v>25.29</v>
      </c>
      <c r="P10" s="1439"/>
      <c r="Q10" s="1422">
        <v>25</v>
      </c>
      <c r="R10" s="1439"/>
      <c r="S10" s="1420">
        <v>0.28999999999999998</v>
      </c>
      <c r="T10" s="1439"/>
      <c r="U10" s="1422">
        <v>0</v>
      </c>
      <c r="V10" s="1439"/>
      <c r="W10" s="1420">
        <v>6.87</v>
      </c>
      <c r="X10" s="1439"/>
      <c r="Y10" s="1420">
        <v>32.159999999999997</v>
      </c>
      <c r="Z10" s="1439"/>
      <c r="AA10" s="1422">
        <v>41458550</v>
      </c>
      <c r="AB10" s="1455"/>
      <c r="AC10" s="1424">
        <v>16775786.27</v>
      </c>
      <c r="AD10" s="1420">
        <v>17227257.670000002</v>
      </c>
      <c r="AE10" s="1420">
        <v>1228818.8700000001</v>
      </c>
      <c r="AF10" s="1422">
        <v>755650</v>
      </c>
      <c r="AG10" s="1422">
        <v>0</v>
      </c>
      <c r="AH10" s="1456">
        <v>0</v>
      </c>
      <c r="AI10" s="1428">
        <v>10621218</v>
      </c>
      <c r="AJ10" s="1422">
        <v>10879360</v>
      </c>
      <c r="AK10" s="1422">
        <v>333404</v>
      </c>
      <c r="AL10" s="1422">
        <v>0</v>
      </c>
      <c r="AM10" s="1422">
        <v>65334</v>
      </c>
      <c r="AN10" s="1422">
        <v>0</v>
      </c>
      <c r="AO10" s="1422">
        <v>0</v>
      </c>
      <c r="AP10" s="1422">
        <v>0</v>
      </c>
      <c r="AQ10" s="1422">
        <v>0</v>
      </c>
      <c r="AR10" s="1422">
        <v>0</v>
      </c>
      <c r="AS10" s="1422">
        <v>0</v>
      </c>
      <c r="AT10" s="1422">
        <v>0</v>
      </c>
      <c r="AU10" s="1422">
        <v>0</v>
      </c>
      <c r="AV10" s="1422">
        <v>0</v>
      </c>
      <c r="AW10" s="1422">
        <v>66599</v>
      </c>
      <c r="AX10" s="1422">
        <v>0</v>
      </c>
      <c r="AY10" s="1420">
        <v>29091160.140000001</v>
      </c>
      <c r="AZ10" s="1420">
        <v>28862267.670000002</v>
      </c>
      <c r="BA10" s="1420">
        <v>4738.3599999999997</v>
      </c>
      <c r="BB10" s="1422">
        <v>0</v>
      </c>
      <c r="BC10" s="1422">
        <v>164273</v>
      </c>
      <c r="BD10" s="1422">
        <v>168886</v>
      </c>
      <c r="BE10" s="1420">
        <v>44248.3</v>
      </c>
      <c r="BF10" s="1422">
        <v>0</v>
      </c>
      <c r="BG10" s="1422">
        <v>2950</v>
      </c>
      <c r="BH10" s="1422">
        <v>0</v>
      </c>
      <c r="BI10" s="1422">
        <v>328169</v>
      </c>
      <c r="BJ10" s="1422">
        <v>431743</v>
      </c>
      <c r="BK10" s="1422">
        <v>7032</v>
      </c>
      <c r="BL10" s="1422">
        <v>7000</v>
      </c>
      <c r="BM10" s="1422">
        <v>1056480</v>
      </c>
      <c r="BN10" s="1422">
        <v>1086382</v>
      </c>
      <c r="BO10" s="1420">
        <v>59125.58</v>
      </c>
      <c r="BP10" s="1422">
        <v>0</v>
      </c>
      <c r="BQ10" s="1420">
        <v>2098.9699999999998</v>
      </c>
      <c r="BR10" s="1422">
        <v>0</v>
      </c>
      <c r="BS10" s="1420">
        <v>13308.62</v>
      </c>
      <c r="BT10" s="1422">
        <v>14000</v>
      </c>
      <c r="BU10" s="1422">
        <v>0</v>
      </c>
      <c r="BV10" s="1422">
        <v>0</v>
      </c>
      <c r="BW10" s="1422">
        <v>0</v>
      </c>
      <c r="BX10" s="1422">
        <v>0</v>
      </c>
      <c r="BY10" s="1422">
        <v>0</v>
      </c>
      <c r="BZ10" s="1422">
        <v>0</v>
      </c>
      <c r="CA10" s="1420">
        <v>337559.08</v>
      </c>
      <c r="CB10" s="1422">
        <v>6981</v>
      </c>
      <c r="CC10" s="1420">
        <v>2019982.91</v>
      </c>
      <c r="CD10" s="1422">
        <v>1714992</v>
      </c>
      <c r="CE10" s="1420">
        <v>5439441.4699999997</v>
      </c>
      <c r="CF10" s="1420">
        <v>5874474.3899999997</v>
      </c>
      <c r="CG10" s="1422">
        <v>18500</v>
      </c>
      <c r="CH10" s="1422">
        <v>1091956</v>
      </c>
      <c r="CI10" s="1422">
        <v>0</v>
      </c>
      <c r="CJ10" s="1422">
        <v>0</v>
      </c>
      <c r="CK10" s="1422">
        <v>19380</v>
      </c>
      <c r="CL10" s="1422">
        <v>0</v>
      </c>
      <c r="CM10" s="1420">
        <v>2512.75</v>
      </c>
      <c r="CN10" s="1422">
        <v>4200</v>
      </c>
      <c r="CO10" s="1420">
        <v>103971.58</v>
      </c>
      <c r="CP10" s="1422">
        <v>0</v>
      </c>
      <c r="CQ10" s="1422">
        <v>0</v>
      </c>
      <c r="CR10" s="1422">
        <v>0</v>
      </c>
      <c r="CS10" s="1420">
        <v>144364.32999999999</v>
      </c>
      <c r="CT10" s="1422">
        <v>1096156</v>
      </c>
      <c r="CU10" s="1420">
        <v>36694948.850000001</v>
      </c>
      <c r="CV10" s="1420">
        <v>37547890.060000002</v>
      </c>
      <c r="CW10" s="1420">
        <v>13034092.5</v>
      </c>
      <c r="CX10" s="1420">
        <v>12491188.880000001</v>
      </c>
      <c r="CY10" s="1420">
        <v>1937394.76</v>
      </c>
      <c r="CZ10" s="1420">
        <v>2113463.71</v>
      </c>
      <c r="DA10" s="1420">
        <v>1238962.95</v>
      </c>
      <c r="DB10" s="1420">
        <v>1230753.77</v>
      </c>
      <c r="DC10" s="1420">
        <v>4738.3599999999997</v>
      </c>
      <c r="DD10" s="1422">
        <v>0</v>
      </c>
      <c r="DE10" s="1420">
        <v>1069517.8799999999</v>
      </c>
      <c r="DF10" s="1420">
        <v>1080658.47</v>
      </c>
      <c r="DG10" s="1420">
        <v>2317611.9300000002</v>
      </c>
      <c r="DH10" s="1420">
        <v>2496760.62</v>
      </c>
      <c r="DI10" s="1420">
        <v>19602318.379999999</v>
      </c>
      <c r="DJ10" s="1420">
        <v>19412825.449999999</v>
      </c>
      <c r="DK10" s="1420">
        <v>587070.74</v>
      </c>
      <c r="DL10" s="1420">
        <v>599953.5</v>
      </c>
      <c r="DM10" s="1420">
        <v>437490.17</v>
      </c>
      <c r="DN10" s="1422">
        <v>452523</v>
      </c>
      <c r="DO10" s="1420">
        <v>3434948.54</v>
      </c>
      <c r="DP10" s="1420">
        <v>4560171.3099999996</v>
      </c>
      <c r="DQ10" s="1420">
        <v>1604166.76</v>
      </c>
      <c r="DR10" s="1420">
        <v>1699893.24</v>
      </c>
      <c r="DS10" s="1422">
        <v>55714</v>
      </c>
      <c r="DT10" s="1422">
        <v>35000</v>
      </c>
      <c r="DU10" s="1420">
        <v>6119390.21</v>
      </c>
      <c r="DV10" s="1420">
        <v>7347541.0499999998</v>
      </c>
      <c r="DW10" s="1420">
        <v>1471626.24</v>
      </c>
      <c r="DX10" s="1420">
        <v>1667676.9</v>
      </c>
      <c r="DY10" s="1420">
        <v>2302080.19</v>
      </c>
      <c r="DZ10" s="1420">
        <v>2378105.44</v>
      </c>
      <c r="EA10" s="1420">
        <v>1747983.28</v>
      </c>
      <c r="EB10" s="1420">
        <v>1819153.09</v>
      </c>
      <c r="EC10" s="1420">
        <v>5521689.71</v>
      </c>
      <c r="ED10" s="1420">
        <v>5864935.4299999997</v>
      </c>
      <c r="EE10" s="1420">
        <v>1665327.13</v>
      </c>
      <c r="EF10" s="1420">
        <v>1578721.04</v>
      </c>
      <c r="EG10" s="1422">
        <v>0</v>
      </c>
      <c r="EH10" s="1422">
        <v>0</v>
      </c>
      <c r="EI10" s="1420">
        <v>383.16</v>
      </c>
      <c r="EJ10" s="1422">
        <v>5000</v>
      </c>
      <c r="EK10" s="1422">
        <v>0</v>
      </c>
      <c r="EL10" s="1422">
        <v>0</v>
      </c>
      <c r="EM10" s="1420">
        <v>1665710.29</v>
      </c>
      <c r="EN10" s="1420">
        <v>1583721.04</v>
      </c>
      <c r="EO10" s="1420">
        <v>10432541.039999999</v>
      </c>
      <c r="EP10" s="1420">
        <v>4006115.62</v>
      </c>
      <c r="EQ10" s="1420">
        <v>2731897.68</v>
      </c>
      <c r="ER10" s="1420">
        <v>2901044.88</v>
      </c>
      <c r="ES10" s="1420">
        <v>78890.92</v>
      </c>
      <c r="ET10" s="1422">
        <v>0</v>
      </c>
      <c r="EU10" s="1420">
        <v>46152438.229999997</v>
      </c>
      <c r="EV10" s="1420">
        <v>41116183.469999999</v>
      </c>
      <c r="EW10" s="1420">
        <v>10872727.32</v>
      </c>
      <c r="EX10" s="1420">
        <v>4443244.5999999996</v>
      </c>
      <c r="EY10" s="1420">
        <v>2731897.68</v>
      </c>
      <c r="EZ10" s="1420">
        <v>2901044.88</v>
      </c>
      <c r="FA10" s="1420">
        <v>32547813.23</v>
      </c>
      <c r="FB10" s="1420">
        <v>33771893.990000002</v>
      </c>
      <c r="FC10" s="1420">
        <v>1105452.9099999999</v>
      </c>
      <c r="FD10" s="1439"/>
      <c r="FE10" s="1420">
        <v>31442360.32</v>
      </c>
      <c r="FF10" s="1439"/>
      <c r="FG10" s="1422">
        <v>8357</v>
      </c>
      <c r="FH10" s="1439"/>
      <c r="FI10" s="1420">
        <v>264.35000000000002</v>
      </c>
      <c r="FJ10" s="1439"/>
      <c r="FK10" s="1422">
        <v>45044</v>
      </c>
      <c r="FL10" s="1439"/>
      <c r="FM10" s="1420">
        <v>283.83</v>
      </c>
      <c r="FN10" s="1439"/>
      <c r="FO10" s="1422">
        <v>47040</v>
      </c>
      <c r="FP10" s="1439"/>
      <c r="FQ10" s="1420">
        <v>2981424.19</v>
      </c>
      <c r="FR10" s="1439"/>
      <c r="FS10" s="1420">
        <v>132965.25</v>
      </c>
      <c r="FT10" s="1439"/>
      <c r="FU10" s="1420">
        <v>114232.59</v>
      </c>
      <c r="FV10" s="1439"/>
      <c r="FW10" s="1420">
        <v>2734226.35</v>
      </c>
      <c r="FX10" s="1439"/>
      <c r="FY10" s="1420">
        <v>5043770.51</v>
      </c>
      <c r="FZ10" s="1439"/>
      <c r="GA10" s="1420">
        <v>104827.5</v>
      </c>
      <c r="GB10" s="1439"/>
    </row>
    <row r="11" spans="1:184" ht="12.75" customHeight="1" thickBot="1">
      <c r="A11" s="1418" t="s">
        <v>597</v>
      </c>
      <c r="B11" s="1418" t="s">
        <v>598</v>
      </c>
      <c r="C11" s="1420">
        <v>169.43</v>
      </c>
      <c r="D11" s="1439"/>
      <c r="E11" s="1420">
        <v>439.01</v>
      </c>
      <c r="F11" s="1439"/>
      <c r="G11" s="1421">
        <v>0.02</v>
      </c>
      <c r="H11" s="1439"/>
      <c r="I11" s="1420">
        <v>465.34</v>
      </c>
      <c r="J11" s="1439"/>
      <c r="K11" s="1420">
        <v>467.25</v>
      </c>
      <c r="L11" s="1439"/>
      <c r="M11" s="1422">
        <v>58942722</v>
      </c>
      <c r="N11" s="1439"/>
      <c r="O11" s="1422">
        <v>27</v>
      </c>
      <c r="P11" s="1439"/>
      <c r="Q11" s="1422">
        <v>25</v>
      </c>
      <c r="R11" s="1439"/>
      <c r="S11" s="1422">
        <v>2</v>
      </c>
      <c r="T11" s="1439"/>
      <c r="U11" s="1422">
        <v>0</v>
      </c>
      <c r="V11" s="1439"/>
      <c r="W11" s="1420">
        <v>7.39</v>
      </c>
      <c r="X11" s="1439"/>
      <c r="Y11" s="1420">
        <v>34.39</v>
      </c>
      <c r="Z11" s="1439"/>
      <c r="AA11" s="1422">
        <v>2640500</v>
      </c>
      <c r="AB11" s="1455"/>
      <c r="AC11" s="1424">
        <v>1779574.75</v>
      </c>
      <c r="AD11" s="1420">
        <v>1957635.97</v>
      </c>
      <c r="AE11" s="1420">
        <v>341494.51</v>
      </c>
      <c r="AF11" s="1422">
        <v>111908</v>
      </c>
      <c r="AG11" s="1422">
        <v>0</v>
      </c>
      <c r="AH11" s="1456">
        <v>0</v>
      </c>
      <c r="AI11" s="1428">
        <v>1339381</v>
      </c>
      <c r="AJ11" s="1422">
        <v>1330015</v>
      </c>
      <c r="AK11" s="1422">
        <v>47015</v>
      </c>
      <c r="AL11" s="1422">
        <v>0</v>
      </c>
      <c r="AM11" s="1422">
        <v>24865</v>
      </c>
      <c r="AN11" s="1422">
        <v>0</v>
      </c>
      <c r="AO11" s="1422">
        <v>0</v>
      </c>
      <c r="AP11" s="1422">
        <v>1782</v>
      </c>
      <c r="AQ11" s="1422">
        <v>0</v>
      </c>
      <c r="AR11" s="1422">
        <v>0</v>
      </c>
      <c r="AS11" s="1422">
        <v>0</v>
      </c>
      <c r="AT11" s="1422">
        <v>0</v>
      </c>
      <c r="AU11" s="1422">
        <v>0</v>
      </c>
      <c r="AV11" s="1422">
        <v>0</v>
      </c>
      <c r="AW11" s="1422">
        <v>0</v>
      </c>
      <c r="AX11" s="1422">
        <v>0</v>
      </c>
      <c r="AY11" s="1420">
        <v>3532330.26</v>
      </c>
      <c r="AZ11" s="1420">
        <v>3401340.97</v>
      </c>
      <c r="BA11" s="1422">
        <v>0</v>
      </c>
      <c r="BB11" s="1422">
        <v>0</v>
      </c>
      <c r="BC11" s="1422">
        <v>19325</v>
      </c>
      <c r="BD11" s="1422">
        <v>19777</v>
      </c>
      <c r="BE11" s="1420">
        <v>104639.03999999999</v>
      </c>
      <c r="BF11" s="1422">
        <v>108900</v>
      </c>
      <c r="BG11" s="1422">
        <v>250</v>
      </c>
      <c r="BH11" s="1422">
        <v>250</v>
      </c>
      <c r="BI11" s="1422">
        <v>5566</v>
      </c>
      <c r="BJ11" s="1422">
        <v>16083</v>
      </c>
      <c r="BK11" s="1422">
        <v>0</v>
      </c>
      <c r="BL11" s="1422">
        <v>0</v>
      </c>
      <c r="BM11" s="1422">
        <v>371008</v>
      </c>
      <c r="BN11" s="1422">
        <v>382536</v>
      </c>
      <c r="BO11" s="1420">
        <v>56432.480000000003</v>
      </c>
      <c r="BP11" s="1422">
        <v>56400</v>
      </c>
      <c r="BQ11" s="1422">
        <v>0</v>
      </c>
      <c r="BR11" s="1422">
        <v>0</v>
      </c>
      <c r="BS11" s="1420">
        <v>2076.61</v>
      </c>
      <c r="BT11" s="1422">
        <v>2000</v>
      </c>
      <c r="BU11" s="1422">
        <v>0</v>
      </c>
      <c r="BV11" s="1422">
        <v>0</v>
      </c>
      <c r="BW11" s="1422">
        <v>0</v>
      </c>
      <c r="BX11" s="1422">
        <v>0</v>
      </c>
      <c r="BY11" s="1422">
        <v>0</v>
      </c>
      <c r="BZ11" s="1422">
        <v>0</v>
      </c>
      <c r="CA11" s="1420">
        <v>5684.37</v>
      </c>
      <c r="CB11" s="1422">
        <v>2224</v>
      </c>
      <c r="CC11" s="1420">
        <v>564981.5</v>
      </c>
      <c r="CD11" s="1422">
        <v>588170</v>
      </c>
      <c r="CE11" s="1420">
        <v>778605.11</v>
      </c>
      <c r="CF11" s="1420">
        <v>975509.47</v>
      </c>
      <c r="CG11" s="1422">
        <v>50500</v>
      </c>
      <c r="CH11" s="1422">
        <v>0</v>
      </c>
      <c r="CI11" s="1422">
        <v>0</v>
      </c>
      <c r="CJ11" s="1422">
        <v>0</v>
      </c>
      <c r="CK11" s="1422">
        <v>0</v>
      </c>
      <c r="CL11" s="1422">
        <v>0</v>
      </c>
      <c r="CM11" s="1422">
        <v>0</v>
      </c>
      <c r="CN11" s="1422">
        <v>0</v>
      </c>
      <c r="CO11" s="1420">
        <v>4717.1000000000004</v>
      </c>
      <c r="CP11" s="1422">
        <v>0</v>
      </c>
      <c r="CQ11" s="1422">
        <v>0</v>
      </c>
      <c r="CR11" s="1422">
        <v>0</v>
      </c>
      <c r="CS11" s="1420">
        <v>55217.1</v>
      </c>
      <c r="CT11" s="1422">
        <v>0</v>
      </c>
      <c r="CU11" s="1420">
        <v>4931133.97</v>
      </c>
      <c r="CV11" s="1420">
        <v>4965020.4400000004</v>
      </c>
      <c r="CW11" s="1420">
        <v>1851326.71</v>
      </c>
      <c r="CX11" s="1420">
        <v>1727515.57</v>
      </c>
      <c r="CY11" s="1420">
        <v>324421.38</v>
      </c>
      <c r="CZ11" s="1420">
        <v>346768.16</v>
      </c>
      <c r="DA11" s="1420">
        <v>161333.75</v>
      </c>
      <c r="DB11" s="1420">
        <v>157626.35999999999</v>
      </c>
      <c r="DC11" s="1422">
        <v>0</v>
      </c>
      <c r="DD11" s="1422">
        <v>0</v>
      </c>
      <c r="DE11" s="1420">
        <v>163411.26999999999</v>
      </c>
      <c r="DF11" s="1420">
        <v>170952.17</v>
      </c>
      <c r="DG11" s="1420">
        <v>219025.5</v>
      </c>
      <c r="DH11" s="1420">
        <v>225241.98</v>
      </c>
      <c r="DI11" s="1420">
        <v>2719518.61</v>
      </c>
      <c r="DJ11" s="1420">
        <v>2628104.2400000002</v>
      </c>
      <c r="DK11" s="1420">
        <v>138739.56</v>
      </c>
      <c r="DL11" s="1420">
        <v>138113.68</v>
      </c>
      <c r="DM11" s="1420">
        <v>95378.38</v>
      </c>
      <c r="DN11" s="1420">
        <v>96679.45</v>
      </c>
      <c r="DO11" s="1420">
        <v>442262.4</v>
      </c>
      <c r="DP11" s="1420">
        <v>443906.77</v>
      </c>
      <c r="DQ11" s="1420">
        <v>268380.44</v>
      </c>
      <c r="DR11" s="1420">
        <v>304372.65000000002</v>
      </c>
      <c r="DS11" s="1420">
        <v>13752.33</v>
      </c>
      <c r="DT11" s="1422">
        <v>0</v>
      </c>
      <c r="DU11" s="1420">
        <v>958513.11</v>
      </c>
      <c r="DV11" s="1420">
        <v>983072.55</v>
      </c>
      <c r="DW11" s="1420">
        <v>173602.45</v>
      </c>
      <c r="DX11" s="1420">
        <v>153920.19</v>
      </c>
      <c r="DY11" s="1420">
        <v>306700.46000000002</v>
      </c>
      <c r="DZ11" s="1420">
        <v>327898.5</v>
      </c>
      <c r="EA11" s="1420">
        <v>206475.63</v>
      </c>
      <c r="EB11" s="1420">
        <v>200705.66</v>
      </c>
      <c r="EC11" s="1420">
        <v>686778.54</v>
      </c>
      <c r="ED11" s="1420">
        <v>682524.35</v>
      </c>
      <c r="EE11" s="1420">
        <v>339627.13</v>
      </c>
      <c r="EF11" s="1420">
        <v>330794.96000000002</v>
      </c>
      <c r="EG11" s="1422">
        <v>0</v>
      </c>
      <c r="EH11" s="1422">
        <v>0</v>
      </c>
      <c r="EI11" s="1420">
        <v>694.33</v>
      </c>
      <c r="EJ11" s="1422">
        <v>1500</v>
      </c>
      <c r="EK11" s="1422">
        <v>0</v>
      </c>
      <c r="EL11" s="1422">
        <v>0</v>
      </c>
      <c r="EM11" s="1420">
        <v>340321.46</v>
      </c>
      <c r="EN11" s="1420">
        <v>332294.96000000002</v>
      </c>
      <c r="EO11" s="1420">
        <v>6806.04</v>
      </c>
      <c r="EP11" s="1420">
        <v>122918.22</v>
      </c>
      <c r="EQ11" s="1420">
        <v>236396.04</v>
      </c>
      <c r="ER11" s="1422">
        <v>255300</v>
      </c>
      <c r="ES11" s="1422">
        <v>0</v>
      </c>
      <c r="ET11" s="1422">
        <v>0</v>
      </c>
      <c r="EU11" s="1420">
        <v>4948333.8</v>
      </c>
      <c r="EV11" s="1420">
        <v>5004214.32</v>
      </c>
      <c r="EW11" s="1420">
        <v>96280.08</v>
      </c>
      <c r="EX11" s="1420">
        <v>225918.22</v>
      </c>
      <c r="EY11" s="1420">
        <v>236396.04</v>
      </c>
      <c r="EZ11" s="1422">
        <v>255300</v>
      </c>
      <c r="FA11" s="1420">
        <v>4615657.68</v>
      </c>
      <c r="FB11" s="1420">
        <v>4522996.0999999996</v>
      </c>
      <c r="FC11" s="1420">
        <v>298275.28000000003</v>
      </c>
      <c r="FD11" s="1439"/>
      <c r="FE11" s="1420">
        <v>4317382.4000000004</v>
      </c>
      <c r="FF11" s="1439"/>
      <c r="FG11" s="1422">
        <v>9834</v>
      </c>
      <c r="FH11" s="1439"/>
      <c r="FI11" s="1420">
        <v>37.979999999999997</v>
      </c>
      <c r="FJ11" s="1439"/>
      <c r="FK11" s="1422">
        <v>41986</v>
      </c>
      <c r="FL11" s="1439"/>
      <c r="FM11" s="1420">
        <v>42.06</v>
      </c>
      <c r="FN11" s="1439"/>
      <c r="FO11" s="1422">
        <v>44874</v>
      </c>
      <c r="FP11" s="1439"/>
      <c r="FQ11" s="1420">
        <v>609655.6</v>
      </c>
      <c r="FR11" s="1439"/>
      <c r="FS11" s="1420">
        <v>93555.28</v>
      </c>
      <c r="FT11" s="1439"/>
      <c r="FU11" s="1422">
        <v>0</v>
      </c>
      <c r="FV11" s="1439"/>
      <c r="FW11" s="1420">
        <v>516100.32</v>
      </c>
      <c r="FX11" s="1439"/>
      <c r="FY11" s="1420">
        <v>60313.69</v>
      </c>
      <c r="FZ11" s="1439"/>
      <c r="GA11" s="1422">
        <v>0</v>
      </c>
      <c r="GB11" s="1439"/>
    </row>
    <row r="12" spans="1:184" ht="12.75" customHeight="1" thickBot="1">
      <c r="A12" s="1418" t="s">
        <v>599</v>
      </c>
      <c r="B12" s="1418" t="s">
        <v>600</v>
      </c>
      <c r="C12" s="1420">
        <v>142.68</v>
      </c>
      <c r="D12" s="1439"/>
      <c r="E12" s="1420">
        <v>12792.58</v>
      </c>
      <c r="F12" s="1439"/>
      <c r="G12" s="1421">
        <v>0.33</v>
      </c>
      <c r="H12" s="1439"/>
      <c r="I12" s="1420">
        <v>13536.35</v>
      </c>
      <c r="J12" s="1439"/>
      <c r="K12" s="1420">
        <v>13036.47</v>
      </c>
      <c r="L12" s="1439"/>
      <c r="M12" s="1422">
        <v>1612132510</v>
      </c>
      <c r="N12" s="1439"/>
      <c r="O12" s="1422">
        <v>25</v>
      </c>
      <c r="P12" s="1439"/>
      <c r="Q12" s="1422">
        <v>25</v>
      </c>
      <c r="R12" s="1439"/>
      <c r="S12" s="1422">
        <v>0</v>
      </c>
      <c r="T12" s="1439"/>
      <c r="U12" s="1422">
        <v>2</v>
      </c>
      <c r="V12" s="1439"/>
      <c r="W12" s="1420">
        <v>16.7</v>
      </c>
      <c r="X12" s="1439"/>
      <c r="Y12" s="1420">
        <v>43.7</v>
      </c>
      <c r="Z12" s="1439"/>
      <c r="AA12" s="1422">
        <v>173660000</v>
      </c>
      <c r="AB12" s="1455"/>
      <c r="AC12" s="1424">
        <v>63482496.689999998</v>
      </c>
      <c r="AD12" s="1422">
        <v>67275282</v>
      </c>
      <c r="AE12" s="1420">
        <v>8365632.6799999997</v>
      </c>
      <c r="AF12" s="1422">
        <v>6390981</v>
      </c>
      <c r="AG12" s="1420">
        <v>95939.01</v>
      </c>
      <c r="AH12" s="1456">
        <v>0</v>
      </c>
      <c r="AI12" s="1428">
        <v>38640267</v>
      </c>
      <c r="AJ12" s="1422">
        <v>43683017</v>
      </c>
      <c r="AK12" s="1422">
        <v>355772</v>
      </c>
      <c r="AL12" s="1422">
        <v>0</v>
      </c>
      <c r="AM12" s="1422">
        <v>3008398</v>
      </c>
      <c r="AN12" s="1422">
        <v>552960</v>
      </c>
      <c r="AO12" s="1422">
        <v>0</v>
      </c>
      <c r="AP12" s="1422">
        <v>0</v>
      </c>
      <c r="AQ12" s="1422">
        <v>0</v>
      </c>
      <c r="AR12" s="1422">
        <v>0</v>
      </c>
      <c r="AS12" s="1422">
        <v>0</v>
      </c>
      <c r="AT12" s="1422">
        <v>0</v>
      </c>
      <c r="AU12" s="1422">
        <v>0</v>
      </c>
      <c r="AV12" s="1422">
        <v>0</v>
      </c>
      <c r="AW12" s="1422">
        <v>0</v>
      </c>
      <c r="AX12" s="1422">
        <v>0</v>
      </c>
      <c r="AY12" s="1420">
        <v>113948505.38</v>
      </c>
      <c r="AZ12" s="1422">
        <v>117902240</v>
      </c>
      <c r="BA12" s="1422">
        <v>0</v>
      </c>
      <c r="BB12" s="1422">
        <v>0</v>
      </c>
      <c r="BC12" s="1422">
        <v>539188</v>
      </c>
      <c r="BD12" s="1422">
        <v>573877</v>
      </c>
      <c r="BE12" s="1420">
        <v>45027.16</v>
      </c>
      <c r="BF12" s="1422">
        <v>0</v>
      </c>
      <c r="BG12" s="1422">
        <v>40050</v>
      </c>
      <c r="BH12" s="1422">
        <v>40050</v>
      </c>
      <c r="BI12" s="1422">
        <v>301475</v>
      </c>
      <c r="BJ12" s="1422">
        <v>301475</v>
      </c>
      <c r="BK12" s="1422">
        <v>202756</v>
      </c>
      <c r="BL12" s="1422">
        <v>202756</v>
      </c>
      <c r="BM12" s="1422">
        <v>1871534</v>
      </c>
      <c r="BN12" s="1422">
        <v>1960055</v>
      </c>
      <c r="BO12" s="1420">
        <v>617991.98</v>
      </c>
      <c r="BP12" s="1422">
        <v>551064</v>
      </c>
      <c r="BQ12" s="1420">
        <v>145602.82</v>
      </c>
      <c r="BR12" s="1420">
        <v>282283.5</v>
      </c>
      <c r="BS12" s="1420">
        <v>33852.74</v>
      </c>
      <c r="BT12" s="1422">
        <v>33853</v>
      </c>
      <c r="BU12" s="1422">
        <v>0</v>
      </c>
      <c r="BV12" s="1422">
        <v>0</v>
      </c>
      <c r="BW12" s="1422">
        <v>1208987</v>
      </c>
      <c r="BX12" s="1422">
        <v>1264868</v>
      </c>
      <c r="BY12" s="1422">
        <v>0</v>
      </c>
      <c r="BZ12" s="1422">
        <v>0</v>
      </c>
      <c r="CA12" s="1420">
        <v>36278.480000000003</v>
      </c>
      <c r="CB12" s="1422">
        <v>25582</v>
      </c>
      <c r="CC12" s="1420">
        <v>5042743.18</v>
      </c>
      <c r="CD12" s="1420">
        <v>5235863.5</v>
      </c>
      <c r="CE12" s="1420">
        <v>10734538.380000001</v>
      </c>
      <c r="CF12" s="1420">
        <v>7081252.7300000004</v>
      </c>
      <c r="CG12" s="1420">
        <v>33471409.899999999</v>
      </c>
      <c r="CH12" s="1422">
        <v>27000000</v>
      </c>
      <c r="CI12" s="1422">
        <v>0</v>
      </c>
      <c r="CJ12" s="1422">
        <v>0</v>
      </c>
      <c r="CK12" s="1422">
        <v>0</v>
      </c>
      <c r="CL12" s="1422">
        <v>0</v>
      </c>
      <c r="CM12" s="1420">
        <v>9032.1299999999992</v>
      </c>
      <c r="CN12" s="1422">
        <v>0</v>
      </c>
      <c r="CO12" s="1422">
        <v>0</v>
      </c>
      <c r="CP12" s="1422">
        <v>0</v>
      </c>
      <c r="CQ12" s="1422">
        <v>0</v>
      </c>
      <c r="CR12" s="1422">
        <v>0</v>
      </c>
      <c r="CS12" s="1420">
        <v>33480442.030000001</v>
      </c>
      <c r="CT12" s="1422">
        <v>27000000</v>
      </c>
      <c r="CU12" s="1420">
        <v>163206228.97</v>
      </c>
      <c r="CV12" s="1420">
        <v>157219356.22999999</v>
      </c>
      <c r="CW12" s="1420">
        <v>50863495.82</v>
      </c>
      <c r="CX12" s="1420">
        <v>51294119.439999998</v>
      </c>
      <c r="CY12" s="1420">
        <v>8660224.5299999993</v>
      </c>
      <c r="CZ12" s="1420">
        <v>7904184.7400000002</v>
      </c>
      <c r="DA12" s="1420">
        <v>1912211.94</v>
      </c>
      <c r="DB12" s="1420">
        <v>1833342.31</v>
      </c>
      <c r="DC12" s="1422">
        <v>0</v>
      </c>
      <c r="DD12" s="1422">
        <v>0</v>
      </c>
      <c r="DE12" s="1420">
        <v>2861359.05</v>
      </c>
      <c r="DF12" s="1420">
        <v>2560901.2999999998</v>
      </c>
      <c r="DG12" s="1420">
        <v>4978868.41</v>
      </c>
      <c r="DH12" s="1420">
        <v>4602339.57</v>
      </c>
      <c r="DI12" s="1420">
        <v>69276159.75</v>
      </c>
      <c r="DJ12" s="1420">
        <v>68194887.359999999</v>
      </c>
      <c r="DK12" s="1420">
        <v>1857290.22</v>
      </c>
      <c r="DL12" s="1420">
        <v>1404843.86</v>
      </c>
      <c r="DM12" s="1420">
        <v>4546387.26</v>
      </c>
      <c r="DN12" s="1420">
        <v>5554978.5599999996</v>
      </c>
      <c r="DO12" s="1420">
        <v>9918873.1400000006</v>
      </c>
      <c r="DP12" s="1420">
        <v>9715596.7699999996</v>
      </c>
      <c r="DQ12" s="1420">
        <v>5634125.0999999996</v>
      </c>
      <c r="DR12" s="1420">
        <v>5829362.0800000001</v>
      </c>
      <c r="DS12" s="1422">
        <v>0</v>
      </c>
      <c r="DT12" s="1422">
        <v>0</v>
      </c>
      <c r="DU12" s="1420">
        <v>21956675.719999999</v>
      </c>
      <c r="DV12" s="1420">
        <v>22504781.27</v>
      </c>
      <c r="DW12" s="1420">
        <v>7430980.4299999997</v>
      </c>
      <c r="DX12" s="1420">
        <v>7485235.46</v>
      </c>
      <c r="DY12" s="1420">
        <v>4958819.42</v>
      </c>
      <c r="DZ12" s="1420">
        <v>5039621.8099999996</v>
      </c>
      <c r="EA12" s="1420">
        <v>6464571.4100000001</v>
      </c>
      <c r="EB12" s="1420">
        <v>6360401.8899999997</v>
      </c>
      <c r="EC12" s="1420">
        <v>18854371.260000002</v>
      </c>
      <c r="ED12" s="1420">
        <v>18885259.16</v>
      </c>
      <c r="EE12" s="1420">
        <v>5014513.3899999997</v>
      </c>
      <c r="EF12" s="1420">
        <v>5415090.1399999997</v>
      </c>
      <c r="EG12" s="1422">
        <v>0</v>
      </c>
      <c r="EH12" s="1422">
        <v>0</v>
      </c>
      <c r="EI12" s="1420">
        <v>2308655.9700000002</v>
      </c>
      <c r="EJ12" s="1420">
        <v>2539030.0699999998</v>
      </c>
      <c r="EK12" s="1422">
        <v>0</v>
      </c>
      <c r="EL12" s="1422">
        <v>0</v>
      </c>
      <c r="EM12" s="1420">
        <v>7323169.3600000003</v>
      </c>
      <c r="EN12" s="1420">
        <v>7954120.21</v>
      </c>
      <c r="EO12" s="1420">
        <v>4690159.72</v>
      </c>
      <c r="EP12" s="1422">
        <v>27492761</v>
      </c>
      <c r="EQ12" s="1420">
        <v>9818498.0600000005</v>
      </c>
      <c r="ER12" s="1420">
        <v>14637111.26</v>
      </c>
      <c r="ES12" s="1420">
        <v>39978.44</v>
      </c>
      <c r="ET12" s="1422">
        <v>0</v>
      </c>
      <c r="EU12" s="1420">
        <v>131959012.31</v>
      </c>
      <c r="EV12" s="1420">
        <v>159668920.25999999</v>
      </c>
      <c r="EW12" s="1420">
        <v>5990653.1299999999</v>
      </c>
      <c r="EX12" s="1420">
        <v>28294899.539999999</v>
      </c>
      <c r="EY12" s="1420">
        <v>9818498.0600000005</v>
      </c>
      <c r="EZ12" s="1420">
        <v>14637111.26</v>
      </c>
      <c r="FA12" s="1420">
        <v>116149861.12</v>
      </c>
      <c r="FB12" s="1420">
        <v>116736909.45999999</v>
      </c>
      <c r="FC12" s="1420">
        <v>8342091.5899999999</v>
      </c>
      <c r="FD12" s="1439"/>
      <c r="FE12" s="1420">
        <v>107807769.53</v>
      </c>
      <c r="FF12" s="1439"/>
      <c r="FG12" s="1422">
        <v>8427</v>
      </c>
      <c r="FH12" s="1439"/>
      <c r="FI12" s="1420">
        <v>894.33</v>
      </c>
      <c r="FJ12" s="1439"/>
      <c r="FK12" s="1422">
        <v>53594</v>
      </c>
      <c r="FL12" s="1439"/>
      <c r="FM12" s="1420">
        <v>944.02</v>
      </c>
      <c r="FN12" s="1439"/>
      <c r="FO12" s="1422">
        <v>55499</v>
      </c>
      <c r="FP12" s="1439"/>
      <c r="FQ12" s="1420">
        <v>17567996.859999999</v>
      </c>
      <c r="FR12" s="1439"/>
      <c r="FS12" s="1420">
        <v>914478.3</v>
      </c>
      <c r="FT12" s="1439"/>
      <c r="FU12" s="1422">
        <v>0</v>
      </c>
      <c r="FV12" s="1439"/>
      <c r="FW12" s="1420">
        <v>16653518.560000001</v>
      </c>
      <c r="FX12" s="1439"/>
      <c r="FY12" s="1420">
        <v>35614731.380000003</v>
      </c>
      <c r="FZ12" s="1439"/>
      <c r="GA12" s="1420">
        <v>886461.43999999994</v>
      </c>
      <c r="GB12" s="1439"/>
    </row>
    <row r="13" spans="1:184" ht="12.75" customHeight="1" thickBot="1">
      <c r="A13" s="1418" t="s">
        <v>601</v>
      </c>
      <c r="B13" s="1418" t="s">
        <v>602</v>
      </c>
      <c r="C13" s="1420">
        <v>49.71</v>
      </c>
      <c r="D13" s="1439"/>
      <c r="E13" s="1420">
        <v>471.72</v>
      </c>
      <c r="F13" s="1439"/>
      <c r="G13" s="1421">
        <v>-0.12</v>
      </c>
      <c r="H13" s="1439"/>
      <c r="I13" s="1420">
        <v>485.92</v>
      </c>
      <c r="J13" s="1439"/>
      <c r="K13" s="1420">
        <v>483.88</v>
      </c>
      <c r="L13" s="1439"/>
      <c r="M13" s="1422">
        <v>46396370</v>
      </c>
      <c r="N13" s="1439"/>
      <c r="O13" s="1422">
        <v>25</v>
      </c>
      <c r="P13" s="1439"/>
      <c r="Q13" s="1422">
        <v>25</v>
      </c>
      <c r="R13" s="1439"/>
      <c r="S13" s="1422">
        <v>0</v>
      </c>
      <c r="T13" s="1439"/>
      <c r="U13" s="1422">
        <v>0</v>
      </c>
      <c r="V13" s="1439"/>
      <c r="W13" s="1420">
        <v>14.9</v>
      </c>
      <c r="X13" s="1439"/>
      <c r="Y13" s="1420">
        <v>39.9</v>
      </c>
      <c r="Z13" s="1439"/>
      <c r="AA13" s="1420">
        <v>5580662.6600000001</v>
      </c>
      <c r="AB13" s="1455"/>
      <c r="AC13" s="1424">
        <v>1722893.07</v>
      </c>
      <c r="AD13" s="1422">
        <v>1783382</v>
      </c>
      <c r="AE13" s="1420">
        <v>249297.95</v>
      </c>
      <c r="AF13" s="1422">
        <v>207780</v>
      </c>
      <c r="AG13" s="1422">
        <v>0</v>
      </c>
      <c r="AH13" s="1456">
        <v>0</v>
      </c>
      <c r="AI13" s="1428">
        <v>1840963</v>
      </c>
      <c r="AJ13" s="1422">
        <v>1872682</v>
      </c>
      <c r="AK13" s="1422">
        <v>0</v>
      </c>
      <c r="AL13" s="1422">
        <v>0</v>
      </c>
      <c r="AM13" s="1422">
        <v>0</v>
      </c>
      <c r="AN13" s="1422">
        <v>0</v>
      </c>
      <c r="AO13" s="1422">
        <v>81551</v>
      </c>
      <c r="AP13" s="1422">
        <v>0</v>
      </c>
      <c r="AQ13" s="1422">
        <v>0</v>
      </c>
      <c r="AR13" s="1422">
        <v>0</v>
      </c>
      <c r="AS13" s="1422">
        <v>0</v>
      </c>
      <c r="AT13" s="1422">
        <v>0</v>
      </c>
      <c r="AU13" s="1422">
        <v>0</v>
      </c>
      <c r="AV13" s="1422">
        <v>0</v>
      </c>
      <c r="AW13" s="1422">
        <v>0</v>
      </c>
      <c r="AX13" s="1422">
        <v>0</v>
      </c>
      <c r="AY13" s="1420">
        <v>3894705.02</v>
      </c>
      <c r="AZ13" s="1422">
        <v>3863844</v>
      </c>
      <c r="BA13" s="1422">
        <v>0</v>
      </c>
      <c r="BB13" s="1422">
        <v>0</v>
      </c>
      <c r="BC13" s="1422">
        <v>20013</v>
      </c>
      <c r="BD13" s="1422">
        <v>20758</v>
      </c>
      <c r="BE13" s="1420">
        <v>1634.58</v>
      </c>
      <c r="BF13" s="1422">
        <v>10800</v>
      </c>
      <c r="BG13" s="1422">
        <v>50</v>
      </c>
      <c r="BH13" s="1422">
        <v>0</v>
      </c>
      <c r="BI13" s="1422">
        <v>22712</v>
      </c>
      <c r="BJ13" s="1422">
        <v>41450</v>
      </c>
      <c r="BK13" s="1422">
        <v>44243</v>
      </c>
      <c r="BL13" s="1422">
        <v>45149</v>
      </c>
      <c r="BM13" s="1422">
        <v>371008</v>
      </c>
      <c r="BN13" s="1422">
        <v>392656</v>
      </c>
      <c r="BO13" s="1420">
        <v>70152.259999999995</v>
      </c>
      <c r="BP13" s="1420">
        <v>86686.67</v>
      </c>
      <c r="BQ13" s="1420">
        <v>3791.76</v>
      </c>
      <c r="BR13" s="1422">
        <v>0</v>
      </c>
      <c r="BS13" s="1420">
        <v>2079.75</v>
      </c>
      <c r="BT13" s="1422">
        <v>2080</v>
      </c>
      <c r="BU13" s="1422">
        <v>0</v>
      </c>
      <c r="BV13" s="1422">
        <v>0</v>
      </c>
      <c r="BW13" s="1422">
        <v>158342</v>
      </c>
      <c r="BX13" s="1420">
        <v>154478.32</v>
      </c>
      <c r="BY13" s="1422">
        <v>0</v>
      </c>
      <c r="BZ13" s="1422">
        <v>0</v>
      </c>
      <c r="CA13" s="1422">
        <v>10825</v>
      </c>
      <c r="CB13" s="1422">
        <v>9516</v>
      </c>
      <c r="CC13" s="1420">
        <v>704851.35</v>
      </c>
      <c r="CD13" s="1420">
        <v>763573.99</v>
      </c>
      <c r="CE13" s="1420">
        <v>810364.51</v>
      </c>
      <c r="CF13" s="1420">
        <v>686730.49</v>
      </c>
      <c r="CG13" s="1420">
        <v>15352.57</v>
      </c>
      <c r="CH13" s="1422">
        <v>0</v>
      </c>
      <c r="CI13" s="1422">
        <v>0</v>
      </c>
      <c r="CJ13" s="1422">
        <v>0</v>
      </c>
      <c r="CK13" s="1422">
        <v>0</v>
      </c>
      <c r="CL13" s="1422">
        <v>0</v>
      </c>
      <c r="CM13" s="1422">
        <v>0</v>
      </c>
      <c r="CN13" s="1422">
        <v>0</v>
      </c>
      <c r="CO13" s="1422">
        <v>0</v>
      </c>
      <c r="CP13" s="1422">
        <v>0</v>
      </c>
      <c r="CQ13" s="1422">
        <v>0</v>
      </c>
      <c r="CR13" s="1422">
        <v>0</v>
      </c>
      <c r="CS13" s="1420">
        <v>15352.57</v>
      </c>
      <c r="CT13" s="1422">
        <v>0</v>
      </c>
      <c r="CU13" s="1420">
        <v>5425273.4500000002</v>
      </c>
      <c r="CV13" s="1420">
        <v>5314148.4800000004</v>
      </c>
      <c r="CW13" s="1420">
        <v>1744170.65</v>
      </c>
      <c r="CX13" s="1420">
        <v>1843578.81</v>
      </c>
      <c r="CY13" s="1420">
        <v>268975.15999999997</v>
      </c>
      <c r="CZ13" s="1420">
        <v>310088.13</v>
      </c>
      <c r="DA13" s="1420">
        <v>166401.97</v>
      </c>
      <c r="DB13" s="1420">
        <v>169571.5</v>
      </c>
      <c r="DC13" s="1422">
        <v>0</v>
      </c>
      <c r="DD13" s="1422">
        <v>0</v>
      </c>
      <c r="DE13" s="1420">
        <v>105986.04</v>
      </c>
      <c r="DF13" s="1420">
        <v>86685.96</v>
      </c>
      <c r="DG13" s="1420">
        <v>307636.89</v>
      </c>
      <c r="DH13" s="1420">
        <v>305308.76</v>
      </c>
      <c r="DI13" s="1420">
        <v>2593170.71</v>
      </c>
      <c r="DJ13" s="1420">
        <v>2715233.16</v>
      </c>
      <c r="DK13" s="1420">
        <v>176020.99</v>
      </c>
      <c r="DL13" s="1420">
        <v>193531.4</v>
      </c>
      <c r="DM13" s="1420">
        <v>127923.53</v>
      </c>
      <c r="DN13" s="1420">
        <v>100085.26</v>
      </c>
      <c r="DO13" s="1420">
        <v>569898.78</v>
      </c>
      <c r="DP13" s="1420">
        <v>499486.36</v>
      </c>
      <c r="DQ13" s="1420">
        <v>197036.86</v>
      </c>
      <c r="DR13" s="1420">
        <v>184807.83</v>
      </c>
      <c r="DS13" s="1420">
        <v>5046.6000000000004</v>
      </c>
      <c r="DT13" s="1422">
        <v>2600</v>
      </c>
      <c r="DU13" s="1420">
        <v>1075926.76</v>
      </c>
      <c r="DV13" s="1420">
        <v>980510.85</v>
      </c>
      <c r="DW13" s="1420">
        <v>256633.15</v>
      </c>
      <c r="DX13" s="1420">
        <v>271192.23</v>
      </c>
      <c r="DY13" s="1420">
        <v>384903.83</v>
      </c>
      <c r="DZ13" s="1420">
        <v>459012.01</v>
      </c>
      <c r="EA13" s="1420">
        <v>238976.33</v>
      </c>
      <c r="EB13" s="1420">
        <v>237241.21</v>
      </c>
      <c r="EC13" s="1420">
        <v>880513.31</v>
      </c>
      <c r="ED13" s="1420">
        <v>967445.45</v>
      </c>
      <c r="EE13" s="1420">
        <v>334384.57</v>
      </c>
      <c r="EF13" s="1420">
        <v>294470.02</v>
      </c>
      <c r="EG13" s="1422">
        <v>0</v>
      </c>
      <c r="EH13" s="1422">
        <v>0</v>
      </c>
      <c r="EI13" s="1420">
        <v>56.97</v>
      </c>
      <c r="EJ13" s="1422">
        <v>0</v>
      </c>
      <c r="EK13" s="1422">
        <v>0</v>
      </c>
      <c r="EL13" s="1422">
        <v>0</v>
      </c>
      <c r="EM13" s="1420">
        <v>334441.53999999998</v>
      </c>
      <c r="EN13" s="1420">
        <v>294470.02</v>
      </c>
      <c r="EO13" s="1422">
        <v>0</v>
      </c>
      <c r="EP13" s="1422">
        <v>0</v>
      </c>
      <c r="EQ13" s="1420">
        <v>445383.73</v>
      </c>
      <c r="ER13" s="1422">
        <v>488352</v>
      </c>
      <c r="ES13" s="1422">
        <v>0</v>
      </c>
      <c r="ET13" s="1422">
        <v>0</v>
      </c>
      <c r="EU13" s="1420">
        <v>5329436.05</v>
      </c>
      <c r="EV13" s="1420">
        <v>5446011.4800000004</v>
      </c>
      <c r="EW13" s="1422">
        <v>34070</v>
      </c>
      <c r="EX13" s="1420">
        <v>20886.689999999999</v>
      </c>
      <c r="EY13" s="1420">
        <v>445383.73</v>
      </c>
      <c r="EZ13" s="1422">
        <v>488352</v>
      </c>
      <c r="FA13" s="1420">
        <v>4849982.32</v>
      </c>
      <c r="FB13" s="1420">
        <v>4936772.79</v>
      </c>
      <c r="FC13" s="1420">
        <v>282742.81</v>
      </c>
      <c r="FD13" s="1439"/>
      <c r="FE13" s="1420">
        <v>4567239.51</v>
      </c>
      <c r="FF13" s="1439"/>
      <c r="FG13" s="1422">
        <v>9682</v>
      </c>
      <c r="FH13" s="1439"/>
      <c r="FI13" s="1420">
        <v>39.25</v>
      </c>
      <c r="FJ13" s="1439"/>
      <c r="FK13" s="1422">
        <v>38746</v>
      </c>
      <c r="FL13" s="1439"/>
      <c r="FM13" s="1420">
        <v>43.36</v>
      </c>
      <c r="FN13" s="1439"/>
      <c r="FO13" s="1422">
        <v>40900</v>
      </c>
      <c r="FP13" s="1439"/>
      <c r="FQ13" s="1420">
        <v>846553.82</v>
      </c>
      <c r="FR13" s="1439"/>
      <c r="FS13" s="1420">
        <v>96776.82</v>
      </c>
      <c r="FT13" s="1439"/>
      <c r="FU13" s="1422">
        <v>0</v>
      </c>
      <c r="FV13" s="1439"/>
      <c r="FW13" s="1422">
        <v>749777</v>
      </c>
      <c r="FX13" s="1439"/>
      <c r="FY13" s="1420">
        <v>111028.29</v>
      </c>
      <c r="FZ13" s="1439"/>
      <c r="GA13" s="1422">
        <v>0</v>
      </c>
      <c r="GB13" s="1439"/>
    </row>
    <row r="14" spans="1:184" ht="12.75" customHeight="1" thickBot="1">
      <c r="A14" s="1418" t="s">
        <v>603</v>
      </c>
      <c r="B14" s="1418" t="s">
        <v>604</v>
      </c>
      <c r="C14" s="1420">
        <v>86.69</v>
      </c>
      <c r="D14" s="1439"/>
      <c r="E14" s="1420">
        <v>1344.4</v>
      </c>
      <c r="F14" s="1439"/>
      <c r="G14" s="1421">
        <v>-0.03</v>
      </c>
      <c r="H14" s="1439"/>
      <c r="I14" s="1420">
        <v>1418.06</v>
      </c>
      <c r="J14" s="1439"/>
      <c r="K14" s="1420">
        <v>1437.15</v>
      </c>
      <c r="L14" s="1439"/>
      <c r="M14" s="1422">
        <v>146063950</v>
      </c>
      <c r="N14" s="1439"/>
      <c r="O14" s="1422">
        <v>28</v>
      </c>
      <c r="P14" s="1439"/>
      <c r="Q14" s="1422">
        <v>25</v>
      </c>
      <c r="R14" s="1439"/>
      <c r="S14" s="1422">
        <v>3</v>
      </c>
      <c r="T14" s="1439"/>
      <c r="U14" s="1422">
        <v>0</v>
      </c>
      <c r="V14" s="1439"/>
      <c r="W14" s="1420">
        <v>14.9</v>
      </c>
      <c r="X14" s="1439"/>
      <c r="Y14" s="1420">
        <v>42.9</v>
      </c>
      <c r="Z14" s="1439"/>
      <c r="AA14" s="1422">
        <v>11895000</v>
      </c>
      <c r="AB14" s="1455"/>
      <c r="AC14" s="1424">
        <v>6035564.9800000004</v>
      </c>
      <c r="AD14" s="1422">
        <v>6012916</v>
      </c>
      <c r="AE14" s="1420">
        <v>919417.87</v>
      </c>
      <c r="AF14" s="1422">
        <v>866211</v>
      </c>
      <c r="AG14" s="1422">
        <v>0</v>
      </c>
      <c r="AH14" s="1456">
        <v>0</v>
      </c>
      <c r="AI14" s="1428">
        <v>5129371</v>
      </c>
      <c r="AJ14" s="1422">
        <v>5161580</v>
      </c>
      <c r="AK14" s="1422">
        <v>62387</v>
      </c>
      <c r="AL14" s="1422">
        <v>0</v>
      </c>
      <c r="AM14" s="1422">
        <v>72011</v>
      </c>
      <c r="AN14" s="1422">
        <v>0</v>
      </c>
      <c r="AO14" s="1422">
        <v>0</v>
      </c>
      <c r="AP14" s="1422">
        <v>0</v>
      </c>
      <c r="AQ14" s="1422">
        <v>0</v>
      </c>
      <c r="AR14" s="1422">
        <v>0</v>
      </c>
      <c r="AS14" s="1422">
        <v>0</v>
      </c>
      <c r="AT14" s="1422">
        <v>0</v>
      </c>
      <c r="AU14" s="1422">
        <v>0</v>
      </c>
      <c r="AV14" s="1422">
        <v>0</v>
      </c>
      <c r="AW14" s="1422">
        <v>0</v>
      </c>
      <c r="AX14" s="1422">
        <v>0</v>
      </c>
      <c r="AY14" s="1420">
        <v>12218751.85</v>
      </c>
      <c r="AZ14" s="1422">
        <v>12040707</v>
      </c>
      <c r="BA14" s="1420">
        <v>4408.45</v>
      </c>
      <c r="BB14" s="1422">
        <v>0</v>
      </c>
      <c r="BC14" s="1422">
        <v>59441</v>
      </c>
      <c r="BD14" s="1420">
        <v>94232.92</v>
      </c>
      <c r="BE14" s="1420">
        <v>6447.3</v>
      </c>
      <c r="BF14" s="1422">
        <v>0</v>
      </c>
      <c r="BG14" s="1422">
        <v>1050</v>
      </c>
      <c r="BH14" s="1422">
        <v>0</v>
      </c>
      <c r="BI14" s="1422">
        <v>52982</v>
      </c>
      <c r="BJ14" s="1420">
        <v>63572.3</v>
      </c>
      <c r="BK14" s="1422">
        <v>45415</v>
      </c>
      <c r="BL14" s="1422">
        <v>45415</v>
      </c>
      <c r="BM14" s="1422">
        <v>434992</v>
      </c>
      <c r="BN14" s="1420">
        <v>494042.81</v>
      </c>
      <c r="BO14" s="1420">
        <v>107310.86</v>
      </c>
      <c r="BP14" s="1422">
        <v>50854</v>
      </c>
      <c r="BQ14" s="1422">
        <v>0</v>
      </c>
      <c r="BR14" s="1422">
        <v>0</v>
      </c>
      <c r="BS14" s="1420">
        <v>4695.5600000000004</v>
      </c>
      <c r="BT14" s="1422">
        <v>5000</v>
      </c>
      <c r="BU14" s="1422">
        <v>0</v>
      </c>
      <c r="BV14" s="1422">
        <v>0</v>
      </c>
      <c r="BW14" s="1422">
        <v>0</v>
      </c>
      <c r="BX14" s="1422">
        <v>0</v>
      </c>
      <c r="BY14" s="1422">
        <v>0</v>
      </c>
      <c r="BZ14" s="1422">
        <v>0</v>
      </c>
      <c r="CA14" s="1420">
        <v>155244.79999999999</v>
      </c>
      <c r="CB14" s="1422">
        <v>62726</v>
      </c>
      <c r="CC14" s="1420">
        <v>871986.97</v>
      </c>
      <c r="CD14" s="1420">
        <v>815843.03</v>
      </c>
      <c r="CE14" s="1420">
        <v>1922784.55</v>
      </c>
      <c r="CF14" s="1420">
        <v>1428325.21</v>
      </c>
      <c r="CG14" s="1422">
        <v>1470000</v>
      </c>
      <c r="CH14" s="1422">
        <v>0</v>
      </c>
      <c r="CI14" s="1422">
        <v>0</v>
      </c>
      <c r="CJ14" s="1422">
        <v>0</v>
      </c>
      <c r="CK14" s="1422">
        <v>0</v>
      </c>
      <c r="CL14" s="1422">
        <v>0</v>
      </c>
      <c r="CM14" s="1422">
        <v>0</v>
      </c>
      <c r="CN14" s="1422">
        <v>0</v>
      </c>
      <c r="CO14" s="1422">
        <v>0</v>
      </c>
      <c r="CP14" s="1422">
        <v>0</v>
      </c>
      <c r="CQ14" s="1422">
        <v>0</v>
      </c>
      <c r="CR14" s="1422">
        <v>0</v>
      </c>
      <c r="CS14" s="1422">
        <v>1470000</v>
      </c>
      <c r="CT14" s="1422">
        <v>0</v>
      </c>
      <c r="CU14" s="1420">
        <v>16483523.369999999</v>
      </c>
      <c r="CV14" s="1420">
        <v>14284875.24</v>
      </c>
      <c r="CW14" s="1420">
        <v>5396537.9400000004</v>
      </c>
      <c r="CX14" s="1420">
        <v>5459329.0700000003</v>
      </c>
      <c r="CY14" s="1420">
        <v>1080444.8700000001</v>
      </c>
      <c r="CZ14" s="1420">
        <v>1068092.02</v>
      </c>
      <c r="DA14" s="1420">
        <v>400029.11</v>
      </c>
      <c r="DB14" s="1420">
        <v>389751.15</v>
      </c>
      <c r="DC14" s="1422">
        <v>0</v>
      </c>
      <c r="DD14" s="1422">
        <v>0</v>
      </c>
      <c r="DE14" s="1420">
        <v>258525.71</v>
      </c>
      <c r="DF14" s="1420">
        <v>249845.65</v>
      </c>
      <c r="DG14" s="1420">
        <v>241894.49</v>
      </c>
      <c r="DH14" s="1420">
        <v>245210.2</v>
      </c>
      <c r="DI14" s="1420">
        <v>7377432.1200000001</v>
      </c>
      <c r="DJ14" s="1420">
        <v>7412228.0899999999</v>
      </c>
      <c r="DK14" s="1420">
        <v>159521.60000000001</v>
      </c>
      <c r="DL14" s="1420">
        <v>199137.88</v>
      </c>
      <c r="DM14" s="1420">
        <v>514170.81</v>
      </c>
      <c r="DN14" s="1420">
        <v>530204.69999999995</v>
      </c>
      <c r="DO14" s="1420">
        <v>1328820.19</v>
      </c>
      <c r="DP14" s="1420">
        <v>1434125.03</v>
      </c>
      <c r="DQ14" s="1420">
        <v>821006.12</v>
      </c>
      <c r="DR14" s="1420">
        <v>684383.82</v>
      </c>
      <c r="DS14" s="1420">
        <v>50806.58</v>
      </c>
      <c r="DT14" s="1422">
        <v>15000</v>
      </c>
      <c r="DU14" s="1420">
        <v>2874325.3</v>
      </c>
      <c r="DV14" s="1420">
        <v>2862851.43</v>
      </c>
      <c r="DW14" s="1420">
        <v>611473.06999999995</v>
      </c>
      <c r="DX14" s="1420">
        <v>637438.03</v>
      </c>
      <c r="DY14" s="1420">
        <v>743977.68</v>
      </c>
      <c r="DZ14" s="1420">
        <v>851390.26</v>
      </c>
      <c r="EA14" s="1420">
        <v>633534.18000000005</v>
      </c>
      <c r="EB14" s="1420">
        <v>655789.71</v>
      </c>
      <c r="EC14" s="1420">
        <v>1988984.93</v>
      </c>
      <c r="ED14" s="1422">
        <v>2144618</v>
      </c>
      <c r="EE14" s="1420">
        <v>680531.12</v>
      </c>
      <c r="EF14" s="1420">
        <v>690493.37</v>
      </c>
      <c r="EG14" s="1422">
        <v>0</v>
      </c>
      <c r="EH14" s="1422">
        <v>0</v>
      </c>
      <c r="EI14" s="1420">
        <v>644.17999999999995</v>
      </c>
      <c r="EJ14" s="1420">
        <v>2999.84</v>
      </c>
      <c r="EK14" s="1422">
        <v>0</v>
      </c>
      <c r="EL14" s="1422">
        <v>0</v>
      </c>
      <c r="EM14" s="1420">
        <v>681175.3</v>
      </c>
      <c r="EN14" s="1420">
        <v>693493.21</v>
      </c>
      <c r="EO14" s="1420">
        <v>486841.18</v>
      </c>
      <c r="EP14" s="1422">
        <v>1049766</v>
      </c>
      <c r="EQ14" s="1420">
        <v>884769.57</v>
      </c>
      <c r="ER14" s="1422">
        <v>980000</v>
      </c>
      <c r="ES14" s="1422">
        <v>54916</v>
      </c>
      <c r="ET14" s="1422">
        <v>0</v>
      </c>
      <c r="EU14" s="1420">
        <v>14348444.4</v>
      </c>
      <c r="EV14" s="1420">
        <v>15142956.73</v>
      </c>
      <c r="EW14" s="1420">
        <v>822593.45</v>
      </c>
      <c r="EX14" s="1420">
        <v>1192637.4099999999</v>
      </c>
      <c r="EY14" s="1420">
        <v>884769.57</v>
      </c>
      <c r="EZ14" s="1422">
        <v>980000</v>
      </c>
      <c r="FA14" s="1420">
        <v>12641081.380000001</v>
      </c>
      <c r="FB14" s="1420">
        <v>12970319.32</v>
      </c>
      <c r="FC14" s="1420">
        <v>806879.8</v>
      </c>
      <c r="FD14" s="1439"/>
      <c r="FE14" s="1420">
        <v>11834201.58</v>
      </c>
      <c r="FF14" s="1439"/>
      <c r="FG14" s="1422">
        <v>8802</v>
      </c>
      <c r="FH14" s="1439"/>
      <c r="FI14" s="1420">
        <v>103.63</v>
      </c>
      <c r="FJ14" s="1439"/>
      <c r="FK14" s="1422">
        <v>46280</v>
      </c>
      <c r="FL14" s="1439"/>
      <c r="FM14" s="1420">
        <v>113.14</v>
      </c>
      <c r="FN14" s="1439"/>
      <c r="FO14" s="1422">
        <v>48856</v>
      </c>
      <c r="FP14" s="1439"/>
      <c r="FQ14" s="1420">
        <v>1609278.69</v>
      </c>
      <c r="FR14" s="1439"/>
      <c r="FS14" s="1420">
        <v>77612.03</v>
      </c>
      <c r="FT14" s="1439"/>
      <c r="FU14" s="1422">
        <v>0</v>
      </c>
      <c r="FV14" s="1439"/>
      <c r="FW14" s="1420">
        <v>1531666.66</v>
      </c>
      <c r="FX14" s="1439"/>
      <c r="FY14" s="1420">
        <v>3612282.24</v>
      </c>
      <c r="FZ14" s="1439"/>
      <c r="GA14" s="1422">
        <v>0</v>
      </c>
      <c r="GB14" s="1439"/>
    </row>
    <row r="15" spans="1:184" ht="12.75" customHeight="1" thickBot="1">
      <c r="A15" s="1418" t="s">
        <v>605</v>
      </c>
      <c r="B15" s="1418" t="s">
        <v>606</v>
      </c>
      <c r="C15" s="1420">
        <v>150.77000000000001</v>
      </c>
      <c r="D15" s="1439"/>
      <c r="E15" s="1420">
        <v>1674.96</v>
      </c>
      <c r="F15" s="1439"/>
      <c r="G15" s="1421">
        <v>0.09</v>
      </c>
      <c r="H15" s="1439"/>
      <c r="I15" s="1420">
        <v>1761.54</v>
      </c>
      <c r="J15" s="1439"/>
      <c r="K15" s="1420">
        <v>1749.81</v>
      </c>
      <c r="L15" s="1439"/>
      <c r="M15" s="1422">
        <v>267875810</v>
      </c>
      <c r="N15" s="1439"/>
      <c r="O15" s="1420">
        <v>25.8</v>
      </c>
      <c r="P15" s="1439"/>
      <c r="Q15" s="1422">
        <v>25</v>
      </c>
      <c r="R15" s="1439"/>
      <c r="S15" s="1420">
        <v>0.8</v>
      </c>
      <c r="T15" s="1439"/>
      <c r="U15" s="1422">
        <v>0</v>
      </c>
      <c r="V15" s="1439"/>
      <c r="W15" s="1420">
        <v>11.4</v>
      </c>
      <c r="X15" s="1439"/>
      <c r="Y15" s="1420">
        <v>37.200000000000003</v>
      </c>
      <c r="Z15" s="1439"/>
      <c r="AA15" s="1422">
        <v>30415000</v>
      </c>
      <c r="AB15" s="1455"/>
      <c r="AC15" s="1424">
        <v>9458983.1300000008</v>
      </c>
      <c r="AD15" s="1422">
        <v>9688365</v>
      </c>
      <c r="AE15" s="1420">
        <v>862182.64</v>
      </c>
      <c r="AF15" s="1422">
        <v>178865</v>
      </c>
      <c r="AG15" s="1420">
        <v>12788.21</v>
      </c>
      <c r="AH15" s="1456">
        <v>0</v>
      </c>
      <c r="AI15" s="1428">
        <v>4128306</v>
      </c>
      <c r="AJ15" s="1422">
        <v>4313274</v>
      </c>
      <c r="AK15" s="1422">
        <v>8638</v>
      </c>
      <c r="AL15" s="1422">
        <v>0</v>
      </c>
      <c r="AM15" s="1422">
        <v>95361</v>
      </c>
      <c r="AN15" s="1422">
        <v>0</v>
      </c>
      <c r="AO15" s="1422">
        <v>0</v>
      </c>
      <c r="AP15" s="1422">
        <v>0</v>
      </c>
      <c r="AQ15" s="1422">
        <v>0</v>
      </c>
      <c r="AR15" s="1422">
        <v>0</v>
      </c>
      <c r="AS15" s="1422">
        <v>0</v>
      </c>
      <c r="AT15" s="1422">
        <v>0</v>
      </c>
      <c r="AU15" s="1422">
        <v>0</v>
      </c>
      <c r="AV15" s="1422">
        <v>0</v>
      </c>
      <c r="AW15" s="1420">
        <v>15149.51</v>
      </c>
      <c r="AX15" s="1422">
        <v>5000</v>
      </c>
      <c r="AY15" s="1420">
        <v>14581408.49</v>
      </c>
      <c r="AZ15" s="1422">
        <v>14185504</v>
      </c>
      <c r="BA15" s="1422">
        <v>0</v>
      </c>
      <c r="BB15" s="1422">
        <v>0</v>
      </c>
      <c r="BC15" s="1422">
        <v>72372</v>
      </c>
      <c r="BD15" s="1422">
        <v>75022</v>
      </c>
      <c r="BE15" s="1422">
        <v>9800</v>
      </c>
      <c r="BF15" s="1422">
        <v>7200</v>
      </c>
      <c r="BG15" s="1422">
        <v>1400</v>
      </c>
      <c r="BH15" s="1422">
        <v>1200</v>
      </c>
      <c r="BI15" s="1422">
        <v>61879</v>
      </c>
      <c r="BJ15" s="1422">
        <v>90619</v>
      </c>
      <c r="BK15" s="1422">
        <v>15236</v>
      </c>
      <c r="BL15" s="1422">
        <v>15000</v>
      </c>
      <c r="BM15" s="1422">
        <v>414656</v>
      </c>
      <c r="BN15" s="1422">
        <v>449328</v>
      </c>
      <c r="BO15" s="1420">
        <v>49977.61</v>
      </c>
      <c r="BP15" s="1422">
        <v>40000</v>
      </c>
      <c r="BQ15" s="1420">
        <v>415.56</v>
      </c>
      <c r="BR15" s="1422">
        <v>0</v>
      </c>
      <c r="BS15" s="1420">
        <v>6339.3</v>
      </c>
      <c r="BT15" s="1422">
        <v>0</v>
      </c>
      <c r="BU15" s="1422">
        <v>0</v>
      </c>
      <c r="BV15" s="1422">
        <v>0</v>
      </c>
      <c r="BW15" s="1422">
        <v>194400</v>
      </c>
      <c r="BX15" s="1422">
        <v>194400</v>
      </c>
      <c r="BY15" s="1422">
        <v>0</v>
      </c>
      <c r="BZ15" s="1422">
        <v>0</v>
      </c>
      <c r="CA15" s="1422">
        <v>2527</v>
      </c>
      <c r="CB15" s="1422">
        <v>2021</v>
      </c>
      <c r="CC15" s="1420">
        <v>829002.47</v>
      </c>
      <c r="CD15" s="1422">
        <v>874790</v>
      </c>
      <c r="CE15" s="1420">
        <v>2133235.4700000002</v>
      </c>
      <c r="CF15" s="1420">
        <v>1068113.8</v>
      </c>
      <c r="CG15" s="1422">
        <v>0</v>
      </c>
      <c r="CH15" s="1422">
        <v>0</v>
      </c>
      <c r="CI15" s="1422">
        <v>0</v>
      </c>
      <c r="CJ15" s="1422">
        <v>0</v>
      </c>
      <c r="CK15" s="1422">
        <v>0</v>
      </c>
      <c r="CL15" s="1422">
        <v>0</v>
      </c>
      <c r="CM15" s="1422">
        <v>0</v>
      </c>
      <c r="CN15" s="1422">
        <v>0</v>
      </c>
      <c r="CO15" s="1422">
        <v>0</v>
      </c>
      <c r="CP15" s="1422">
        <v>0</v>
      </c>
      <c r="CQ15" s="1422">
        <v>0</v>
      </c>
      <c r="CR15" s="1422">
        <v>0</v>
      </c>
      <c r="CS15" s="1422">
        <v>0</v>
      </c>
      <c r="CT15" s="1422">
        <v>0</v>
      </c>
      <c r="CU15" s="1420">
        <v>17543646.43</v>
      </c>
      <c r="CV15" s="1420">
        <v>16128407.800000001</v>
      </c>
      <c r="CW15" s="1420">
        <v>5813138.1100000003</v>
      </c>
      <c r="CX15" s="1420">
        <v>5494341.7599999998</v>
      </c>
      <c r="CY15" s="1420">
        <v>959705.99</v>
      </c>
      <c r="CZ15" s="1420">
        <v>1030906.98</v>
      </c>
      <c r="DA15" s="1420">
        <v>658297.48</v>
      </c>
      <c r="DB15" s="1422">
        <v>645425</v>
      </c>
      <c r="DC15" s="1422">
        <v>0</v>
      </c>
      <c r="DD15" s="1422">
        <v>0</v>
      </c>
      <c r="DE15" s="1420">
        <v>504622.47</v>
      </c>
      <c r="DF15" s="1420">
        <v>295943.31</v>
      </c>
      <c r="DG15" s="1420">
        <v>847783.88</v>
      </c>
      <c r="DH15" s="1420">
        <v>858788.95</v>
      </c>
      <c r="DI15" s="1420">
        <v>8783547.9299999997</v>
      </c>
      <c r="DJ15" s="1422">
        <v>8325406</v>
      </c>
      <c r="DK15" s="1420">
        <v>287332.93</v>
      </c>
      <c r="DL15" s="1420">
        <v>297765.24</v>
      </c>
      <c r="DM15" s="1420">
        <v>494864.39</v>
      </c>
      <c r="DN15" s="1420">
        <v>536380.80000000005</v>
      </c>
      <c r="DO15" s="1420">
        <v>1465993.61</v>
      </c>
      <c r="DP15" s="1420">
        <v>1575204.63</v>
      </c>
      <c r="DQ15" s="1420">
        <v>731621.4</v>
      </c>
      <c r="DR15" s="1420">
        <v>1040335.25</v>
      </c>
      <c r="DS15" s="1420">
        <v>23091.38</v>
      </c>
      <c r="DT15" s="1422">
        <v>22000</v>
      </c>
      <c r="DU15" s="1420">
        <v>3002903.71</v>
      </c>
      <c r="DV15" s="1420">
        <v>3471685.92</v>
      </c>
      <c r="DW15" s="1420">
        <v>542821.74</v>
      </c>
      <c r="DX15" s="1422">
        <v>525649</v>
      </c>
      <c r="DY15" s="1420">
        <v>1004970.73</v>
      </c>
      <c r="DZ15" s="1420">
        <v>1258907.47</v>
      </c>
      <c r="EA15" s="1420">
        <v>651564.89</v>
      </c>
      <c r="EB15" s="1422">
        <v>706023</v>
      </c>
      <c r="EC15" s="1420">
        <v>2199357.36</v>
      </c>
      <c r="ED15" s="1420">
        <v>2490579.4700000002</v>
      </c>
      <c r="EE15" s="1420">
        <v>814151.34</v>
      </c>
      <c r="EF15" s="1422">
        <v>2700</v>
      </c>
      <c r="EG15" s="1422">
        <v>0</v>
      </c>
      <c r="EH15" s="1422">
        <v>0</v>
      </c>
      <c r="EI15" s="1420">
        <v>955.1</v>
      </c>
      <c r="EJ15" s="1422">
        <v>8000</v>
      </c>
      <c r="EK15" s="1422">
        <v>0</v>
      </c>
      <c r="EL15" s="1422">
        <v>0</v>
      </c>
      <c r="EM15" s="1420">
        <v>815106.44</v>
      </c>
      <c r="EN15" s="1422">
        <v>10700</v>
      </c>
      <c r="EO15" s="1420">
        <v>1899177.46</v>
      </c>
      <c r="EP15" s="1422">
        <v>0</v>
      </c>
      <c r="EQ15" s="1420">
        <v>1983114.9</v>
      </c>
      <c r="ER15" s="1422">
        <v>1983765</v>
      </c>
      <c r="ES15" s="1422">
        <v>0</v>
      </c>
      <c r="ET15" s="1422">
        <v>0</v>
      </c>
      <c r="EU15" s="1420">
        <v>18683207.800000001</v>
      </c>
      <c r="EV15" s="1420">
        <v>16282136.390000001</v>
      </c>
      <c r="EW15" s="1420">
        <v>2138785.5699999998</v>
      </c>
      <c r="EX15" s="1420">
        <v>344137.29</v>
      </c>
      <c r="EY15" s="1420">
        <v>1983114.9</v>
      </c>
      <c r="EZ15" s="1422">
        <v>1983765</v>
      </c>
      <c r="FA15" s="1420">
        <v>14561307.33</v>
      </c>
      <c r="FB15" s="1420">
        <v>13954234.1</v>
      </c>
      <c r="FC15" s="1420">
        <v>875238.39</v>
      </c>
      <c r="FD15" s="1439"/>
      <c r="FE15" s="1420">
        <v>13686068.939999999</v>
      </c>
      <c r="FF15" s="1439"/>
      <c r="FG15" s="1422">
        <v>8170</v>
      </c>
      <c r="FH15" s="1439"/>
      <c r="FI15" s="1420">
        <v>117.65</v>
      </c>
      <c r="FJ15" s="1439"/>
      <c r="FK15" s="1422">
        <v>48572</v>
      </c>
      <c r="FL15" s="1439"/>
      <c r="FM15" s="1420">
        <v>125.62</v>
      </c>
      <c r="FN15" s="1439"/>
      <c r="FO15" s="1422">
        <v>50153</v>
      </c>
      <c r="FP15" s="1439"/>
      <c r="FQ15" s="1420">
        <v>2315617.9300000002</v>
      </c>
      <c r="FR15" s="1439"/>
      <c r="FS15" s="1420">
        <v>270551.05</v>
      </c>
      <c r="FT15" s="1439"/>
      <c r="FU15" s="1422">
        <v>0</v>
      </c>
      <c r="FV15" s="1439"/>
      <c r="FW15" s="1420">
        <v>2045066.88</v>
      </c>
      <c r="FX15" s="1439"/>
      <c r="FY15" s="1420">
        <v>1704988.94</v>
      </c>
      <c r="FZ15" s="1439"/>
      <c r="GA15" s="1422">
        <v>0</v>
      </c>
      <c r="GB15" s="1439"/>
    </row>
    <row r="16" spans="1:184" ht="12.75" customHeight="1" thickBot="1">
      <c r="A16" s="1418" t="s">
        <v>607</v>
      </c>
      <c r="B16" s="1418" t="s">
        <v>608</v>
      </c>
      <c r="C16" s="1420">
        <v>259.52999999999997</v>
      </c>
      <c r="D16" s="1439"/>
      <c r="E16" s="1420">
        <v>13236.23</v>
      </c>
      <c r="F16" s="1439"/>
      <c r="G16" s="1421">
        <v>0.08</v>
      </c>
      <c r="H16" s="1439"/>
      <c r="I16" s="1420">
        <v>13860.57</v>
      </c>
      <c r="J16" s="1439"/>
      <c r="K16" s="1420">
        <v>13696.01</v>
      </c>
      <c r="L16" s="1439"/>
      <c r="M16" s="1422">
        <v>1732144990</v>
      </c>
      <c r="N16" s="1439"/>
      <c r="O16" s="1422">
        <v>25</v>
      </c>
      <c r="P16" s="1439"/>
      <c r="Q16" s="1422">
        <v>25</v>
      </c>
      <c r="R16" s="1439"/>
      <c r="S16" s="1422">
        <v>0</v>
      </c>
      <c r="T16" s="1439"/>
      <c r="U16" s="1420">
        <v>2.5</v>
      </c>
      <c r="V16" s="1439"/>
      <c r="W16" s="1420">
        <v>10.9</v>
      </c>
      <c r="X16" s="1439"/>
      <c r="Y16" s="1420">
        <v>38.4</v>
      </c>
      <c r="Z16" s="1439"/>
      <c r="AA16" s="1422">
        <v>158025000</v>
      </c>
      <c r="AB16" s="1455"/>
      <c r="AC16" s="1424">
        <v>64959961.200000003</v>
      </c>
      <c r="AD16" s="1422">
        <v>64065746</v>
      </c>
      <c r="AE16" s="1420">
        <v>5665848.71</v>
      </c>
      <c r="AF16" s="1422">
        <v>5365500</v>
      </c>
      <c r="AG16" s="1420">
        <v>100157.01</v>
      </c>
      <c r="AH16" s="1456">
        <v>0</v>
      </c>
      <c r="AI16" s="1428">
        <v>40430117</v>
      </c>
      <c r="AJ16" s="1422">
        <v>42854122</v>
      </c>
      <c r="AK16" s="1422">
        <v>688995</v>
      </c>
      <c r="AL16" s="1422">
        <v>0</v>
      </c>
      <c r="AM16" s="1422">
        <v>1173580</v>
      </c>
      <c r="AN16" s="1422">
        <v>307200</v>
      </c>
      <c r="AO16" s="1422">
        <v>0</v>
      </c>
      <c r="AP16" s="1422">
        <v>0</v>
      </c>
      <c r="AQ16" s="1422">
        <v>0</v>
      </c>
      <c r="AR16" s="1422">
        <v>0</v>
      </c>
      <c r="AS16" s="1422">
        <v>0</v>
      </c>
      <c r="AT16" s="1422">
        <v>0</v>
      </c>
      <c r="AU16" s="1422">
        <v>0</v>
      </c>
      <c r="AV16" s="1422">
        <v>0</v>
      </c>
      <c r="AW16" s="1422">
        <v>0</v>
      </c>
      <c r="AX16" s="1422">
        <v>488000</v>
      </c>
      <c r="AY16" s="1420">
        <v>113018658.92</v>
      </c>
      <c r="AZ16" s="1422">
        <v>113080568</v>
      </c>
      <c r="BA16" s="1422">
        <v>0</v>
      </c>
      <c r="BB16" s="1422">
        <v>0</v>
      </c>
      <c r="BC16" s="1422">
        <v>566467</v>
      </c>
      <c r="BD16" s="1422">
        <v>588856</v>
      </c>
      <c r="BE16" s="1420">
        <v>30922.18</v>
      </c>
      <c r="BF16" s="1422">
        <v>0</v>
      </c>
      <c r="BG16" s="1422">
        <v>39850</v>
      </c>
      <c r="BH16" s="1422">
        <v>0</v>
      </c>
      <c r="BI16" s="1422">
        <v>593645</v>
      </c>
      <c r="BJ16" s="1422">
        <v>744193</v>
      </c>
      <c r="BK16" s="1422">
        <v>1368896</v>
      </c>
      <c r="BL16" s="1420">
        <v>1384569.62</v>
      </c>
      <c r="BM16" s="1422">
        <v>3943696</v>
      </c>
      <c r="BN16" s="1422">
        <v>4154766</v>
      </c>
      <c r="BO16" s="1420">
        <v>775180.77</v>
      </c>
      <c r="BP16" s="1422">
        <v>300000</v>
      </c>
      <c r="BQ16" s="1420">
        <v>205081.49</v>
      </c>
      <c r="BR16" s="1422">
        <v>0</v>
      </c>
      <c r="BS16" s="1420">
        <v>52255.8</v>
      </c>
      <c r="BT16" s="1422">
        <v>40000</v>
      </c>
      <c r="BU16" s="1422">
        <v>0</v>
      </c>
      <c r="BV16" s="1422">
        <v>0</v>
      </c>
      <c r="BW16" s="1422">
        <v>1507625</v>
      </c>
      <c r="BX16" s="1422">
        <v>1507800</v>
      </c>
      <c r="BY16" s="1422">
        <v>0</v>
      </c>
      <c r="BZ16" s="1422">
        <v>0</v>
      </c>
      <c r="CA16" s="1422">
        <v>86411</v>
      </c>
      <c r="CB16" s="1422">
        <v>69129</v>
      </c>
      <c r="CC16" s="1420">
        <v>9170030.2400000002</v>
      </c>
      <c r="CD16" s="1420">
        <v>8789313.6199999992</v>
      </c>
      <c r="CE16" s="1420">
        <v>17341362.329999998</v>
      </c>
      <c r="CF16" s="1422">
        <v>17677174</v>
      </c>
      <c r="CG16" s="1420">
        <v>10385166.689999999</v>
      </c>
      <c r="CH16" s="1422">
        <v>0</v>
      </c>
      <c r="CI16" s="1422">
        <v>0</v>
      </c>
      <c r="CJ16" s="1422">
        <v>0</v>
      </c>
      <c r="CK16" s="1422">
        <v>0</v>
      </c>
      <c r="CL16" s="1422">
        <v>0</v>
      </c>
      <c r="CM16" s="1420">
        <v>10287.68</v>
      </c>
      <c r="CN16" s="1422">
        <v>0</v>
      </c>
      <c r="CO16" s="1420">
        <v>1286.9000000000001</v>
      </c>
      <c r="CP16" s="1422">
        <v>0</v>
      </c>
      <c r="CQ16" s="1422">
        <v>0</v>
      </c>
      <c r="CR16" s="1422">
        <v>0</v>
      </c>
      <c r="CS16" s="1420">
        <v>10396741.27</v>
      </c>
      <c r="CT16" s="1422">
        <v>0</v>
      </c>
      <c r="CU16" s="1420">
        <v>149926792.75999999</v>
      </c>
      <c r="CV16" s="1420">
        <v>139547055.62</v>
      </c>
      <c r="CW16" s="1420">
        <v>51200697.859999999</v>
      </c>
      <c r="CX16" s="1420">
        <v>52107440.399999999</v>
      </c>
      <c r="CY16" s="1420">
        <v>9492963.5800000001</v>
      </c>
      <c r="CZ16" s="1420">
        <v>10012111.93</v>
      </c>
      <c r="DA16" s="1420">
        <v>2574130.2200000002</v>
      </c>
      <c r="DB16" s="1420">
        <v>2243402.54</v>
      </c>
      <c r="DC16" s="1422">
        <v>0</v>
      </c>
      <c r="DD16" s="1422">
        <v>0</v>
      </c>
      <c r="DE16" s="1420">
        <v>3145384.72</v>
      </c>
      <c r="DF16" s="1420">
        <v>2874597.34</v>
      </c>
      <c r="DG16" s="1420">
        <v>7370689.96</v>
      </c>
      <c r="DH16" s="1420">
        <v>7704402.0700000003</v>
      </c>
      <c r="DI16" s="1420">
        <v>73783866.340000004</v>
      </c>
      <c r="DJ16" s="1420">
        <v>74941954.280000001</v>
      </c>
      <c r="DK16" s="1420">
        <v>912932.46</v>
      </c>
      <c r="DL16" s="1420">
        <v>1074469.95</v>
      </c>
      <c r="DM16" s="1420">
        <v>1893494.43</v>
      </c>
      <c r="DN16" s="1420">
        <v>3976274.15</v>
      </c>
      <c r="DO16" s="1420">
        <v>10147490.52</v>
      </c>
      <c r="DP16" s="1420">
        <v>12956011.630000001</v>
      </c>
      <c r="DQ16" s="1420">
        <v>3318187.72</v>
      </c>
      <c r="DR16" s="1420">
        <v>3546795.87</v>
      </c>
      <c r="DS16" s="1420">
        <v>16119.56</v>
      </c>
      <c r="DT16" s="1422">
        <v>20000</v>
      </c>
      <c r="DU16" s="1420">
        <v>16288224.689999999</v>
      </c>
      <c r="DV16" s="1420">
        <v>21573551.600000001</v>
      </c>
      <c r="DW16" s="1420">
        <v>5971189.79</v>
      </c>
      <c r="DX16" s="1420">
        <v>6357465.7199999997</v>
      </c>
      <c r="DY16" s="1420">
        <v>9354026.8000000007</v>
      </c>
      <c r="DZ16" s="1420">
        <v>10522473.300000001</v>
      </c>
      <c r="EA16" s="1420">
        <v>6634528.25</v>
      </c>
      <c r="EB16" s="1420">
        <v>6554986.1900000004</v>
      </c>
      <c r="EC16" s="1420">
        <v>21959744.84</v>
      </c>
      <c r="ED16" s="1420">
        <v>23434925.210000001</v>
      </c>
      <c r="EE16" s="1420">
        <v>6852194.8899999997</v>
      </c>
      <c r="EF16" s="1422">
        <v>7605000</v>
      </c>
      <c r="EG16" s="1422">
        <v>0</v>
      </c>
      <c r="EH16" s="1422">
        <v>0</v>
      </c>
      <c r="EI16" s="1420">
        <v>976501.99</v>
      </c>
      <c r="EJ16" s="1420">
        <v>4220616.16</v>
      </c>
      <c r="EK16" s="1422">
        <v>0</v>
      </c>
      <c r="EL16" s="1422">
        <v>0</v>
      </c>
      <c r="EM16" s="1420">
        <v>7828696.8799999999</v>
      </c>
      <c r="EN16" s="1420">
        <v>11825616.16</v>
      </c>
      <c r="EO16" s="1420">
        <v>2669365.7400000002</v>
      </c>
      <c r="EP16" s="1422">
        <v>5600000</v>
      </c>
      <c r="EQ16" s="1420">
        <v>11697508.75</v>
      </c>
      <c r="ER16" s="1422">
        <v>11443239</v>
      </c>
      <c r="ES16" s="1420">
        <v>116526.78</v>
      </c>
      <c r="ET16" s="1422">
        <v>0</v>
      </c>
      <c r="EU16" s="1420">
        <v>134343934.02000001</v>
      </c>
      <c r="EV16" s="1420">
        <v>148819286.25</v>
      </c>
      <c r="EW16" s="1420">
        <v>4444544.95</v>
      </c>
      <c r="EX16" s="1422">
        <v>7357270</v>
      </c>
      <c r="EY16" s="1420">
        <v>11697508.75</v>
      </c>
      <c r="EZ16" s="1422">
        <v>11443239</v>
      </c>
      <c r="FA16" s="1420">
        <v>118201880.31999999</v>
      </c>
      <c r="FB16" s="1420">
        <v>130018777.25</v>
      </c>
      <c r="FC16" s="1420">
        <v>8606940.25</v>
      </c>
      <c r="FD16" s="1439"/>
      <c r="FE16" s="1420">
        <v>109594940.06999999</v>
      </c>
      <c r="FF16" s="1439"/>
      <c r="FG16" s="1422">
        <v>8279</v>
      </c>
      <c r="FH16" s="1439"/>
      <c r="FI16" s="1420">
        <v>879.26</v>
      </c>
      <c r="FJ16" s="1439"/>
      <c r="FK16" s="1422">
        <v>55836</v>
      </c>
      <c r="FL16" s="1439"/>
      <c r="FM16" s="1420">
        <v>950.92</v>
      </c>
      <c r="FN16" s="1439"/>
      <c r="FO16" s="1422">
        <v>58049</v>
      </c>
      <c r="FP16" s="1439"/>
      <c r="FQ16" s="1420">
        <v>9513764.5399999991</v>
      </c>
      <c r="FR16" s="1439"/>
      <c r="FS16" s="1420">
        <v>152978.79999999999</v>
      </c>
      <c r="FT16" s="1439"/>
      <c r="FU16" s="1422">
        <v>0</v>
      </c>
      <c r="FV16" s="1439"/>
      <c r="FW16" s="1420">
        <v>9360785.7400000002</v>
      </c>
      <c r="FX16" s="1439"/>
      <c r="FY16" s="1420">
        <v>18329423.02</v>
      </c>
      <c r="FZ16" s="1439"/>
      <c r="GA16" s="1420">
        <v>2761164.34</v>
      </c>
      <c r="GB16" s="1439"/>
    </row>
    <row r="17" spans="1:184" ht="12.75" customHeight="1" thickBot="1">
      <c r="A17" s="1418" t="s">
        <v>609</v>
      </c>
      <c r="B17" s="1418" t="s">
        <v>610</v>
      </c>
      <c r="C17" s="1420">
        <v>144.13</v>
      </c>
      <c r="D17" s="1439"/>
      <c r="E17" s="1420">
        <v>3600.02</v>
      </c>
      <c r="F17" s="1439"/>
      <c r="G17" s="1421">
        <v>0.11</v>
      </c>
      <c r="H17" s="1439"/>
      <c r="I17" s="1420">
        <v>3834.57</v>
      </c>
      <c r="J17" s="1439"/>
      <c r="K17" s="1420">
        <v>3809.7</v>
      </c>
      <c r="L17" s="1439"/>
      <c r="M17" s="1422">
        <v>306811031</v>
      </c>
      <c r="N17" s="1439"/>
      <c r="O17" s="1422">
        <v>25</v>
      </c>
      <c r="P17" s="1439"/>
      <c r="Q17" s="1422">
        <v>25</v>
      </c>
      <c r="R17" s="1439"/>
      <c r="S17" s="1422">
        <v>0</v>
      </c>
      <c r="T17" s="1439"/>
      <c r="U17" s="1422">
        <v>0</v>
      </c>
      <c r="V17" s="1439"/>
      <c r="W17" s="1422">
        <v>20</v>
      </c>
      <c r="X17" s="1439"/>
      <c r="Y17" s="1422">
        <v>45</v>
      </c>
      <c r="Z17" s="1439"/>
      <c r="AA17" s="1422">
        <v>54840000</v>
      </c>
      <c r="AB17" s="1455"/>
      <c r="AC17" s="1424">
        <v>13574928.949999999</v>
      </c>
      <c r="AD17" s="1422">
        <v>13957401</v>
      </c>
      <c r="AE17" s="1420">
        <v>2672253.65</v>
      </c>
      <c r="AF17" s="1420">
        <v>1088154.8</v>
      </c>
      <c r="AG17" s="1420">
        <v>27861.99</v>
      </c>
      <c r="AH17" s="1456">
        <v>20000</v>
      </c>
      <c r="AI17" s="1428">
        <v>15324489</v>
      </c>
      <c r="AJ17" s="1422">
        <v>16117387</v>
      </c>
      <c r="AK17" s="1422">
        <v>66308</v>
      </c>
      <c r="AL17" s="1422">
        <v>0</v>
      </c>
      <c r="AM17" s="1422">
        <v>226254</v>
      </c>
      <c r="AN17" s="1422">
        <v>0</v>
      </c>
      <c r="AO17" s="1422">
        <v>0</v>
      </c>
      <c r="AP17" s="1422">
        <v>0</v>
      </c>
      <c r="AQ17" s="1422">
        <v>0</v>
      </c>
      <c r="AR17" s="1422">
        <v>0</v>
      </c>
      <c r="AS17" s="1422">
        <v>0</v>
      </c>
      <c r="AT17" s="1422">
        <v>0</v>
      </c>
      <c r="AU17" s="1422">
        <v>0</v>
      </c>
      <c r="AV17" s="1422">
        <v>0</v>
      </c>
      <c r="AW17" s="1420">
        <v>684.58</v>
      </c>
      <c r="AX17" s="1422">
        <v>0</v>
      </c>
      <c r="AY17" s="1420">
        <v>31892780.170000002</v>
      </c>
      <c r="AZ17" s="1420">
        <v>31182942.800000001</v>
      </c>
      <c r="BA17" s="1422">
        <v>0</v>
      </c>
      <c r="BB17" s="1422">
        <v>0</v>
      </c>
      <c r="BC17" s="1422">
        <v>157569</v>
      </c>
      <c r="BD17" s="1422">
        <v>163538</v>
      </c>
      <c r="BE17" s="1420">
        <v>24305.52</v>
      </c>
      <c r="BF17" s="1422">
        <v>21600</v>
      </c>
      <c r="BG17" s="1422">
        <v>3650</v>
      </c>
      <c r="BH17" s="1422">
        <v>0</v>
      </c>
      <c r="BI17" s="1422">
        <v>261901</v>
      </c>
      <c r="BJ17" s="1422">
        <v>298316</v>
      </c>
      <c r="BK17" s="1422">
        <v>200119</v>
      </c>
      <c r="BL17" s="1422">
        <v>200119</v>
      </c>
      <c r="BM17" s="1422">
        <v>1023856</v>
      </c>
      <c r="BN17" s="1422">
        <v>1082729</v>
      </c>
      <c r="BO17" s="1420">
        <v>213591.27</v>
      </c>
      <c r="BP17" s="1422">
        <v>133998</v>
      </c>
      <c r="BQ17" s="1420">
        <v>103588.98</v>
      </c>
      <c r="BR17" s="1422">
        <v>56875</v>
      </c>
      <c r="BS17" s="1420">
        <v>12235.79</v>
      </c>
      <c r="BT17" s="1422">
        <v>12200</v>
      </c>
      <c r="BU17" s="1422">
        <v>0</v>
      </c>
      <c r="BV17" s="1422">
        <v>0</v>
      </c>
      <c r="BW17" s="1422">
        <v>580770</v>
      </c>
      <c r="BX17" s="1420">
        <v>756520.76</v>
      </c>
      <c r="BY17" s="1422">
        <v>0</v>
      </c>
      <c r="BZ17" s="1422">
        <v>0</v>
      </c>
      <c r="CA17" s="1420">
        <v>6667247.0300000003</v>
      </c>
      <c r="CB17" s="1422">
        <v>3242475</v>
      </c>
      <c r="CC17" s="1420">
        <v>9248833.5899999999</v>
      </c>
      <c r="CD17" s="1420">
        <v>5968370.7599999998</v>
      </c>
      <c r="CE17" s="1420">
        <v>4650240.49</v>
      </c>
      <c r="CF17" s="1420">
        <v>3237539.64</v>
      </c>
      <c r="CG17" s="1422">
        <v>0</v>
      </c>
      <c r="CH17" s="1422">
        <v>0</v>
      </c>
      <c r="CI17" s="1422">
        <v>0</v>
      </c>
      <c r="CJ17" s="1422">
        <v>0</v>
      </c>
      <c r="CK17" s="1422">
        <v>0</v>
      </c>
      <c r="CL17" s="1422">
        <v>0</v>
      </c>
      <c r="CM17" s="1422">
        <v>0</v>
      </c>
      <c r="CN17" s="1422">
        <v>0</v>
      </c>
      <c r="CO17" s="1422">
        <v>0</v>
      </c>
      <c r="CP17" s="1422">
        <v>0</v>
      </c>
      <c r="CQ17" s="1422">
        <v>0</v>
      </c>
      <c r="CR17" s="1422">
        <v>0</v>
      </c>
      <c r="CS17" s="1422">
        <v>0</v>
      </c>
      <c r="CT17" s="1422">
        <v>0</v>
      </c>
      <c r="CU17" s="1420">
        <v>45791854.25</v>
      </c>
      <c r="CV17" s="1420">
        <v>40388853.200000003</v>
      </c>
      <c r="CW17" s="1420">
        <v>12744647.560000001</v>
      </c>
      <c r="CX17" s="1420">
        <v>11869394.619999999</v>
      </c>
      <c r="CY17" s="1420">
        <v>2078016.59</v>
      </c>
      <c r="CZ17" s="1420">
        <v>2159041.69</v>
      </c>
      <c r="DA17" s="1420">
        <v>1091918.67</v>
      </c>
      <c r="DB17" s="1420">
        <v>1073176.31</v>
      </c>
      <c r="DC17" s="1422">
        <v>0</v>
      </c>
      <c r="DD17" s="1422">
        <v>0</v>
      </c>
      <c r="DE17" s="1420">
        <v>874274.67</v>
      </c>
      <c r="DF17" s="1420">
        <v>989593.36</v>
      </c>
      <c r="DG17" s="1420">
        <v>2671320.0299999998</v>
      </c>
      <c r="DH17" s="1420">
        <v>2507391.42</v>
      </c>
      <c r="DI17" s="1420">
        <v>19460177.52</v>
      </c>
      <c r="DJ17" s="1420">
        <v>18598597.399999999</v>
      </c>
      <c r="DK17" s="1420">
        <v>489886.75</v>
      </c>
      <c r="DL17" s="1420">
        <v>558615.04000000004</v>
      </c>
      <c r="DM17" s="1420">
        <v>302491.31</v>
      </c>
      <c r="DN17" s="1422">
        <v>364392</v>
      </c>
      <c r="DO17" s="1420">
        <v>2880237.43</v>
      </c>
      <c r="DP17" s="1420">
        <v>3550365.15</v>
      </c>
      <c r="DQ17" s="1420">
        <v>1353483.46</v>
      </c>
      <c r="DR17" s="1420">
        <v>1315546.97</v>
      </c>
      <c r="DS17" s="1420">
        <v>59103.12</v>
      </c>
      <c r="DT17" s="1420">
        <v>58041.67</v>
      </c>
      <c r="DU17" s="1420">
        <v>5085202.07</v>
      </c>
      <c r="DV17" s="1420">
        <v>5846960.8300000001</v>
      </c>
      <c r="DW17" s="1420">
        <v>1472888.39</v>
      </c>
      <c r="DX17" s="1420">
        <v>1573973.45</v>
      </c>
      <c r="DY17" s="1420">
        <v>3408818.24</v>
      </c>
      <c r="DZ17" s="1420">
        <v>3569884.72</v>
      </c>
      <c r="EA17" s="1420">
        <v>1901453.93</v>
      </c>
      <c r="EB17" s="1420">
        <v>1910776.18</v>
      </c>
      <c r="EC17" s="1420">
        <v>6783160.5599999996</v>
      </c>
      <c r="ED17" s="1420">
        <v>7054634.3499999996</v>
      </c>
      <c r="EE17" s="1420">
        <v>1883334.25</v>
      </c>
      <c r="EF17" s="1420">
        <v>1789232.6</v>
      </c>
      <c r="EG17" s="1422">
        <v>0</v>
      </c>
      <c r="EH17" s="1422">
        <v>0</v>
      </c>
      <c r="EI17" s="1420">
        <v>1077.96</v>
      </c>
      <c r="EJ17" s="1422">
        <v>10000</v>
      </c>
      <c r="EK17" s="1422">
        <v>0</v>
      </c>
      <c r="EL17" s="1422">
        <v>0</v>
      </c>
      <c r="EM17" s="1420">
        <v>1884412.21</v>
      </c>
      <c r="EN17" s="1420">
        <v>1799232.6</v>
      </c>
      <c r="EO17" s="1420">
        <v>16233175.279999999</v>
      </c>
      <c r="EP17" s="1420">
        <v>19781099.609999999</v>
      </c>
      <c r="EQ17" s="1420">
        <v>3333703.76</v>
      </c>
      <c r="ER17" s="1422">
        <v>3495944</v>
      </c>
      <c r="ES17" s="1422">
        <v>0</v>
      </c>
      <c r="ET17" s="1420">
        <v>33.92</v>
      </c>
      <c r="EU17" s="1420">
        <v>52779831.399999999</v>
      </c>
      <c r="EV17" s="1420">
        <v>56576502.710000001</v>
      </c>
      <c r="EW17" s="1420">
        <v>16710682.48</v>
      </c>
      <c r="EX17" s="1420">
        <v>20234986.859999999</v>
      </c>
      <c r="EY17" s="1420">
        <v>3333703.76</v>
      </c>
      <c r="EZ17" s="1422">
        <v>3495944</v>
      </c>
      <c r="FA17" s="1420">
        <v>32735445.16</v>
      </c>
      <c r="FB17" s="1420">
        <v>32845571.850000001</v>
      </c>
      <c r="FC17" s="1420">
        <v>2148422.3199999998</v>
      </c>
      <c r="FD17" s="1439"/>
      <c r="FE17" s="1420">
        <v>30587022.84</v>
      </c>
      <c r="FF17" s="1439"/>
      <c r="FG17" s="1422">
        <v>8496</v>
      </c>
      <c r="FH17" s="1439"/>
      <c r="FI17" s="1420">
        <v>249.21</v>
      </c>
      <c r="FJ17" s="1439"/>
      <c r="FK17" s="1422">
        <v>46553</v>
      </c>
      <c r="FL17" s="1439"/>
      <c r="FM17" s="1420">
        <v>274.45999999999998</v>
      </c>
      <c r="FN17" s="1439"/>
      <c r="FO17" s="1422">
        <v>49203</v>
      </c>
      <c r="FP17" s="1439"/>
      <c r="FQ17" s="1420">
        <v>7404111.9900000002</v>
      </c>
      <c r="FR17" s="1439"/>
      <c r="FS17" s="1420">
        <v>123074.08</v>
      </c>
      <c r="FT17" s="1439"/>
      <c r="FU17" s="1422">
        <v>0</v>
      </c>
      <c r="FV17" s="1439"/>
      <c r="FW17" s="1420">
        <v>7281037.9100000001</v>
      </c>
      <c r="FX17" s="1439"/>
      <c r="FY17" s="1420">
        <v>17421053.609999999</v>
      </c>
      <c r="FZ17" s="1439"/>
      <c r="GA17" s="1422">
        <v>0</v>
      </c>
      <c r="GB17" s="1439"/>
    </row>
    <row r="18" spans="1:184" ht="12.75" customHeight="1" thickBot="1">
      <c r="A18" s="1418" t="s">
        <v>611</v>
      </c>
      <c r="B18" s="1418" t="s">
        <v>612</v>
      </c>
      <c r="C18" s="1420">
        <v>52.89</v>
      </c>
      <c r="D18" s="1439"/>
      <c r="E18" s="1420">
        <v>1554.62</v>
      </c>
      <c r="F18" s="1439"/>
      <c r="G18" s="1421">
        <v>0.25</v>
      </c>
      <c r="H18" s="1439"/>
      <c r="I18" s="1420">
        <v>1639.42</v>
      </c>
      <c r="J18" s="1439"/>
      <c r="K18" s="1420">
        <v>1608.1</v>
      </c>
      <c r="L18" s="1439"/>
      <c r="M18" s="1422">
        <v>92498110</v>
      </c>
      <c r="N18" s="1439"/>
      <c r="O18" s="1422">
        <v>25</v>
      </c>
      <c r="P18" s="1439"/>
      <c r="Q18" s="1422">
        <v>25</v>
      </c>
      <c r="R18" s="1439"/>
      <c r="S18" s="1422">
        <v>0</v>
      </c>
      <c r="T18" s="1439"/>
      <c r="U18" s="1422">
        <v>0</v>
      </c>
      <c r="V18" s="1439"/>
      <c r="W18" s="1420">
        <v>19.8</v>
      </c>
      <c r="X18" s="1439"/>
      <c r="Y18" s="1420">
        <v>44.8</v>
      </c>
      <c r="Z18" s="1439"/>
      <c r="AA18" s="1420">
        <v>18292857.010000002</v>
      </c>
      <c r="AB18" s="1455"/>
      <c r="AC18" s="1424">
        <v>3875328.19</v>
      </c>
      <c r="AD18" s="1420">
        <v>4614342.97</v>
      </c>
      <c r="AE18" s="1422">
        <v>610782</v>
      </c>
      <c r="AF18" s="1422">
        <v>598655</v>
      </c>
      <c r="AG18" s="1422">
        <v>0</v>
      </c>
      <c r="AH18" s="1456">
        <v>0</v>
      </c>
      <c r="AI18" s="1428">
        <v>7462155</v>
      </c>
      <c r="AJ18" s="1422">
        <v>7816899</v>
      </c>
      <c r="AK18" s="1422">
        <v>30585</v>
      </c>
      <c r="AL18" s="1422">
        <v>20000</v>
      </c>
      <c r="AM18" s="1422">
        <v>387265</v>
      </c>
      <c r="AN18" s="1422">
        <v>200000</v>
      </c>
      <c r="AO18" s="1422">
        <v>0</v>
      </c>
      <c r="AP18" s="1422">
        <v>0</v>
      </c>
      <c r="AQ18" s="1422">
        <v>0</v>
      </c>
      <c r="AR18" s="1422">
        <v>0</v>
      </c>
      <c r="AS18" s="1422">
        <v>0</v>
      </c>
      <c r="AT18" s="1422">
        <v>0</v>
      </c>
      <c r="AU18" s="1422">
        <v>55333</v>
      </c>
      <c r="AV18" s="1422">
        <v>44266</v>
      </c>
      <c r="AW18" s="1422">
        <v>0</v>
      </c>
      <c r="AX18" s="1422">
        <v>0</v>
      </c>
      <c r="AY18" s="1420">
        <v>12421448.189999999</v>
      </c>
      <c r="AZ18" s="1420">
        <v>13294162.970000001</v>
      </c>
      <c r="BA18" s="1422">
        <v>0</v>
      </c>
      <c r="BB18" s="1422">
        <v>0</v>
      </c>
      <c r="BC18" s="1422">
        <v>66511</v>
      </c>
      <c r="BD18" s="1422">
        <v>69551</v>
      </c>
      <c r="BE18" s="1422">
        <v>11400</v>
      </c>
      <c r="BF18" s="1422">
        <v>9600</v>
      </c>
      <c r="BG18" s="1422">
        <v>5500</v>
      </c>
      <c r="BH18" s="1422">
        <v>0</v>
      </c>
      <c r="BI18" s="1422">
        <v>44734</v>
      </c>
      <c r="BJ18" s="1422">
        <v>51066</v>
      </c>
      <c r="BK18" s="1422">
        <v>12306</v>
      </c>
      <c r="BL18" s="1422">
        <v>12300</v>
      </c>
      <c r="BM18" s="1422">
        <v>371405</v>
      </c>
      <c r="BN18" s="1422">
        <v>388190</v>
      </c>
      <c r="BO18" s="1420">
        <v>86745.9</v>
      </c>
      <c r="BP18" s="1422">
        <v>109343</v>
      </c>
      <c r="BQ18" s="1422">
        <v>0</v>
      </c>
      <c r="BR18" s="1422">
        <v>4875</v>
      </c>
      <c r="BS18" s="1420">
        <v>4787.7</v>
      </c>
      <c r="BT18" s="1422">
        <v>2350</v>
      </c>
      <c r="BU18" s="1422">
        <v>0</v>
      </c>
      <c r="BV18" s="1422">
        <v>0</v>
      </c>
      <c r="BW18" s="1422">
        <v>0</v>
      </c>
      <c r="BX18" s="1422">
        <v>0</v>
      </c>
      <c r="BY18" s="1422">
        <v>0</v>
      </c>
      <c r="BZ18" s="1422">
        <v>0</v>
      </c>
      <c r="CA18" s="1420">
        <v>183723.72</v>
      </c>
      <c r="CB18" s="1422">
        <v>155520</v>
      </c>
      <c r="CC18" s="1420">
        <v>787113.32</v>
      </c>
      <c r="CD18" s="1422">
        <v>802795</v>
      </c>
      <c r="CE18" s="1420">
        <v>2339792.62</v>
      </c>
      <c r="CF18" s="1420">
        <v>1233273.06</v>
      </c>
      <c r="CG18" s="1420">
        <v>3541723.95</v>
      </c>
      <c r="CH18" s="1422">
        <v>0</v>
      </c>
      <c r="CI18" s="1422">
        <v>0</v>
      </c>
      <c r="CJ18" s="1422">
        <v>0</v>
      </c>
      <c r="CK18" s="1422">
        <v>5000</v>
      </c>
      <c r="CL18" s="1422">
        <v>5000</v>
      </c>
      <c r="CM18" s="1420">
        <v>994.5</v>
      </c>
      <c r="CN18" s="1422">
        <v>0</v>
      </c>
      <c r="CO18" s="1420">
        <v>8131.84</v>
      </c>
      <c r="CP18" s="1422">
        <v>0</v>
      </c>
      <c r="CQ18" s="1422">
        <v>0</v>
      </c>
      <c r="CR18" s="1422">
        <v>0</v>
      </c>
      <c r="CS18" s="1420">
        <v>3555850.29</v>
      </c>
      <c r="CT18" s="1422">
        <v>5000</v>
      </c>
      <c r="CU18" s="1420">
        <v>19104204.420000002</v>
      </c>
      <c r="CV18" s="1420">
        <v>15335231.029999999</v>
      </c>
      <c r="CW18" s="1420">
        <v>4959740.95</v>
      </c>
      <c r="CX18" s="1420">
        <v>5225428.8899999997</v>
      </c>
      <c r="CY18" s="1420">
        <v>577379.05000000005</v>
      </c>
      <c r="CZ18" s="1420">
        <v>700605.97</v>
      </c>
      <c r="DA18" s="1420">
        <v>416631.87</v>
      </c>
      <c r="DB18" s="1420">
        <v>362485.88</v>
      </c>
      <c r="DC18" s="1422">
        <v>0</v>
      </c>
      <c r="DD18" s="1422">
        <v>0</v>
      </c>
      <c r="DE18" s="1420">
        <v>256828.19</v>
      </c>
      <c r="DF18" s="1420">
        <v>305563.52000000002</v>
      </c>
      <c r="DG18" s="1420">
        <v>718423.91</v>
      </c>
      <c r="DH18" s="1420">
        <v>764426.37</v>
      </c>
      <c r="DI18" s="1420">
        <v>6929003.9699999997</v>
      </c>
      <c r="DJ18" s="1420">
        <v>7358510.6299999999</v>
      </c>
      <c r="DK18" s="1420">
        <v>249853.99</v>
      </c>
      <c r="DL18" s="1420">
        <v>346911.5</v>
      </c>
      <c r="DM18" s="1420">
        <v>409243.19</v>
      </c>
      <c r="DN18" s="1420">
        <v>356983.02</v>
      </c>
      <c r="DO18" s="1420">
        <v>1263752.08</v>
      </c>
      <c r="DP18" s="1420">
        <v>1248394.33</v>
      </c>
      <c r="DQ18" s="1420">
        <v>593760.49</v>
      </c>
      <c r="DR18" s="1420">
        <v>764362.19</v>
      </c>
      <c r="DS18" s="1420">
        <v>43631.3</v>
      </c>
      <c r="DT18" s="1422">
        <v>44822</v>
      </c>
      <c r="DU18" s="1420">
        <v>2560241.0499999998</v>
      </c>
      <c r="DV18" s="1420">
        <v>2761473.04</v>
      </c>
      <c r="DW18" s="1420">
        <v>510205.97</v>
      </c>
      <c r="DX18" s="1420">
        <v>581604.02</v>
      </c>
      <c r="DY18" s="1420">
        <v>703880.25</v>
      </c>
      <c r="DZ18" s="1420">
        <v>811685.63</v>
      </c>
      <c r="EA18" s="1420">
        <v>789586.86</v>
      </c>
      <c r="EB18" s="1420">
        <v>914078.68</v>
      </c>
      <c r="EC18" s="1420">
        <v>2003673.08</v>
      </c>
      <c r="ED18" s="1420">
        <v>2307368.33</v>
      </c>
      <c r="EE18" s="1420">
        <v>805802.63</v>
      </c>
      <c r="EF18" s="1420">
        <v>807581.38</v>
      </c>
      <c r="EG18" s="1422">
        <v>0</v>
      </c>
      <c r="EH18" s="1422">
        <v>0</v>
      </c>
      <c r="EI18" s="1420">
        <v>222.41</v>
      </c>
      <c r="EJ18" s="1422">
        <v>500</v>
      </c>
      <c r="EK18" s="1422">
        <v>0</v>
      </c>
      <c r="EL18" s="1422">
        <v>0</v>
      </c>
      <c r="EM18" s="1420">
        <v>806025.04</v>
      </c>
      <c r="EN18" s="1420">
        <v>808081.38</v>
      </c>
      <c r="EO18" s="1420">
        <v>1914847.12</v>
      </c>
      <c r="EP18" s="1420">
        <v>6745875.6100000003</v>
      </c>
      <c r="EQ18" s="1420">
        <v>1168577.31</v>
      </c>
      <c r="ER18" s="1420">
        <v>1203021.76</v>
      </c>
      <c r="ES18" s="1422">
        <v>0</v>
      </c>
      <c r="ET18" s="1422">
        <v>0</v>
      </c>
      <c r="EU18" s="1420">
        <v>15382367.57</v>
      </c>
      <c r="EV18" s="1420">
        <v>21184330.75</v>
      </c>
      <c r="EW18" s="1420">
        <v>2066363.23</v>
      </c>
      <c r="EX18" s="1420">
        <v>6975150.6100000003</v>
      </c>
      <c r="EY18" s="1420">
        <v>1168577.31</v>
      </c>
      <c r="EZ18" s="1420">
        <v>1203021.76</v>
      </c>
      <c r="FA18" s="1420">
        <v>12147427.029999999</v>
      </c>
      <c r="FB18" s="1420">
        <v>13006158.380000001</v>
      </c>
      <c r="FC18" s="1420">
        <v>476689.23</v>
      </c>
      <c r="FD18" s="1439"/>
      <c r="FE18" s="1420">
        <v>11670737.800000001</v>
      </c>
      <c r="FF18" s="1439"/>
      <c r="FG18" s="1422">
        <v>7507</v>
      </c>
      <c r="FH18" s="1439"/>
      <c r="FI18" s="1420">
        <v>100.06</v>
      </c>
      <c r="FJ18" s="1439"/>
      <c r="FK18" s="1422">
        <v>46299</v>
      </c>
      <c r="FL18" s="1439"/>
      <c r="FM18" s="1420">
        <v>104.58</v>
      </c>
      <c r="FN18" s="1439"/>
      <c r="FO18" s="1422">
        <v>48050</v>
      </c>
      <c r="FP18" s="1439"/>
      <c r="FQ18" s="1420">
        <v>1662833.04</v>
      </c>
      <c r="FR18" s="1439"/>
      <c r="FS18" s="1420">
        <v>20467.419999999998</v>
      </c>
      <c r="FT18" s="1439"/>
      <c r="FU18" s="1422">
        <v>0</v>
      </c>
      <c r="FV18" s="1439"/>
      <c r="FW18" s="1420">
        <v>1642365.62</v>
      </c>
      <c r="FX18" s="1439"/>
      <c r="FY18" s="1420">
        <v>8909575.6899999995</v>
      </c>
      <c r="FZ18" s="1439"/>
      <c r="GA18" s="1422">
        <v>0</v>
      </c>
      <c r="GB18" s="1439"/>
    </row>
    <row r="19" spans="1:184" ht="12.75" customHeight="1" thickBot="1">
      <c r="A19" s="1418" t="s">
        <v>613</v>
      </c>
      <c r="B19" s="1418" t="s">
        <v>614</v>
      </c>
      <c r="C19" s="1420">
        <v>124.64</v>
      </c>
      <c r="D19" s="1439"/>
      <c r="E19" s="1420">
        <v>517.76</v>
      </c>
      <c r="F19" s="1439"/>
      <c r="G19" s="1421">
        <v>-0.02</v>
      </c>
      <c r="H19" s="1439"/>
      <c r="I19" s="1420">
        <v>554.21</v>
      </c>
      <c r="J19" s="1439"/>
      <c r="K19" s="1420">
        <v>579.07000000000005</v>
      </c>
      <c r="L19" s="1439"/>
      <c r="M19" s="1422">
        <v>26852310</v>
      </c>
      <c r="N19" s="1439"/>
      <c r="O19" s="1420">
        <v>25.6</v>
      </c>
      <c r="P19" s="1439"/>
      <c r="Q19" s="1422">
        <v>25</v>
      </c>
      <c r="R19" s="1439"/>
      <c r="S19" s="1420">
        <v>0.6</v>
      </c>
      <c r="T19" s="1439"/>
      <c r="U19" s="1422">
        <v>0</v>
      </c>
      <c r="V19" s="1439"/>
      <c r="W19" s="1422">
        <v>8</v>
      </c>
      <c r="X19" s="1439"/>
      <c r="Y19" s="1420">
        <v>33.6</v>
      </c>
      <c r="Z19" s="1439"/>
      <c r="AA19" s="1420">
        <v>1458903.6</v>
      </c>
      <c r="AB19" s="1455"/>
      <c r="AC19" s="1424">
        <v>800129.77</v>
      </c>
      <c r="AD19" s="1422">
        <v>793000</v>
      </c>
      <c r="AE19" s="1420">
        <v>185052.39</v>
      </c>
      <c r="AF19" s="1422">
        <v>88375</v>
      </c>
      <c r="AG19" s="1420">
        <v>7311.75</v>
      </c>
      <c r="AH19" s="1456">
        <v>0</v>
      </c>
      <c r="AI19" s="1428">
        <v>2843527</v>
      </c>
      <c r="AJ19" s="1422">
        <v>2747738</v>
      </c>
      <c r="AK19" s="1422">
        <v>30934</v>
      </c>
      <c r="AL19" s="1422">
        <v>20000</v>
      </c>
      <c r="AM19" s="1422">
        <v>0</v>
      </c>
      <c r="AN19" s="1422">
        <v>0</v>
      </c>
      <c r="AO19" s="1422">
        <v>994</v>
      </c>
      <c r="AP19" s="1422">
        <v>76093</v>
      </c>
      <c r="AQ19" s="1422">
        <v>0</v>
      </c>
      <c r="AR19" s="1422">
        <v>0</v>
      </c>
      <c r="AS19" s="1422">
        <v>0</v>
      </c>
      <c r="AT19" s="1422">
        <v>0</v>
      </c>
      <c r="AU19" s="1422">
        <v>18424</v>
      </c>
      <c r="AV19" s="1422">
        <v>14739</v>
      </c>
      <c r="AW19" s="1422">
        <v>0</v>
      </c>
      <c r="AX19" s="1422">
        <v>0</v>
      </c>
      <c r="AY19" s="1420">
        <v>3886372.91</v>
      </c>
      <c r="AZ19" s="1422">
        <v>3739945</v>
      </c>
      <c r="BA19" s="1422">
        <v>0</v>
      </c>
      <c r="BB19" s="1422">
        <v>0</v>
      </c>
      <c r="BC19" s="1422">
        <v>23950</v>
      </c>
      <c r="BD19" s="1422">
        <v>23491</v>
      </c>
      <c r="BE19" s="1422">
        <v>0</v>
      </c>
      <c r="BF19" s="1422">
        <v>0</v>
      </c>
      <c r="BG19" s="1422">
        <v>400</v>
      </c>
      <c r="BH19" s="1422">
        <v>400</v>
      </c>
      <c r="BI19" s="1422">
        <v>19299</v>
      </c>
      <c r="BJ19" s="1422">
        <v>27689</v>
      </c>
      <c r="BK19" s="1422">
        <v>0</v>
      </c>
      <c r="BL19" s="1422">
        <v>0</v>
      </c>
      <c r="BM19" s="1422">
        <v>160704</v>
      </c>
      <c r="BN19" s="1420">
        <v>198852.57</v>
      </c>
      <c r="BO19" s="1420">
        <v>18663.28</v>
      </c>
      <c r="BP19" s="1422">
        <v>45000</v>
      </c>
      <c r="BQ19" s="1422">
        <v>4875</v>
      </c>
      <c r="BR19" s="1422">
        <v>11375</v>
      </c>
      <c r="BS19" s="1420">
        <v>2237.61</v>
      </c>
      <c r="BT19" s="1422">
        <v>2200</v>
      </c>
      <c r="BU19" s="1422">
        <v>0</v>
      </c>
      <c r="BV19" s="1422">
        <v>0</v>
      </c>
      <c r="BW19" s="1422">
        <v>0</v>
      </c>
      <c r="BX19" s="1422">
        <v>0</v>
      </c>
      <c r="BY19" s="1422">
        <v>0</v>
      </c>
      <c r="BZ19" s="1422">
        <v>0</v>
      </c>
      <c r="CA19" s="1422">
        <v>23053</v>
      </c>
      <c r="CB19" s="1422">
        <v>20047</v>
      </c>
      <c r="CC19" s="1420">
        <v>253181.89</v>
      </c>
      <c r="CD19" s="1420">
        <v>329054.57</v>
      </c>
      <c r="CE19" s="1420">
        <v>726790.34</v>
      </c>
      <c r="CF19" s="1420">
        <v>633537.65</v>
      </c>
      <c r="CG19" s="1422">
        <v>0</v>
      </c>
      <c r="CH19" s="1422">
        <v>128125</v>
      </c>
      <c r="CI19" s="1422">
        <v>0</v>
      </c>
      <c r="CJ19" s="1422">
        <v>0</v>
      </c>
      <c r="CK19" s="1422">
        <v>0</v>
      </c>
      <c r="CL19" s="1422">
        <v>0</v>
      </c>
      <c r="CM19" s="1422">
        <v>0</v>
      </c>
      <c r="CN19" s="1422">
        <v>0</v>
      </c>
      <c r="CO19" s="1422">
        <v>0</v>
      </c>
      <c r="CP19" s="1422">
        <v>0</v>
      </c>
      <c r="CQ19" s="1422">
        <v>0</v>
      </c>
      <c r="CR19" s="1422">
        <v>0</v>
      </c>
      <c r="CS19" s="1422">
        <v>0</v>
      </c>
      <c r="CT19" s="1422">
        <v>128125</v>
      </c>
      <c r="CU19" s="1420">
        <v>4866345.1399999997</v>
      </c>
      <c r="CV19" s="1420">
        <v>4830662.22</v>
      </c>
      <c r="CW19" s="1420">
        <v>2110902.12</v>
      </c>
      <c r="CX19" s="1420">
        <v>1837085.64</v>
      </c>
      <c r="CY19" s="1420">
        <v>410177.25</v>
      </c>
      <c r="CZ19" s="1420">
        <v>438892.9</v>
      </c>
      <c r="DA19" s="1420">
        <v>186497.84</v>
      </c>
      <c r="DB19" s="1420">
        <v>183522.06</v>
      </c>
      <c r="DC19" s="1422">
        <v>0</v>
      </c>
      <c r="DD19" s="1422">
        <v>0</v>
      </c>
      <c r="DE19" s="1420">
        <v>155778.47</v>
      </c>
      <c r="DF19" s="1420">
        <v>171011.1</v>
      </c>
      <c r="DG19" s="1420">
        <v>95201.69</v>
      </c>
      <c r="DH19" s="1420">
        <v>73523.5</v>
      </c>
      <c r="DI19" s="1420">
        <v>2958557.37</v>
      </c>
      <c r="DJ19" s="1420">
        <v>2704035.2</v>
      </c>
      <c r="DK19" s="1420">
        <v>134107.31</v>
      </c>
      <c r="DL19" s="1420">
        <v>142909.78</v>
      </c>
      <c r="DM19" s="1420">
        <v>78356.58</v>
      </c>
      <c r="DN19" s="1420">
        <v>69741.95</v>
      </c>
      <c r="DO19" s="1420">
        <v>405372.46</v>
      </c>
      <c r="DP19" s="1420">
        <v>421924.46</v>
      </c>
      <c r="DQ19" s="1420">
        <v>233759.58</v>
      </c>
      <c r="DR19" s="1420">
        <v>216120.72</v>
      </c>
      <c r="DS19" s="1420">
        <v>18306.97</v>
      </c>
      <c r="DT19" s="1422">
        <v>2554</v>
      </c>
      <c r="DU19" s="1420">
        <v>869902.9</v>
      </c>
      <c r="DV19" s="1420">
        <v>853250.91</v>
      </c>
      <c r="DW19" s="1420">
        <v>155358.29</v>
      </c>
      <c r="DX19" s="1420">
        <v>153418.67000000001</v>
      </c>
      <c r="DY19" s="1420">
        <v>290331.34000000003</v>
      </c>
      <c r="DZ19" s="1422">
        <v>282163</v>
      </c>
      <c r="EA19" s="1420">
        <v>283145.25</v>
      </c>
      <c r="EB19" s="1420">
        <v>283028.56</v>
      </c>
      <c r="EC19" s="1420">
        <v>728834.88</v>
      </c>
      <c r="ED19" s="1420">
        <v>718610.23</v>
      </c>
      <c r="EE19" s="1420">
        <v>250244.19</v>
      </c>
      <c r="EF19" s="1420">
        <v>211962.89</v>
      </c>
      <c r="EG19" s="1420">
        <v>9576.77</v>
      </c>
      <c r="EH19" s="1422">
        <v>0</v>
      </c>
      <c r="EI19" s="1420">
        <v>2296.9699999999998</v>
      </c>
      <c r="EJ19" s="1422">
        <v>3000</v>
      </c>
      <c r="EK19" s="1422">
        <v>0</v>
      </c>
      <c r="EL19" s="1422">
        <v>0</v>
      </c>
      <c r="EM19" s="1420">
        <v>262117.93</v>
      </c>
      <c r="EN19" s="1420">
        <v>214962.89</v>
      </c>
      <c r="EO19" s="1420">
        <v>3324.46</v>
      </c>
      <c r="EP19" s="1422">
        <v>151382</v>
      </c>
      <c r="EQ19" s="1420">
        <v>126306.98</v>
      </c>
      <c r="ER19" s="1422">
        <v>139756</v>
      </c>
      <c r="ES19" s="1422">
        <v>44268</v>
      </c>
      <c r="ET19" s="1422">
        <v>0</v>
      </c>
      <c r="EU19" s="1420">
        <v>4993312.5199999996</v>
      </c>
      <c r="EV19" s="1420">
        <v>4781997.2300000004</v>
      </c>
      <c r="EW19" s="1420">
        <v>60303.85</v>
      </c>
      <c r="EX19" s="1420">
        <v>200367.88</v>
      </c>
      <c r="EY19" s="1420">
        <v>126306.98</v>
      </c>
      <c r="EZ19" s="1422">
        <v>139756</v>
      </c>
      <c r="FA19" s="1420">
        <v>4806701.6900000004</v>
      </c>
      <c r="FB19" s="1420">
        <v>4441873.3499999996</v>
      </c>
      <c r="FC19" s="1420">
        <v>202169.56</v>
      </c>
      <c r="FD19" s="1439"/>
      <c r="FE19" s="1420">
        <v>4604532.13</v>
      </c>
      <c r="FF19" s="1439"/>
      <c r="FG19" s="1422">
        <v>8893</v>
      </c>
      <c r="FH19" s="1439"/>
      <c r="FI19" s="1420">
        <v>56.37</v>
      </c>
      <c r="FJ19" s="1439"/>
      <c r="FK19" s="1422">
        <v>33649</v>
      </c>
      <c r="FL19" s="1439"/>
      <c r="FM19" s="1420">
        <v>59.37</v>
      </c>
      <c r="FN19" s="1439"/>
      <c r="FO19" s="1422">
        <v>35755</v>
      </c>
      <c r="FP19" s="1439"/>
      <c r="FQ19" s="1420">
        <v>412328.56</v>
      </c>
      <c r="FR19" s="1439"/>
      <c r="FS19" s="1420">
        <v>32206.76</v>
      </c>
      <c r="FT19" s="1439"/>
      <c r="FU19" s="1422">
        <v>0</v>
      </c>
      <c r="FV19" s="1439"/>
      <c r="FW19" s="1420">
        <v>380121.8</v>
      </c>
      <c r="FX19" s="1439"/>
      <c r="FY19" s="1420">
        <v>172431.5</v>
      </c>
      <c r="FZ19" s="1439"/>
      <c r="GA19" s="1422">
        <v>0</v>
      </c>
      <c r="GB19" s="1439"/>
    </row>
    <row r="20" spans="1:184" ht="12.75" customHeight="1" thickBot="1">
      <c r="A20" s="1418" t="s">
        <v>615</v>
      </c>
      <c r="B20" s="1418" t="s">
        <v>616</v>
      </c>
      <c r="C20" s="1420">
        <v>114.78</v>
      </c>
      <c r="D20" s="1439"/>
      <c r="E20" s="1420">
        <v>1005.5</v>
      </c>
      <c r="F20" s="1439"/>
      <c r="G20" s="1421">
        <v>0.1</v>
      </c>
      <c r="H20" s="1439"/>
      <c r="I20" s="1420">
        <v>1066.67</v>
      </c>
      <c r="J20" s="1439"/>
      <c r="K20" s="1420">
        <v>1084.53</v>
      </c>
      <c r="L20" s="1439"/>
      <c r="M20" s="1422">
        <v>47818131</v>
      </c>
      <c r="N20" s="1439"/>
      <c r="O20" s="1422">
        <v>25</v>
      </c>
      <c r="P20" s="1439"/>
      <c r="Q20" s="1422">
        <v>25</v>
      </c>
      <c r="R20" s="1439"/>
      <c r="S20" s="1422">
        <v>0</v>
      </c>
      <c r="T20" s="1439"/>
      <c r="U20" s="1422">
        <v>0</v>
      </c>
      <c r="V20" s="1439"/>
      <c r="W20" s="1422">
        <v>7</v>
      </c>
      <c r="X20" s="1439"/>
      <c r="Y20" s="1422">
        <v>32</v>
      </c>
      <c r="Z20" s="1439"/>
      <c r="AA20" s="1420">
        <v>2604113.2000000002</v>
      </c>
      <c r="AB20" s="1455"/>
      <c r="AC20" s="1424">
        <v>1425403.98</v>
      </c>
      <c r="AD20" s="1422">
        <v>1292800</v>
      </c>
      <c r="AE20" s="1420">
        <v>424383.98</v>
      </c>
      <c r="AF20" s="1422">
        <v>199781</v>
      </c>
      <c r="AG20" s="1420">
        <v>2624.97</v>
      </c>
      <c r="AH20" s="1456">
        <v>2000</v>
      </c>
      <c r="AI20" s="1428">
        <v>5394553</v>
      </c>
      <c r="AJ20" s="1422">
        <v>5373782</v>
      </c>
      <c r="AK20" s="1422">
        <v>76409</v>
      </c>
      <c r="AL20" s="1422">
        <v>0</v>
      </c>
      <c r="AM20" s="1422">
        <v>55908</v>
      </c>
      <c r="AN20" s="1422">
        <v>0</v>
      </c>
      <c r="AO20" s="1422">
        <v>0</v>
      </c>
      <c r="AP20" s="1422">
        <v>59013</v>
      </c>
      <c r="AQ20" s="1422">
        <v>0</v>
      </c>
      <c r="AR20" s="1422">
        <v>0</v>
      </c>
      <c r="AS20" s="1422">
        <v>0</v>
      </c>
      <c r="AT20" s="1422">
        <v>0</v>
      </c>
      <c r="AU20" s="1422">
        <v>28316</v>
      </c>
      <c r="AV20" s="1422">
        <v>11326</v>
      </c>
      <c r="AW20" s="1422">
        <v>0</v>
      </c>
      <c r="AX20" s="1422">
        <v>0</v>
      </c>
      <c r="AY20" s="1420">
        <v>7407598.9299999997</v>
      </c>
      <c r="AZ20" s="1422">
        <v>6938702</v>
      </c>
      <c r="BA20" s="1422">
        <v>0</v>
      </c>
      <c r="BB20" s="1422">
        <v>0</v>
      </c>
      <c r="BC20" s="1422">
        <v>44856</v>
      </c>
      <c r="BD20" s="1422">
        <v>45148</v>
      </c>
      <c r="BE20" s="1420">
        <v>5150.3500000000004</v>
      </c>
      <c r="BF20" s="1422">
        <v>4800</v>
      </c>
      <c r="BG20" s="1422">
        <v>650</v>
      </c>
      <c r="BH20" s="1422">
        <v>0</v>
      </c>
      <c r="BI20" s="1422">
        <v>104947</v>
      </c>
      <c r="BJ20" s="1422">
        <v>110133</v>
      </c>
      <c r="BK20" s="1422">
        <v>0</v>
      </c>
      <c r="BL20" s="1422">
        <v>0</v>
      </c>
      <c r="BM20" s="1422">
        <v>274784</v>
      </c>
      <c r="BN20" s="1420">
        <v>248565.44</v>
      </c>
      <c r="BO20" s="1420">
        <v>4442.9399999999996</v>
      </c>
      <c r="BP20" s="1422">
        <v>0</v>
      </c>
      <c r="BQ20" s="1420">
        <v>10562.52</v>
      </c>
      <c r="BR20" s="1422">
        <v>3250</v>
      </c>
      <c r="BS20" s="1420">
        <v>4368.76</v>
      </c>
      <c r="BT20" s="1422">
        <v>4313</v>
      </c>
      <c r="BU20" s="1422">
        <v>0</v>
      </c>
      <c r="BV20" s="1422">
        <v>0</v>
      </c>
      <c r="BW20" s="1422">
        <v>0</v>
      </c>
      <c r="BX20" s="1422">
        <v>0</v>
      </c>
      <c r="BY20" s="1422">
        <v>0</v>
      </c>
      <c r="BZ20" s="1422">
        <v>0</v>
      </c>
      <c r="CA20" s="1422">
        <v>66455</v>
      </c>
      <c r="CB20" s="1422">
        <v>60235</v>
      </c>
      <c r="CC20" s="1420">
        <v>516216.57</v>
      </c>
      <c r="CD20" s="1420">
        <v>476444.44</v>
      </c>
      <c r="CE20" s="1420">
        <v>1259017.56</v>
      </c>
      <c r="CF20" s="1420">
        <v>885240.26</v>
      </c>
      <c r="CG20" s="1420">
        <v>6355.9</v>
      </c>
      <c r="CH20" s="1422">
        <v>0</v>
      </c>
      <c r="CI20" s="1422">
        <v>0</v>
      </c>
      <c r="CJ20" s="1422">
        <v>0</v>
      </c>
      <c r="CK20" s="1422">
        <v>0</v>
      </c>
      <c r="CL20" s="1422">
        <v>0</v>
      </c>
      <c r="CM20" s="1422">
        <v>1990</v>
      </c>
      <c r="CN20" s="1422">
        <v>0</v>
      </c>
      <c r="CO20" s="1422">
        <v>0</v>
      </c>
      <c r="CP20" s="1422">
        <v>0</v>
      </c>
      <c r="CQ20" s="1422">
        <v>0</v>
      </c>
      <c r="CR20" s="1422">
        <v>0</v>
      </c>
      <c r="CS20" s="1420">
        <v>8345.9</v>
      </c>
      <c r="CT20" s="1422">
        <v>0</v>
      </c>
      <c r="CU20" s="1420">
        <v>9191178.9600000009</v>
      </c>
      <c r="CV20" s="1420">
        <v>8300386.7000000002</v>
      </c>
      <c r="CW20" s="1420">
        <v>3798102.28</v>
      </c>
      <c r="CX20" s="1420">
        <v>3497769.24</v>
      </c>
      <c r="CY20" s="1420">
        <v>634152.68999999994</v>
      </c>
      <c r="CZ20" s="1420">
        <v>560512.71</v>
      </c>
      <c r="DA20" s="1420">
        <v>326361.75</v>
      </c>
      <c r="DB20" s="1420">
        <v>329476.18</v>
      </c>
      <c r="DC20" s="1422">
        <v>0</v>
      </c>
      <c r="DD20" s="1422">
        <v>0</v>
      </c>
      <c r="DE20" s="1420">
        <v>542127.21</v>
      </c>
      <c r="DF20" s="1420">
        <v>391797.72</v>
      </c>
      <c r="DG20" s="1420">
        <v>184921.96</v>
      </c>
      <c r="DH20" s="1420">
        <v>186366.49</v>
      </c>
      <c r="DI20" s="1420">
        <v>5485665.8899999997</v>
      </c>
      <c r="DJ20" s="1420">
        <v>4965922.34</v>
      </c>
      <c r="DK20" s="1420">
        <v>164321.67000000001</v>
      </c>
      <c r="DL20" s="1420">
        <v>171734.49</v>
      </c>
      <c r="DM20" s="1420">
        <v>50478.84</v>
      </c>
      <c r="DN20" s="1420">
        <v>145901.16</v>
      </c>
      <c r="DO20" s="1420">
        <v>727502.76</v>
      </c>
      <c r="DP20" s="1420">
        <v>839297.54</v>
      </c>
      <c r="DQ20" s="1420">
        <v>385240.3</v>
      </c>
      <c r="DR20" s="1420">
        <v>367195.97</v>
      </c>
      <c r="DS20" s="1420">
        <v>35537.879999999997</v>
      </c>
      <c r="DT20" s="1422">
        <v>35322</v>
      </c>
      <c r="DU20" s="1420">
        <v>1363081.45</v>
      </c>
      <c r="DV20" s="1420">
        <v>1559451.16</v>
      </c>
      <c r="DW20" s="1420">
        <v>330420.40000000002</v>
      </c>
      <c r="DX20" s="1420">
        <v>314606.64</v>
      </c>
      <c r="DY20" s="1420">
        <v>420159.78</v>
      </c>
      <c r="DZ20" s="1420">
        <v>444592.88</v>
      </c>
      <c r="EA20" s="1420">
        <v>350597.74</v>
      </c>
      <c r="EB20" s="1420">
        <v>352168.78</v>
      </c>
      <c r="EC20" s="1420">
        <v>1101177.92</v>
      </c>
      <c r="ED20" s="1420">
        <v>1111368.3</v>
      </c>
      <c r="EE20" s="1420">
        <v>515136.35</v>
      </c>
      <c r="EF20" s="1420">
        <v>511814.62</v>
      </c>
      <c r="EG20" s="1422">
        <v>0</v>
      </c>
      <c r="EH20" s="1422">
        <v>0</v>
      </c>
      <c r="EI20" s="1420">
        <v>285.77</v>
      </c>
      <c r="EJ20" s="1422">
        <v>6000</v>
      </c>
      <c r="EK20" s="1422">
        <v>0</v>
      </c>
      <c r="EL20" s="1422">
        <v>0</v>
      </c>
      <c r="EM20" s="1420">
        <v>515422.12</v>
      </c>
      <c r="EN20" s="1420">
        <v>517814.62</v>
      </c>
      <c r="EO20" s="1422">
        <v>35450</v>
      </c>
      <c r="EP20" s="1422">
        <v>479698</v>
      </c>
      <c r="EQ20" s="1420">
        <v>46614.07</v>
      </c>
      <c r="ER20" s="1422">
        <v>135661</v>
      </c>
      <c r="ES20" s="1420">
        <v>20.89</v>
      </c>
      <c r="ET20" s="1422">
        <v>0</v>
      </c>
      <c r="EU20" s="1420">
        <v>8547432.3399999999</v>
      </c>
      <c r="EV20" s="1420">
        <v>8769915.4199999999</v>
      </c>
      <c r="EW20" s="1420">
        <v>160255.85</v>
      </c>
      <c r="EX20" s="1422">
        <v>591045</v>
      </c>
      <c r="EY20" s="1420">
        <v>46614.07</v>
      </c>
      <c r="EZ20" s="1422">
        <v>135661</v>
      </c>
      <c r="FA20" s="1420">
        <v>8340562.4199999999</v>
      </c>
      <c r="FB20" s="1420">
        <v>8043209.4199999999</v>
      </c>
      <c r="FC20" s="1422">
        <v>313825</v>
      </c>
      <c r="FD20" s="1439"/>
      <c r="FE20" s="1420">
        <v>8026737.4199999999</v>
      </c>
      <c r="FF20" s="1439"/>
      <c r="FG20" s="1422">
        <v>7982</v>
      </c>
      <c r="FH20" s="1439"/>
      <c r="FI20" s="1420">
        <v>81.709999999999994</v>
      </c>
      <c r="FJ20" s="1439"/>
      <c r="FK20" s="1422">
        <v>41027</v>
      </c>
      <c r="FL20" s="1439"/>
      <c r="FM20" s="1420">
        <v>86.77</v>
      </c>
      <c r="FN20" s="1439"/>
      <c r="FO20" s="1422">
        <v>42539</v>
      </c>
      <c r="FP20" s="1439"/>
      <c r="FQ20" s="1420">
        <v>2209073.62</v>
      </c>
      <c r="FR20" s="1439"/>
      <c r="FS20" s="1420">
        <v>7538.05</v>
      </c>
      <c r="FT20" s="1439"/>
      <c r="FU20" s="1422">
        <v>0</v>
      </c>
      <c r="FV20" s="1439"/>
      <c r="FW20" s="1420">
        <v>2201535.5699999998</v>
      </c>
      <c r="FX20" s="1439"/>
      <c r="FY20" s="1420">
        <v>512708.21</v>
      </c>
      <c r="FZ20" s="1439"/>
      <c r="GA20" s="1422">
        <v>0</v>
      </c>
      <c r="GB20" s="1439"/>
    </row>
    <row r="21" spans="1:184" ht="12.75" customHeight="1" thickBot="1">
      <c r="A21" s="1418" t="s">
        <v>617</v>
      </c>
      <c r="B21" s="1418" t="s">
        <v>618</v>
      </c>
      <c r="C21" s="1420">
        <v>209.17</v>
      </c>
      <c r="D21" s="1439"/>
      <c r="E21" s="1420">
        <v>2580.12</v>
      </c>
      <c r="F21" s="1439"/>
      <c r="G21" s="1421">
        <v>-0.02</v>
      </c>
      <c r="H21" s="1439"/>
      <c r="I21" s="1420">
        <v>2743.08</v>
      </c>
      <c r="J21" s="1439"/>
      <c r="K21" s="1420">
        <v>2766.07</v>
      </c>
      <c r="L21" s="1439"/>
      <c r="M21" s="1422">
        <v>324769058</v>
      </c>
      <c r="N21" s="1439"/>
      <c r="O21" s="1422">
        <v>25</v>
      </c>
      <c r="P21" s="1439"/>
      <c r="Q21" s="1422">
        <v>25</v>
      </c>
      <c r="R21" s="1439"/>
      <c r="S21" s="1422">
        <v>0</v>
      </c>
      <c r="T21" s="1439"/>
      <c r="U21" s="1422">
        <v>0</v>
      </c>
      <c r="V21" s="1439"/>
      <c r="W21" s="1420">
        <v>9.3000000000000007</v>
      </c>
      <c r="X21" s="1439"/>
      <c r="Y21" s="1420">
        <v>34.299999999999997</v>
      </c>
      <c r="Z21" s="1439"/>
      <c r="AA21" s="1422">
        <v>18220000</v>
      </c>
      <c r="AB21" s="1455"/>
      <c r="AC21" s="1424">
        <v>10588975.52</v>
      </c>
      <c r="AD21" s="1422">
        <v>10861177</v>
      </c>
      <c r="AE21" s="1420">
        <v>1334043.3799999999</v>
      </c>
      <c r="AF21" s="1422">
        <v>154034</v>
      </c>
      <c r="AG21" s="1422">
        <v>0</v>
      </c>
      <c r="AH21" s="1456">
        <v>0</v>
      </c>
      <c r="AI21" s="1428">
        <v>8857707</v>
      </c>
      <c r="AJ21" s="1422">
        <v>8999675</v>
      </c>
      <c r="AK21" s="1422">
        <v>384097</v>
      </c>
      <c r="AL21" s="1422">
        <v>0</v>
      </c>
      <c r="AM21" s="1422">
        <v>0</v>
      </c>
      <c r="AN21" s="1422">
        <v>0</v>
      </c>
      <c r="AO21" s="1422">
        <v>136210</v>
      </c>
      <c r="AP21" s="1422">
        <v>19046</v>
      </c>
      <c r="AQ21" s="1422">
        <v>0</v>
      </c>
      <c r="AR21" s="1422">
        <v>0</v>
      </c>
      <c r="AS21" s="1422">
        <v>0</v>
      </c>
      <c r="AT21" s="1422">
        <v>0</v>
      </c>
      <c r="AU21" s="1422">
        <v>0</v>
      </c>
      <c r="AV21" s="1422">
        <v>0</v>
      </c>
      <c r="AW21" s="1422">
        <v>0</v>
      </c>
      <c r="AX21" s="1422">
        <v>8000</v>
      </c>
      <c r="AY21" s="1420">
        <v>21301032.899999999</v>
      </c>
      <c r="AZ21" s="1422">
        <v>20041932</v>
      </c>
      <c r="BA21" s="1422">
        <v>0</v>
      </c>
      <c r="BB21" s="1422">
        <v>0</v>
      </c>
      <c r="BC21" s="1422">
        <v>114405</v>
      </c>
      <c r="BD21" s="1422">
        <v>116963</v>
      </c>
      <c r="BE21" s="1422">
        <v>2800</v>
      </c>
      <c r="BF21" s="1422">
        <v>4600</v>
      </c>
      <c r="BG21" s="1422">
        <v>1900</v>
      </c>
      <c r="BH21" s="1422">
        <v>2000</v>
      </c>
      <c r="BI21" s="1422">
        <v>132169</v>
      </c>
      <c r="BJ21" s="1422">
        <v>123604</v>
      </c>
      <c r="BK21" s="1422">
        <v>3223</v>
      </c>
      <c r="BL21" s="1422">
        <v>3200</v>
      </c>
      <c r="BM21" s="1422">
        <v>652736</v>
      </c>
      <c r="BN21" s="1422">
        <v>724086</v>
      </c>
      <c r="BO21" s="1420">
        <v>211923.08</v>
      </c>
      <c r="BP21" s="1422">
        <v>198200</v>
      </c>
      <c r="BQ21" s="1420">
        <v>28437.52</v>
      </c>
      <c r="BR21" s="1422">
        <v>22750</v>
      </c>
      <c r="BS21" s="1420">
        <v>9880.99</v>
      </c>
      <c r="BT21" s="1422">
        <v>0</v>
      </c>
      <c r="BU21" s="1422">
        <v>0</v>
      </c>
      <c r="BV21" s="1422">
        <v>0</v>
      </c>
      <c r="BW21" s="1422">
        <v>97200</v>
      </c>
      <c r="BX21" s="1422">
        <v>97200</v>
      </c>
      <c r="BY21" s="1422">
        <v>0</v>
      </c>
      <c r="BZ21" s="1422">
        <v>0</v>
      </c>
      <c r="CA21" s="1420">
        <v>1020687.81</v>
      </c>
      <c r="CB21" s="1422">
        <v>283675</v>
      </c>
      <c r="CC21" s="1420">
        <v>2275362.4</v>
      </c>
      <c r="CD21" s="1422">
        <v>1576278</v>
      </c>
      <c r="CE21" s="1420">
        <v>4248218.2</v>
      </c>
      <c r="CF21" s="1422">
        <v>1899362</v>
      </c>
      <c r="CG21" s="1420">
        <v>5608.11</v>
      </c>
      <c r="CH21" s="1422">
        <v>0</v>
      </c>
      <c r="CI21" s="1422">
        <v>0</v>
      </c>
      <c r="CJ21" s="1422">
        <v>0</v>
      </c>
      <c r="CK21" s="1420">
        <v>23755.200000000001</v>
      </c>
      <c r="CL21" s="1422">
        <v>13000</v>
      </c>
      <c r="CM21" s="1422">
        <v>1698</v>
      </c>
      <c r="CN21" s="1422">
        <v>500</v>
      </c>
      <c r="CO21" s="1420">
        <v>11420.35</v>
      </c>
      <c r="CP21" s="1422">
        <v>50000</v>
      </c>
      <c r="CQ21" s="1422">
        <v>0</v>
      </c>
      <c r="CR21" s="1422">
        <v>0</v>
      </c>
      <c r="CS21" s="1420">
        <v>42481.66</v>
      </c>
      <c r="CT21" s="1422">
        <v>63500</v>
      </c>
      <c r="CU21" s="1420">
        <v>27867095.16</v>
      </c>
      <c r="CV21" s="1422">
        <v>23581072</v>
      </c>
      <c r="CW21" s="1420">
        <v>9281872.6999999993</v>
      </c>
      <c r="CX21" s="1422">
        <v>8594313</v>
      </c>
      <c r="CY21" s="1420">
        <v>1973613.07</v>
      </c>
      <c r="CZ21" s="1422">
        <v>2465145</v>
      </c>
      <c r="DA21" s="1420">
        <v>796483.26</v>
      </c>
      <c r="DB21" s="1422">
        <v>628611</v>
      </c>
      <c r="DC21" s="1422">
        <v>0</v>
      </c>
      <c r="DD21" s="1422">
        <v>0</v>
      </c>
      <c r="DE21" s="1420">
        <v>788444.51</v>
      </c>
      <c r="DF21" s="1420">
        <v>678414.2</v>
      </c>
      <c r="DG21" s="1420">
        <v>1251199.6399999999</v>
      </c>
      <c r="DH21" s="1422">
        <v>1175204</v>
      </c>
      <c r="DI21" s="1420">
        <v>14091613.18</v>
      </c>
      <c r="DJ21" s="1420">
        <v>13541687.199999999</v>
      </c>
      <c r="DK21" s="1420">
        <v>508825.7</v>
      </c>
      <c r="DL21" s="1422">
        <v>585254</v>
      </c>
      <c r="DM21" s="1420">
        <v>860430.42</v>
      </c>
      <c r="DN21" s="1422">
        <v>897002</v>
      </c>
      <c r="DO21" s="1420">
        <v>2486081.08</v>
      </c>
      <c r="DP21" s="1422">
        <v>2169721</v>
      </c>
      <c r="DQ21" s="1420">
        <v>1059850.79</v>
      </c>
      <c r="DR21" s="1422">
        <v>1077700</v>
      </c>
      <c r="DS21" s="1420">
        <v>188981.99</v>
      </c>
      <c r="DT21" s="1422">
        <v>45000</v>
      </c>
      <c r="DU21" s="1420">
        <v>5104169.9800000004</v>
      </c>
      <c r="DV21" s="1422">
        <v>4774677</v>
      </c>
      <c r="DW21" s="1420">
        <v>1488405.3</v>
      </c>
      <c r="DX21" s="1420">
        <v>1661591.08</v>
      </c>
      <c r="DY21" s="1420">
        <v>2285865.75</v>
      </c>
      <c r="DZ21" s="1422">
        <v>1576217</v>
      </c>
      <c r="EA21" s="1420">
        <v>1371395.64</v>
      </c>
      <c r="EB21" s="1422">
        <v>1330407</v>
      </c>
      <c r="EC21" s="1420">
        <v>5145666.6900000004</v>
      </c>
      <c r="ED21" s="1420">
        <v>4568215.08</v>
      </c>
      <c r="EE21" s="1420">
        <v>1405127.02</v>
      </c>
      <c r="EF21" s="1422">
        <v>610</v>
      </c>
      <c r="EG21" s="1422">
        <v>0</v>
      </c>
      <c r="EH21" s="1422">
        <v>0</v>
      </c>
      <c r="EI21" s="1420">
        <v>9065.7000000000007</v>
      </c>
      <c r="EJ21" s="1422">
        <v>0</v>
      </c>
      <c r="EK21" s="1422">
        <v>0</v>
      </c>
      <c r="EL21" s="1422">
        <v>0</v>
      </c>
      <c r="EM21" s="1420">
        <v>1414192.72</v>
      </c>
      <c r="EN21" s="1422">
        <v>610</v>
      </c>
      <c r="EO21" s="1420">
        <v>3137747.27</v>
      </c>
      <c r="EP21" s="1422">
        <v>504000</v>
      </c>
      <c r="EQ21" s="1420">
        <v>1042851.6</v>
      </c>
      <c r="ER21" s="1422">
        <v>1130586</v>
      </c>
      <c r="ES21" s="1420">
        <v>514.94000000000005</v>
      </c>
      <c r="ET21" s="1422">
        <v>0</v>
      </c>
      <c r="EU21" s="1420">
        <v>29936756.379999999</v>
      </c>
      <c r="EV21" s="1420">
        <v>24519775.280000001</v>
      </c>
      <c r="EW21" s="1420">
        <v>4580673.6399999997</v>
      </c>
      <c r="EX21" s="1422">
        <v>961900</v>
      </c>
      <c r="EY21" s="1420">
        <v>1042851.6</v>
      </c>
      <c r="EZ21" s="1422">
        <v>1130586</v>
      </c>
      <c r="FA21" s="1420">
        <v>24313231.140000001</v>
      </c>
      <c r="FB21" s="1420">
        <v>22427289.280000001</v>
      </c>
      <c r="FC21" s="1420">
        <v>1470535.26</v>
      </c>
      <c r="FD21" s="1439"/>
      <c r="FE21" s="1420">
        <v>22842695.879999999</v>
      </c>
      <c r="FF21" s="1439"/>
      <c r="FG21" s="1422">
        <v>8853</v>
      </c>
      <c r="FH21" s="1439"/>
      <c r="FI21" s="1420">
        <v>187.33</v>
      </c>
      <c r="FJ21" s="1439"/>
      <c r="FK21" s="1422">
        <v>48255</v>
      </c>
      <c r="FL21" s="1439"/>
      <c r="FM21" s="1420">
        <v>205.98</v>
      </c>
      <c r="FN21" s="1439"/>
      <c r="FO21" s="1422">
        <v>50980</v>
      </c>
      <c r="FP21" s="1439"/>
      <c r="FQ21" s="1420">
        <v>1705321.03</v>
      </c>
      <c r="FR21" s="1439"/>
      <c r="FS21" s="1422">
        <v>0</v>
      </c>
      <c r="FT21" s="1439"/>
      <c r="FU21" s="1422">
        <v>0</v>
      </c>
      <c r="FV21" s="1439"/>
      <c r="FW21" s="1420">
        <v>1705321.03</v>
      </c>
      <c r="FX21" s="1439"/>
      <c r="FY21" s="1420">
        <v>1059823.43</v>
      </c>
      <c r="FZ21" s="1439"/>
      <c r="GA21" s="1422">
        <v>0</v>
      </c>
      <c r="GB21" s="1439"/>
    </row>
    <row r="22" spans="1:184" ht="12.75" customHeight="1" thickBot="1">
      <c r="A22" s="1418" t="s">
        <v>619</v>
      </c>
      <c r="B22" s="1418" t="s">
        <v>620</v>
      </c>
      <c r="C22" s="1420">
        <v>94.57</v>
      </c>
      <c r="D22" s="1439"/>
      <c r="E22" s="1420">
        <v>393.4</v>
      </c>
      <c r="F22" s="1439"/>
      <c r="G22" s="1421">
        <v>-0.05</v>
      </c>
      <c r="H22" s="1439"/>
      <c r="I22" s="1420">
        <v>417.09</v>
      </c>
      <c r="J22" s="1439"/>
      <c r="K22" s="1420">
        <v>422.66</v>
      </c>
      <c r="L22" s="1439"/>
      <c r="M22" s="1422">
        <v>28893080</v>
      </c>
      <c r="N22" s="1439"/>
      <c r="O22" s="1422">
        <v>25</v>
      </c>
      <c r="P22" s="1439"/>
      <c r="Q22" s="1422">
        <v>25</v>
      </c>
      <c r="R22" s="1439"/>
      <c r="S22" s="1422">
        <v>0</v>
      </c>
      <c r="T22" s="1439"/>
      <c r="U22" s="1422">
        <v>0</v>
      </c>
      <c r="V22" s="1439"/>
      <c r="W22" s="1420">
        <v>13.1</v>
      </c>
      <c r="X22" s="1439"/>
      <c r="Y22" s="1420">
        <v>38.1</v>
      </c>
      <c r="Z22" s="1439"/>
      <c r="AA22" s="1420">
        <v>2947734.89</v>
      </c>
      <c r="AB22" s="1455"/>
      <c r="AC22" s="1424">
        <v>1009585.62</v>
      </c>
      <c r="AD22" s="1422">
        <v>1032717</v>
      </c>
      <c r="AE22" s="1420">
        <v>246945.87</v>
      </c>
      <c r="AF22" s="1422">
        <v>52600</v>
      </c>
      <c r="AG22" s="1422">
        <v>0</v>
      </c>
      <c r="AH22" s="1456">
        <v>0</v>
      </c>
      <c r="AI22" s="1428">
        <v>1854104</v>
      </c>
      <c r="AJ22" s="1422">
        <v>1863000</v>
      </c>
      <c r="AK22" s="1422">
        <v>31705</v>
      </c>
      <c r="AL22" s="1422">
        <v>0</v>
      </c>
      <c r="AM22" s="1422">
        <v>0</v>
      </c>
      <c r="AN22" s="1422">
        <v>0</v>
      </c>
      <c r="AO22" s="1422">
        <v>6535</v>
      </c>
      <c r="AP22" s="1422">
        <v>12872</v>
      </c>
      <c r="AQ22" s="1422">
        <v>0</v>
      </c>
      <c r="AR22" s="1422">
        <v>0</v>
      </c>
      <c r="AS22" s="1422">
        <v>0</v>
      </c>
      <c r="AT22" s="1422">
        <v>0</v>
      </c>
      <c r="AU22" s="1422">
        <v>16776</v>
      </c>
      <c r="AV22" s="1422">
        <v>13421</v>
      </c>
      <c r="AW22" s="1422">
        <v>0</v>
      </c>
      <c r="AX22" s="1422">
        <v>0</v>
      </c>
      <c r="AY22" s="1420">
        <v>3165651.49</v>
      </c>
      <c r="AZ22" s="1422">
        <v>2974610</v>
      </c>
      <c r="BA22" s="1422">
        <v>0</v>
      </c>
      <c r="BB22" s="1422">
        <v>0</v>
      </c>
      <c r="BC22" s="1422">
        <v>17481</v>
      </c>
      <c r="BD22" s="1422">
        <v>17735</v>
      </c>
      <c r="BE22" s="1420">
        <v>4165.8100000000004</v>
      </c>
      <c r="BF22" s="1422">
        <v>0</v>
      </c>
      <c r="BG22" s="1422">
        <v>3150</v>
      </c>
      <c r="BH22" s="1422">
        <v>0</v>
      </c>
      <c r="BI22" s="1422">
        <v>21087</v>
      </c>
      <c r="BJ22" s="1422">
        <v>26652</v>
      </c>
      <c r="BK22" s="1422">
        <v>0</v>
      </c>
      <c r="BL22" s="1422">
        <v>0</v>
      </c>
      <c r="BM22" s="1422">
        <v>311488</v>
      </c>
      <c r="BN22" s="1422">
        <v>301576</v>
      </c>
      <c r="BO22" s="1420">
        <v>51587.65</v>
      </c>
      <c r="BP22" s="1422">
        <v>45000</v>
      </c>
      <c r="BQ22" s="1420">
        <v>7312.52</v>
      </c>
      <c r="BR22" s="1422">
        <v>0</v>
      </c>
      <c r="BS22" s="1420">
        <v>1813.39</v>
      </c>
      <c r="BT22" s="1422">
        <v>0</v>
      </c>
      <c r="BU22" s="1422">
        <v>0</v>
      </c>
      <c r="BV22" s="1422">
        <v>0</v>
      </c>
      <c r="BW22" s="1422">
        <v>190998</v>
      </c>
      <c r="BX22" s="1422">
        <v>194400</v>
      </c>
      <c r="BY22" s="1422">
        <v>0</v>
      </c>
      <c r="BZ22" s="1422">
        <v>0</v>
      </c>
      <c r="CA22" s="1422">
        <v>43312</v>
      </c>
      <c r="CB22" s="1422">
        <v>40534</v>
      </c>
      <c r="CC22" s="1420">
        <v>652395.37</v>
      </c>
      <c r="CD22" s="1422">
        <v>625897</v>
      </c>
      <c r="CE22" s="1420">
        <v>1176665.03</v>
      </c>
      <c r="CF22" s="1422">
        <v>580922</v>
      </c>
      <c r="CG22" s="1422">
        <v>0</v>
      </c>
      <c r="CH22" s="1422">
        <v>925000</v>
      </c>
      <c r="CI22" s="1422">
        <v>0</v>
      </c>
      <c r="CJ22" s="1422">
        <v>0</v>
      </c>
      <c r="CK22" s="1422">
        <v>0</v>
      </c>
      <c r="CL22" s="1422">
        <v>0</v>
      </c>
      <c r="CM22" s="1422">
        <v>0</v>
      </c>
      <c r="CN22" s="1422">
        <v>0</v>
      </c>
      <c r="CO22" s="1422">
        <v>0</v>
      </c>
      <c r="CP22" s="1422">
        <v>0</v>
      </c>
      <c r="CQ22" s="1422">
        <v>0</v>
      </c>
      <c r="CR22" s="1422">
        <v>0</v>
      </c>
      <c r="CS22" s="1422">
        <v>0</v>
      </c>
      <c r="CT22" s="1422">
        <v>925000</v>
      </c>
      <c r="CU22" s="1420">
        <v>4994711.8899999997</v>
      </c>
      <c r="CV22" s="1422">
        <v>5106429</v>
      </c>
      <c r="CW22" s="1420">
        <v>1886740.07</v>
      </c>
      <c r="CX22" s="1420">
        <v>2005577.95</v>
      </c>
      <c r="CY22" s="1420">
        <v>157549.72</v>
      </c>
      <c r="CZ22" s="1422">
        <v>156110</v>
      </c>
      <c r="DA22" s="1420">
        <v>106724.29</v>
      </c>
      <c r="DB22" s="1422">
        <v>108403</v>
      </c>
      <c r="DC22" s="1422">
        <v>0</v>
      </c>
      <c r="DD22" s="1422">
        <v>0</v>
      </c>
      <c r="DE22" s="1420">
        <v>140734.72</v>
      </c>
      <c r="DF22" s="1420">
        <v>142115.5</v>
      </c>
      <c r="DG22" s="1420">
        <v>179822.87</v>
      </c>
      <c r="DH22" s="1420">
        <v>180504.24</v>
      </c>
      <c r="DI22" s="1420">
        <v>2471571.67</v>
      </c>
      <c r="DJ22" s="1420">
        <v>2592710.69</v>
      </c>
      <c r="DK22" s="1420">
        <v>137283.72</v>
      </c>
      <c r="DL22" s="1422">
        <v>156019</v>
      </c>
      <c r="DM22" s="1420">
        <v>58775.83</v>
      </c>
      <c r="DN22" s="1422">
        <v>56553</v>
      </c>
      <c r="DO22" s="1420">
        <v>332487.56</v>
      </c>
      <c r="DP22" s="1422">
        <v>350236</v>
      </c>
      <c r="DQ22" s="1420">
        <v>174774.04</v>
      </c>
      <c r="DR22" s="1422">
        <v>173469</v>
      </c>
      <c r="DS22" s="1420">
        <v>1472.2</v>
      </c>
      <c r="DT22" s="1422">
        <v>1300</v>
      </c>
      <c r="DU22" s="1420">
        <v>704793.35</v>
      </c>
      <c r="DV22" s="1422">
        <v>737577</v>
      </c>
      <c r="DW22" s="1420">
        <v>160858.57</v>
      </c>
      <c r="DX22" s="1420">
        <v>150816.68</v>
      </c>
      <c r="DY22" s="1420">
        <v>427471.69</v>
      </c>
      <c r="DZ22" s="1420">
        <v>187246.16</v>
      </c>
      <c r="EA22" s="1420">
        <v>158000.54999999999</v>
      </c>
      <c r="EB22" s="1422">
        <v>160660</v>
      </c>
      <c r="EC22" s="1420">
        <v>746330.81</v>
      </c>
      <c r="ED22" s="1420">
        <v>498722.84</v>
      </c>
      <c r="EE22" s="1420">
        <v>278168.17</v>
      </c>
      <c r="EF22" s="1422">
        <v>245083</v>
      </c>
      <c r="EG22" s="1422">
        <v>0</v>
      </c>
      <c r="EH22" s="1422">
        <v>0</v>
      </c>
      <c r="EI22" s="1420">
        <v>60221.54</v>
      </c>
      <c r="EJ22" s="1422">
        <v>64754</v>
      </c>
      <c r="EK22" s="1422">
        <v>0</v>
      </c>
      <c r="EL22" s="1422">
        <v>0</v>
      </c>
      <c r="EM22" s="1420">
        <v>338389.71</v>
      </c>
      <c r="EN22" s="1422">
        <v>309837</v>
      </c>
      <c r="EO22" s="1420">
        <v>375585.28000000003</v>
      </c>
      <c r="EP22" s="1422">
        <v>965977</v>
      </c>
      <c r="EQ22" s="1420">
        <v>307961.83</v>
      </c>
      <c r="ER22" s="1422">
        <v>332188</v>
      </c>
      <c r="ES22" s="1422">
        <v>0</v>
      </c>
      <c r="ET22" s="1422">
        <v>0</v>
      </c>
      <c r="EU22" s="1420">
        <v>4944632.6500000004</v>
      </c>
      <c r="EV22" s="1420">
        <v>5437012.5300000003</v>
      </c>
      <c r="EW22" s="1420">
        <v>488556.58</v>
      </c>
      <c r="EX22" s="1422">
        <v>978927</v>
      </c>
      <c r="EY22" s="1420">
        <v>307961.83</v>
      </c>
      <c r="EZ22" s="1422">
        <v>332188</v>
      </c>
      <c r="FA22" s="1420">
        <v>4148114.24</v>
      </c>
      <c r="FB22" s="1420">
        <v>4125897.53</v>
      </c>
      <c r="FC22" s="1420">
        <v>366482.31</v>
      </c>
      <c r="FD22" s="1439"/>
      <c r="FE22" s="1420">
        <v>3781631.93</v>
      </c>
      <c r="FF22" s="1439"/>
      <c r="FG22" s="1422">
        <v>9612</v>
      </c>
      <c r="FH22" s="1439"/>
      <c r="FI22" s="1420">
        <v>35.28</v>
      </c>
      <c r="FJ22" s="1439"/>
      <c r="FK22" s="1422">
        <v>39487</v>
      </c>
      <c r="FL22" s="1439"/>
      <c r="FM22" s="1420">
        <v>38.51</v>
      </c>
      <c r="FN22" s="1439"/>
      <c r="FO22" s="1422">
        <v>41099</v>
      </c>
      <c r="FP22" s="1439"/>
      <c r="FQ22" s="1420">
        <v>816839.16</v>
      </c>
      <c r="FR22" s="1439"/>
      <c r="FS22" s="1420">
        <v>138915.07</v>
      </c>
      <c r="FT22" s="1439"/>
      <c r="FU22" s="1422">
        <v>0</v>
      </c>
      <c r="FV22" s="1439"/>
      <c r="FW22" s="1420">
        <v>677924.09</v>
      </c>
      <c r="FX22" s="1439"/>
      <c r="FY22" s="1420">
        <v>239898.89</v>
      </c>
      <c r="FZ22" s="1439"/>
      <c r="GA22" s="1422">
        <v>0</v>
      </c>
      <c r="GB22" s="1439"/>
    </row>
    <row r="23" spans="1:184" ht="12.75" customHeight="1" thickBot="1">
      <c r="A23" s="1418" t="s">
        <v>621</v>
      </c>
      <c r="B23" s="1418" t="s">
        <v>622</v>
      </c>
      <c r="C23" s="1420">
        <v>72.16</v>
      </c>
      <c r="D23" s="1439"/>
      <c r="E23" s="1420">
        <v>908.92</v>
      </c>
      <c r="F23" s="1439"/>
      <c r="G23" s="1421">
        <v>0</v>
      </c>
      <c r="H23" s="1439"/>
      <c r="I23" s="1420">
        <v>948.39</v>
      </c>
      <c r="J23" s="1439"/>
      <c r="K23" s="1420">
        <v>964.2</v>
      </c>
      <c r="L23" s="1439"/>
      <c r="M23" s="1422">
        <v>48788908</v>
      </c>
      <c r="N23" s="1439"/>
      <c r="O23" s="1422">
        <v>25</v>
      </c>
      <c r="P23" s="1439"/>
      <c r="Q23" s="1422">
        <v>25</v>
      </c>
      <c r="R23" s="1439"/>
      <c r="S23" s="1422">
        <v>0</v>
      </c>
      <c r="T23" s="1439"/>
      <c r="U23" s="1422">
        <v>0</v>
      </c>
      <c r="V23" s="1439"/>
      <c r="W23" s="1420">
        <v>7.8</v>
      </c>
      <c r="X23" s="1439"/>
      <c r="Y23" s="1420">
        <v>32.799999999999997</v>
      </c>
      <c r="Z23" s="1439"/>
      <c r="AA23" s="1422">
        <v>2742868</v>
      </c>
      <c r="AB23" s="1455"/>
      <c r="AC23" s="1424">
        <v>1502367.93</v>
      </c>
      <c r="AD23" s="1422">
        <v>1456000</v>
      </c>
      <c r="AE23" s="1420">
        <v>458154.88</v>
      </c>
      <c r="AF23" s="1422">
        <v>158150</v>
      </c>
      <c r="AG23" s="1422">
        <v>0</v>
      </c>
      <c r="AH23" s="1456">
        <v>0</v>
      </c>
      <c r="AI23" s="1428">
        <v>4639396</v>
      </c>
      <c r="AJ23" s="1422">
        <v>4663652</v>
      </c>
      <c r="AK23" s="1422">
        <v>75372</v>
      </c>
      <c r="AL23" s="1422">
        <v>0</v>
      </c>
      <c r="AM23" s="1422">
        <v>1717</v>
      </c>
      <c r="AN23" s="1422">
        <v>0</v>
      </c>
      <c r="AO23" s="1422">
        <v>0</v>
      </c>
      <c r="AP23" s="1422">
        <v>32532</v>
      </c>
      <c r="AQ23" s="1422">
        <v>0</v>
      </c>
      <c r="AR23" s="1422">
        <v>0</v>
      </c>
      <c r="AS23" s="1422">
        <v>0</v>
      </c>
      <c r="AT23" s="1422">
        <v>0</v>
      </c>
      <c r="AU23" s="1422">
        <v>24918</v>
      </c>
      <c r="AV23" s="1422">
        <v>19934</v>
      </c>
      <c r="AW23" s="1422">
        <v>175</v>
      </c>
      <c r="AX23" s="1422">
        <v>0</v>
      </c>
      <c r="AY23" s="1420">
        <v>6702100.8099999996</v>
      </c>
      <c r="AZ23" s="1422">
        <v>6330268</v>
      </c>
      <c r="BA23" s="1422">
        <v>0</v>
      </c>
      <c r="BB23" s="1422">
        <v>0</v>
      </c>
      <c r="BC23" s="1422">
        <v>39879</v>
      </c>
      <c r="BD23" s="1422">
        <v>40414</v>
      </c>
      <c r="BE23" s="1422">
        <v>0</v>
      </c>
      <c r="BF23" s="1422">
        <v>0</v>
      </c>
      <c r="BG23" s="1422">
        <v>2480</v>
      </c>
      <c r="BH23" s="1422">
        <v>0</v>
      </c>
      <c r="BI23" s="1422">
        <v>20965</v>
      </c>
      <c r="BJ23" s="1422">
        <v>25175</v>
      </c>
      <c r="BK23" s="1422">
        <v>1758</v>
      </c>
      <c r="BL23" s="1422">
        <v>0</v>
      </c>
      <c r="BM23" s="1422">
        <v>219232</v>
      </c>
      <c r="BN23" s="1422">
        <v>236808</v>
      </c>
      <c r="BO23" s="1422">
        <v>75470</v>
      </c>
      <c r="BP23" s="1422">
        <v>0</v>
      </c>
      <c r="BQ23" s="1420">
        <v>23562.52</v>
      </c>
      <c r="BR23" s="1422">
        <v>22750</v>
      </c>
      <c r="BS23" s="1420">
        <v>3432.8</v>
      </c>
      <c r="BT23" s="1422">
        <v>0</v>
      </c>
      <c r="BU23" s="1422">
        <v>0</v>
      </c>
      <c r="BV23" s="1422">
        <v>0</v>
      </c>
      <c r="BW23" s="1422">
        <v>0</v>
      </c>
      <c r="BX23" s="1422">
        <v>0</v>
      </c>
      <c r="BY23" s="1422">
        <v>0</v>
      </c>
      <c r="BZ23" s="1422">
        <v>0</v>
      </c>
      <c r="CA23" s="1422">
        <v>78081</v>
      </c>
      <c r="CB23" s="1422">
        <v>71939</v>
      </c>
      <c r="CC23" s="1420">
        <v>464860.32</v>
      </c>
      <c r="CD23" s="1422">
        <v>397086</v>
      </c>
      <c r="CE23" s="1420">
        <v>1162169.28</v>
      </c>
      <c r="CF23" s="1422">
        <v>803064</v>
      </c>
      <c r="CG23" s="1420">
        <v>4864.33</v>
      </c>
      <c r="CH23" s="1422">
        <v>0</v>
      </c>
      <c r="CI23" s="1422">
        <v>0</v>
      </c>
      <c r="CJ23" s="1422">
        <v>0</v>
      </c>
      <c r="CK23" s="1422">
        <v>0</v>
      </c>
      <c r="CL23" s="1422">
        <v>0</v>
      </c>
      <c r="CM23" s="1422">
        <v>0</v>
      </c>
      <c r="CN23" s="1422">
        <v>0</v>
      </c>
      <c r="CO23" s="1422">
        <v>0</v>
      </c>
      <c r="CP23" s="1422">
        <v>0</v>
      </c>
      <c r="CQ23" s="1422">
        <v>0</v>
      </c>
      <c r="CR23" s="1422">
        <v>0</v>
      </c>
      <c r="CS23" s="1420">
        <v>4864.33</v>
      </c>
      <c r="CT23" s="1422">
        <v>0</v>
      </c>
      <c r="CU23" s="1420">
        <v>8333994.7400000002</v>
      </c>
      <c r="CV23" s="1422">
        <v>7530418</v>
      </c>
      <c r="CW23" s="1420">
        <v>3447908.31</v>
      </c>
      <c r="CX23" s="1420">
        <v>3036784.54</v>
      </c>
      <c r="CY23" s="1420">
        <v>551513.47</v>
      </c>
      <c r="CZ23" s="1420">
        <v>576917.82999999996</v>
      </c>
      <c r="DA23" s="1420">
        <v>211240.71</v>
      </c>
      <c r="DB23" s="1420">
        <v>215349.62</v>
      </c>
      <c r="DC23" s="1422">
        <v>0</v>
      </c>
      <c r="DD23" s="1422">
        <v>0</v>
      </c>
      <c r="DE23" s="1420">
        <v>280686.7</v>
      </c>
      <c r="DF23" s="1420">
        <v>253403.77</v>
      </c>
      <c r="DG23" s="1420">
        <v>53477.89</v>
      </c>
      <c r="DH23" s="1420">
        <v>53438.58</v>
      </c>
      <c r="DI23" s="1420">
        <v>4544827.08</v>
      </c>
      <c r="DJ23" s="1420">
        <v>4135894.34</v>
      </c>
      <c r="DK23" s="1420">
        <v>193949.78</v>
      </c>
      <c r="DL23" s="1420">
        <v>199157.16</v>
      </c>
      <c r="DM23" s="1420">
        <v>107867.77</v>
      </c>
      <c r="DN23" s="1420">
        <v>116372.78</v>
      </c>
      <c r="DO23" s="1420">
        <v>630374.76</v>
      </c>
      <c r="DP23" s="1420">
        <v>731288.01</v>
      </c>
      <c r="DQ23" s="1420">
        <v>317717.46000000002</v>
      </c>
      <c r="DR23" s="1420">
        <v>395343.63</v>
      </c>
      <c r="DS23" s="1420">
        <v>31651.52</v>
      </c>
      <c r="DT23" s="1420">
        <v>19981.669999999998</v>
      </c>
      <c r="DU23" s="1420">
        <v>1281561.29</v>
      </c>
      <c r="DV23" s="1420">
        <v>1462143.25</v>
      </c>
      <c r="DW23" s="1420">
        <v>406718.66</v>
      </c>
      <c r="DX23" s="1420">
        <v>412639.33</v>
      </c>
      <c r="DY23" s="1420">
        <v>626387.76</v>
      </c>
      <c r="DZ23" s="1420">
        <v>603649.79</v>
      </c>
      <c r="EA23" s="1420">
        <v>427480.03</v>
      </c>
      <c r="EB23" s="1420">
        <v>392257.31</v>
      </c>
      <c r="EC23" s="1420">
        <v>1460586.45</v>
      </c>
      <c r="ED23" s="1420">
        <v>1408546.43</v>
      </c>
      <c r="EE23" s="1420">
        <v>349561.16</v>
      </c>
      <c r="EF23" s="1420">
        <v>314532.99</v>
      </c>
      <c r="EG23" s="1420">
        <v>32468.39</v>
      </c>
      <c r="EH23" s="1422">
        <v>0</v>
      </c>
      <c r="EI23" s="1420">
        <v>1446.84</v>
      </c>
      <c r="EJ23" s="1422">
        <v>1600</v>
      </c>
      <c r="EK23" s="1422">
        <v>0</v>
      </c>
      <c r="EL23" s="1422">
        <v>0</v>
      </c>
      <c r="EM23" s="1420">
        <v>383476.39</v>
      </c>
      <c r="EN23" s="1420">
        <v>316132.99</v>
      </c>
      <c r="EO23" s="1420">
        <v>80558.2</v>
      </c>
      <c r="EP23" s="1422">
        <v>4500</v>
      </c>
      <c r="EQ23" s="1420">
        <v>230446.07</v>
      </c>
      <c r="ER23" s="1420">
        <v>228291.26</v>
      </c>
      <c r="ES23" s="1422">
        <v>18593</v>
      </c>
      <c r="ET23" s="1422">
        <v>0</v>
      </c>
      <c r="EU23" s="1420">
        <v>8000048.4800000004</v>
      </c>
      <c r="EV23" s="1420">
        <v>7555508.2699999996</v>
      </c>
      <c r="EW23" s="1420">
        <v>103338.78</v>
      </c>
      <c r="EX23" s="1422">
        <v>120750</v>
      </c>
      <c r="EY23" s="1420">
        <v>230446.07</v>
      </c>
      <c r="EZ23" s="1420">
        <v>228291.26</v>
      </c>
      <c r="FA23" s="1420">
        <v>7666263.6299999999</v>
      </c>
      <c r="FB23" s="1420">
        <v>7206467.0099999998</v>
      </c>
      <c r="FC23" s="1420">
        <v>413858.55</v>
      </c>
      <c r="FD23" s="1439"/>
      <c r="FE23" s="1420">
        <v>7252405.0800000001</v>
      </c>
      <c r="FF23" s="1439"/>
      <c r="FG23" s="1422">
        <v>7979</v>
      </c>
      <c r="FH23" s="1439"/>
      <c r="FI23" s="1420">
        <v>73.94</v>
      </c>
      <c r="FJ23" s="1439"/>
      <c r="FK23" s="1422">
        <v>41292</v>
      </c>
      <c r="FL23" s="1439"/>
      <c r="FM23" s="1420">
        <v>80.069999999999993</v>
      </c>
      <c r="FN23" s="1439"/>
      <c r="FO23" s="1422">
        <v>44503</v>
      </c>
      <c r="FP23" s="1439"/>
      <c r="FQ23" s="1420">
        <v>1205721.3</v>
      </c>
      <c r="FR23" s="1439"/>
      <c r="FS23" s="1420">
        <v>9510.85</v>
      </c>
      <c r="FT23" s="1439"/>
      <c r="FU23" s="1422">
        <v>0</v>
      </c>
      <c r="FV23" s="1439"/>
      <c r="FW23" s="1420">
        <v>1196210.45</v>
      </c>
      <c r="FX23" s="1439"/>
      <c r="FY23" s="1420">
        <v>160634.85999999999</v>
      </c>
      <c r="FZ23" s="1439"/>
      <c r="GA23" s="1422">
        <v>0</v>
      </c>
      <c r="GB23" s="1439"/>
    </row>
    <row r="24" spans="1:184" ht="12.75" customHeight="1" thickBot="1">
      <c r="A24" s="1418" t="s">
        <v>623</v>
      </c>
      <c r="B24" s="1418" t="s">
        <v>624</v>
      </c>
      <c r="C24" s="1420">
        <v>116.19</v>
      </c>
      <c r="D24" s="1439"/>
      <c r="E24" s="1420">
        <v>335.7</v>
      </c>
      <c r="F24" s="1439"/>
      <c r="G24" s="1421">
        <v>-0.08</v>
      </c>
      <c r="H24" s="1439"/>
      <c r="I24" s="1420">
        <v>358.15</v>
      </c>
      <c r="J24" s="1439"/>
      <c r="K24" s="1420">
        <v>373.88</v>
      </c>
      <c r="L24" s="1439"/>
      <c r="M24" s="1422">
        <v>31722894</v>
      </c>
      <c r="N24" s="1439"/>
      <c r="O24" s="1420">
        <v>25.9</v>
      </c>
      <c r="P24" s="1439"/>
      <c r="Q24" s="1422">
        <v>25</v>
      </c>
      <c r="R24" s="1439"/>
      <c r="S24" s="1420">
        <v>0.9</v>
      </c>
      <c r="T24" s="1439"/>
      <c r="U24" s="1422">
        <v>0</v>
      </c>
      <c r="V24" s="1439"/>
      <c r="W24" s="1420">
        <v>13.1</v>
      </c>
      <c r="X24" s="1439"/>
      <c r="Y24" s="1422">
        <v>39</v>
      </c>
      <c r="Z24" s="1439"/>
      <c r="AA24" s="1420">
        <v>1993767.42</v>
      </c>
      <c r="AB24" s="1455"/>
      <c r="AC24" s="1424">
        <v>1243348.17</v>
      </c>
      <c r="AD24" s="1422">
        <v>1258649</v>
      </c>
      <c r="AE24" s="1420">
        <v>116906.82</v>
      </c>
      <c r="AF24" s="1422">
        <v>50750</v>
      </c>
      <c r="AG24" s="1422">
        <v>0</v>
      </c>
      <c r="AH24" s="1456">
        <v>0</v>
      </c>
      <c r="AI24" s="1428">
        <v>1480875</v>
      </c>
      <c r="AJ24" s="1422">
        <v>1456326</v>
      </c>
      <c r="AK24" s="1422">
        <v>35344</v>
      </c>
      <c r="AL24" s="1422">
        <v>0</v>
      </c>
      <c r="AM24" s="1422">
        <v>84648</v>
      </c>
      <c r="AN24" s="1422">
        <v>0</v>
      </c>
      <c r="AO24" s="1422">
        <v>0</v>
      </c>
      <c r="AP24" s="1422">
        <v>30075</v>
      </c>
      <c r="AQ24" s="1422">
        <v>0</v>
      </c>
      <c r="AR24" s="1422">
        <v>0</v>
      </c>
      <c r="AS24" s="1422">
        <v>0</v>
      </c>
      <c r="AT24" s="1422">
        <v>0</v>
      </c>
      <c r="AU24" s="1422">
        <v>0</v>
      </c>
      <c r="AV24" s="1422">
        <v>0</v>
      </c>
      <c r="AW24" s="1420">
        <v>41.25</v>
      </c>
      <c r="AX24" s="1422">
        <v>0</v>
      </c>
      <c r="AY24" s="1420">
        <v>2961163.24</v>
      </c>
      <c r="AZ24" s="1422">
        <v>2795800</v>
      </c>
      <c r="BA24" s="1422">
        <v>0</v>
      </c>
      <c r="BB24" s="1422">
        <v>0</v>
      </c>
      <c r="BC24" s="1422">
        <v>15464</v>
      </c>
      <c r="BD24" s="1420">
        <v>21944.6</v>
      </c>
      <c r="BE24" s="1422">
        <v>5600</v>
      </c>
      <c r="BF24" s="1422">
        <v>8600</v>
      </c>
      <c r="BG24" s="1422">
        <v>1000</v>
      </c>
      <c r="BH24" s="1422">
        <v>0</v>
      </c>
      <c r="BI24" s="1422">
        <v>0</v>
      </c>
      <c r="BJ24" s="1422">
        <v>3523</v>
      </c>
      <c r="BK24" s="1422">
        <v>0</v>
      </c>
      <c r="BL24" s="1422">
        <v>0</v>
      </c>
      <c r="BM24" s="1422">
        <v>280736</v>
      </c>
      <c r="BN24" s="1422">
        <v>281336</v>
      </c>
      <c r="BO24" s="1420">
        <v>19343.93</v>
      </c>
      <c r="BP24" s="1422">
        <v>17812</v>
      </c>
      <c r="BQ24" s="1420">
        <v>63386.22</v>
      </c>
      <c r="BR24" s="1422">
        <v>11375</v>
      </c>
      <c r="BS24" s="1420">
        <v>1663.19</v>
      </c>
      <c r="BT24" s="1422">
        <v>1600</v>
      </c>
      <c r="BU24" s="1422">
        <v>0</v>
      </c>
      <c r="BV24" s="1422">
        <v>0</v>
      </c>
      <c r="BW24" s="1422">
        <v>167670</v>
      </c>
      <c r="BX24" s="1422">
        <v>194400</v>
      </c>
      <c r="BY24" s="1422">
        <v>0</v>
      </c>
      <c r="BZ24" s="1422">
        <v>0</v>
      </c>
      <c r="CA24" s="1422">
        <v>22555</v>
      </c>
      <c r="CB24" s="1422">
        <v>37412</v>
      </c>
      <c r="CC24" s="1420">
        <v>577418.34</v>
      </c>
      <c r="CD24" s="1420">
        <v>578002.6</v>
      </c>
      <c r="CE24" s="1420">
        <v>574559.4</v>
      </c>
      <c r="CF24" s="1420">
        <v>623081.87</v>
      </c>
      <c r="CG24" s="1422">
        <v>0</v>
      </c>
      <c r="CH24" s="1422">
        <v>0</v>
      </c>
      <c r="CI24" s="1422">
        <v>0</v>
      </c>
      <c r="CJ24" s="1422">
        <v>0</v>
      </c>
      <c r="CK24" s="1422">
        <v>0</v>
      </c>
      <c r="CL24" s="1422">
        <v>0</v>
      </c>
      <c r="CM24" s="1422">
        <v>0</v>
      </c>
      <c r="CN24" s="1422">
        <v>0</v>
      </c>
      <c r="CO24" s="1422">
        <v>0</v>
      </c>
      <c r="CP24" s="1422">
        <v>0</v>
      </c>
      <c r="CQ24" s="1422">
        <v>0</v>
      </c>
      <c r="CR24" s="1422">
        <v>0</v>
      </c>
      <c r="CS24" s="1422">
        <v>0</v>
      </c>
      <c r="CT24" s="1422">
        <v>0</v>
      </c>
      <c r="CU24" s="1420">
        <v>4113140.98</v>
      </c>
      <c r="CV24" s="1420">
        <v>3996884.47</v>
      </c>
      <c r="CW24" s="1420">
        <v>1684473.01</v>
      </c>
      <c r="CX24" s="1420">
        <v>1382337.65</v>
      </c>
      <c r="CY24" s="1420">
        <v>291797.28000000003</v>
      </c>
      <c r="CZ24" s="1420">
        <v>276974.95</v>
      </c>
      <c r="DA24" s="1420">
        <v>106379.63</v>
      </c>
      <c r="DB24" s="1420">
        <v>117711.18</v>
      </c>
      <c r="DC24" s="1422">
        <v>0</v>
      </c>
      <c r="DD24" s="1422">
        <v>0</v>
      </c>
      <c r="DE24" s="1420">
        <v>122055.91</v>
      </c>
      <c r="DF24" s="1420">
        <v>104893.9</v>
      </c>
      <c r="DG24" s="1420">
        <v>104932.54</v>
      </c>
      <c r="DH24" s="1420">
        <v>135927.91</v>
      </c>
      <c r="DI24" s="1420">
        <v>2309638.37</v>
      </c>
      <c r="DJ24" s="1420">
        <v>2017845.59</v>
      </c>
      <c r="DK24" s="1420">
        <v>218468.18</v>
      </c>
      <c r="DL24" s="1420">
        <v>212988.34</v>
      </c>
      <c r="DM24" s="1420">
        <v>44552.33</v>
      </c>
      <c r="DN24" s="1420">
        <v>53500.5</v>
      </c>
      <c r="DO24" s="1420">
        <v>351765.92</v>
      </c>
      <c r="DP24" s="1420">
        <v>386023.13</v>
      </c>
      <c r="DQ24" s="1420">
        <v>221786.74</v>
      </c>
      <c r="DR24" s="1420">
        <v>222209.04</v>
      </c>
      <c r="DS24" s="1420">
        <v>589.9</v>
      </c>
      <c r="DT24" s="1422">
        <v>0</v>
      </c>
      <c r="DU24" s="1420">
        <v>837163.07</v>
      </c>
      <c r="DV24" s="1420">
        <v>874721.01</v>
      </c>
      <c r="DW24" s="1420">
        <v>143189.91</v>
      </c>
      <c r="DX24" s="1420">
        <v>199625.73</v>
      </c>
      <c r="DY24" s="1420">
        <v>143945.94</v>
      </c>
      <c r="DZ24" s="1420">
        <v>196081.46</v>
      </c>
      <c r="EA24" s="1420">
        <v>192793.9</v>
      </c>
      <c r="EB24" s="1420">
        <v>201243.12</v>
      </c>
      <c r="EC24" s="1420">
        <v>479929.75</v>
      </c>
      <c r="ED24" s="1420">
        <v>596950.31000000006</v>
      </c>
      <c r="EE24" s="1420">
        <v>234226.42</v>
      </c>
      <c r="EF24" s="1420">
        <v>186000.2</v>
      </c>
      <c r="EG24" s="1422">
        <v>0</v>
      </c>
      <c r="EH24" s="1422">
        <v>0</v>
      </c>
      <c r="EI24" s="1422">
        <v>0</v>
      </c>
      <c r="EJ24" s="1422">
        <v>8000</v>
      </c>
      <c r="EK24" s="1422">
        <v>0</v>
      </c>
      <c r="EL24" s="1422">
        <v>0</v>
      </c>
      <c r="EM24" s="1420">
        <v>234226.42</v>
      </c>
      <c r="EN24" s="1420">
        <v>194000.2</v>
      </c>
      <c r="EO24" s="1420">
        <v>91959.09</v>
      </c>
      <c r="EP24" s="1422">
        <v>120000</v>
      </c>
      <c r="EQ24" s="1420">
        <v>203003.51</v>
      </c>
      <c r="ER24" s="1420">
        <v>210867.77</v>
      </c>
      <c r="ES24" s="1422">
        <v>53499</v>
      </c>
      <c r="ET24" s="1422">
        <v>0</v>
      </c>
      <c r="EU24" s="1420">
        <v>4209419.21</v>
      </c>
      <c r="EV24" s="1420">
        <v>4014384.88</v>
      </c>
      <c r="EW24" s="1420">
        <v>120728.91</v>
      </c>
      <c r="EX24" s="1422">
        <v>139415</v>
      </c>
      <c r="EY24" s="1420">
        <v>203003.51</v>
      </c>
      <c r="EZ24" s="1420">
        <v>210867.77</v>
      </c>
      <c r="FA24" s="1420">
        <v>3885686.79</v>
      </c>
      <c r="FB24" s="1420">
        <v>3664102.11</v>
      </c>
      <c r="FC24" s="1420">
        <v>344484.11</v>
      </c>
      <c r="FD24" s="1439"/>
      <c r="FE24" s="1420">
        <v>3541202.68</v>
      </c>
      <c r="FF24" s="1439"/>
      <c r="FG24" s="1422">
        <v>10548</v>
      </c>
      <c r="FH24" s="1439"/>
      <c r="FI24" s="1420">
        <v>31.58</v>
      </c>
      <c r="FJ24" s="1439"/>
      <c r="FK24" s="1422">
        <v>40910</v>
      </c>
      <c r="FL24" s="1439"/>
      <c r="FM24" s="1420">
        <v>34.54</v>
      </c>
      <c r="FN24" s="1439"/>
      <c r="FO24" s="1422">
        <v>43162</v>
      </c>
      <c r="FP24" s="1439"/>
      <c r="FQ24" s="1420">
        <v>754280.99</v>
      </c>
      <c r="FR24" s="1439"/>
      <c r="FS24" s="1420">
        <v>10439.25</v>
      </c>
      <c r="FT24" s="1439"/>
      <c r="FU24" s="1422">
        <v>0</v>
      </c>
      <c r="FV24" s="1439"/>
      <c r="FW24" s="1420">
        <v>743841.74</v>
      </c>
      <c r="FX24" s="1439"/>
      <c r="FY24" s="1422">
        <v>0</v>
      </c>
      <c r="FZ24" s="1439"/>
      <c r="GA24" s="1422">
        <v>0</v>
      </c>
      <c r="GB24" s="1439"/>
    </row>
    <row r="25" spans="1:184" ht="12.75" customHeight="1" thickBot="1">
      <c r="A25" s="1418" t="s">
        <v>625</v>
      </c>
      <c r="B25" s="1418" t="s">
        <v>626</v>
      </c>
      <c r="C25" s="1420">
        <v>402.49</v>
      </c>
      <c r="D25" s="1439"/>
      <c r="E25" s="1420">
        <v>448.28</v>
      </c>
      <c r="F25" s="1439"/>
      <c r="G25" s="1421">
        <v>-0.06</v>
      </c>
      <c r="H25" s="1439"/>
      <c r="I25" s="1420">
        <v>470.23</v>
      </c>
      <c r="J25" s="1439"/>
      <c r="K25" s="1420">
        <v>462.67</v>
      </c>
      <c r="L25" s="1439"/>
      <c r="M25" s="1422">
        <v>31013712</v>
      </c>
      <c r="N25" s="1439"/>
      <c r="O25" s="1422">
        <v>25</v>
      </c>
      <c r="P25" s="1439"/>
      <c r="Q25" s="1422">
        <v>25</v>
      </c>
      <c r="R25" s="1439"/>
      <c r="S25" s="1422">
        <v>0</v>
      </c>
      <c r="T25" s="1439"/>
      <c r="U25" s="1422">
        <v>0</v>
      </c>
      <c r="V25" s="1439"/>
      <c r="W25" s="1420">
        <v>16.5</v>
      </c>
      <c r="X25" s="1439"/>
      <c r="Y25" s="1420">
        <v>41.5</v>
      </c>
      <c r="Z25" s="1439"/>
      <c r="AA25" s="1420">
        <v>5286175.2</v>
      </c>
      <c r="AB25" s="1455"/>
      <c r="AC25" s="1424">
        <v>1221576.8799999999</v>
      </c>
      <c r="AD25" s="1420">
        <v>1188477.1100000001</v>
      </c>
      <c r="AE25" s="1420">
        <v>249593.46</v>
      </c>
      <c r="AF25" s="1420">
        <v>226783.8</v>
      </c>
      <c r="AG25" s="1420">
        <v>1705.82</v>
      </c>
      <c r="AH25" s="1456">
        <v>1500</v>
      </c>
      <c r="AI25" s="1428">
        <v>2034843</v>
      </c>
      <c r="AJ25" s="1422">
        <v>2114929</v>
      </c>
      <c r="AK25" s="1422">
        <v>14708</v>
      </c>
      <c r="AL25" s="1422">
        <v>759836</v>
      </c>
      <c r="AM25" s="1422">
        <v>46151</v>
      </c>
      <c r="AN25" s="1422">
        <v>0</v>
      </c>
      <c r="AO25" s="1422">
        <v>0</v>
      </c>
      <c r="AP25" s="1422">
        <v>0</v>
      </c>
      <c r="AQ25" s="1422">
        <v>0</v>
      </c>
      <c r="AR25" s="1422">
        <v>0</v>
      </c>
      <c r="AS25" s="1422">
        <v>0</v>
      </c>
      <c r="AT25" s="1422">
        <v>0</v>
      </c>
      <c r="AU25" s="1422">
        <v>5729</v>
      </c>
      <c r="AV25" s="1422">
        <v>4583</v>
      </c>
      <c r="AW25" s="1422">
        <v>0</v>
      </c>
      <c r="AX25" s="1422">
        <v>0</v>
      </c>
      <c r="AY25" s="1420">
        <v>3574307.16</v>
      </c>
      <c r="AZ25" s="1420">
        <v>4296108.91</v>
      </c>
      <c r="BA25" s="1422">
        <v>0</v>
      </c>
      <c r="BB25" s="1422">
        <v>0</v>
      </c>
      <c r="BC25" s="1422">
        <v>19136</v>
      </c>
      <c r="BD25" s="1422">
        <v>19885</v>
      </c>
      <c r="BE25" s="1422">
        <v>148133</v>
      </c>
      <c r="BF25" s="1422">
        <v>2400</v>
      </c>
      <c r="BG25" s="1422">
        <v>100</v>
      </c>
      <c r="BH25" s="1422">
        <v>0</v>
      </c>
      <c r="BI25" s="1422">
        <v>4347</v>
      </c>
      <c r="BJ25" s="1422">
        <v>8580</v>
      </c>
      <c r="BK25" s="1422">
        <v>31644</v>
      </c>
      <c r="BL25" s="1422">
        <v>31644</v>
      </c>
      <c r="BM25" s="1422">
        <v>350176</v>
      </c>
      <c r="BN25" s="1422">
        <v>355212</v>
      </c>
      <c r="BO25" s="1420">
        <v>1895.39</v>
      </c>
      <c r="BP25" s="1422">
        <v>0</v>
      </c>
      <c r="BQ25" s="1420">
        <v>43333.56</v>
      </c>
      <c r="BR25" s="1422">
        <v>37375</v>
      </c>
      <c r="BS25" s="1420">
        <v>1689.85</v>
      </c>
      <c r="BT25" s="1422">
        <v>1500</v>
      </c>
      <c r="BU25" s="1422">
        <v>0</v>
      </c>
      <c r="BV25" s="1422">
        <v>0</v>
      </c>
      <c r="BW25" s="1422">
        <v>175775</v>
      </c>
      <c r="BX25" s="1422">
        <v>179820</v>
      </c>
      <c r="BY25" s="1422">
        <v>0</v>
      </c>
      <c r="BZ25" s="1422">
        <v>0</v>
      </c>
      <c r="CA25" s="1420">
        <v>141182.94</v>
      </c>
      <c r="CB25" s="1422">
        <v>46773</v>
      </c>
      <c r="CC25" s="1420">
        <v>917412.74</v>
      </c>
      <c r="CD25" s="1422">
        <v>683189</v>
      </c>
      <c r="CE25" s="1420">
        <v>1410167.44</v>
      </c>
      <c r="CF25" s="1420">
        <v>879399.02</v>
      </c>
      <c r="CG25" s="1422">
        <v>0</v>
      </c>
      <c r="CH25" s="1422">
        <v>0</v>
      </c>
      <c r="CI25" s="1422">
        <v>0</v>
      </c>
      <c r="CJ25" s="1422">
        <v>0</v>
      </c>
      <c r="CK25" s="1422">
        <v>0</v>
      </c>
      <c r="CL25" s="1422">
        <v>0</v>
      </c>
      <c r="CM25" s="1422">
        <v>11580</v>
      </c>
      <c r="CN25" s="1422">
        <v>0</v>
      </c>
      <c r="CO25" s="1422">
        <v>0</v>
      </c>
      <c r="CP25" s="1422">
        <v>0</v>
      </c>
      <c r="CQ25" s="1422">
        <v>0</v>
      </c>
      <c r="CR25" s="1422">
        <v>0</v>
      </c>
      <c r="CS25" s="1422">
        <v>11580</v>
      </c>
      <c r="CT25" s="1422">
        <v>0</v>
      </c>
      <c r="CU25" s="1420">
        <v>5913467.3399999999</v>
      </c>
      <c r="CV25" s="1420">
        <v>5858696.9299999997</v>
      </c>
      <c r="CW25" s="1420">
        <v>2288931.62</v>
      </c>
      <c r="CX25" s="1420">
        <v>2377839.0299999998</v>
      </c>
      <c r="CY25" s="1420">
        <v>189701.04</v>
      </c>
      <c r="CZ25" s="1420">
        <v>213982.27</v>
      </c>
      <c r="DA25" s="1420">
        <v>153866.56</v>
      </c>
      <c r="DB25" s="1420">
        <v>148645.94</v>
      </c>
      <c r="DC25" s="1422">
        <v>0</v>
      </c>
      <c r="DD25" s="1422">
        <v>0</v>
      </c>
      <c r="DE25" s="1420">
        <v>415344.16</v>
      </c>
      <c r="DF25" s="1420">
        <v>225892.96</v>
      </c>
      <c r="DG25" s="1420">
        <v>148250.35</v>
      </c>
      <c r="DH25" s="1420">
        <v>164642.15</v>
      </c>
      <c r="DI25" s="1420">
        <v>3196093.73</v>
      </c>
      <c r="DJ25" s="1420">
        <v>3131002.35</v>
      </c>
      <c r="DK25" s="1420">
        <v>183641.44</v>
      </c>
      <c r="DL25" s="1420">
        <v>184299.39</v>
      </c>
      <c r="DM25" s="1420">
        <v>120178.17</v>
      </c>
      <c r="DN25" s="1420">
        <v>59616.56</v>
      </c>
      <c r="DO25" s="1420">
        <v>604789.06000000006</v>
      </c>
      <c r="DP25" s="1420">
        <v>540197.68999999994</v>
      </c>
      <c r="DQ25" s="1420">
        <v>342046.94</v>
      </c>
      <c r="DR25" s="1420">
        <v>197896.01</v>
      </c>
      <c r="DS25" s="1420">
        <v>2648.6</v>
      </c>
      <c r="DT25" s="1420">
        <v>9848.6</v>
      </c>
      <c r="DU25" s="1420">
        <v>1253304.21</v>
      </c>
      <c r="DV25" s="1420">
        <v>991858.25</v>
      </c>
      <c r="DW25" s="1420">
        <v>229713.81</v>
      </c>
      <c r="DX25" s="1420">
        <v>198525.88</v>
      </c>
      <c r="DY25" s="1420">
        <v>630914.24</v>
      </c>
      <c r="DZ25" s="1420">
        <v>613740.23</v>
      </c>
      <c r="EA25" s="1420">
        <v>210001.69</v>
      </c>
      <c r="EB25" s="1420">
        <v>235144.45</v>
      </c>
      <c r="EC25" s="1420">
        <v>1070629.74</v>
      </c>
      <c r="ED25" s="1420">
        <v>1047410.56</v>
      </c>
      <c r="EE25" s="1420">
        <v>306709.99</v>
      </c>
      <c r="EF25" s="1420">
        <v>292839.37</v>
      </c>
      <c r="EG25" s="1422">
        <v>0</v>
      </c>
      <c r="EH25" s="1422">
        <v>0</v>
      </c>
      <c r="EI25" s="1422">
        <v>0</v>
      </c>
      <c r="EJ25" s="1422">
        <v>1602</v>
      </c>
      <c r="EK25" s="1422">
        <v>0</v>
      </c>
      <c r="EL25" s="1422">
        <v>0</v>
      </c>
      <c r="EM25" s="1420">
        <v>306709.99</v>
      </c>
      <c r="EN25" s="1420">
        <v>294441.37</v>
      </c>
      <c r="EO25" s="1420">
        <v>362704.86</v>
      </c>
      <c r="EP25" s="1420">
        <v>23145.63</v>
      </c>
      <c r="EQ25" s="1420">
        <v>237417.46</v>
      </c>
      <c r="ER25" s="1420">
        <v>228137.5</v>
      </c>
      <c r="ES25" s="1422">
        <v>0</v>
      </c>
      <c r="ET25" s="1422">
        <v>0</v>
      </c>
      <c r="EU25" s="1420">
        <v>6426859.9900000002</v>
      </c>
      <c r="EV25" s="1420">
        <v>5715995.6600000001</v>
      </c>
      <c r="EW25" s="1420">
        <v>510951.67</v>
      </c>
      <c r="EX25" s="1420">
        <v>112137.57</v>
      </c>
      <c r="EY25" s="1420">
        <v>237417.46</v>
      </c>
      <c r="EZ25" s="1420">
        <v>228137.5</v>
      </c>
      <c r="FA25" s="1420">
        <v>5678490.8600000003</v>
      </c>
      <c r="FB25" s="1420">
        <v>5375720.5899999999</v>
      </c>
      <c r="FC25" s="1420">
        <v>369507.91</v>
      </c>
      <c r="FD25" s="1439"/>
      <c r="FE25" s="1420">
        <v>5308982.95</v>
      </c>
      <c r="FF25" s="1439"/>
      <c r="FG25" s="1422">
        <v>11843</v>
      </c>
      <c r="FH25" s="1439"/>
      <c r="FI25" s="1420">
        <v>31.93</v>
      </c>
      <c r="FJ25" s="1439"/>
      <c r="FK25" s="1422">
        <v>48014</v>
      </c>
      <c r="FL25" s="1439"/>
      <c r="FM25" s="1420">
        <v>37.450000000000003</v>
      </c>
      <c r="FN25" s="1439"/>
      <c r="FO25" s="1422">
        <v>50009</v>
      </c>
      <c r="FP25" s="1439"/>
      <c r="FQ25" s="1420">
        <v>418158.08000000002</v>
      </c>
      <c r="FR25" s="1439"/>
      <c r="FS25" s="1420">
        <v>42133.25</v>
      </c>
      <c r="FT25" s="1439"/>
      <c r="FU25" s="1422">
        <v>0</v>
      </c>
      <c r="FV25" s="1439"/>
      <c r="FW25" s="1420">
        <v>376024.83</v>
      </c>
      <c r="FX25" s="1439"/>
      <c r="FY25" s="1420">
        <v>139857.94</v>
      </c>
      <c r="FZ25" s="1439"/>
      <c r="GA25" s="1422">
        <v>0</v>
      </c>
      <c r="GB25" s="1439"/>
    </row>
    <row r="26" spans="1:184" ht="12.75" customHeight="1" thickBot="1">
      <c r="A26" s="1418" t="s">
        <v>627</v>
      </c>
      <c r="B26" s="1418" t="s">
        <v>628</v>
      </c>
      <c r="C26" s="1420">
        <v>240.02</v>
      </c>
      <c r="D26" s="1439"/>
      <c r="E26" s="1420">
        <v>1454.45</v>
      </c>
      <c r="F26" s="1439"/>
      <c r="G26" s="1421">
        <v>-0.04</v>
      </c>
      <c r="H26" s="1439"/>
      <c r="I26" s="1420">
        <v>1518.04</v>
      </c>
      <c r="J26" s="1439"/>
      <c r="K26" s="1420">
        <v>1498.26</v>
      </c>
      <c r="L26" s="1439"/>
      <c r="M26" s="1422">
        <v>78804106</v>
      </c>
      <c r="N26" s="1439"/>
      <c r="O26" s="1422">
        <v>25</v>
      </c>
      <c r="P26" s="1439"/>
      <c r="Q26" s="1422">
        <v>25</v>
      </c>
      <c r="R26" s="1439"/>
      <c r="S26" s="1422">
        <v>0</v>
      </c>
      <c r="T26" s="1439"/>
      <c r="U26" s="1422">
        <v>0</v>
      </c>
      <c r="V26" s="1439"/>
      <c r="W26" s="1420">
        <v>11.5</v>
      </c>
      <c r="X26" s="1439"/>
      <c r="Y26" s="1420">
        <v>36.5</v>
      </c>
      <c r="Z26" s="1439"/>
      <c r="AA26" s="1420">
        <v>8102400.8200000003</v>
      </c>
      <c r="AB26" s="1455"/>
      <c r="AC26" s="1424">
        <v>2739337.95</v>
      </c>
      <c r="AD26" s="1422">
        <v>2711541</v>
      </c>
      <c r="AE26" s="1420">
        <v>731940.93</v>
      </c>
      <c r="AF26" s="1422">
        <v>347174</v>
      </c>
      <c r="AG26" s="1420">
        <v>12819.38</v>
      </c>
      <c r="AH26" s="1456">
        <v>13000</v>
      </c>
      <c r="AI26" s="1428">
        <v>7079915</v>
      </c>
      <c r="AJ26" s="1422">
        <v>7393552</v>
      </c>
      <c r="AK26" s="1422">
        <v>49038</v>
      </c>
      <c r="AL26" s="1422">
        <v>50000</v>
      </c>
      <c r="AM26" s="1422">
        <v>120867</v>
      </c>
      <c r="AN26" s="1422">
        <v>0</v>
      </c>
      <c r="AO26" s="1422">
        <v>0</v>
      </c>
      <c r="AP26" s="1422">
        <v>0</v>
      </c>
      <c r="AQ26" s="1422">
        <v>0</v>
      </c>
      <c r="AR26" s="1422">
        <v>0</v>
      </c>
      <c r="AS26" s="1422">
        <v>0</v>
      </c>
      <c r="AT26" s="1422">
        <v>0</v>
      </c>
      <c r="AU26" s="1422">
        <v>18615</v>
      </c>
      <c r="AV26" s="1422">
        <v>14892</v>
      </c>
      <c r="AW26" s="1420">
        <v>3140.29</v>
      </c>
      <c r="AX26" s="1422">
        <v>3000</v>
      </c>
      <c r="AY26" s="1420">
        <v>10755673.550000001</v>
      </c>
      <c r="AZ26" s="1422">
        <v>10533159</v>
      </c>
      <c r="BA26" s="1420">
        <v>231294.74</v>
      </c>
      <c r="BB26" s="1420">
        <v>193310.97</v>
      </c>
      <c r="BC26" s="1422">
        <v>61968</v>
      </c>
      <c r="BD26" s="1422">
        <v>64377</v>
      </c>
      <c r="BE26" s="1420">
        <v>10842.83</v>
      </c>
      <c r="BF26" s="1422">
        <v>5800</v>
      </c>
      <c r="BG26" s="1422">
        <v>350</v>
      </c>
      <c r="BH26" s="1422">
        <v>0</v>
      </c>
      <c r="BI26" s="1422">
        <v>56232</v>
      </c>
      <c r="BJ26" s="1422">
        <v>52186</v>
      </c>
      <c r="BK26" s="1422">
        <v>14943</v>
      </c>
      <c r="BL26" s="1422">
        <v>14943</v>
      </c>
      <c r="BM26" s="1422">
        <v>881220</v>
      </c>
      <c r="BN26" s="1422">
        <v>1134452</v>
      </c>
      <c r="BO26" s="1420">
        <v>6137.85</v>
      </c>
      <c r="BP26" s="1422">
        <v>0</v>
      </c>
      <c r="BQ26" s="1420">
        <v>968621.24</v>
      </c>
      <c r="BR26" s="1422">
        <v>889146</v>
      </c>
      <c r="BS26" s="1420">
        <v>5546.34</v>
      </c>
      <c r="BT26" s="1422">
        <v>4000</v>
      </c>
      <c r="BU26" s="1422">
        <v>0</v>
      </c>
      <c r="BV26" s="1422">
        <v>0</v>
      </c>
      <c r="BW26" s="1422">
        <v>585845</v>
      </c>
      <c r="BX26" s="1422">
        <v>585700</v>
      </c>
      <c r="BY26" s="1422">
        <v>0</v>
      </c>
      <c r="BZ26" s="1422">
        <v>0</v>
      </c>
      <c r="CA26" s="1420">
        <v>380735.08</v>
      </c>
      <c r="CB26" s="1422">
        <v>293527</v>
      </c>
      <c r="CC26" s="1420">
        <v>3203736.08</v>
      </c>
      <c r="CD26" s="1420">
        <v>3237441.97</v>
      </c>
      <c r="CE26" s="1420">
        <v>3324175.76</v>
      </c>
      <c r="CF26" s="1420">
        <v>2581332.79</v>
      </c>
      <c r="CG26" s="1422">
        <v>0</v>
      </c>
      <c r="CH26" s="1422">
        <v>0</v>
      </c>
      <c r="CI26" s="1422">
        <v>0</v>
      </c>
      <c r="CJ26" s="1422">
        <v>0</v>
      </c>
      <c r="CK26" s="1420">
        <v>12330.68</v>
      </c>
      <c r="CL26" s="1420">
        <v>2792.32</v>
      </c>
      <c r="CM26" s="1422">
        <v>0</v>
      </c>
      <c r="CN26" s="1422">
        <v>0</v>
      </c>
      <c r="CO26" s="1420">
        <v>2844.92</v>
      </c>
      <c r="CP26" s="1422">
        <v>0</v>
      </c>
      <c r="CQ26" s="1422">
        <v>0</v>
      </c>
      <c r="CR26" s="1422">
        <v>0</v>
      </c>
      <c r="CS26" s="1420">
        <v>15175.6</v>
      </c>
      <c r="CT26" s="1420">
        <v>2792.32</v>
      </c>
      <c r="CU26" s="1420">
        <v>17298760.989999998</v>
      </c>
      <c r="CV26" s="1420">
        <v>16354726.08</v>
      </c>
      <c r="CW26" s="1420">
        <v>6045836.3399999999</v>
      </c>
      <c r="CX26" s="1420">
        <v>5803123.1399999997</v>
      </c>
      <c r="CY26" s="1420">
        <v>733000.46</v>
      </c>
      <c r="CZ26" s="1420">
        <v>799167.04</v>
      </c>
      <c r="DA26" s="1420">
        <v>807439.41</v>
      </c>
      <c r="DB26" s="1420">
        <v>767942.76</v>
      </c>
      <c r="DC26" s="1420">
        <v>250152.61</v>
      </c>
      <c r="DD26" s="1420">
        <v>313637.56</v>
      </c>
      <c r="DE26" s="1420">
        <v>602256.24</v>
      </c>
      <c r="DF26" s="1420">
        <v>643880.34</v>
      </c>
      <c r="DG26" s="1420">
        <v>490060.64</v>
      </c>
      <c r="DH26" s="1420">
        <v>557383.24</v>
      </c>
      <c r="DI26" s="1420">
        <v>8928745.6999999993</v>
      </c>
      <c r="DJ26" s="1420">
        <v>8885134.0800000001</v>
      </c>
      <c r="DK26" s="1420">
        <v>367820.55</v>
      </c>
      <c r="DL26" s="1420">
        <v>359373.85</v>
      </c>
      <c r="DM26" s="1420">
        <v>434020.11</v>
      </c>
      <c r="DN26" s="1420">
        <v>396754.04</v>
      </c>
      <c r="DO26" s="1420">
        <v>1391057.65</v>
      </c>
      <c r="DP26" s="1420">
        <v>1536748.39</v>
      </c>
      <c r="DQ26" s="1420">
        <v>556661.22</v>
      </c>
      <c r="DR26" s="1420">
        <v>446497.68</v>
      </c>
      <c r="DS26" s="1420">
        <v>42622.19</v>
      </c>
      <c r="DT26" s="1420">
        <v>31107.599999999999</v>
      </c>
      <c r="DU26" s="1420">
        <v>2792181.72</v>
      </c>
      <c r="DV26" s="1420">
        <v>2770481.56</v>
      </c>
      <c r="DW26" s="1420">
        <v>713065.16</v>
      </c>
      <c r="DX26" s="1420">
        <v>877709.03</v>
      </c>
      <c r="DY26" s="1420">
        <v>1478487.95</v>
      </c>
      <c r="DZ26" s="1420">
        <v>1597570.13</v>
      </c>
      <c r="EA26" s="1420">
        <v>1020706.25</v>
      </c>
      <c r="EB26" s="1420">
        <v>1060107.1299999999</v>
      </c>
      <c r="EC26" s="1420">
        <v>3212259.36</v>
      </c>
      <c r="ED26" s="1420">
        <v>3535386.29</v>
      </c>
      <c r="EE26" s="1420">
        <v>974265.44</v>
      </c>
      <c r="EF26" s="1420">
        <v>968758.82</v>
      </c>
      <c r="EG26" s="1422">
        <v>0</v>
      </c>
      <c r="EH26" s="1422">
        <v>0</v>
      </c>
      <c r="EI26" s="1420">
        <v>95382.09</v>
      </c>
      <c r="EJ26" s="1420">
        <v>5338.88</v>
      </c>
      <c r="EK26" s="1422">
        <v>0</v>
      </c>
      <c r="EL26" s="1422">
        <v>0</v>
      </c>
      <c r="EM26" s="1420">
        <v>1069647.53</v>
      </c>
      <c r="EN26" s="1420">
        <v>974097.7</v>
      </c>
      <c r="EO26" s="1420">
        <v>496471.99</v>
      </c>
      <c r="EP26" s="1422">
        <v>139176</v>
      </c>
      <c r="EQ26" s="1420">
        <v>465225.84</v>
      </c>
      <c r="ER26" s="1420">
        <v>556743.84</v>
      </c>
      <c r="ES26" s="1420">
        <v>23733.56</v>
      </c>
      <c r="ET26" s="1422">
        <v>0</v>
      </c>
      <c r="EU26" s="1420">
        <v>16988265.699999999</v>
      </c>
      <c r="EV26" s="1420">
        <v>16861019.469999999</v>
      </c>
      <c r="EW26" s="1420">
        <v>845588.93</v>
      </c>
      <c r="EX26" s="1420">
        <v>256884.52</v>
      </c>
      <c r="EY26" s="1420">
        <v>465225.84</v>
      </c>
      <c r="EZ26" s="1420">
        <v>556743.84</v>
      </c>
      <c r="FA26" s="1420">
        <v>15677450.93</v>
      </c>
      <c r="FB26" s="1420">
        <v>16047391.109999999</v>
      </c>
      <c r="FC26" s="1420">
        <v>1545582.81</v>
      </c>
      <c r="FD26" s="1439"/>
      <c r="FE26" s="1420">
        <v>14131868.119999999</v>
      </c>
      <c r="FF26" s="1439"/>
      <c r="FG26" s="1422">
        <v>9716</v>
      </c>
      <c r="FH26" s="1439"/>
      <c r="FI26" s="1420">
        <v>117.2</v>
      </c>
      <c r="FJ26" s="1439"/>
      <c r="FK26" s="1422">
        <v>41518</v>
      </c>
      <c r="FL26" s="1439"/>
      <c r="FM26" s="1420">
        <v>132.96</v>
      </c>
      <c r="FN26" s="1439"/>
      <c r="FO26" s="1422">
        <v>44114</v>
      </c>
      <c r="FP26" s="1439"/>
      <c r="FQ26" s="1420">
        <v>1713819.25</v>
      </c>
      <c r="FR26" s="1439"/>
      <c r="FS26" s="1420">
        <v>90238.38</v>
      </c>
      <c r="FT26" s="1439"/>
      <c r="FU26" s="1422">
        <v>0</v>
      </c>
      <c r="FV26" s="1439"/>
      <c r="FW26" s="1420">
        <v>1623580.87</v>
      </c>
      <c r="FX26" s="1439"/>
      <c r="FY26" s="1420">
        <v>630930.85</v>
      </c>
      <c r="FZ26" s="1439"/>
      <c r="GA26" s="1422">
        <v>0</v>
      </c>
      <c r="GB26" s="1439"/>
    </row>
    <row r="27" spans="1:184" ht="12.75" customHeight="1" thickBot="1">
      <c r="A27" s="1418" t="s">
        <v>629</v>
      </c>
      <c r="B27" s="1418" t="s">
        <v>630</v>
      </c>
      <c r="C27" s="1420">
        <v>482.36</v>
      </c>
      <c r="D27" s="1439"/>
      <c r="E27" s="1420">
        <v>522.74</v>
      </c>
      <c r="F27" s="1439"/>
      <c r="G27" s="1421">
        <v>-0.24</v>
      </c>
      <c r="H27" s="1439"/>
      <c r="I27" s="1420">
        <v>553.99</v>
      </c>
      <c r="J27" s="1439"/>
      <c r="K27" s="1420">
        <v>597.91999999999996</v>
      </c>
      <c r="L27" s="1439"/>
      <c r="M27" s="1422">
        <v>75341621</v>
      </c>
      <c r="N27" s="1439"/>
      <c r="O27" s="1422">
        <v>30</v>
      </c>
      <c r="P27" s="1439"/>
      <c r="Q27" s="1422">
        <v>25</v>
      </c>
      <c r="R27" s="1439"/>
      <c r="S27" s="1422">
        <v>5</v>
      </c>
      <c r="T27" s="1439"/>
      <c r="U27" s="1422">
        <v>0</v>
      </c>
      <c r="V27" s="1439"/>
      <c r="W27" s="1420">
        <v>6.7</v>
      </c>
      <c r="X27" s="1439"/>
      <c r="Y27" s="1420">
        <v>36.700000000000003</v>
      </c>
      <c r="Z27" s="1439"/>
      <c r="AA27" s="1420">
        <v>6526640.0999999996</v>
      </c>
      <c r="AB27" s="1455"/>
      <c r="AC27" s="1424">
        <v>2443783.29</v>
      </c>
      <c r="AD27" s="1422">
        <v>2791778</v>
      </c>
      <c r="AE27" s="1420">
        <v>413418.33</v>
      </c>
      <c r="AF27" s="1420">
        <v>137969.31</v>
      </c>
      <c r="AG27" s="1420">
        <v>9535.8700000000008</v>
      </c>
      <c r="AH27" s="1456">
        <v>0</v>
      </c>
      <c r="AI27" s="1428">
        <v>1831564</v>
      </c>
      <c r="AJ27" s="1422">
        <v>1707949</v>
      </c>
      <c r="AK27" s="1422">
        <v>142886</v>
      </c>
      <c r="AL27" s="1422">
        <v>0</v>
      </c>
      <c r="AM27" s="1422">
        <v>0</v>
      </c>
      <c r="AN27" s="1422">
        <v>0</v>
      </c>
      <c r="AO27" s="1422">
        <v>93808</v>
      </c>
      <c r="AP27" s="1422">
        <v>0</v>
      </c>
      <c r="AQ27" s="1422">
        <v>0</v>
      </c>
      <c r="AR27" s="1422">
        <v>0</v>
      </c>
      <c r="AS27" s="1422">
        <v>0</v>
      </c>
      <c r="AT27" s="1422">
        <v>0</v>
      </c>
      <c r="AU27" s="1422">
        <v>0</v>
      </c>
      <c r="AV27" s="1422">
        <v>0</v>
      </c>
      <c r="AW27" s="1422">
        <v>0</v>
      </c>
      <c r="AX27" s="1422">
        <v>0</v>
      </c>
      <c r="AY27" s="1420">
        <v>4934995.49</v>
      </c>
      <c r="AZ27" s="1420">
        <v>4637696.3099999996</v>
      </c>
      <c r="BA27" s="1422">
        <v>0</v>
      </c>
      <c r="BB27" s="1422">
        <v>0</v>
      </c>
      <c r="BC27" s="1422">
        <v>24730</v>
      </c>
      <c r="BD27" s="1422">
        <v>23457</v>
      </c>
      <c r="BE27" s="1420">
        <v>4578.3</v>
      </c>
      <c r="BF27" s="1422">
        <v>1400</v>
      </c>
      <c r="BG27" s="1422">
        <v>2000</v>
      </c>
      <c r="BH27" s="1422">
        <v>0</v>
      </c>
      <c r="BI27" s="1422">
        <v>36933</v>
      </c>
      <c r="BJ27" s="1422">
        <v>30922</v>
      </c>
      <c r="BK27" s="1422">
        <v>3516</v>
      </c>
      <c r="BL27" s="1422">
        <v>3588</v>
      </c>
      <c r="BM27" s="1422">
        <v>185504</v>
      </c>
      <c r="BN27" s="1422">
        <v>181148</v>
      </c>
      <c r="BO27" s="1420">
        <v>21293.77</v>
      </c>
      <c r="BP27" s="1422">
        <v>0</v>
      </c>
      <c r="BQ27" s="1422">
        <v>24375</v>
      </c>
      <c r="BR27" s="1422">
        <v>0</v>
      </c>
      <c r="BS27" s="1420">
        <v>2397.6799999999998</v>
      </c>
      <c r="BT27" s="1420">
        <v>2397.6799999999998</v>
      </c>
      <c r="BU27" s="1422">
        <v>0</v>
      </c>
      <c r="BV27" s="1422">
        <v>0</v>
      </c>
      <c r="BW27" s="1422">
        <v>96131</v>
      </c>
      <c r="BX27" s="1422">
        <v>97200</v>
      </c>
      <c r="BY27" s="1422">
        <v>0</v>
      </c>
      <c r="BZ27" s="1422">
        <v>0</v>
      </c>
      <c r="CA27" s="1420">
        <v>932148.98</v>
      </c>
      <c r="CB27" s="1420">
        <v>903773.84</v>
      </c>
      <c r="CC27" s="1420">
        <v>1333607.73</v>
      </c>
      <c r="CD27" s="1420">
        <v>1243886.52</v>
      </c>
      <c r="CE27" s="1420">
        <v>1412314.74</v>
      </c>
      <c r="CF27" s="1420">
        <v>845971.66</v>
      </c>
      <c r="CG27" s="1422">
        <v>0</v>
      </c>
      <c r="CH27" s="1422">
        <v>0</v>
      </c>
      <c r="CI27" s="1422">
        <v>0</v>
      </c>
      <c r="CJ27" s="1422">
        <v>0</v>
      </c>
      <c r="CK27" s="1422">
        <v>0</v>
      </c>
      <c r="CL27" s="1422">
        <v>0</v>
      </c>
      <c r="CM27" s="1422">
        <v>0</v>
      </c>
      <c r="CN27" s="1422">
        <v>0</v>
      </c>
      <c r="CO27" s="1420">
        <v>158164.13</v>
      </c>
      <c r="CP27" s="1420">
        <v>1781436.91</v>
      </c>
      <c r="CQ27" s="1422">
        <v>0</v>
      </c>
      <c r="CR27" s="1422">
        <v>0</v>
      </c>
      <c r="CS27" s="1420">
        <v>158164.13</v>
      </c>
      <c r="CT27" s="1420">
        <v>1781436.91</v>
      </c>
      <c r="CU27" s="1420">
        <v>7839082.0899999999</v>
      </c>
      <c r="CV27" s="1420">
        <v>8508991.4000000004</v>
      </c>
      <c r="CW27" s="1420">
        <v>1931621.67</v>
      </c>
      <c r="CX27" s="1420">
        <v>1799117.56</v>
      </c>
      <c r="CY27" s="1420">
        <v>304048.49</v>
      </c>
      <c r="CZ27" s="1422">
        <v>315513</v>
      </c>
      <c r="DA27" s="1420">
        <v>185787.93</v>
      </c>
      <c r="DB27" s="1422">
        <v>148845</v>
      </c>
      <c r="DC27" s="1422">
        <v>0</v>
      </c>
      <c r="DD27" s="1422">
        <v>0</v>
      </c>
      <c r="DE27" s="1420">
        <v>225146.44</v>
      </c>
      <c r="DF27" s="1420">
        <v>243570.88</v>
      </c>
      <c r="DG27" s="1420">
        <v>196426.4</v>
      </c>
      <c r="DH27" s="1420">
        <v>188483.94</v>
      </c>
      <c r="DI27" s="1420">
        <v>2843030.93</v>
      </c>
      <c r="DJ27" s="1420">
        <v>2695530.38</v>
      </c>
      <c r="DK27" s="1420">
        <v>326420.28999999998</v>
      </c>
      <c r="DL27" s="1422">
        <v>316457</v>
      </c>
      <c r="DM27" s="1420">
        <v>120037.75</v>
      </c>
      <c r="DN27" s="1422">
        <v>125185</v>
      </c>
      <c r="DO27" s="1420">
        <v>545784.27</v>
      </c>
      <c r="DP27" s="1422">
        <v>490164</v>
      </c>
      <c r="DQ27" s="1420">
        <v>279548.07</v>
      </c>
      <c r="DR27" s="1420">
        <v>392031.73</v>
      </c>
      <c r="DS27" s="1420">
        <v>10246.1</v>
      </c>
      <c r="DT27" s="1422">
        <v>9700</v>
      </c>
      <c r="DU27" s="1420">
        <v>1282036.48</v>
      </c>
      <c r="DV27" s="1420">
        <v>1333537.73</v>
      </c>
      <c r="DW27" s="1420">
        <v>274038.42</v>
      </c>
      <c r="DX27" s="1422">
        <v>275472</v>
      </c>
      <c r="DY27" s="1420">
        <v>744655.18</v>
      </c>
      <c r="DZ27" s="1420">
        <v>737954.19</v>
      </c>
      <c r="EA27" s="1420">
        <v>285981.27</v>
      </c>
      <c r="EB27" s="1422">
        <v>301135</v>
      </c>
      <c r="EC27" s="1420">
        <v>1304674.8700000001</v>
      </c>
      <c r="ED27" s="1420">
        <v>1314561.19</v>
      </c>
      <c r="EE27" s="1420">
        <v>359946.66</v>
      </c>
      <c r="EF27" s="1420">
        <v>336542.65</v>
      </c>
      <c r="EG27" s="1420">
        <v>8540.64</v>
      </c>
      <c r="EH27" s="1422">
        <v>0</v>
      </c>
      <c r="EI27" s="1422">
        <v>0</v>
      </c>
      <c r="EJ27" s="1422">
        <v>300</v>
      </c>
      <c r="EK27" s="1422">
        <v>0</v>
      </c>
      <c r="EL27" s="1422">
        <v>0</v>
      </c>
      <c r="EM27" s="1420">
        <v>368487.3</v>
      </c>
      <c r="EN27" s="1420">
        <v>336842.65</v>
      </c>
      <c r="EO27" s="1420">
        <v>5556829.0899999999</v>
      </c>
      <c r="EP27" s="1420">
        <v>6185893.8399999999</v>
      </c>
      <c r="EQ27" s="1420">
        <v>367504.5</v>
      </c>
      <c r="ER27" s="1422">
        <v>370882</v>
      </c>
      <c r="ES27" s="1422">
        <v>0</v>
      </c>
      <c r="ET27" s="1422">
        <v>0</v>
      </c>
      <c r="EU27" s="1420">
        <v>11722563.17</v>
      </c>
      <c r="EV27" s="1420">
        <v>12237247.789999999</v>
      </c>
      <c r="EW27" s="1420">
        <v>5622831.9900000002</v>
      </c>
      <c r="EX27" s="1420">
        <v>6382447.8899999997</v>
      </c>
      <c r="EY27" s="1420">
        <v>367504.5</v>
      </c>
      <c r="EZ27" s="1422">
        <v>370882</v>
      </c>
      <c r="FA27" s="1420">
        <v>5732226.6799999997</v>
      </c>
      <c r="FB27" s="1420">
        <v>5483917.9000000004</v>
      </c>
      <c r="FC27" s="1420">
        <v>303917.21999999997</v>
      </c>
      <c r="FD27" s="1439"/>
      <c r="FE27" s="1420">
        <v>5428309.46</v>
      </c>
      <c r="FF27" s="1439"/>
      <c r="FG27" s="1422">
        <v>10384</v>
      </c>
      <c r="FH27" s="1439"/>
      <c r="FI27" s="1420">
        <v>40.5</v>
      </c>
      <c r="FJ27" s="1439"/>
      <c r="FK27" s="1422">
        <v>37546</v>
      </c>
      <c r="FL27" s="1439"/>
      <c r="FM27" s="1420">
        <v>51.46</v>
      </c>
      <c r="FN27" s="1439"/>
      <c r="FO27" s="1422">
        <v>39155</v>
      </c>
      <c r="FP27" s="1439"/>
      <c r="FQ27" s="1420">
        <v>4703715.24</v>
      </c>
      <c r="FR27" s="1439"/>
      <c r="FS27" s="1420">
        <v>31233.48</v>
      </c>
      <c r="FT27" s="1439"/>
      <c r="FU27" s="1422">
        <v>0</v>
      </c>
      <c r="FV27" s="1439"/>
      <c r="FW27" s="1420">
        <v>4672481.76</v>
      </c>
      <c r="FX27" s="1439"/>
      <c r="FY27" s="1420">
        <v>1006592.06</v>
      </c>
      <c r="FZ27" s="1439"/>
      <c r="GA27" s="1422">
        <v>0</v>
      </c>
      <c r="GB27" s="1439"/>
    </row>
    <row r="28" spans="1:184" ht="12.75" customHeight="1" thickBot="1">
      <c r="A28" s="1418" t="s">
        <v>631</v>
      </c>
      <c r="B28" s="1418" t="s">
        <v>632</v>
      </c>
      <c r="C28" s="1420">
        <v>218.54</v>
      </c>
      <c r="D28" s="1439"/>
      <c r="E28" s="1420">
        <v>1746.33</v>
      </c>
      <c r="F28" s="1439"/>
      <c r="G28" s="1421">
        <v>0.02</v>
      </c>
      <c r="H28" s="1439"/>
      <c r="I28" s="1420">
        <v>1855.72</v>
      </c>
      <c r="J28" s="1439"/>
      <c r="K28" s="1420">
        <v>1864.96</v>
      </c>
      <c r="L28" s="1439"/>
      <c r="M28" s="1422">
        <v>128099294</v>
      </c>
      <c r="N28" s="1439"/>
      <c r="O28" s="1422">
        <v>25</v>
      </c>
      <c r="P28" s="1439"/>
      <c r="Q28" s="1422">
        <v>25</v>
      </c>
      <c r="R28" s="1439"/>
      <c r="S28" s="1422">
        <v>0</v>
      </c>
      <c r="T28" s="1439"/>
      <c r="U28" s="1422">
        <v>0</v>
      </c>
      <c r="V28" s="1439"/>
      <c r="W28" s="1420">
        <v>13.05</v>
      </c>
      <c r="X28" s="1439"/>
      <c r="Y28" s="1420">
        <v>38.049999999999997</v>
      </c>
      <c r="Z28" s="1439"/>
      <c r="AA28" s="1420">
        <v>15445942.35</v>
      </c>
      <c r="AB28" s="1455"/>
      <c r="AC28" s="1424">
        <v>4435748.0599999996</v>
      </c>
      <c r="AD28" s="1422">
        <v>4480551</v>
      </c>
      <c r="AE28" s="1420">
        <v>714114.67</v>
      </c>
      <c r="AF28" s="1422">
        <v>32500</v>
      </c>
      <c r="AG28" s="1422">
        <v>0</v>
      </c>
      <c r="AH28" s="1456">
        <v>0</v>
      </c>
      <c r="AI28" s="1428">
        <v>8169716</v>
      </c>
      <c r="AJ28" s="1422">
        <v>8307272</v>
      </c>
      <c r="AK28" s="1422">
        <v>110641</v>
      </c>
      <c r="AL28" s="1422">
        <v>0</v>
      </c>
      <c r="AM28" s="1422">
        <v>48583</v>
      </c>
      <c r="AN28" s="1422">
        <v>-8071</v>
      </c>
      <c r="AO28" s="1422">
        <v>0</v>
      </c>
      <c r="AP28" s="1422">
        <v>3932</v>
      </c>
      <c r="AQ28" s="1422">
        <v>0</v>
      </c>
      <c r="AR28" s="1422">
        <v>0</v>
      </c>
      <c r="AS28" s="1422">
        <v>0</v>
      </c>
      <c r="AT28" s="1422">
        <v>0</v>
      </c>
      <c r="AU28" s="1422">
        <v>0</v>
      </c>
      <c r="AV28" s="1422">
        <v>0</v>
      </c>
      <c r="AW28" s="1422">
        <v>0</v>
      </c>
      <c r="AX28" s="1422">
        <v>0</v>
      </c>
      <c r="AY28" s="1420">
        <v>13478802.73</v>
      </c>
      <c r="AZ28" s="1422">
        <v>12816184</v>
      </c>
      <c r="BA28" s="1422">
        <v>0</v>
      </c>
      <c r="BB28" s="1422">
        <v>0</v>
      </c>
      <c r="BC28" s="1422">
        <v>77135</v>
      </c>
      <c r="BD28" s="1422">
        <v>78983</v>
      </c>
      <c r="BE28" s="1420">
        <v>14933.06</v>
      </c>
      <c r="BF28" s="1422">
        <v>0</v>
      </c>
      <c r="BG28" s="1422">
        <v>2726</v>
      </c>
      <c r="BH28" s="1422">
        <v>1000</v>
      </c>
      <c r="BI28" s="1422">
        <v>68258</v>
      </c>
      <c r="BJ28" s="1422">
        <v>53844</v>
      </c>
      <c r="BK28" s="1422">
        <v>89072</v>
      </c>
      <c r="BL28" s="1422">
        <v>80000</v>
      </c>
      <c r="BM28" s="1422">
        <v>528240</v>
      </c>
      <c r="BN28" s="1422">
        <v>535854</v>
      </c>
      <c r="BO28" s="1420">
        <v>158016.79</v>
      </c>
      <c r="BP28" s="1422">
        <v>173993</v>
      </c>
      <c r="BQ28" s="1422">
        <v>29250</v>
      </c>
      <c r="BR28" s="1420">
        <v>12593.75</v>
      </c>
      <c r="BS28" s="1420">
        <v>6124.61</v>
      </c>
      <c r="BT28" s="1422">
        <v>0</v>
      </c>
      <c r="BU28" s="1422">
        <v>0</v>
      </c>
      <c r="BV28" s="1422">
        <v>0</v>
      </c>
      <c r="BW28" s="1422">
        <v>0</v>
      </c>
      <c r="BX28" s="1422">
        <v>0</v>
      </c>
      <c r="BY28" s="1422">
        <v>0</v>
      </c>
      <c r="BZ28" s="1422">
        <v>0</v>
      </c>
      <c r="CA28" s="1420">
        <v>436219.25</v>
      </c>
      <c r="CB28" s="1422">
        <v>89486</v>
      </c>
      <c r="CC28" s="1420">
        <v>1409974.71</v>
      </c>
      <c r="CD28" s="1420">
        <v>1025753.75</v>
      </c>
      <c r="CE28" s="1420">
        <v>2680583.06</v>
      </c>
      <c r="CF28" s="1420">
        <v>1505459.28</v>
      </c>
      <c r="CG28" s="1422">
        <v>1500000</v>
      </c>
      <c r="CH28" s="1422">
        <v>0</v>
      </c>
      <c r="CI28" s="1422">
        <v>0</v>
      </c>
      <c r="CJ28" s="1422">
        <v>0</v>
      </c>
      <c r="CK28" s="1422">
        <v>0</v>
      </c>
      <c r="CL28" s="1422">
        <v>0</v>
      </c>
      <c r="CM28" s="1422">
        <v>0</v>
      </c>
      <c r="CN28" s="1422">
        <v>0</v>
      </c>
      <c r="CO28" s="1420">
        <v>84562.3</v>
      </c>
      <c r="CP28" s="1422">
        <v>0</v>
      </c>
      <c r="CQ28" s="1422">
        <v>0</v>
      </c>
      <c r="CR28" s="1422">
        <v>0</v>
      </c>
      <c r="CS28" s="1420">
        <v>1584562.3</v>
      </c>
      <c r="CT28" s="1422">
        <v>0</v>
      </c>
      <c r="CU28" s="1420">
        <v>19153922.800000001</v>
      </c>
      <c r="CV28" s="1420">
        <v>15347397.029999999</v>
      </c>
      <c r="CW28" s="1420">
        <v>6066179.2800000003</v>
      </c>
      <c r="CX28" s="1420">
        <v>5957354.9800000004</v>
      </c>
      <c r="CY28" s="1420">
        <v>1107626.6299999999</v>
      </c>
      <c r="CZ28" s="1420">
        <v>1007094.68</v>
      </c>
      <c r="DA28" s="1420">
        <v>447794.68</v>
      </c>
      <c r="DB28" s="1422">
        <v>413934</v>
      </c>
      <c r="DC28" s="1422">
        <v>0</v>
      </c>
      <c r="DD28" s="1422">
        <v>0</v>
      </c>
      <c r="DE28" s="1420">
        <v>648198.40000000002</v>
      </c>
      <c r="DF28" s="1420">
        <v>509846.94</v>
      </c>
      <c r="DG28" s="1420">
        <v>1105465.04</v>
      </c>
      <c r="DH28" s="1420">
        <v>930982.83</v>
      </c>
      <c r="DI28" s="1420">
        <v>9375264.0299999993</v>
      </c>
      <c r="DJ28" s="1420">
        <v>8819213.4299999997</v>
      </c>
      <c r="DK28" s="1420">
        <v>1936010.2</v>
      </c>
      <c r="DL28" s="1420">
        <v>380185.82</v>
      </c>
      <c r="DM28" s="1420">
        <v>363710.17</v>
      </c>
      <c r="DN28" s="1422">
        <v>212899</v>
      </c>
      <c r="DO28" s="1420">
        <v>1483194.52</v>
      </c>
      <c r="DP28" s="1420">
        <v>1271997.3500000001</v>
      </c>
      <c r="DQ28" s="1420">
        <v>675955.99</v>
      </c>
      <c r="DR28" s="1422">
        <v>484434</v>
      </c>
      <c r="DS28" s="1420">
        <v>32720.639999999999</v>
      </c>
      <c r="DT28" s="1422">
        <v>16500</v>
      </c>
      <c r="DU28" s="1420">
        <v>4491591.5199999996</v>
      </c>
      <c r="DV28" s="1420">
        <v>2366016.17</v>
      </c>
      <c r="DW28" s="1420">
        <v>882762.25</v>
      </c>
      <c r="DX28" s="1422">
        <v>808591</v>
      </c>
      <c r="DY28" s="1420">
        <v>1027842.86</v>
      </c>
      <c r="DZ28" s="1420">
        <v>1505375.94</v>
      </c>
      <c r="EA28" s="1420">
        <v>571858.97</v>
      </c>
      <c r="EB28" s="1422">
        <v>530243</v>
      </c>
      <c r="EC28" s="1420">
        <v>2482464.08</v>
      </c>
      <c r="ED28" s="1420">
        <v>2844209.94</v>
      </c>
      <c r="EE28" s="1420">
        <v>993642.46</v>
      </c>
      <c r="EF28" s="1422">
        <v>292079</v>
      </c>
      <c r="EG28" s="1422">
        <v>0</v>
      </c>
      <c r="EH28" s="1422">
        <v>0</v>
      </c>
      <c r="EI28" s="1420">
        <v>69.09</v>
      </c>
      <c r="EJ28" s="1422">
        <v>1300</v>
      </c>
      <c r="EK28" s="1422">
        <v>0</v>
      </c>
      <c r="EL28" s="1422">
        <v>0</v>
      </c>
      <c r="EM28" s="1420">
        <v>993711.55</v>
      </c>
      <c r="EN28" s="1422">
        <v>293379</v>
      </c>
      <c r="EO28" s="1420">
        <v>1673671.97</v>
      </c>
      <c r="EP28" s="1422">
        <v>443830</v>
      </c>
      <c r="EQ28" s="1420">
        <v>1081125.28</v>
      </c>
      <c r="ER28" s="1422">
        <v>1081806</v>
      </c>
      <c r="ES28" s="1422">
        <v>0</v>
      </c>
      <c r="ET28" s="1422">
        <v>0</v>
      </c>
      <c r="EU28" s="1420">
        <v>20097828.43</v>
      </c>
      <c r="EV28" s="1420">
        <v>15848454.539999999</v>
      </c>
      <c r="EW28" s="1420">
        <v>1796442.57</v>
      </c>
      <c r="EX28" s="1422">
        <v>450730</v>
      </c>
      <c r="EY28" s="1420">
        <v>1081125.28</v>
      </c>
      <c r="EZ28" s="1422">
        <v>1081806</v>
      </c>
      <c r="FA28" s="1420">
        <v>17220260.579999998</v>
      </c>
      <c r="FB28" s="1420">
        <v>14315918.539999999</v>
      </c>
      <c r="FC28" s="1420">
        <v>631969.4</v>
      </c>
      <c r="FD28" s="1439"/>
      <c r="FE28" s="1420">
        <v>16588291.18</v>
      </c>
      <c r="FF28" s="1439"/>
      <c r="FG28" s="1422">
        <v>9498</v>
      </c>
      <c r="FH28" s="1439"/>
      <c r="FI28" s="1420">
        <v>140.85</v>
      </c>
      <c r="FJ28" s="1439"/>
      <c r="FK28" s="1422">
        <v>39784</v>
      </c>
      <c r="FL28" s="1439"/>
      <c r="FM28" s="1420">
        <v>150.29</v>
      </c>
      <c r="FN28" s="1439"/>
      <c r="FO28" s="1422">
        <v>41566</v>
      </c>
      <c r="FP28" s="1439"/>
      <c r="FQ28" s="1420">
        <v>2290073.12</v>
      </c>
      <c r="FR28" s="1439"/>
      <c r="FS28" s="1420">
        <v>177790.53</v>
      </c>
      <c r="FT28" s="1439"/>
      <c r="FU28" s="1422">
        <v>0</v>
      </c>
      <c r="FV28" s="1439"/>
      <c r="FW28" s="1420">
        <v>2112282.59</v>
      </c>
      <c r="FX28" s="1439"/>
      <c r="FY28" s="1420">
        <v>555956.54</v>
      </c>
      <c r="FZ28" s="1439"/>
      <c r="GA28" s="1422">
        <v>0</v>
      </c>
      <c r="GB28" s="1439"/>
    </row>
    <row r="29" spans="1:184" ht="12.75" customHeight="1" thickBot="1">
      <c r="A29" s="1418" t="s">
        <v>633</v>
      </c>
      <c r="B29" s="1418" t="s">
        <v>634</v>
      </c>
      <c r="C29" s="1420">
        <v>158.04</v>
      </c>
      <c r="D29" s="1439"/>
      <c r="E29" s="1420">
        <v>606.85</v>
      </c>
      <c r="F29" s="1439"/>
      <c r="G29" s="1421">
        <v>-0.03</v>
      </c>
      <c r="H29" s="1439"/>
      <c r="I29" s="1420">
        <v>643.33000000000004</v>
      </c>
      <c r="J29" s="1439"/>
      <c r="K29" s="1420">
        <v>650.82000000000005</v>
      </c>
      <c r="L29" s="1439"/>
      <c r="M29" s="1422">
        <v>200052616</v>
      </c>
      <c r="N29" s="1439"/>
      <c r="O29" s="1422">
        <v>25</v>
      </c>
      <c r="P29" s="1439"/>
      <c r="Q29" s="1422">
        <v>25</v>
      </c>
      <c r="R29" s="1439"/>
      <c r="S29" s="1422">
        <v>0</v>
      </c>
      <c r="T29" s="1439"/>
      <c r="U29" s="1422">
        <v>0</v>
      </c>
      <c r="V29" s="1439"/>
      <c r="W29" s="1420">
        <v>11.13</v>
      </c>
      <c r="X29" s="1439"/>
      <c r="Y29" s="1420">
        <v>36.130000000000003</v>
      </c>
      <c r="Z29" s="1439"/>
      <c r="AA29" s="1420">
        <v>13946945.529999999</v>
      </c>
      <c r="AB29" s="1455"/>
      <c r="AC29" s="1424">
        <v>6490219.9000000004</v>
      </c>
      <c r="AD29" s="1422">
        <v>6938784</v>
      </c>
      <c r="AE29" s="1420">
        <v>423917.57</v>
      </c>
      <c r="AF29" s="1422">
        <v>279500</v>
      </c>
      <c r="AG29" s="1422">
        <v>0</v>
      </c>
      <c r="AH29" s="1456">
        <v>0</v>
      </c>
      <c r="AI29" s="1428">
        <v>0</v>
      </c>
      <c r="AJ29" s="1422">
        <v>0</v>
      </c>
      <c r="AK29" s="1422">
        <v>0</v>
      </c>
      <c r="AL29" s="1422">
        <v>0</v>
      </c>
      <c r="AM29" s="1422">
        <v>0</v>
      </c>
      <c r="AN29" s="1422">
        <v>0</v>
      </c>
      <c r="AO29" s="1422">
        <v>8944</v>
      </c>
      <c r="AP29" s="1422">
        <v>16159</v>
      </c>
      <c r="AQ29" s="1422">
        <v>0</v>
      </c>
      <c r="AR29" s="1422">
        <v>0</v>
      </c>
      <c r="AS29" s="1422">
        <v>0</v>
      </c>
      <c r="AT29" s="1422">
        <v>0</v>
      </c>
      <c r="AU29" s="1422">
        <v>0</v>
      </c>
      <c r="AV29" s="1422">
        <v>0</v>
      </c>
      <c r="AW29" s="1422">
        <v>0</v>
      </c>
      <c r="AX29" s="1422">
        <v>0</v>
      </c>
      <c r="AY29" s="1420">
        <v>6923081.4699999997</v>
      </c>
      <c r="AZ29" s="1422">
        <v>7234443</v>
      </c>
      <c r="BA29" s="1422">
        <v>0</v>
      </c>
      <c r="BB29" s="1422">
        <v>0</v>
      </c>
      <c r="BC29" s="1422">
        <v>26918</v>
      </c>
      <c r="BD29" s="1422">
        <v>27359</v>
      </c>
      <c r="BE29" s="1420">
        <v>2673.65</v>
      </c>
      <c r="BF29" s="1422">
        <v>4500</v>
      </c>
      <c r="BG29" s="1422">
        <v>950</v>
      </c>
      <c r="BH29" s="1422">
        <v>0</v>
      </c>
      <c r="BI29" s="1422">
        <v>62245</v>
      </c>
      <c r="BJ29" s="1422">
        <v>49243</v>
      </c>
      <c r="BK29" s="1422">
        <v>7911</v>
      </c>
      <c r="BL29" s="1422">
        <v>0</v>
      </c>
      <c r="BM29" s="1420">
        <v>169007.94</v>
      </c>
      <c r="BN29" s="1422">
        <v>200376</v>
      </c>
      <c r="BO29" s="1420">
        <v>222321.01</v>
      </c>
      <c r="BP29" s="1420">
        <v>182179.38</v>
      </c>
      <c r="BQ29" s="1422">
        <v>0</v>
      </c>
      <c r="BR29" s="1420">
        <v>19507.5</v>
      </c>
      <c r="BS29" s="1420">
        <v>2448.17</v>
      </c>
      <c r="BT29" s="1422">
        <v>2500</v>
      </c>
      <c r="BU29" s="1422">
        <v>0</v>
      </c>
      <c r="BV29" s="1422">
        <v>0</v>
      </c>
      <c r="BW29" s="1422">
        <v>190998</v>
      </c>
      <c r="BX29" s="1422">
        <v>194400</v>
      </c>
      <c r="BY29" s="1422">
        <v>0</v>
      </c>
      <c r="BZ29" s="1422">
        <v>0</v>
      </c>
      <c r="CA29" s="1422">
        <v>0</v>
      </c>
      <c r="CB29" s="1422">
        <v>0</v>
      </c>
      <c r="CC29" s="1420">
        <v>685472.77</v>
      </c>
      <c r="CD29" s="1420">
        <v>680064.88</v>
      </c>
      <c r="CE29" s="1420">
        <v>2001702.5</v>
      </c>
      <c r="CF29" s="1420">
        <v>1048721.29</v>
      </c>
      <c r="CG29" s="1422">
        <v>0</v>
      </c>
      <c r="CH29" s="1422">
        <v>0</v>
      </c>
      <c r="CI29" s="1422">
        <v>0</v>
      </c>
      <c r="CJ29" s="1422">
        <v>0</v>
      </c>
      <c r="CK29" s="1422">
        <v>0</v>
      </c>
      <c r="CL29" s="1422">
        <v>0</v>
      </c>
      <c r="CM29" s="1422">
        <v>2726</v>
      </c>
      <c r="CN29" s="1422">
        <v>0</v>
      </c>
      <c r="CO29" s="1422">
        <v>0</v>
      </c>
      <c r="CP29" s="1422">
        <v>0</v>
      </c>
      <c r="CQ29" s="1422">
        <v>0</v>
      </c>
      <c r="CR29" s="1422">
        <v>0</v>
      </c>
      <c r="CS29" s="1422">
        <v>2726</v>
      </c>
      <c r="CT29" s="1422">
        <v>0</v>
      </c>
      <c r="CU29" s="1420">
        <v>9612982.7400000002</v>
      </c>
      <c r="CV29" s="1420">
        <v>8963229.1699999999</v>
      </c>
      <c r="CW29" s="1420">
        <v>2901270.72</v>
      </c>
      <c r="CX29" s="1420">
        <v>2571500.96</v>
      </c>
      <c r="CY29" s="1420">
        <v>798567.32</v>
      </c>
      <c r="CZ29" s="1420">
        <v>645819.15</v>
      </c>
      <c r="DA29" s="1420">
        <v>142435.03</v>
      </c>
      <c r="DB29" s="1420">
        <v>131810.54</v>
      </c>
      <c r="DC29" s="1422">
        <v>0</v>
      </c>
      <c r="DD29" s="1422">
        <v>0</v>
      </c>
      <c r="DE29" s="1420">
        <v>427691.12</v>
      </c>
      <c r="DF29" s="1420">
        <v>288094.78000000003</v>
      </c>
      <c r="DG29" s="1420">
        <v>300781.65999999997</v>
      </c>
      <c r="DH29" s="1420">
        <v>263189.96000000002</v>
      </c>
      <c r="DI29" s="1420">
        <v>4570745.8499999996</v>
      </c>
      <c r="DJ29" s="1420">
        <v>3900415.39</v>
      </c>
      <c r="DK29" s="1420">
        <v>191107.52</v>
      </c>
      <c r="DL29" s="1420">
        <v>261992.61</v>
      </c>
      <c r="DM29" s="1420">
        <v>95633.97</v>
      </c>
      <c r="DN29" s="1420">
        <v>104587.5</v>
      </c>
      <c r="DO29" s="1420">
        <v>558125.03</v>
      </c>
      <c r="DP29" s="1420">
        <v>582964.65</v>
      </c>
      <c r="DQ29" s="1420">
        <v>337755.18</v>
      </c>
      <c r="DR29" s="1420">
        <v>333502.75</v>
      </c>
      <c r="DS29" s="1420">
        <v>25726.78</v>
      </c>
      <c r="DT29" s="1420">
        <v>18257.75</v>
      </c>
      <c r="DU29" s="1420">
        <v>1208348.48</v>
      </c>
      <c r="DV29" s="1420">
        <v>1301305.26</v>
      </c>
      <c r="DW29" s="1420">
        <v>374932.6</v>
      </c>
      <c r="DX29" s="1420">
        <v>357075.25</v>
      </c>
      <c r="DY29" s="1420">
        <v>370159.91</v>
      </c>
      <c r="DZ29" s="1420">
        <v>457789.54</v>
      </c>
      <c r="EA29" s="1420">
        <v>435028.72</v>
      </c>
      <c r="EB29" s="1420">
        <v>438296.86</v>
      </c>
      <c r="EC29" s="1420">
        <v>1180121.23</v>
      </c>
      <c r="ED29" s="1420">
        <v>1253161.6499999999</v>
      </c>
      <c r="EE29" s="1420">
        <v>467322.68</v>
      </c>
      <c r="EF29" s="1420">
        <v>511665.53</v>
      </c>
      <c r="EG29" s="1422">
        <v>0</v>
      </c>
      <c r="EH29" s="1422">
        <v>0</v>
      </c>
      <c r="EI29" s="1422">
        <v>0</v>
      </c>
      <c r="EJ29" s="1422">
        <v>2000</v>
      </c>
      <c r="EK29" s="1422">
        <v>0</v>
      </c>
      <c r="EL29" s="1422">
        <v>0</v>
      </c>
      <c r="EM29" s="1420">
        <v>467322.68</v>
      </c>
      <c r="EN29" s="1420">
        <v>513665.53</v>
      </c>
      <c r="EO29" s="1420">
        <v>869825.49</v>
      </c>
      <c r="EP29" s="1422">
        <v>7000000</v>
      </c>
      <c r="EQ29" s="1420">
        <v>629335.91</v>
      </c>
      <c r="ER29" s="1420">
        <v>899567.02</v>
      </c>
      <c r="ES29" s="1422">
        <v>0</v>
      </c>
      <c r="ET29" s="1422">
        <v>0</v>
      </c>
      <c r="EU29" s="1420">
        <v>8925699.6400000006</v>
      </c>
      <c r="EV29" s="1420">
        <v>14868114.85</v>
      </c>
      <c r="EW29" s="1420">
        <v>987168.12</v>
      </c>
      <c r="EX29" s="1422">
        <v>7004000</v>
      </c>
      <c r="EY29" s="1420">
        <v>629335.91</v>
      </c>
      <c r="EZ29" s="1420">
        <v>899567.02</v>
      </c>
      <c r="FA29" s="1420">
        <v>7309195.6100000003</v>
      </c>
      <c r="FB29" s="1420">
        <v>6964547.8300000001</v>
      </c>
      <c r="FC29" s="1420">
        <v>368536.92</v>
      </c>
      <c r="FD29" s="1439"/>
      <c r="FE29" s="1420">
        <v>6940658.6900000004</v>
      </c>
      <c r="FF29" s="1439"/>
      <c r="FG29" s="1422">
        <v>11437</v>
      </c>
      <c r="FH29" s="1439"/>
      <c r="FI29" s="1420">
        <v>44.98</v>
      </c>
      <c r="FJ29" s="1439"/>
      <c r="FK29" s="1422">
        <v>47535</v>
      </c>
      <c r="FL29" s="1439"/>
      <c r="FM29" s="1420">
        <v>49.02</v>
      </c>
      <c r="FN29" s="1439"/>
      <c r="FO29" s="1422">
        <v>50716</v>
      </c>
      <c r="FP29" s="1439"/>
      <c r="FQ29" s="1420">
        <v>1729058.15</v>
      </c>
      <c r="FR29" s="1439"/>
      <c r="FS29" s="1422">
        <v>0</v>
      </c>
      <c r="FT29" s="1439"/>
      <c r="FU29" s="1422">
        <v>0</v>
      </c>
      <c r="FV29" s="1439"/>
      <c r="FW29" s="1420">
        <v>1729058.15</v>
      </c>
      <c r="FX29" s="1439"/>
      <c r="FY29" s="1420">
        <v>11484796.109999999</v>
      </c>
      <c r="FZ29" s="1439"/>
      <c r="GA29" s="1422">
        <v>0</v>
      </c>
      <c r="GB29" s="1439"/>
    </row>
    <row r="30" spans="1:184" ht="12.75" customHeight="1" thickBot="1">
      <c r="A30" s="1418" t="s">
        <v>635</v>
      </c>
      <c r="B30" s="1418" t="s">
        <v>636</v>
      </c>
      <c r="C30" s="1420">
        <v>182.72</v>
      </c>
      <c r="D30" s="1439"/>
      <c r="E30" s="1420">
        <v>1155.3800000000001</v>
      </c>
      <c r="F30" s="1439"/>
      <c r="G30" s="1421">
        <v>-0.02</v>
      </c>
      <c r="H30" s="1439"/>
      <c r="I30" s="1420">
        <v>1220.04</v>
      </c>
      <c r="J30" s="1439"/>
      <c r="K30" s="1420">
        <v>1228.21</v>
      </c>
      <c r="L30" s="1439"/>
      <c r="M30" s="1422">
        <v>73828426</v>
      </c>
      <c r="N30" s="1439"/>
      <c r="O30" s="1422">
        <v>25</v>
      </c>
      <c r="P30" s="1439"/>
      <c r="Q30" s="1422">
        <v>25</v>
      </c>
      <c r="R30" s="1439"/>
      <c r="S30" s="1422">
        <v>0</v>
      </c>
      <c r="T30" s="1439"/>
      <c r="U30" s="1422">
        <v>0</v>
      </c>
      <c r="V30" s="1439"/>
      <c r="W30" s="1422">
        <v>11</v>
      </c>
      <c r="X30" s="1439"/>
      <c r="Y30" s="1422">
        <v>36</v>
      </c>
      <c r="Z30" s="1439"/>
      <c r="AA30" s="1422">
        <v>8155000</v>
      </c>
      <c r="AB30" s="1455"/>
      <c r="AC30" s="1424">
        <v>2463149.9500000002</v>
      </c>
      <c r="AD30" s="1422">
        <v>2432648</v>
      </c>
      <c r="AE30" s="1420">
        <v>472866.43</v>
      </c>
      <c r="AF30" s="1422">
        <v>151500</v>
      </c>
      <c r="AG30" s="1422">
        <v>0</v>
      </c>
      <c r="AH30" s="1456">
        <v>0</v>
      </c>
      <c r="AI30" s="1428">
        <v>5670099</v>
      </c>
      <c r="AJ30" s="1422">
        <v>5680248</v>
      </c>
      <c r="AK30" s="1422">
        <v>34819</v>
      </c>
      <c r="AL30" s="1422">
        <v>0</v>
      </c>
      <c r="AM30" s="1422">
        <v>110320</v>
      </c>
      <c r="AN30" s="1422">
        <v>0</v>
      </c>
      <c r="AO30" s="1422">
        <v>0</v>
      </c>
      <c r="AP30" s="1422">
        <v>28539</v>
      </c>
      <c r="AQ30" s="1422">
        <v>0</v>
      </c>
      <c r="AR30" s="1422">
        <v>0</v>
      </c>
      <c r="AS30" s="1422">
        <v>0</v>
      </c>
      <c r="AT30" s="1422">
        <v>0</v>
      </c>
      <c r="AU30" s="1422">
        <v>0</v>
      </c>
      <c r="AV30" s="1422">
        <v>0</v>
      </c>
      <c r="AW30" s="1422">
        <v>0</v>
      </c>
      <c r="AX30" s="1422">
        <v>0</v>
      </c>
      <c r="AY30" s="1420">
        <v>8751254.3800000008</v>
      </c>
      <c r="AZ30" s="1422">
        <v>8292935</v>
      </c>
      <c r="BA30" s="1422">
        <v>0</v>
      </c>
      <c r="BB30" s="1422">
        <v>0</v>
      </c>
      <c r="BC30" s="1422">
        <v>50799</v>
      </c>
      <c r="BD30" s="1422">
        <v>51658</v>
      </c>
      <c r="BE30" s="1420">
        <v>10196.1</v>
      </c>
      <c r="BF30" s="1422">
        <v>9800</v>
      </c>
      <c r="BG30" s="1422">
        <v>1455</v>
      </c>
      <c r="BH30" s="1422">
        <v>0</v>
      </c>
      <c r="BI30" s="1422">
        <v>75612</v>
      </c>
      <c r="BJ30" s="1422">
        <v>31917</v>
      </c>
      <c r="BK30" s="1422">
        <v>95225</v>
      </c>
      <c r="BL30" s="1422">
        <v>97175</v>
      </c>
      <c r="BM30" s="1422">
        <v>927520</v>
      </c>
      <c r="BN30" s="1422">
        <v>978604</v>
      </c>
      <c r="BO30" s="1420">
        <v>147975.34</v>
      </c>
      <c r="BP30" s="1422">
        <v>0</v>
      </c>
      <c r="BQ30" s="1422">
        <v>27625</v>
      </c>
      <c r="BR30" s="1420">
        <v>38187.5</v>
      </c>
      <c r="BS30" s="1420">
        <v>4755.3500000000004</v>
      </c>
      <c r="BT30" s="1422">
        <v>4000</v>
      </c>
      <c r="BU30" s="1422">
        <v>0</v>
      </c>
      <c r="BV30" s="1422">
        <v>0</v>
      </c>
      <c r="BW30" s="1422">
        <v>0</v>
      </c>
      <c r="BX30" s="1422">
        <v>0</v>
      </c>
      <c r="BY30" s="1422">
        <v>0</v>
      </c>
      <c r="BZ30" s="1422">
        <v>0</v>
      </c>
      <c r="CA30" s="1420">
        <v>437933.39</v>
      </c>
      <c r="CB30" s="1422">
        <v>84395</v>
      </c>
      <c r="CC30" s="1420">
        <v>1779096.18</v>
      </c>
      <c r="CD30" s="1420">
        <v>1295736.5</v>
      </c>
      <c r="CE30" s="1420">
        <v>2146814.59</v>
      </c>
      <c r="CF30" s="1420">
        <v>1569064.33</v>
      </c>
      <c r="CG30" s="1420">
        <v>1053513.23</v>
      </c>
      <c r="CH30" s="1422">
        <v>888000</v>
      </c>
      <c r="CI30" s="1422">
        <v>0</v>
      </c>
      <c r="CJ30" s="1422">
        <v>0</v>
      </c>
      <c r="CK30" s="1422">
        <v>0</v>
      </c>
      <c r="CL30" s="1422">
        <v>0</v>
      </c>
      <c r="CM30" s="1422">
        <v>0</v>
      </c>
      <c r="CN30" s="1422">
        <v>0</v>
      </c>
      <c r="CO30" s="1420">
        <v>62612.06</v>
      </c>
      <c r="CP30" s="1422">
        <v>0</v>
      </c>
      <c r="CQ30" s="1422">
        <v>0</v>
      </c>
      <c r="CR30" s="1422">
        <v>0</v>
      </c>
      <c r="CS30" s="1420">
        <v>1116125.29</v>
      </c>
      <c r="CT30" s="1422">
        <v>888000</v>
      </c>
      <c r="CU30" s="1420">
        <v>13793290.439999999</v>
      </c>
      <c r="CV30" s="1420">
        <v>12045735.83</v>
      </c>
      <c r="CW30" s="1420">
        <v>4323436.46</v>
      </c>
      <c r="CX30" s="1420">
        <v>4212891.55</v>
      </c>
      <c r="CY30" s="1420">
        <v>594120.29</v>
      </c>
      <c r="CZ30" s="1420">
        <v>691412.53</v>
      </c>
      <c r="DA30" s="1420">
        <v>285706.90999999997</v>
      </c>
      <c r="DB30" s="1420">
        <v>276760.2</v>
      </c>
      <c r="DC30" s="1422">
        <v>0</v>
      </c>
      <c r="DD30" s="1422">
        <v>0</v>
      </c>
      <c r="DE30" s="1420">
        <v>185249.43</v>
      </c>
      <c r="DF30" s="1420">
        <v>263531.90000000002</v>
      </c>
      <c r="DG30" s="1420">
        <v>244613.75</v>
      </c>
      <c r="DH30" s="1420">
        <v>254138.89</v>
      </c>
      <c r="DI30" s="1420">
        <v>5633126.8399999999</v>
      </c>
      <c r="DJ30" s="1420">
        <v>5698735.0700000003</v>
      </c>
      <c r="DK30" s="1420">
        <v>270408.74</v>
      </c>
      <c r="DL30" s="1420">
        <v>296440.15999999997</v>
      </c>
      <c r="DM30" s="1420">
        <v>225669.35</v>
      </c>
      <c r="DN30" s="1420">
        <v>237029.59</v>
      </c>
      <c r="DO30" s="1420">
        <v>929967.05</v>
      </c>
      <c r="DP30" s="1420">
        <v>1204064.43</v>
      </c>
      <c r="DQ30" s="1420">
        <v>549266.09</v>
      </c>
      <c r="DR30" s="1420">
        <v>690172.57</v>
      </c>
      <c r="DS30" s="1420">
        <v>24727.32</v>
      </c>
      <c r="DT30" s="1422">
        <v>12799</v>
      </c>
      <c r="DU30" s="1420">
        <v>2000038.55</v>
      </c>
      <c r="DV30" s="1420">
        <v>2440505.75</v>
      </c>
      <c r="DW30" s="1420">
        <v>577501.82999999996</v>
      </c>
      <c r="DX30" s="1420">
        <v>639864.31000000006</v>
      </c>
      <c r="DY30" s="1420">
        <v>1094755.57</v>
      </c>
      <c r="DZ30" s="1420">
        <v>1229820.6599999999</v>
      </c>
      <c r="EA30" s="1420">
        <v>363745.16</v>
      </c>
      <c r="EB30" s="1420">
        <v>386317.34</v>
      </c>
      <c r="EC30" s="1420">
        <v>2036002.56</v>
      </c>
      <c r="ED30" s="1420">
        <v>2256002.31</v>
      </c>
      <c r="EE30" s="1420">
        <v>762472.84</v>
      </c>
      <c r="EF30" s="1420">
        <v>798991.79</v>
      </c>
      <c r="EG30" s="1420">
        <v>79911.289999999994</v>
      </c>
      <c r="EH30" s="1422">
        <v>0</v>
      </c>
      <c r="EI30" s="1422">
        <v>0</v>
      </c>
      <c r="EJ30" s="1422">
        <v>10000</v>
      </c>
      <c r="EK30" s="1422">
        <v>0</v>
      </c>
      <c r="EL30" s="1422">
        <v>0</v>
      </c>
      <c r="EM30" s="1420">
        <v>842384.13</v>
      </c>
      <c r="EN30" s="1420">
        <v>808991.79</v>
      </c>
      <c r="EO30" s="1420">
        <v>1137321.83</v>
      </c>
      <c r="EP30" s="1420">
        <v>1665665.84</v>
      </c>
      <c r="EQ30" s="1420">
        <v>655714.03</v>
      </c>
      <c r="ER30" s="1420">
        <v>547406.76</v>
      </c>
      <c r="ES30" s="1422">
        <v>94539</v>
      </c>
      <c r="ET30" s="1422">
        <v>0</v>
      </c>
      <c r="EU30" s="1420">
        <v>12399126.939999999</v>
      </c>
      <c r="EV30" s="1420">
        <v>13417307.52</v>
      </c>
      <c r="EW30" s="1420">
        <v>1476509.49</v>
      </c>
      <c r="EX30" s="1420">
        <v>1951524.97</v>
      </c>
      <c r="EY30" s="1420">
        <v>655714.03</v>
      </c>
      <c r="EZ30" s="1420">
        <v>547406.76</v>
      </c>
      <c r="FA30" s="1420">
        <v>10266903.42</v>
      </c>
      <c r="FB30" s="1420">
        <v>10918375.789999999</v>
      </c>
      <c r="FC30" s="1420">
        <v>482109.29</v>
      </c>
      <c r="FD30" s="1439"/>
      <c r="FE30" s="1420">
        <v>9784794.1300000008</v>
      </c>
      <c r="FF30" s="1439"/>
      <c r="FG30" s="1422">
        <v>8468</v>
      </c>
      <c r="FH30" s="1439"/>
      <c r="FI30" s="1420">
        <v>83.04</v>
      </c>
      <c r="FJ30" s="1439"/>
      <c r="FK30" s="1422">
        <v>39718</v>
      </c>
      <c r="FL30" s="1439"/>
      <c r="FM30" s="1420">
        <v>91.18</v>
      </c>
      <c r="FN30" s="1439"/>
      <c r="FO30" s="1422">
        <v>41790</v>
      </c>
      <c r="FP30" s="1439"/>
      <c r="FQ30" s="1420">
        <v>2763114.28</v>
      </c>
      <c r="FR30" s="1439"/>
      <c r="FS30" s="1420">
        <v>158521.03</v>
      </c>
      <c r="FT30" s="1439"/>
      <c r="FU30" s="1422">
        <v>0</v>
      </c>
      <c r="FV30" s="1439"/>
      <c r="FW30" s="1420">
        <v>2604593.25</v>
      </c>
      <c r="FX30" s="1439"/>
      <c r="FY30" s="1420">
        <v>1150077.1000000001</v>
      </c>
      <c r="FZ30" s="1439"/>
      <c r="GA30" s="1422">
        <v>0</v>
      </c>
      <c r="GB30" s="1439"/>
    </row>
    <row r="31" spans="1:184" ht="12.75" customHeight="1" thickBot="1">
      <c r="A31" s="1418" t="s">
        <v>637</v>
      </c>
      <c r="B31" s="1418" t="s">
        <v>638</v>
      </c>
      <c r="C31" s="1420">
        <v>242.56</v>
      </c>
      <c r="D31" s="1439"/>
      <c r="E31" s="1420">
        <v>412.49</v>
      </c>
      <c r="F31" s="1439"/>
      <c r="G31" s="1421">
        <v>-0.27</v>
      </c>
      <c r="H31" s="1439"/>
      <c r="I31" s="1420">
        <v>424.3</v>
      </c>
      <c r="J31" s="1439"/>
      <c r="K31" s="1420">
        <v>438.16</v>
      </c>
      <c r="L31" s="1439"/>
      <c r="M31" s="1422">
        <v>30211193</v>
      </c>
      <c r="N31" s="1439"/>
      <c r="O31" s="1422">
        <v>25</v>
      </c>
      <c r="P31" s="1439"/>
      <c r="Q31" s="1422">
        <v>25</v>
      </c>
      <c r="R31" s="1439"/>
      <c r="S31" s="1422">
        <v>0</v>
      </c>
      <c r="T31" s="1439"/>
      <c r="U31" s="1422">
        <v>0</v>
      </c>
      <c r="V31" s="1439"/>
      <c r="W31" s="1420">
        <v>16.809999999999999</v>
      </c>
      <c r="X31" s="1439"/>
      <c r="Y31" s="1420">
        <v>41.81</v>
      </c>
      <c r="Z31" s="1439"/>
      <c r="AA31" s="1420">
        <v>3109817.59</v>
      </c>
      <c r="AB31" s="1455"/>
      <c r="AC31" s="1424">
        <v>1169817.69</v>
      </c>
      <c r="AD31" s="1422">
        <v>1110000</v>
      </c>
      <c r="AE31" s="1420">
        <v>196368.49</v>
      </c>
      <c r="AF31" s="1422">
        <v>85000</v>
      </c>
      <c r="AG31" s="1422">
        <v>0</v>
      </c>
      <c r="AH31" s="1456">
        <v>0</v>
      </c>
      <c r="AI31" s="1428">
        <v>1888703</v>
      </c>
      <c r="AJ31" s="1422">
        <v>1864083</v>
      </c>
      <c r="AK31" s="1422">
        <v>5248</v>
      </c>
      <c r="AL31" s="1422">
        <v>6000</v>
      </c>
      <c r="AM31" s="1422">
        <v>0</v>
      </c>
      <c r="AN31" s="1422">
        <v>0</v>
      </c>
      <c r="AO31" s="1422">
        <v>0</v>
      </c>
      <c r="AP31" s="1422">
        <v>0</v>
      </c>
      <c r="AQ31" s="1422">
        <v>0</v>
      </c>
      <c r="AR31" s="1422">
        <v>0</v>
      </c>
      <c r="AS31" s="1422">
        <v>0</v>
      </c>
      <c r="AT31" s="1422">
        <v>0</v>
      </c>
      <c r="AU31" s="1422">
        <v>8247</v>
      </c>
      <c r="AV31" s="1422">
        <v>6589</v>
      </c>
      <c r="AW31" s="1420">
        <v>2518.41</v>
      </c>
      <c r="AX31" s="1422">
        <v>1000</v>
      </c>
      <c r="AY31" s="1420">
        <v>3270902.59</v>
      </c>
      <c r="AZ31" s="1422">
        <v>3072672</v>
      </c>
      <c r="BA31" s="1420">
        <v>282036.14</v>
      </c>
      <c r="BB31" s="1420">
        <v>271821.99</v>
      </c>
      <c r="BC31" s="1422">
        <v>18122</v>
      </c>
      <c r="BD31" s="1422">
        <v>17964</v>
      </c>
      <c r="BE31" s="1420">
        <v>239451.68</v>
      </c>
      <c r="BF31" s="1422">
        <v>125000</v>
      </c>
      <c r="BG31" s="1422">
        <v>0</v>
      </c>
      <c r="BH31" s="1422">
        <v>0</v>
      </c>
      <c r="BI31" s="1422">
        <v>11295</v>
      </c>
      <c r="BJ31" s="1422">
        <v>21554</v>
      </c>
      <c r="BK31" s="1422">
        <v>1465</v>
      </c>
      <c r="BL31" s="1422">
        <v>1495</v>
      </c>
      <c r="BM31" s="1422">
        <v>619008</v>
      </c>
      <c r="BN31" s="1422">
        <v>598092</v>
      </c>
      <c r="BO31" s="1420">
        <v>1794.99</v>
      </c>
      <c r="BP31" s="1422">
        <v>0</v>
      </c>
      <c r="BQ31" s="1420">
        <v>7041.76</v>
      </c>
      <c r="BR31" s="1422">
        <v>5000</v>
      </c>
      <c r="BS31" s="1420">
        <v>2351.9699999999998</v>
      </c>
      <c r="BT31" s="1422">
        <v>2000</v>
      </c>
      <c r="BU31" s="1422">
        <v>0</v>
      </c>
      <c r="BV31" s="1422">
        <v>0</v>
      </c>
      <c r="BW31" s="1422">
        <v>48600</v>
      </c>
      <c r="BX31" s="1422">
        <v>48600</v>
      </c>
      <c r="BY31" s="1422">
        <v>0</v>
      </c>
      <c r="BZ31" s="1422">
        <v>0</v>
      </c>
      <c r="CA31" s="1422">
        <v>36651</v>
      </c>
      <c r="CB31" s="1420">
        <v>34943.03</v>
      </c>
      <c r="CC31" s="1420">
        <v>1267817.54</v>
      </c>
      <c r="CD31" s="1420">
        <v>1126470.02</v>
      </c>
      <c r="CE31" s="1420">
        <v>2148393.9</v>
      </c>
      <c r="CF31" s="1420">
        <v>1304873.48</v>
      </c>
      <c r="CG31" s="1422">
        <v>0</v>
      </c>
      <c r="CH31" s="1422">
        <v>0</v>
      </c>
      <c r="CI31" s="1422">
        <v>0</v>
      </c>
      <c r="CJ31" s="1422">
        <v>0</v>
      </c>
      <c r="CK31" s="1420">
        <v>8324.24</v>
      </c>
      <c r="CL31" s="1422">
        <v>6000</v>
      </c>
      <c r="CM31" s="1422">
        <v>0</v>
      </c>
      <c r="CN31" s="1422">
        <v>0</v>
      </c>
      <c r="CO31" s="1422">
        <v>1597</v>
      </c>
      <c r="CP31" s="1422">
        <v>0</v>
      </c>
      <c r="CQ31" s="1422">
        <v>0</v>
      </c>
      <c r="CR31" s="1422">
        <v>0</v>
      </c>
      <c r="CS31" s="1420">
        <v>9921.24</v>
      </c>
      <c r="CT31" s="1422">
        <v>6000</v>
      </c>
      <c r="CU31" s="1420">
        <v>6697035.2699999996</v>
      </c>
      <c r="CV31" s="1420">
        <v>5510015.5</v>
      </c>
      <c r="CW31" s="1420">
        <v>1792971.28</v>
      </c>
      <c r="CX31" s="1420">
        <v>1542765.18</v>
      </c>
      <c r="CY31" s="1420">
        <v>396829.61</v>
      </c>
      <c r="CZ31" s="1420">
        <v>293778.90999999997</v>
      </c>
      <c r="DA31" s="1420">
        <v>36216.67</v>
      </c>
      <c r="DB31" s="1422">
        <v>750</v>
      </c>
      <c r="DC31" s="1420">
        <v>263779.69</v>
      </c>
      <c r="DD31" s="1420">
        <v>283253.28999999998</v>
      </c>
      <c r="DE31" s="1420">
        <v>539705.59999999998</v>
      </c>
      <c r="DF31" s="1420">
        <v>431754.75</v>
      </c>
      <c r="DG31" s="1420">
        <v>65028.22</v>
      </c>
      <c r="DH31" s="1420">
        <v>39340.83</v>
      </c>
      <c r="DI31" s="1420">
        <v>3094531.07</v>
      </c>
      <c r="DJ31" s="1420">
        <v>2591642.96</v>
      </c>
      <c r="DK31" s="1420">
        <v>213483.93</v>
      </c>
      <c r="DL31" s="1420">
        <v>221871.04</v>
      </c>
      <c r="DM31" s="1420">
        <v>108034.4</v>
      </c>
      <c r="DN31" s="1420">
        <v>89426.9</v>
      </c>
      <c r="DO31" s="1420">
        <v>636246.55000000005</v>
      </c>
      <c r="DP31" s="1420">
        <v>722565.66</v>
      </c>
      <c r="DQ31" s="1420">
        <v>222385.34</v>
      </c>
      <c r="DR31" s="1420">
        <v>181041.86</v>
      </c>
      <c r="DS31" s="1420">
        <v>18603.63</v>
      </c>
      <c r="DT31" s="1422">
        <v>19400</v>
      </c>
      <c r="DU31" s="1420">
        <v>1198753.8500000001</v>
      </c>
      <c r="DV31" s="1420">
        <v>1234305.46</v>
      </c>
      <c r="DW31" s="1420">
        <v>161347.9</v>
      </c>
      <c r="DX31" s="1420">
        <v>154244.98000000001</v>
      </c>
      <c r="DY31" s="1420">
        <v>899002.29</v>
      </c>
      <c r="DZ31" s="1420">
        <v>961535.34</v>
      </c>
      <c r="EA31" s="1420">
        <v>309383.90999999997</v>
      </c>
      <c r="EB31" s="1420">
        <v>213984.54</v>
      </c>
      <c r="EC31" s="1420">
        <v>1369734.1</v>
      </c>
      <c r="ED31" s="1420">
        <v>1329764.8600000001</v>
      </c>
      <c r="EE31" s="1420">
        <v>386803.01</v>
      </c>
      <c r="EF31" s="1420">
        <v>321301.26</v>
      </c>
      <c r="EG31" s="1422">
        <v>0</v>
      </c>
      <c r="EH31" s="1422">
        <v>0</v>
      </c>
      <c r="EI31" s="1420">
        <v>1042.02</v>
      </c>
      <c r="EJ31" s="1420">
        <v>1194.02</v>
      </c>
      <c r="EK31" s="1422">
        <v>0</v>
      </c>
      <c r="EL31" s="1422">
        <v>0</v>
      </c>
      <c r="EM31" s="1420">
        <v>387845.03</v>
      </c>
      <c r="EN31" s="1420">
        <v>322495.28000000003</v>
      </c>
      <c r="EO31" s="1420">
        <v>191458.35</v>
      </c>
      <c r="EP31" s="1422">
        <v>0</v>
      </c>
      <c r="EQ31" s="1420">
        <v>245341.9</v>
      </c>
      <c r="ER31" s="1422">
        <v>245600</v>
      </c>
      <c r="ES31" s="1420">
        <v>4.1100000000000003</v>
      </c>
      <c r="ET31" s="1422">
        <v>0</v>
      </c>
      <c r="EU31" s="1420">
        <v>6487668.4100000001</v>
      </c>
      <c r="EV31" s="1420">
        <v>5723808.5599999996</v>
      </c>
      <c r="EW31" s="1420">
        <v>203954.73</v>
      </c>
      <c r="EX31" s="1422">
        <v>16500</v>
      </c>
      <c r="EY31" s="1420">
        <v>245341.9</v>
      </c>
      <c r="EZ31" s="1422">
        <v>245600</v>
      </c>
      <c r="FA31" s="1420">
        <v>6038371.7800000003</v>
      </c>
      <c r="FB31" s="1420">
        <v>5461708.5599999996</v>
      </c>
      <c r="FC31" s="1420">
        <v>446760.33</v>
      </c>
      <c r="FD31" s="1439"/>
      <c r="FE31" s="1420">
        <v>5591611.4500000002</v>
      </c>
      <c r="FF31" s="1439"/>
      <c r="FG31" s="1422">
        <v>13555</v>
      </c>
      <c r="FH31" s="1439"/>
      <c r="FI31" s="1420">
        <v>26.62</v>
      </c>
      <c r="FJ31" s="1439"/>
      <c r="FK31" s="1422">
        <v>41504</v>
      </c>
      <c r="FL31" s="1439"/>
      <c r="FM31" s="1420">
        <v>35.119999999999997</v>
      </c>
      <c r="FN31" s="1439"/>
      <c r="FO31" s="1422">
        <v>45202</v>
      </c>
      <c r="FP31" s="1439"/>
      <c r="FQ31" s="1420">
        <v>765506.37</v>
      </c>
      <c r="FR31" s="1439"/>
      <c r="FS31" s="1420">
        <v>48903.82</v>
      </c>
      <c r="FT31" s="1439"/>
      <c r="FU31" s="1422">
        <v>0</v>
      </c>
      <c r="FV31" s="1439"/>
      <c r="FW31" s="1420">
        <v>716602.55</v>
      </c>
      <c r="FX31" s="1439"/>
      <c r="FY31" s="1420">
        <v>869768.79</v>
      </c>
      <c r="FZ31" s="1439"/>
      <c r="GA31" s="1422">
        <v>0</v>
      </c>
      <c r="GB31" s="1439"/>
    </row>
    <row r="32" spans="1:184" ht="12.75" customHeight="1" thickBot="1">
      <c r="A32" s="1418" t="s">
        <v>639</v>
      </c>
      <c r="B32" s="1418" t="s">
        <v>640</v>
      </c>
      <c r="C32" s="1420">
        <v>587.09</v>
      </c>
      <c r="D32" s="1439"/>
      <c r="E32" s="1420">
        <v>1115.07</v>
      </c>
      <c r="F32" s="1439"/>
      <c r="G32" s="1421">
        <v>-0.24</v>
      </c>
      <c r="H32" s="1439"/>
      <c r="I32" s="1420">
        <v>1161.53</v>
      </c>
      <c r="J32" s="1439"/>
      <c r="K32" s="1420">
        <v>1188.8900000000001</v>
      </c>
      <c r="L32" s="1439"/>
      <c r="M32" s="1439"/>
      <c r="N32" s="1439"/>
      <c r="O32" s="1422">
        <v>25</v>
      </c>
      <c r="P32" s="1439"/>
      <c r="Q32" s="1422">
        <v>25</v>
      </c>
      <c r="R32" s="1439"/>
      <c r="S32" s="1422">
        <v>0</v>
      </c>
      <c r="T32" s="1439"/>
      <c r="U32" s="1422">
        <v>0</v>
      </c>
      <c r="V32" s="1439"/>
      <c r="W32" s="1420">
        <v>14.8</v>
      </c>
      <c r="X32" s="1439"/>
      <c r="Y32" s="1420">
        <v>39.799999999999997</v>
      </c>
      <c r="Z32" s="1439"/>
      <c r="AA32" s="1422">
        <v>2890000</v>
      </c>
      <c r="AB32" s="1455"/>
      <c r="AC32" s="1424">
        <v>4041005.35</v>
      </c>
      <c r="AD32" s="1420">
        <v>4041005.06</v>
      </c>
      <c r="AE32" s="1420">
        <v>430400.5</v>
      </c>
      <c r="AF32" s="1420">
        <v>176433.79</v>
      </c>
      <c r="AG32" s="1422">
        <v>0</v>
      </c>
      <c r="AH32" s="1456">
        <v>0</v>
      </c>
      <c r="AI32" s="1428">
        <v>4574431</v>
      </c>
      <c r="AJ32" s="1422">
        <v>4492327</v>
      </c>
      <c r="AK32" s="1422">
        <v>30862</v>
      </c>
      <c r="AL32" s="1422">
        <v>30862</v>
      </c>
      <c r="AM32" s="1422">
        <v>0</v>
      </c>
      <c r="AN32" s="1422">
        <v>0</v>
      </c>
      <c r="AO32" s="1422">
        <v>186020</v>
      </c>
      <c r="AP32" s="1422">
        <v>86446</v>
      </c>
      <c r="AQ32" s="1422">
        <v>0</v>
      </c>
      <c r="AR32" s="1422">
        <v>0</v>
      </c>
      <c r="AS32" s="1422">
        <v>0</v>
      </c>
      <c r="AT32" s="1422">
        <v>0</v>
      </c>
      <c r="AU32" s="1422">
        <v>0</v>
      </c>
      <c r="AV32" s="1422">
        <v>0</v>
      </c>
      <c r="AW32" s="1422">
        <v>57156</v>
      </c>
      <c r="AX32" s="1422">
        <v>57156</v>
      </c>
      <c r="AY32" s="1420">
        <v>9319874.8499999996</v>
      </c>
      <c r="AZ32" s="1420">
        <v>8884229.8499999996</v>
      </c>
      <c r="BA32" s="1422">
        <v>0</v>
      </c>
      <c r="BB32" s="1422">
        <v>0</v>
      </c>
      <c r="BC32" s="1422">
        <v>49172</v>
      </c>
      <c r="BD32" s="1422">
        <v>49193</v>
      </c>
      <c r="BE32" s="1420">
        <v>38058.42</v>
      </c>
      <c r="BF32" s="1420">
        <v>38058.42</v>
      </c>
      <c r="BG32" s="1422">
        <v>50</v>
      </c>
      <c r="BH32" s="1422">
        <v>0</v>
      </c>
      <c r="BI32" s="1422">
        <v>29294</v>
      </c>
      <c r="BJ32" s="1422">
        <v>518956</v>
      </c>
      <c r="BK32" s="1422">
        <v>26370</v>
      </c>
      <c r="BL32" s="1422">
        <v>0</v>
      </c>
      <c r="BM32" s="1422">
        <v>981088</v>
      </c>
      <c r="BN32" s="1422">
        <v>973544</v>
      </c>
      <c r="BO32" s="1420">
        <v>4870.4799999999996</v>
      </c>
      <c r="BP32" s="1420">
        <v>4870.4799999999996</v>
      </c>
      <c r="BQ32" s="1420">
        <v>12221.14</v>
      </c>
      <c r="BR32" s="1420">
        <v>2471.14</v>
      </c>
      <c r="BS32" s="1420">
        <v>5743.87</v>
      </c>
      <c r="BT32" s="1422">
        <v>0</v>
      </c>
      <c r="BU32" s="1422">
        <v>0</v>
      </c>
      <c r="BV32" s="1422">
        <v>0</v>
      </c>
      <c r="BW32" s="1422">
        <v>476280</v>
      </c>
      <c r="BX32" s="1422">
        <v>476280</v>
      </c>
      <c r="BY32" s="1422">
        <v>0</v>
      </c>
      <c r="BZ32" s="1422">
        <v>0</v>
      </c>
      <c r="CA32" s="1420">
        <v>405752.75</v>
      </c>
      <c r="CB32" s="1420">
        <v>439099.75</v>
      </c>
      <c r="CC32" s="1420">
        <v>2028900.66</v>
      </c>
      <c r="CD32" s="1420">
        <v>2502472.79</v>
      </c>
      <c r="CE32" s="1420">
        <v>4164602.69</v>
      </c>
      <c r="CF32" s="1420">
        <v>1917535.52</v>
      </c>
      <c r="CG32" s="1420">
        <v>-535935.84</v>
      </c>
      <c r="CH32" s="1422">
        <v>0</v>
      </c>
      <c r="CI32" s="1422">
        <v>0</v>
      </c>
      <c r="CJ32" s="1422">
        <v>0</v>
      </c>
      <c r="CK32" s="1422">
        <v>0</v>
      </c>
      <c r="CL32" s="1422">
        <v>0</v>
      </c>
      <c r="CM32" s="1422">
        <v>0</v>
      </c>
      <c r="CN32" s="1422">
        <v>0</v>
      </c>
      <c r="CO32" s="1420">
        <v>19899.25</v>
      </c>
      <c r="CP32" s="1422">
        <v>0</v>
      </c>
      <c r="CQ32" s="1422">
        <v>0</v>
      </c>
      <c r="CR32" s="1422">
        <v>0</v>
      </c>
      <c r="CS32" s="1420">
        <v>-516036.59</v>
      </c>
      <c r="CT32" s="1422">
        <v>0</v>
      </c>
      <c r="CU32" s="1420">
        <v>14997341.609999999</v>
      </c>
      <c r="CV32" s="1420">
        <v>13304238.16</v>
      </c>
      <c r="CW32" s="1420">
        <v>4567236.58</v>
      </c>
      <c r="CX32" s="1420">
        <v>5235840.0199999996</v>
      </c>
      <c r="CY32" s="1420">
        <v>459789.81</v>
      </c>
      <c r="CZ32" s="1420">
        <v>473883.26</v>
      </c>
      <c r="DA32" s="1420">
        <v>197786.14</v>
      </c>
      <c r="DB32" s="1420">
        <v>226796.38</v>
      </c>
      <c r="DC32" s="1422">
        <v>0</v>
      </c>
      <c r="DD32" s="1422">
        <v>0</v>
      </c>
      <c r="DE32" s="1420">
        <v>1208232.3</v>
      </c>
      <c r="DF32" s="1420">
        <v>1434750.61</v>
      </c>
      <c r="DG32" s="1420">
        <v>237160.13</v>
      </c>
      <c r="DH32" s="1420">
        <v>318264.15000000002</v>
      </c>
      <c r="DI32" s="1420">
        <v>6670204.96</v>
      </c>
      <c r="DJ32" s="1420">
        <v>7689534.4199999999</v>
      </c>
      <c r="DK32" s="1420">
        <v>392561.2</v>
      </c>
      <c r="DL32" s="1420">
        <v>392185.36</v>
      </c>
      <c r="DM32" s="1420">
        <v>186783.28</v>
      </c>
      <c r="DN32" s="1420">
        <v>220085.02</v>
      </c>
      <c r="DO32" s="1420">
        <v>1136356.28</v>
      </c>
      <c r="DP32" s="1420">
        <v>1070094.55</v>
      </c>
      <c r="DQ32" s="1420">
        <v>601585.78</v>
      </c>
      <c r="DR32" s="1420">
        <v>638084.07999999996</v>
      </c>
      <c r="DS32" s="1422">
        <v>0</v>
      </c>
      <c r="DT32" s="1422">
        <v>0</v>
      </c>
      <c r="DU32" s="1420">
        <v>2317286.54</v>
      </c>
      <c r="DV32" s="1420">
        <v>2320449.0099999998</v>
      </c>
      <c r="DW32" s="1420">
        <v>540992.4</v>
      </c>
      <c r="DX32" s="1420">
        <v>542889.81000000006</v>
      </c>
      <c r="DY32" s="1420">
        <v>2596653.29</v>
      </c>
      <c r="DZ32" s="1420">
        <v>2318071.5499999998</v>
      </c>
      <c r="EA32" s="1420">
        <v>574055.12</v>
      </c>
      <c r="EB32" s="1420">
        <v>621801.21</v>
      </c>
      <c r="EC32" s="1420">
        <v>3711700.81</v>
      </c>
      <c r="ED32" s="1420">
        <v>3482762.57</v>
      </c>
      <c r="EE32" s="1420">
        <v>952732.75</v>
      </c>
      <c r="EF32" s="1420">
        <v>540560.11</v>
      </c>
      <c r="EG32" s="1422">
        <v>0</v>
      </c>
      <c r="EH32" s="1422">
        <v>0</v>
      </c>
      <c r="EI32" s="1420">
        <v>11223.91</v>
      </c>
      <c r="EJ32" s="1420">
        <v>11223.91</v>
      </c>
      <c r="EK32" s="1422">
        <v>0</v>
      </c>
      <c r="EL32" s="1422">
        <v>0</v>
      </c>
      <c r="EM32" s="1420">
        <v>963956.66</v>
      </c>
      <c r="EN32" s="1420">
        <v>551784.02</v>
      </c>
      <c r="EO32" s="1420">
        <v>1989812.07</v>
      </c>
      <c r="EP32" s="1422">
        <v>0</v>
      </c>
      <c r="EQ32" s="1422">
        <v>549846</v>
      </c>
      <c r="ER32" s="1422">
        <v>0</v>
      </c>
      <c r="ES32" s="1420">
        <v>13868.75</v>
      </c>
      <c r="ET32" s="1422">
        <v>0</v>
      </c>
      <c r="EU32" s="1420">
        <v>16216675.789999999</v>
      </c>
      <c r="EV32" s="1420">
        <v>14044530.02</v>
      </c>
      <c r="EW32" s="1420">
        <v>2284302.1800000002</v>
      </c>
      <c r="EX32" s="1420">
        <v>254493.77</v>
      </c>
      <c r="EY32" s="1422">
        <v>549846</v>
      </c>
      <c r="EZ32" s="1422">
        <v>0</v>
      </c>
      <c r="FA32" s="1420">
        <v>13382527.609999999</v>
      </c>
      <c r="FB32" s="1420">
        <v>13790036.25</v>
      </c>
      <c r="FC32" s="1420">
        <v>335386.38</v>
      </c>
      <c r="FD32" s="1439"/>
      <c r="FE32" s="1420">
        <v>13047141.23</v>
      </c>
      <c r="FF32" s="1439"/>
      <c r="FG32" s="1422">
        <v>11700</v>
      </c>
      <c r="FH32" s="1439"/>
      <c r="FI32" s="1420">
        <v>99.73</v>
      </c>
      <c r="FJ32" s="1439"/>
      <c r="FK32" s="1422">
        <v>37928</v>
      </c>
      <c r="FL32" s="1439"/>
      <c r="FM32" s="1420">
        <v>113.24</v>
      </c>
      <c r="FN32" s="1439"/>
      <c r="FO32" s="1422">
        <v>40694</v>
      </c>
      <c r="FP32" s="1439"/>
      <c r="FQ32" s="1420">
        <v>10060266.65</v>
      </c>
      <c r="FR32" s="1439"/>
      <c r="FS32" s="1420">
        <v>1040147.79</v>
      </c>
      <c r="FT32" s="1439"/>
      <c r="FU32" s="1422">
        <v>0</v>
      </c>
      <c r="FV32" s="1439"/>
      <c r="FW32" s="1420">
        <v>9020118.8599999994</v>
      </c>
      <c r="FX32" s="1439"/>
      <c r="FY32" s="1422">
        <v>0</v>
      </c>
      <c r="FZ32" s="1439"/>
      <c r="GA32" s="1422">
        <v>170907</v>
      </c>
      <c r="GB32" s="1439"/>
    </row>
    <row r="33" spans="1:184" ht="12.75" customHeight="1" thickBot="1">
      <c r="A33" s="1418" t="s">
        <v>641</v>
      </c>
      <c r="B33" s="1418" t="s">
        <v>642</v>
      </c>
      <c r="C33" s="1420">
        <v>329.82</v>
      </c>
      <c r="D33" s="1439"/>
      <c r="E33" s="1422">
        <v>1875</v>
      </c>
      <c r="F33" s="1439"/>
      <c r="G33" s="1421">
        <v>-0.11</v>
      </c>
      <c r="H33" s="1439"/>
      <c r="I33" s="1420">
        <v>1942.25</v>
      </c>
      <c r="J33" s="1439"/>
      <c r="K33" s="1420">
        <v>1920.16</v>
      </c>
      <c r="L33" s="1439"/>
      <c r="M33" s="1422">
        <v>186657358</v>
      </c>
      <c r="N33" s="1439"/>
      <c r="O33" s="1422">
        <v>25</v>
      </c>
      <c r="P33" s="1439"/>
      <c r="Q33" s="1422">
        <v>25</v>
      </c>
      <c r="R33" s="1439"/>
      <c r="S33" s="1422">
        <v>0</v>
      </c>
      <c r="T33" s="1439"/>
      <c r="U33" s="1422">
        <v>0</v>
      </c>
      <c r="V33" s="1439"/>
      <c r="W33" s="1420">
        <v>13.9</v>
      </c>
      <c r="X33" s="1439"/>
      <c r="Y33" s="1420">
        <v>38.9</v>
      </c>
      <c r="Z33" s="1439"/>
      <c r="AA33" s="1422">
        <v>9320000</v>
      </c>
      <c r="AB33" s="1455"/>
      <c r="AC33" s="1424">
        <v>6678629.1399999997</v>
      </c>
      <c r="AD33" s="1422">
        <v>6931812</v>
      </c>
      <c r="AE33" s="1420">
        <v>862182.53</v>
      </c>
      <c r="AF33" s="1420">
        <v>581090.79</v>
      </c>
      <c r="AG33" s="1420">
        <v>18401.490000000002</v>
      </c>
      <c r="AH33" s="1456">
        <v>15000</v>
      </c>
      <c r="AI33" s="1428">
        <v>7201754</v>
      </c>
      <c r="AJ33" s="1422">
        <v>7392089</v>
      </c>
      <c r="AK33" s="1422">
        <v>59119</v>
      </c>
      <c r="AL33" s="1422">
        <v>0</v>
      </c>
      <c r="AM33" s="1422">
        <v>0</v>
      </c>
      <c r="AN33" s="1422">
        <v>0</v>
      </c>
      <c r="AO33" s="1422">
        <v>217340</v>
      </c>
      <c r="AP33" s="1422">
        <v>0</v>
      </c>
      <c r="AQ33" s="1422">
        <v>0</v>
      </c>
      <c r="AR33" s="1422">
        <v>0</v>
      </c>
      <c r="AS33" s="1422">
        <v>0</v>
      </c>
      <c r="AT33" s="1422">
        <v>0</v>
      </c>
      <c r="AU33" s="1422">
        <v>0</v>
      </c>
      <c r="AV33" s="1422">
        <v>0</v>
      </c>
      <c r="AW33" s="1422">
        <v>0</v>
      </c>
      <c r="AX33" s="1422">
        <v>0</v>
      </c>
      <c r="AY33" s="1420">
        <v>15037426.16</v>
      </c>
      <c r="AZ33" s="1420">
        <v>14919991.789999999</v>
      </c>
      <c r="BA33" s="1420">
        <v>128804.82</v>
      </c>
      <c r="BB33" s="1420">
        <v>127527.07</v>
      </c>
      <c r="BC33" s="1422">
        <v>79418</v>
      </c>
      <c r="BD33" s="1422">
        <v>82533</v>
      </c>
      <c r="BE33" s="1420">
        <v>10148.540000000001</v>
      </c>
      <c r="BF33" s="1422">
        <v>10000</v>
      </c>
      <c r="BG33" s="1422">
        <v>5350</v>
      </c>
      <c r="BH33" s="1422">
        <v>0</v>
      </c>
      <c r="BI33" s="1422">
        <v>58182</v>
      </c>
      <c r="BJ33" s="1422">
        <v>21015</v>
      </c>
      <c r="BK33" s="1422">
        <v>3809</v>
      </c>
      <c r="BL33" s="1422">
        <v>0</v>
      </c>
      <c r="BM33" s="1422">
        <v>514352</v>
      </c>
      <c r="BN33" s="1422">
        <v>528770</v>
      </c>
      <c r="BO33" s="1420">
        <v>21441.17</v>
      </c>
      <c r="BP33" s="1420">
        <v>17537.12</v>
      </c>
      <c r="BQ33" s="1420">
        <v>47065.599999999999</v>
      </c>
      <c r="BR33" s="1420">
        <v>48236.92</v>
      </c>
      <c r="BS33" s="1420">
        <v>7148.91</v>
      </c>
      <c r="BT33" s="1422">
        <v>8000</v>
      </c>
      <c r="BU33" s="1422">
        <v>0</v>
      </c>
      <c r="BV33" s="1422">
        <v>0</v>
      </c>
      <c r="BW33" s="1422">
        <v>220173</v>
      </c>
      <c r="BX33" s="1422">
        <v>291600</v>
      </c>
      <c r="BY33" s="1422">
        <v>0</v>
      </c>
      <c r="BZ33" s="1422">
        <v>0</v>
      </c>
      <c r="CA33" s="1420">
        <v>90470.89</v>
      </c>
      <c r="CB33" s="1422">
        <v>76630</v>
      </c>
      <c r="CC33" s="1420">
        <v>1186363.93</v>
      </c>
      <c r="CD33" s="1420">
        <v>1211849.1100000001</v>
      </c>
      <c r="CE33" s="1420">
        <v>3741408.48</v>
      </c>
      <c r="CF33" s="1420">
        <v>3018416.81</v>
      </c>
      <c r="CG33" s="1422">
        <v>0</v>
      </c>
      <c r="CH33" s="1422">
        <v>0</v>
      </c>
      <c r="CI33" s="1422">
        <v>0</v>
      </c>
      <c r="CJ33" s="1422">
        <v>0</v>
      </c>
      <c r="CK33" s="1422">
        <v>27000</v>
      </c>
      <c r="CL33" s="1422">
        <v>22000</v>
      </c>
      <c r="CM33" s="1422">
        <v>0</v>
      </c>
      <c r="CN33" s="1422">
        <v>0</v>
      </c>
      <c r="CO33" s="1420">
        <v>621408.99</v>
      </c>
      <c r="CP33" s="1422">
        <v>0</v>
      </c>
      <c r="CQ33" s="1422">
        <v>0</v>
      </c>
      <c r="CR33" s="1422">
        <v>0</v>
      </c>
      <c r="CS33" s="1420">
        <v>648408.99</v>
      </c>
      <c r="CT33" s="1422">
        <v>22000</v>
      </c>
      <c r="CU33" s="1420">
        <v>20613607.559999999</v>
      </c>
      <c r="CV33" s="1420">
        <v>19172257.710000001</v>
      </c>
      <c r="CW33" s="1420">
        <v>7083917.5</v>
      </c>
      <c r="CX33" s="1420">
        <v>6667664.1600000001</v>
      </c>
      <c r="CY33" s="1420">
        <v>1417306.57</v>
      </c>
      <c r="CZ33" s="1420">
        <v>1382610.01</v>
      </c>
      <c r="DA33" s="1420">
        <v>624743.88</v>
      </c>
      <c r="DB33" s="1422">
        <v>597687</v>
      </c>
      <c r="DC33" s="1420">
        <v>168634.56</v>
      </c>
      <c r="DD33" s="1420">
        <v>148205.62</v>
      </c>
      <c r="DE33" s="1420">
        <v>637274.13</v>
      </c>
      <c r="DF33" s="1420">
        <v>564070.43999999994</v>
      </c>
      <c r="DG33" s="1420">
        <v>616505.54</v>
      </c>
      <c r="DH33" s="1422">
        <v>583384</v>
      </c>
      <c r="DI33" s="1420">
        <v>10548382.18</v>
      </c>
      <c r="DJ33" s="1420">
        <v>9943621.2300000004</v>
      </c>
      <c r="DK33" s="1420">
        <v>516266.94</v>
      </c>
      <c r="DL33" s="1420">
        <v>520215.44</v>
      </c>
      <c r="DM33" s="1420">
        <v>599926.06000000006</v>
      </c>
      <c r="DN33" s="1420">
        <v>537047.67000000004</v>
      </c>
      <c r="DO33" s="1420">
        <v>2267236.06</v>
      </c>
      <c r="DP33" s="1420">
        <v>1779115.61</v>
      </c>
      <c r="DQ33" s="1420">
        <v>763274.78</v>
      </c>
      <c r="DR33" s="1420">
        <v>800847.8</v>
      </c>
      <c r="DS33" s="1420">
        <v>40911.120000000003</v>
      </c>
      <c r="DT33" s="1422">
        <v>42000</v>
      </c>
      <c r="DU33" s="1420">
        <v>4187614.96</v>
      </c>
      <c r="DV33" s="1420">
        <v>3679226.52</v>
      </c>
      <c r="DW33" s="1420">
        <v>831795.19999999995</v>
      </c>
      <c r="DX33" s="1420">
        <v>996710.34</v>
      </c>
      <c r="DY33" s="1420">
        <v>1635794.73</v>
      </c>
      <c r="DZ33" s="1420">
        <v>1451193.25</v>
      </c>
      <c r="EA33" s="1420">
        <v>915552.12</v>
      </c>
      <c r="EB33" s="1422">
        <v>883560</v>
      </c>
      <c r="EC33" s="1420">
        <v>3383142.05</v>
      </c>
      <c r="ED33" s="1420">
        <v>3331463.59</v>
      </c>
      <c r="EE33" s="1420">
        <v>945844.92</v>
      </c>
      <c r="EF33" s="1422">
        <v>957480</v>
      </c>
      <c r="EG33" s="1422">
        <v>0</v>
      </c>
      <c r="EH33" s="1422">
        <v>0</v>
      </c>
      <c r="EI33" s="1420">
        <v>398558.49</v>
      </c>
      <c r="EJ33" s="1420">
        <v>627387.74</v>
      </c>
      <c r="EK33" s="1422">
        <v>0</v>
      </c>
      <c r="EL33" s="1422">
        <v>0</v>
      </c>
      <c r="EM33" s="1420">
        <v>1344403.41</v>
      </c>
      <c r="EN33" s="1420">
        <v>1584867.74</v>
      </c>
      <c r="EO33" s="1420">
        <v>536330.21</v>
      </c>
      <c r="EP33" s="1420">
        <v>518440.55</v>
      </c>
      <c r="EQ33" s="1420">
        <v>939945.5</v>
      </c>
      <c r="ER33" s="1422">
        <v>937908</v>
      </c>
      <c r="ES33" s="1422">
        <v>0</v>
      </c>
      <c r="ET33" s="1422">
        <v>0</v>
      </c>
      <c r="EU33" s="1420">
        <v>20939818.309999999</v>
      </c>
      <c r="EV33" s="1420">
        <v>19995527.629999999</v>
      </c>
      <c r="EW33" s="1420">
        <v>861262.6</v>
      </c>
      <c r="EX33" s="1420">
        <v>703475.27</v>
      </c>
      <c r="EY33" s="1420">
        <v>939945.5</v>
      </c>
      <c r="EZ33" s="1422">
        <v>937908</v>
      </c>
      <c r="FA33" s="1420">
        <v>19138610.210000001</v>
      </c>
      <c r="FB33" s="1420">
        <v>18354144.359999999</v>
      </c>
      <c r="FC33" s="1420">
        <v>1428551.33</v>
      </c>
      <c r="FD33" s="1439"/>
      <c r="FE33" s="1420">
        <v>17710058.879999999</v>
      </c>
      <c r="FF33" s="1439"/>
      <c r="FG33" s="1422">
        <v>9445</v>
      </c>
      <c r="FH33" s="1439"/>
      <c r="FI33" s="1420">
        <v>150.01</v>
      </c>
      <c r="FJ33" s="1439"/>
      <c r="FK33" s="1422">
        <v>41727</v>
      </c>
      <c r="FL33" s="1439"/>
      <c r="FM33" s="1420">
        <v>161.9</v>
      </c>
      <c r="FN33" s="1439"/>
      <c r="FO33" s="1422">
        <v>43649</v>
      </c>
      <c r="FP33" s="1439"/>
      <c r="FQ33" s="1420">
        <v>2889997.7</v>
      </c>
      <c r="FR33" s="1439"/>
      <c r="FS33" s="1420">
        <v>98965.99</v>
      </c>
      <c r="FT33" s="1439"/>
      <c r="FU33" s="1422">
        <v>0</v>
      </c>
      <c r="FV33" s="1439"/>
      <c r="FW33" s="1420">
        <v>2791031.71</v>
      </c>
      <c r="FX33" s="1439"/>
      <c r="FY33" s="1420">
        <v>126321.39</v>
      </c>
      <c r="FZ33" s="1439"/>
      <c r="GA33" s="1422">
        <v>0</v>
      </c>
      <c r="GB33" s="1439"/>
    </row>
    <row r="34" spans="1:184" ht="12.75" customHeight="1" thickBot="1">
      <c r="A34" s="1418" t="s">
        <v>643</v>
      </c>
      <c r="B34" s="1418" t="s">
        <v>644</v>
      </c>
      <c r="C34" s="1420">
        <v>339.62</v>
      </c>
      <c r="D34" s="1439"/>
      <c r="E34" s="1420">
        <v>706.87</v>
      </c>
      <c r="F34" s="1439"/>
      <c r="G34" s="1421">
        <v>-0.12</v>
      </c>
      <c r="H34" s="1439"/>
      <c r="I34" s="1420">
        <v>749.83</v>
      </c>
      <c r="J34" s="1439"/>
      <c r="K34" s="1420">
        <v>770.63</v>
      </c>
      <c r="L34" s="1439"/>
      <c r="M34" s="1422">
        <v>58642245</v>
      </c>
      <c r="N34" s="1439"/>
      <c r="O34" s="1422">
        <v>25</v>
      </c>
      <c r="P34" s="1439"/>
      <c r="Q34" s="1422">
        <v>25</v>
      </c>
      <c r="R34" s="1439"/>
      <c r="S34" s="1422">
        <v>0</v>
      </c>
      <c r="T34" s="1439"/>
      <c r="U34" s="1422">
        <v>0</v>
      </c>
      <c r="V34" s="1439"/>
      <c r="W34" s="1422">
        <v>11</v>
      </c>
      <c r="X34" s="1439"/>
      <c r="Y34" s="1422">
        <v>36</v>
      </c>
      <c r="Z34" s="1439"/>
      <c r="AA34" s="1422">
        <v>5802400</v>
      </c>
      <c r="AB34" s="1455"/>
      <c r="AC34" s="1424">
        <v>2048565.48</v>
      </c>
      <c r="AD34" s="1420">
        <v>2017293.23</v>
      </c>
      <c r="AE34" s="1420">
        <v>358622.43</v>
      </c>
      <c r="AF34" s="1422">
        <v>138300</v>
      </c>
      <c r="AG34" s="1420">
        <v>7385.19</v>
      </c>
      <c r="AH34" s="1456">
        <v>0</v>
      </c>
      <c r="AI34" s="1428">
        <v>3235662</v>
      </c>
      <c r="AJ34" s="1422">
        <v>3179928</v>
      </c>
      <c r="AK34" s="1422">
        <v>10821</v>
      </c>
      <c r="AL34" s="1422">
        <v>0</v>
      </c>
      <c r="AM34" s="1422">
        <v>0</v>
      </c>
      <c r="AN34" s="1422">
        <v>0</v>
      </c>
      <c r="AO34" s="1422">
        <v>21803</v>
      </c>
      <c r="AP34" s="1422">
        <v>59044</v>
      </c>
      <c r="AQ34" s="1422">
        <v>0</v>
      </c>
      <c r="AR34" s="1422">
        <v>0</v>
      </c>
      <c r="AS34" s="1422">
        <v>0</v>
      </c>
      <c r="AT34" s="1422">
        <v>0</v>
      </c>
      <c r="AU34" s="1422">
        <v>0</v>
      </c>
      <c r="AV34" s="1422">
        <v>0</v>
      </c>
      <c r="AW34" s="1422">
        <v>0</v>
      </c>
      <c r="AX34" s="1422">
        <v>0</v>
      </c>
      <c r="AY34" s="1420">
        <v>5682859.0999999996</v>
      </c>
      <c r="AZ34" s="1420">
        <v>5394565.2300000004</v>
      </c>
      <c r="BA34" s="1422">
        <v>0</v>
      </c>
      <c r="BB34" s="1422">
        <v>0</v>
      </c>
      <c r="BC34" s="1422">
        <v>31873</v>
      </c>
      <c r="BD34" s="1422">
        <v>31845</v>
      </c>
      <c r="BE34" s="1420">
        <v>37876.35</v>
      </c>
      <c r="BF34" s="1422">
        <v>3000</v>
      </c>
      <c r="BG34" s="1422">
        <v>150</v>
      </c>
      <c r="BH34" s="1422">
        <v>0</v>
      </c>
      <c r="BI34" s="1422">
        <v>42905</v>
      </c>
      <c r="BJ34" s="1422">
        <v>60558</v>
      </c>
      <c r="BK34" s="1422">
        <v>11134</v>
      </c>
      <c r="BL34" s="1422">
        <v>1000</v>
      </c>
      <c r="BM34" s="1422">
        <v>550560</v>
      </c>
      <c r="BN34" s="1422">
        <v>543444</v>
      </c>
      <c r="BO34" s="1420">
        <v>98882.35</v>
      </c>
      <c r="BP34" s="1422">
        <v>0</v>
      </c>
      <c r="BQ34" s="1420">
        <v>27833.58</v>
      </c>
      <c r="BR34" s="1420">
        <v>8666.7800000000007</v>
      </c>
      <c r="BS34" s="1420">
        <v>3148.4</v>
      </c>
      <c r="BT34" s="1422">
        <v>3500</v>
      </c>
      <c r="BU34" s="1422">
        <v>0</v>
      </c>
      <c r="BV34" s="1422">
        <v>0</v>
      </c>
      <c r="BW34" s="1422">
        <v>194400</v>
      </c>
      <c r="BX34" s="1422">
        <v>194400</v>
      </c>
      <c r="BY34" s="1422">
        <v>0</v>
      </c>
      <c r="BZ34" s="1422">
        <v>0</v>
      </c>
      <c r="CA34" s="1422">
        <v>210972</v>
      </c>
      <c r="CB34" s="1422">
        <v>230763</v>
      </c>
      <c r="CC34" s="1420">
        <v>1209734.68</v>
      </c>
      <c r="CD34" s="1420">
        <v>1077176.78</v>
      </c>
      <c r="CE34" s="1420">
        <v>1512779.17</v>
      </c>
      <c r="CF34" s="1420">
        <v>1208759.23</v>
      </c>
      <c r="CG34" s="1422">
        <v>0</v>
      </c>
      <c r="CH34" s="1422">
        <v>0</v>
      </c>
      <c r="CI34" s="1422">
        <v>0</v>
      </c>
      <c r="CJ34" s="1422">
        <v>0</v>
      </c>
      <c r="CK34" s="1420">
        <v>4625.4799999999996</v>
      </c>
      <c r="CL34" s="1422">
        <v>0</v>
      </c>
      <c r="CM34" s="1422">
        <v>0</v>
      </c>
      <c r="CN34" s="1422">
        <v>0</v>
      </c>
      <c r="CO34" s="1422">
        <v>0</v>
      </c>
      <c r="CP34" s="1422">
        <v>0</v>
      </c>
      <c r="CQ34" s="1422">
        <v>0</v>
      </c>
      <c r="CR34" s="1422">
        <v>0</v>
      </c>
      <c r="CS34" s="1420">
        <v>4625.4799999999996</v>
      </c>
      <c r="CT34" s="1422">
        <v>0</v>
      </c>
      <c r="CU34" s="1420">
        <v>8409998.4299999997</v>
      </c>
      <c r="CV34" s="1420">
        <v>7680501.2400000002</v>
      </c>
      <c r="CW34" s="1420">
        <v>2778061.24</v>
      </c>
      <c r="CX34" s="1420">
        <v>2723370.9</v>
      </c>
      <c r="CY34" s="1420">
        <v>451520.03</v>
      </c>
      <c r="CZ34" s="1420">
        <v>476959.3</v>
      </c>
      <c r="DA34" s="1420">
        <v>253742.39</v>
      </c>
      <c r="DB34" s="1420">
        <v>212866.04</v>
      </c>
      <c r="DC34" s="1422">
        <v>0</v>
      </c>
      <c r="DD34" s="1422">
        <v>0</v>
      </c>
      <c r="DE34" s="1420">
        <v>320382.59999999998</v>
      </c>
      <c r="DF34" s="1420">
        <v>429043.39</v>
      </c>
      <c r="DG34" s="1420">
        <v>153240.25</v>
      </c>
      <c r="DH34" s="1420">
        <v>151354.51999999999</v>
      </c>
      <c r="DI34" s="1420">
        <v>3956946.51</v>
      </c>
      <c r="DJ34" s="1420">
        <v>3993594.15</v>
      </c>
      <c r="DK34" s="1420">
        <v>235984.66</v>
      </c>
      <c r="DL34" s="1420">
        <v>237259.51999999999</v>
      </c>
      <c r="DM34" s="1420">
        <v>80354.990000000005</v>
      </c>
      <c r="DN34" s="1420">
        <v>81806.080000000002</v>
      </c>
      <c r="DO34" s="1420">
        <v>716088.94</v>
      </c>
      <c r="DP34" s="1420">
        <v>663156.26</v>
      </c>
      <c r="DQ34" s="1420">
        <v>433942.26</v>
      </c>
      <c r="DR34" s="1420">
        <v>349875.32</v>
      </c>
      <c r="DS34" s="1420">
        <v>13400.11</v>
      </c>
      <c r="DT34" s="1420">
        <v>10125.48</v>
      </c>
      <c r="DU34" s="1420">
        <v>1479770.96</v>
      </c>
      <c r="DV34" s="1420">
        <v>1342222.66</v>
      </c>
      <c r="DW34" s="1420">
        <v>426041.87</v>
      </c>
      <c r="DX34" s="1420">
        <v>446277.29</v>
      </c>
      <c r="DY34" s="1420">
        <v>993105.71</v>
      </c>
      <c r="DZ34" s="1420">
        <v>884576.64</v>
      </c>
      <c r="EA34" s="1420">
        <v>269410.56</v>
      </c>
      <c r="EB34" s="1420">
        <v>273595.51</v>
      </c>
      <c r="EC34" s="1420">
        <v>1688558.14</v>
      </c>
      <c r="ED34" s="1420">
        <v>1604449.44</v>
      </c>
      <c r="EE34" s="1420">
        <v>488746.27</v>
      </c>
      <c r="EF34" s="1422">
        <v>428325</v>
      </c>
      <c r="EG34" s="1422">
        <v>0</v>
      </c>
      <c r="EH34" s="1422">
        <v>0</v>
      </c>
      <c r="EI34" s="1420">
        <v>163.15</v>
      </c>
      <c r="EJ34" s="1422">
        <v>246</v>
      </c>
      <c r="EK34" s="1422">
        <v>0</v>
      </c>
      <c r="EL34" s="1422">
        <v>0</v>
      </c>
      <c r="EM34" s="1420">
        <v>488909.42</v>
      </c>
      <c r="EN34" s="1422">
        <v>428571</v>
      </c>
      <c r="EO34" s="1420">
        <v>1591.65</v>
      </c>
      <c r="EP34" s="1422">
        <v>0</v>
      </c>
      <c r="EQ34" s="1420">
        <v>456908.31</v>
      </c>
      <c r="ER34" s="1420">
        <v>458607.5</v>
      </c>
      <c r="ES34" s="1422">
        <v>0</v>
      </c>
      <c r="ET34" s="1422">
        <v>0</v>
      </c>
      <c r="EU34" s="1420">
        <v>8072684.9900000002</v>
      </c>
      <c r="EV34" s="1420">
        <v>7827444.75</v>
      </c>
      <c r="EW34" s="1420">
        <v>227738.29</v>
      </c>
      <c r="EX34" s="1420">
        <v>129781.64</v>
      </c>
      <c r="EY34" s="1420">
        <v>456908.31</v>
      </c>
      <c r="EZ34" s="1420">
        <v>458607.5</v>
      </c>
      <c r="FA34" s="1420">
        <v>7388038.3899999997</v>
      </c>
      <c r="FB34" s="1420">
        <v>7239055.6100000003</v>
      </c>
      <c r="FC34" s="1420">
        <v>371526.62</v>
      </c>
      <c r="FD34" s="1439"/>
      <c r="FE34" s="1420">
        <v>7016511.7699999996</v>
      </c>
      <c r="FF34" s="1439"/>
      <c r="FG34" s="1422">
        <v>9926</v>
      </c>
      <c r="FH34" s="1439"/>
      <c r="FI34" s="1420">
        <v>54.7</v>
      </c>
      <c r="FJ34" s="1439"/>
      <c r="FK34" s="1422">
        <v>44555</v>
      </c>
      <c r="FL34" s="1439"/>
      <c r="FM34" s="1420">
        <v>61.81</v>
      </c>
      <c r="FN34" s="1439"/>
      <c r="FO34" s="1422">
        <v>46977</v>
      </c>
      <c r="FP34" s="1439"/>
      <c r="FQ34" s="1420">
        <v>1026904.42</v>
      </c>
      <c r="FR34" s="1439"/>
      <c r="FS34" s="1420">
        <v>83338.66</v>
      </c>
      <c r="FT34" s="1439"/>
      <c r="FU34" s="1422">
        <v>0</v>
      </c>
      <c r="FV34" s="1439"/>
      <c r="FW34" s="1420">
        <v>943565.76</v>
      </c>
      <c r="FX34" s="1439"/>
      <c r="FY34" s="1422">
        <v>200000</v>
      </c>
      <c r="FZ34" s="1439"/>
      <c r="GA34" s="1422">
        <v>0</v>
      </c>
      <c r="GB34" s="1439"/>
    </row>
    <row r="35" spans="1:184" ht="12.75" customHeight="1" thickBot="1">
      <c r="A35" s="1418" t="s">
        <v>645</v>
      </c>
      <c r="B35" s="1418" t="s">
        <v>646</v>
      </c>
      <c r="C35" s="1420">
        <v>367.29</v>
      </c>
      <c r="D35" s="1439"/>
      <c r="E35" s="1420">
        <v>966.39</v>
      </c>
      <c r="F35" s="1439"/>
      <c r="G35" s="1421">
        <v>-0.13</v>
      </c>
      <c r="H35" s="1439"/>
      <c r="I35" s="1420">
        <v>1023.67</v>
      </c>
      <c r="J35" s="1439"/>
      <c r="K35" s="1420">
        <v>1056.26</v>
      </c>
      <c r="L35" s="1439"/>
      <c r="M35" s="1422">
        <v>88968822</v>
      </c>
      <c r="N35" s="1439"/>
      <c r="O35" s="1422">
        <v>25</v>
      </c>
      <c r="P35" s="1439"/>
      <c r="Q35" s="1422">
        <v>25</v>
      </c>
      <c r="R35" s="1439"/>
      <c r="S35" s="1422">
        <v>0</v>
      </c>
      <c r="T35" s="1439"/>
      <c r="U35" s="1422">
        <v>0</v>
      </c>
      <c r="V35" s="1439"/>
      <c r="W35" s="1420">
        <v>6.5</v>
      </c>
      <c r="X35" s="1439"/>
      <c r="Y35" s="1420">
        <v>31.5</v>
      </c>
      <c r="Z35" s="1439"/>
      <c r="AA35" s="1422">
        <v>4380000</v>
      </c>
      <c r="AB35" s="1455"/>
      <c r="AC35" s="1424">
        <v>2588320.0299999998</v>
      </c>
      <c r="AD35" s="1422">
        <v>2599000</v>
      </c>
      <c r="AE35" s="1420">
        <v>312980.56</v>
      </c>
      <c r="AF35" s="1422">
        <v>121800</v>
      </c>
      <c r="AG35" s="1422">
        <v>0</v>
      </c>
      <c r="AH35" s="1456">
        <v>0</v>
      </c>
      <c r="AI35" s="1428">
        <v>4248117</v>
      </c>
      <c r="AJ35" s="1422">
        <v>4117188</v>
      </c>
      <c r="AK35" s="1422">
        <v>82506</v>
      </c>
      <c r="AL35" s="1422">
        <v>0</v>
      </c>
      <c r="AM35" s="1422">
        <v>0</v>
      </c>
      <c r="AN35" s="1422">
        <v>0</v>
      </c>
      <c r="AO35" s="1422">
        <v>46437</v>
      </c>
      <c r="AP35" s="1422">
        <v>96369</v>
      </c>
      <c r="AQ35" s="1422">
        <v>0</v>
      </c>
      <c r="AR35" s="1422">
        <v>0</v>
      </c>
      <c r="AS35" s="1422">
        <v>0</v>
      </c>
      <c r="AT35" s="1422">
        <v>0</v>
      </c>
      <c r="AU35" s="1422">
        <v>0</v>
      </c>
      <c r="AV35" s="1422">
        <v>0</v>
      </c>
      <c r="AW35" s="1422">
        <v>0</v>
      </c>
      <c r="AX35" s="1422">
        <v>0</v>
      </c>
      <c r="AY35" s="1420">
        <v>7278360.5899999999</v>
      </c>
      <c r="AZ35" s="1422">
        <v>6934357</v>
      </c>
      <c r="BA35" s="1422">
        <v>0</v>
      </c>
      <c r="BB35" s="1422">
        <v>0</v>
      </c>
      <c r="BC35" s="1422">
        <v>43687</v>
      </c>
      <c r="BD35" s="1422">
        <v>43435</v>
      </c>
      <c r="BE35" s="1420">
        <v>1802.76</v>
      </c>
      <c r="BF35" s="1422">
        <v>6400</v>
      </c>
      <c r="BG35" s="1422">
        <v>50</v>
      </c>
      <c r="BH35" s="1422">
        <v>500</v>
      </c>
      <c r="BI35" s="1422">
        <v>30838</v>
      </c>
      <c r="BJ35" s="1422">
        <v>35191</v>
      </c>
      <c r="BK35" s="1422">
        <v>0</v>
      </c>
      <c r="BL35" s="1422">
        <v>0</v>
      </c>
      <c r="BM35" s="1422">
        <v>494014</v>
      </c>
      <c r="BN35" s="1422">
        <v>614795</v>
      </c>
      <c r="BO35" s="1420">
        <v>66408.56</v>
      </c>
      <c r="BP35" s="1422">
        <v>20000</v>
      </c>
      <c r="BQ35" s="1422">
        <v>0</v>
      </c>
      <c r="BR35" s="1422">
        <v>0</v>
      </c>
      <c r="BS35" s="1420">
        <v>4025.24</v>
      </c>
      <c r="BT35" s="1422">
        <v>4000</v>
      </c>
      <c r="BU35" s="1422">
        <v>0</v>
      </c>
      <c r="BV35" s="1422">
        <v>0</v>
      </c>
      <c r="BW35" s="1422">
        <v>0</v>
      </c>
      <c r="BX35" s="1422">
        <v>0</v>
      </c>
      <c r="BY35" s="1422">
        <v>0</v>
      </c>
      <c r="BZ35" s="1422">
        <v>0</v>
      </c>
      <c r="CA35" s="1422">
        <v>24317</v>
      </c>
      <c r="CB35" s="1422">
        <v>20632</v>
      </c>
      <c r="CC35" s="1420">
        <v>665142.56000000006</v>
      </c>
      <c r="CD35" s="1422">
        <v>744953</v>
      </c>
      <c r="CE35" s="1420">
        <v>1782302.07</v>
      </c>
      <c r="CF35" s="1420">
        <v>1533273.99</v>
      </c>
      <c r="CG35" s="1422">
        <v>0</v>
      </c>
      <c r="CH35" s="1422">
        <v>0</v>
      </c>
      <c r="CI35" s="1422">
        <v>0</v>
      </c>
      <c r="CJ35" s="1422">
        <v>0</v>
      </c>
      <c r="CK35" s="1422">
        <v>5500</v>
      </c>
      <c r="CL35" s="1422">
        <v>0</v>
      </c>
      <c r="CM35" s="1422">
        <v>0</v>
      </c>
      <c r="CN35" s="1422">
        <v>0</v>
      </c>
      <c r="CO35" s="1422">
        <v>0</v>
      </c>
      <c r="CP35" s="1422">
        <v>0</v>
      </c>
      <c r="CQ35" s="1422">
        <v>0</v>
      </c>
      <c r="CR35" s="1422">
        <v>0</v>
      </c>
      <c r="CS35" s="1422">
        <v>5500</v>
      </c>
      <c r="CT35" s="1422">
        <v>0</v>
      </c>
      <c r="CU35" s="1420">
        <v>9731305.2200000007</v>
      </c>
      <c r="CV35" s="1420">
        <v>9212583.9900000002</v>
      </c>
      <c r="CW35" s="1420">
        <v>3680043.65</v>
      </c>
      <c r="CX35" s="1420">
        <v>3514294.74</v>
      </c>
      <c r="CY35" s="1420">
        <v>877384.47</v>
      </c>
      <c r="CZ35" s="1420">
        <v>918664.32</v>
      </c>
      <c r="DA35" s="1420">
        <v>369465.56</v>
      </c>
      <c r="DB35" s="1422">
        <v>259667</v>
      </c>
      <c r="DC35" s="1422">
        <v>0</v>
      </c>
      <c r="DD35" s="1422">
        <v>0</v>
      </c>
      <c r="DE35" s="1420">
        <v>585029.97</v>
      </c>
      <c r="DF35" s="1420">
        <v>508329.3</v>
      </c>
      <c r="DG35" s="1420">
        <v>189592.34</v>
      </c>
      <c r="DH35" s="1422">
        <v>207602</v>
      </c>
      <c r="DI35" s="1420">
        <v>5701515.9900000002</v>
      </c>
      <c r="DJ35" s="1420">
        <v>5408557.3600000003</v>
      </c>
      <c r="DK35" s="1420">
        <v>293491.15000000002</v>
      </c>
      <c r="DL35" s="1420">
        <v>312751.96999999997</v>
      </c>
      <c r="DM35" s="1420">
        <v>96321.8</v>
      </c>
      <c r="DN35" s="1422">
        <v>91849</v>
      </c>
      <c r="DO35" s="1420">
        <v>1184382.1599999999</v>
      </c>
      <c r="DP35" s="1420">
        <v>2710688.07</v>
      </c>
      <c r="DQ35" s="1420">
        <v>310822.52</v>
      </c>
      <c r="DR35" s="1422">
        <v>435662</v>
      </c>
      <c r="DS35" s="1420">
        <v>22226.81</v>
      </c>
      <c r="DT35" s="1422">
        <v>9642</v>
      </c>
      <c r="DU35" s="1420">
        <v>1907244.44</v>
      </c>
      <c r="DV35" s="1420">
        <v>3560593.04</v>
      </c>
      <c r="DW35" s="1420">
        <v>364761.18</v>
      </c>
      <c r="DX35" s="1420">
        <v>428983.49</v>
      </c>
      <c r="DY35" s="1420">
        <v>557126.02</v>
      </c>
      <c r="DZ35" s="1420">
        <v>957622.85</v>
      </c>
      <c r="EA35" s="1420">
        <v>396075.8</v>
      </c>
      <c r="EB35" s="1422">
        <v>423775</v>
      </c>
      <c r="EC35" s="1422">
        <v>1317963</v>
      </c>
      <c r="ED35" s="1420">
        <v>1810381.34</v>
      </c>
      <c r="EE35" s="1420">
        <v>546292.46</v>
      </c>
      <c r="EF35" s="1422">
        <v>503521</v>
      </c>
      <c r="EG35" s="1422">
        <v>0</v>
      </c>
      <c r="EH35" s="1422">
        <v>0</v>
      </c>
      <c r="EI35" s="1420">
        <v>489.01</v>
      </c>
      <c r="EJ35" s="1422">
        <v>15649</v>
      </c>
      <c r="EK35" s="1422">
        <v>0</v>
      </c>
      <c r="EL35" s="1422">
        <v>0</v>
      </c>
      <c r="EM35" s="1420">
        <v>546781.47</v>
      </c>
      <c r="EN35" s="1422">
        <v>519170</v>
      </c>
      <c r="EO35" s="1420">
        <v>270705.75</v>
      </c>
      <c r="EP35" s="1422">
        <v>5200</v>
      </c>
      <c r="EQ35" s="1420">
        <v>379711.26</v>
      </c>
      <c r="ER35" s="1422">
        <v>382736</v>
      </c>
      <c r="ES35" s="1422">
        <v>0</v>
      </c>
      <c r="ET35" s="1422">
        <v>0</v>
      </c>
      <c r="EU35" s="1420">
        <v>10123921.91</v>
      </c>
      <c r="EV35" s="1420">
        <v>11686637.74</v>
      </c>
      <c r="EW35" s="1420">
        <v>475161.4</v>
      </c>
      <c r="EX35" s="1420">
        <v>351102.42</v>
      </c>
      <c r="EY35" s="1420">
        <v>379711.26</v>
      </c>
      <c r="EZ35" s="1422">
        <v>382736</v>
      </c>
      <c r="FA35" s="1420">
        <v>9269049.25</v>
      </c>
      <c r="FB35" s="1420">
        <v>10952799.32</v>
      </c>
      <c r="FC35" s="1420">
        <v>223068.66</v>
      </c>
      <c r="FD35" s="1439"/>
      <c r="FE35" s="1420">
        <v>9045980.5899999999</v>
      </c>
      <c r="FF35" s="1439"/>
      <c r="FG35" s="1422">
        <v>9360</v>
      </c>
      <c r="FH35" s="1439"/>
      <c r="FI35" s="1420">
        <v>80.98</v>
      </c>
      <c r="FJ35" s="1439"/>
      <c r="FK35" s="1422">
        <v>43292</v>
      </c>
      <c r="FL35" s="1439"/>
      <c r="FM35" s="1420">
        <v>87.48</v>
      </c>
      <c r="FN35" s="1439"/>
      <c r="FO35" s="1422">
        <v>45445</v>
      </c>
      <c r="FP35" s="1439"/>
      <c r="FQ35" s="1420">
        <v>1999124.93</v>
      </c>
      <c r="FR35" s="1439"/>
      <c r="FS35" s="1420">
        <v>176760.49</v>
      </c>
      <c r="FT35" s="1439"/>
      <c r="FU35" s="1422">
        <v>0</v>
      </c>
      <c r="FV35" s="1439"/>
      <c r="FW35" s="1420">
        <v>1822364.44</v>
      </c>
      <c r="FX35" s="1439"/>
      <c r="FY35" s="1420">
        <v>1934177.07</v>
      </c>
      <c r="FZ35" s="1439"/>
      <c r="GA35" s="1422">
        <v>0</v>
      </c>
      <c r="GB35" s="1439"/>
    </row>
    <row r="36" spans="1:184" ht="12.75" customHeight="1" thickBot="1">
      <c r="A36" s="1418" t="s">
        <v>647</v>
      </c>
      <c r="B36" s="1418" t="s">
        <v>648</v>
      </c>
      <c r="C36" s="1420">
        <v>147.04</v>
      </c>
      <c r="D36" s="1439"/>
      <c r="E36" s="1420">
        <v>920.85</v>
      </c>
      <c r="F36" s="1439"/>
      <c r="G36" s="1421">
        <v>-7.0000000000000007E-2</v>
      </c>
      <c r="H36" s="1439"/>
      <c r="I36" s="1420">
        <v>956.04</v>
      </c>
      <c r="J36" s="1439"/>
      <c r="K36" s="1420">
        <v>982.79</v>
      </c>
      <c r="L36" s="1439"/>
      <c r="M36" s="1422">
        <v>60040052</v>
      </c>
      <c r="N36" s="1439"/>
      <c r="O36" s="1422">
        <v>25</v>
      </c>
      <c r="P36" s="1439"/>
      <c r="Q36" s="1422">
        <v>25</v>
      </c>
      <c r="R36" s="1439"/>
      <c r="S36" s="1422">
        <v>0</v>
      </c>
      <c r="T36" s="1439"/>
      <c r="U36" s="1422">
        <v>0</v>
      </c>
      <c r="V36" s="1439"/>
      <c r="W36" s="1420">
        <v>10.44</v>
      </c>
      <c r="X36" s="1439"/>
      <c r="Y36" s="1420">
        <v>35.44</v>
      </c>
      <c r="Z36" s="1439"/>
      <c r="AA36" s="1420">
        <v>4392620.51</v>
      </c>
      <c r="AB36" s="1455"/>
      <c r="AC36" s="1424">
        <v>1980257.78</v>
      </c>
      <c r="AD36" s="1422">
        <v>1980400</v>
      </c>
      <c r="AE36" s="1420">
        <v>388217.18</v>
      </c>
      <c r="AF36" s="1422">
        <v>188780</v>
      </c>
      <c r="AG36" s="1422">
        <v>3900</v>
      </c>
      <c r="AH36" s="1456">
        <v>0</v>
      </c>
      <c r="AI36" s="1428">
        <v>4463835</v>
      </c>
      <c r="AJ36" s="1422">
        <v>4422896</v>
      </c>
      <c r="AK36" s="1422">
        <v>57118</v>
      </c>
      <c r="AL36" s="1422">
        <v>50000</v>
      </c>
      <c r="AM36" s="1422">
        <v>0</v>
      </c>
      <c r="AN36" s="1422">
        <v>0</v>
      </c>
      <c r="AO36" s="1422">
        <v>38607</v>
      </c>
      <c r="AP36" s="1422">
        <v>72192</v>
      </c>
      <c r="AQ36" s="1422">
        <v>0</v>
      </c>
      <c r="AR36" s="1422">
        <v>0</v>
      </c>
      <c r="AS36" s="1422">
        <v>0</v>
      </c>
      <c r="AT36" s="1422">
        <v>0</v>
      </c>
      <c r="AU36" s="1422">
        <v>0</v>
      </c>
      <c r="AV36" s="1422">
        <v>0</v>
      </c>
      <c r="AW36" s="1422">
        <v>0</v>
      </c>
      <c r="AX36" s="1422">
        <v>0</v>
      </c>
      <c r="AY36" s="1420">
        <v>6931934.96</v>
      </c>
      <c r="AZ36" s="1422">
        <v>6714268</v>
      </c>
      <c r="BA36" s="1422">
        <v>0</v>
      </c>
      <c r="BB36" s="1422">
        <v>0</v>
      </c>
      <c r="BC36" s="1422">
        <v>40648</v>
      </c>
      <c r="BD36" s="1422">
        <v>40655</v>
      </c>
      <c r="BE36" s="1420">
        <v>5572.81</v>
      </c>
      <c r="BF36" s="1422">
        <v>7400</v>
      </c>
      <c r="BG36" s="1422">
        <v>100</v>
      </c>
      <c r="BH36" s="1422">
        <v>50</v>
      </c>
      <c r="BI36" s="1422">
        <v>49650</v>
      </c>
      <c r="BJ36" s="1422">
        <v>19606</v>
      </c>
      <c r="BK36" s="1422">
        <v>0</v>
      </c>
      <c r="BL36" s="1422">
        <v>0</v>
      </c>
      <c r="BM36" s="1422">
        <v>277760</v>
      </c>
      <c r="BN36" s="1422">
        <v>274758</v>
      </c>
      <c r="BO36" s="1420">
        <v>23243.66</v>
      </c>
      <c r="BP36" s="1422">
        <v>19200</v>
      </c>
      <c r="BQ36" s="1422">
        <v>0</v>
      </c>
      <c r="BR36" s="1422">
        <v>0</v>
      </c>
      <c r="BS36" s="1420">
        <v>3376.13</v>
      </c>
      <c r="BT36" s="1422">
        <v>3400</v>
      </c>
      <c r="BU36" s="1422">
        <v>0</v>
      </c>
      <c r="BV36" s="1422">
        <v>0</v>
      </c>
      <c r="BW36" s="1422">
        <v>0</v>
      </c>
      <c r="BX36" s="1422">
        <v>0</v>
      </c>
      <c r="BY36" s="1422">
        <v>0</v>
      </c>
      <c r="BZ36" s="1422">
        <v>0</v>
      </c>
      <c r="CA36" s="1420">
        <v>90152.42</v>
      </c>
      <c r="CB36" s="1422">
        <v>80001</v>
      </c>
      <c r="CC36" s="1420">
        <v>490503.02</v>
      </c>
      <c r="CD36" s="1422">
        <v>445070</v>
      </c>
      <c r="CE36" s="1420">
        <v>1197561.57</v>
      </c>
      <c r="CF36" s="1420">
        <v>1410031.88</v>
      </c>
      <c r="CG36" s="1422">
        <v>0</v>
      </c>
      <c r="CH36" s="1422">
        <v>0</v>
      </c>
      <c r="CI36" s="1422">
        <v>0</v>
      </c>
      <c r="CJ36" s="1422">
        <v>0</v>
      </c>
      <c r="CK36" s="1422">
        <v>0</v>
      </c>
      <c r="CL36" s="1422">
        <v>0</v>
      </c>
      <c r="CM36" s="1422">
        <v>1530</v>
      </c>
      <c r="CN36" s="1422">
        <v>1000</v>
      </c>
      <c r="CO36" s="1422">
        <v>0</v>
      </c>
      <c r="CP36" s="1422">
        <v>0</v>
      </c>
      <c r="CQ36" s="1422">
        <v>0</v>
      </c>
      <c r="CR36" s="1422">
        <v>0</v>
      </c>
      <c r="CS36" s="1422">
        <v>1530</v>
      </c>
      <c r="CT36" s="1422">
        <v>1000</v>
      </c>
      <c r="CU36" s="1420">
        <v>8621529.5500000007</v>
      </c>
      <c r="CV36" s="1420">
        <v>8570369.8800000008</v>
      </c>
      <c r="CW36" s="1420">
        <v>3552788.11</v>
      </c>
      <c r="CX36" s="1422">
        <v>3515537</v>
      </c>
      <c r="CY36" s="1422">
        <v>754558</v>
      </c>
      <c r="CZ36" s="1422">
        <v>854021</v>
      </c>
      <c r="DA36" s="1420">
        <v>273541.78999999998</v>
      </c>
      <c r="DB36" s="1422">
        <v>287848</v>
      </c>
      <c r="DC36" s="1422">
        <v>0</v>
      </c>
      <c r="DD36" s="1422">
        <v>0</v>
      </c>
      <c r="DE36" s="1420">
        <v>205654.22</v>
      </c>
      <c r="DF36" s="1422">
        <v>290998</v>
      </c>
      <c r="DG36" s="1420">
        <v>232202.4</v>
      </c>
      <c r="DH36" s="1422">
        <v>253983</v>
      </c>
      <c r="DI36" s="1420">
        <v>5018744.5199999996</v>
      </c>
      <c r="DJ36" s="1422">
        <v>5202387</v>
      </c>
      <c r="DK36" s="1420">
        <v>178218.38</v>
      </c>
      <c r="DL36" s="1422">
        <v>202135</v>
      </c>
      <c r="DM36" s="1420">
        <v>112422.88</v>
      </c>
      <c r="DN36" s="1422">
        <v>183358</v>
      </c>
      <c r="DO36" s="1420">
        <v>849825.53</v>
      </c>
      <c r="DP36" s="1422">
        <v>884387</v>
      </c>
      <c r="DQ36" s="1420">
        <v>283694.99</v>
      </c>
      <c r="DR36" s="1422">
        <v>323009</v>
      </c>
      <c r="DS36" s="1420">
        <v>31537.97</v>
      </c>
      <c r="DT36" s="1422">
        <v>25000</v>
      </c>
      <c r="DU36" s="1420">
        <v>1455699.75</v>
      </c>
      <c r="DV36" s="1422">
        <v>1617889</v>
      </c>
      <c r="DW36" s="1420">
        <v>318818.45</v>
      </c>
      <c r="DX36" s="1422">
        <v>331994</v>
      </c>
      <c r="DY36" s="1420">
        <v>426349.41</v>
      </c>
      <c r="DZ36" s="1422">
        <v>523835</v>
      </c>
      <c r="EA36" s="1420">
        <v>363625.91</v>
      </c>
      <c r="EB36" s="1422">
        <v>369901</v>
      </c>
      <c r="EC36" s="1420">
        <v>1108793.77</v>
      </c>
      <c r="ED36" s="1422">
        <v>1225730</v>
      </c>
      <c r="EE36" s="1420">
        <v>538697.36</v>
      </c>
      <c r="EF36" s="1422">
        <v>526428</v>
      </c>
      <c r="EG36" s="1422">
        <v>0</v>
      </c>
      <c r="EH36" s="1422">
        <v>0</v>
      </c>
      <c r="EI36" s="1420">
        <v>736.33</v>
      </c>
      <c r="EJ36" s="1422">
        <v>2150</v>
      </c>
      <c r="EK36" s="1422">
        <v>0</v>
      </c>
      <c r="EL36" s="1422">
        <v>0</v>
      </c>
      <c r="EM36" s="1420">
        <v>539433.68999999994</v>
      </c>
      <c r="EN36" s="1422">
        <v>528578</v>
      </c>
      <c r="EO36" s="1420">
        <v>248140.16</v>
      </c>
      <c r="EP36" s="1422">
        <v>274368</v>
      </c>
      <c r="EQ36" s="1420">
        <v>495871.67</v>
      </c>
      <c r="ER36" s="1422">
        <v>495602</v>
      </c>
      <c r="ES36" s="1422">
        <v>0</v>
      </c>
      <c r="ET36" s="1422">
        <v>0</v>
      </c>
      <c r="EU36" s="1420">
        <v>8866683.5600000005</v>
      </c>
      <c r="EV36" s="1422">
        <v>9344554</v>
      </c>
      <c r="EW36" s="1422">
        <v>389881</v>
      </c>
      <c r="EX36" s="1422">
        <v>431968</v>
      </c>
      <c r="EY36" s="1420">
        <v>495871.67</v>
      </c>
      <c r="EZ36" s="1422">
        <v>495602</v>
      </c>
      <c r="FA36" s="1420">
        <v>7980930.8899999997</v>
      </c>
      <c r="FB36" s="1422">
        <v>8416984</v>
      </c>
      <c r="FC36" s="1420">
        <v>370170.11</v>
      </c>
      <c r="FD36" s="1439"/>
      <c r="FE36" s="1420">
        <v>7610760.7800000003</v>
      </c>
      <c r="FF36" s="1439"/>
      <c r="FG36" s="1422">
        <v>8264</v>
      </c>
      <c r="FH36" s="1439"/>
      <c r="FI36" s="1420">
        <v>76.209999999999994</v>
      </c>
      <c r="FJ36" s="1439"/>
      <c r="FK36" s="1422">
        <v>42520</v>
      </c>
      <c r="FL36" s="1439"/>
      <c r="FM36" s="1420">
        <v>81.87</v>
      </c>
      <c r="FN36" s="1439"/>
      <c r="FO36" s="1422">
        <v>43796</v>
      </c>
      <c r="FP36" s="1439"/>
      <c r="FQ36" s="1420">
        <v>1055445.79</v>
      </c>
      <c r="FR36" s="1439"/>
      <c r="FS36" s="1420">
        <v>196660.75</v>
      </c>
      <c r="FT36" s="1439"/>
      <c r="FU36" s="1422">
        <v>0</v>
      </c>
      <c r="FV36" s="1439"/>
      <c r="FW36" s="1420">
        <v>858785.04</v>
      </c>
      <c r="FX36" s="1439"/>
      <c r="FY36" s="1420">
        <v>192772.34</v>
      </c>
      <c r="FZ36" s="1439"/>
      <c r="GA36" s="1422">
        <v>0</v>
      </c>
      <c r="GB36" s="1439"/>
    </row>
    <row r="37" spans="1:184" ht="12.75" customHeight="1" thickBot="1">
      <c r="A37" s="1418" t="s">
        <v>649</v>
      </c>
      <c r="B37" s="1418" t="s">
        <v>650</v>
      </c>
      <c r="C37" s="1420">
        <v>179.43</v>
      </c>
      <c r="D37" s="1439"/>
      <c r="E37" s="1420">
        <v>564.83000000000004</v>
      </c>
      <c r="F37" s="1439"/>
      <c r="G37" s="1421">
        <v>-0.08</v>
      </c>
      <c r="H37" s="1439"/>
      <c r="I37" s="1420">
        <v>589.26</v>
      </c>
      <c r="J37" s="1439"/>
      <c r="K37" s="1420">
        <v>602.29</v>
      </c>
      <c r="L37" s="1439"/>
      <c r="M37" s="1422">
        <v>39406153</v>
      </c>
      <c r="N37" s="1439"/>
      <c r="O37" s="1422">
        <v>25</v>
      </c>
      <c r="P37" s="1439"/>
      <c r="Q37" s="1422">
        <v>25</v>
      </c>
      <c r="R37" s="1439"/>
      <c r="S37" s="1422">
        <v>0</v>
      </c>
      <c r="T37" s="1439"/>
      <c r="U37" s="1422">
        <v>0</v>
      </c>
      <c r="V37" s="1439"/>
      <c r="W37" s="1420">
        <v>13.49</v>
      </c>
      <c r="X37" s="1439"/>
      <c r="Y37" s="1420">
        <v>38.49</v>
      </c>
      <c r="Z37" s="1439"/>
      <c r="AA37" s="1422">
        <v>3585000</v>
      </c>
      <c r="AB37" s="1455"/>
      <c r="AC37" s="1424">
        <v>1399843.68</v>
      </c>
      <c r="AD37" s="1422">
        <v>1401900</v>
      </c>
      <c r="AE37" s="1420">
        <v>351912.81</v>
      </c>
      <c r="AF37" s="1420">
        <v>111999.37</v>
      </c>
      <c r="AG37" s="1422">
        <v>0</v>
      </c>
      <c r="AH37" s="1456">
        <v>0</v>
      </c>
      <c r="AI37" s="1428">
        <v>2679169</v>
      </c>
      <c r="AJ37" s="1422">
        <v>2661647</v>
      </c>
      <c r="AK37" s="1422">
        <v>23380</v>
      </c>
      <c r="AL37" s="1422">
        <v>0</v>
      </c>
      <c r="AM37" s="1422">
        <v>0</v>
      </c>
      <c r="AN37" s="1422">
        <v>0</v>
      </c>
      <c r="AO37" s="1422">
        <v>0</v>
      </c>
      <c r="AP37" s="1422">
        <v>34775</v>
      </c>
      <c r="AQ37" s="1422">
        <v>0</v>
      </c>
      <c r="AR37" s="1422">
        <v>0</v>
      </c>
      <c r="AS37" s="1422">
        <v>0</v>
      </c>
      <c r="AT37" s="1422">
        <v>0</v>
      </c>
      <c r="AU37" s="1422">
        <v>0</v>
      </c>
      <c r="AV37" s="1422">
        <v>0</v>
      </c>
      <c r="AW37" s="1422">
        <v>0</v>
      </c>
      <c r="AX37" s="1422">
        <v>0</v>
      </c>
      <c r="AY37" s="1420">
        <v>4454305.49</v>
      </c>
      <c r="AZ37" s="1420">
        <v>4210321.37</v>
      </c>
      <c r="BA37" s="1422">
        <v>0</v>
      </c>
      <c r="BB37" s="1422">
        <v>0</v>
      </c>
      <c r="BC37" s="1422">
        <v>24911</v>
      </c>
      <c r="BD37" s="1422">
        <v>25045</v>
      </c>
      <c r="BE37" s="1422">
        <v>2400</v>
      </c>
      <c r="BF37" s="1422">
        <v>0</v>
      </c>
      <c r="BG37" s="1422">
        <v>50</v>
      </c>
      <c r="BH37" s="1422">
        <v>0</v>
      </c>
      <c r="BI37" s="1422">
        <v>0</v>
      </c>
      <c r="BJ37" s="1422">
        <v>0</v>
      </c>
      <c r="BK37" s="1422">
        <v>0</v>
      </c>
      <c r="BL37" s="1422">
        <v>0</v>
      </c>
      <c r="BM37" s="1422">
        <v>181536</v>
      </c>
      <c r="BN37" s="1422">
        <v>171534</v>
      </c>
      <c r="BO37" s="1420">
        <v>20373.5</v>
      </c>
      <c r="BP37" s="1422">
        <v>24931</v>
      </c>
      <c r="BQ37" s="1422">
        <v>0</v>
      </c>
      <c r="BR37" s="1422">
        <v>0</v>
      </c>
      <c r="BS37" s="1420">
        <v>2411.44</v>
      </c>
      <c r="BT37" s="1422">
        <v>2300</v>
      </c>
      <c r="BU37" s="1422">
        <v>0</v>
      </c>
      <c r="BV37" s="1422">
        <v>0</v>
      </c>
      <c r="BW37" s="1422">
        <v>87077</v>
      </c>
      <c r="BX37" s="1422">
        <v>85000</v>
      </c>
      <c r="BY37" s="1422">
        <v>0</v>
      </c>
      <c r="BZ37" s="1422">
        <v>0</v>
      </c>
      <c r="CA37" s="1422">
        <v>33001</v>
      </c>
      <c r="CB37" s="1422">
        <v>30158</v>
      </c>
      <c r="CC37" s="1420">
        <v>351759.94</v>
      </c>
      <c r="CD37" s="1422">
        <v>338968</v>
      </c>
      <c r="CE37" s="1420">
        <v>783053.06</v>
      </c>
      <c r="CF37" s="1422">
        <v>1203582</v>
      </c>
      <c r="CG37" s="1422">
        <v>0</v>
      </c>
      <c r="CH37" s="1422">
        <v>0</v>
      </c>
      <c r="CI37" s="1422">
        <v>0</v>
      </c>
      <c r="CJ37" s="1422">
        <v>0</v>
      </c>
      <c r="CK37" s="1422">
        <v>0</v>
      </c>
      <c r="CL37" s="1422">
        <v>0</v>
      </c>
      <c r="CM37" s="1422">
        <v>1537</v>
      </c>
      <c r="CN37" s="1422">
        <v>0</v>
      </c>
      <c r="CO37" s="1422">
        <v>0</v>
      </c>
      <c r="CP37" s="1422">
        <v>0</v>
      </c>
      <c r="CQ37" s="1422">
        <v>0</v>
      </c>
      <c r="CR37" s="1422">
        <v>0</v>
      </c>
      <c r="CS37" s="1422">
        <v>1537</v>
      </c>
      <c r="CT37" s="1422">
        <v>0</v>
      </c>
      <c r="CU37" s="1420">
        <v>5590655.4900000002</v>
      </c>
      <c r="CV37" s="1420">
        <v>5752871.3700000001</v>
      </c>
      <c r="CW37" s="1420">
        <v>2392163.88</v>
      </c>
      <c r="CX37" s="1420">
        <v>1984801.77</v>
      </c>
      <c r="CY37" s="1420">
        <v>452223.57</v>
      </c>
      <c r="CZ37" s="1420">
        <v>499829.29</v>
      </c>
      <c r="DA37" s="1420">
        <v>297239.65999999997</v>
      </c>
      <c r="DB37" s="1420">
        <v>245420.06</v>
      </c>
      <c r="DC37" s="1422">
        <v>0</v>
      </c>
      <c r="DD37" s="1422">
        <v>0</v>
      </c>
      <c r="DE37" s="1420">
        <v>309692.69</v>
      </c>
      <c r="DF37" s="1420">
        <v>409458.98</v>
      </c>
      <c r="DG37" s="1420">
        <v>86613.61</v>
      </c>
      <c r="DH37" s="1420">
        <v>57459.87</v>
      </c>
      <c r="DI37" s="1420">
        <v>3537933.41</v>
      </c>
      <c r="DJ37" s="1420">
        <v>3196969.97</v>
      </c>
      <c r="DK37" s="1420">
        <v>155450.18</v>
      </c>
      <c r="DL37" s="1420">
        <v>132036.63</v>
      </c>
      <c r="DM37" s="1420">
        <v>51480.01</v>
      </c>
      <c r="DN37" s="1420">
        <v>50409.7</v>
      </c>
      <c r="DO37" s="1420">
        <v>484766.04</v>
      </c>
      <c r="DP37" s="1420">
        <v>454402.74</v>
      </c>
      <c r="DQ37" s="1420">
        <v>170535.07</v>
      </c>
      <c r="DR37" s="1420">
        <v>183153.96</v>
      </c>
      <c r="DS37" s="1420">
        <v>13766.19</v>
      </c>
      <c r="DT37" s="1422">
        <v>13766</v>
      </c>
      <c r="DU37" s="1420">
        <v>875997.49</v>
      </c>
      <c r="DV37" s="1420">
        <v>833769.03</v>
      </c>
      <c r="DW37" s="1420">
        <v>172736.97</v>
      </c>
      <c r="DX37" s="1422">
        <v>200960</v>
      </c>
      <c r="DY37" s="1420">
        <v>155845.79</v>
      </c>
      <c r="DZ37" s="1420">
        <v>230269.35</v>
      </c>
      <c r="EA37" s="1422">
        <v>207767</v>
      </c>
      <c r="EB37" s="1420">
        <v>205329.65</v>
      </c>
      <c r="EC37" s="1420">
        <v>536349.76</v>
      </c>
      <c r="ED37" s="1422">
        <v>636559</v>
      </c>
      <c r="EE37" s="1420">
        <v>325702.96000000002</v>
      </c>
      <c r="EF37" s="1420">
        <v>325151.06</v>
      </c>
      <c r="EG37" s="1422">
        <v>0</v>
      </c>
      <c r="EH37" s="1422">
        <v>0</v>
      </c>
      <c r="EI37" s="1422">
        <v>0</v>
      </c>
      <c r="EJ37" s="1422">
        <v>200</v>
      </c>
      <c r="EK37" s="1422">
        <v>0</v>
      </c>
      <c r="EL37" s="1422">
        <v>0</v>
      </c>
      <c r="EM37" s="1420">
        <v>325702.96000000002</v>
      </c>
      <c r="EN37" s="1420">
        <v>325351.06</v>
      </c>
      <c r="EO37" s="1420">
        <v>5278.85</v>
      </c>
      <c r="EP37" s="1422">
        <v>0</v>
      </c>
      <c r="EQ37" s="1420">
        <v>347656.46</v>
      </c>
      <c r="ER37" s="1422">
        <v>378549</v>
      </c>
      <c r="ES37" s="1422">
        <v>0</v>
      </c>
      <c r="ET37" s="1422">
        <v>0</v>
      </c>
      <c r="EU37" s="1420">
        <v>5628918.9299999997</v>
      </c>
      <c r="EV37" s="1420">
        <v>5371198.0599999996</v>
      </c>
      <c r="EW37" s="1420">
        <v>112635.27</v>
      </c>
      <c r="EX37" s="1422">
        <v>116942</v>
      </c>
      <c r="EY37" s="1420">
        <v>347656.46</v>
      </c>
      <c r="EZ37" s="1422">
        <v>378549</v>
      </c>
      <c r="FA37" s="1420">
        <v>5168627.2</v>
      </c>
      <c r="FB37" s="1420">
        <v>4875707.0599999996</v>
      </c>
      <c r="FC37" s="1420">
        <v>461304.19</v>
      </c>
      <c r="FD37" s="1439"/>
      <c r="FE37" s="1420">
        <v>4707323.01</v>
      </c>
      <c r="FF37" s="1439"/>
      <c r="FG37" s="1422">
        <v>8334</v>
      </c>
      <c r="FH37" s="1439"/>
      <c r="FI37" s="1420">
        <v>50.77</v>
      </c>
      <c r="FJ37" s="1439"/>
      <c r="FK37" s="1422">
        <v>41434</v>
      </c>
      <c r="FL37" s="1439"/>
      <c r="FM37" s="1420">
        <v>53.77</v>
      </c>
      <c r="FN37" s="1439"/>
      <c r="FO37" s="1422">
        <v>43404</v>
      </c>
      <c r="FP37" s="1439"/>
      <c r="FQ37" s="1420">
        <v>637078.30000000005</v>
      </c>
      <c r="FR37" s="1439"/>
      <c r="FS37" s="1420">
        <v>20821.099999999999</v>
      </c>
      <c r="FT37" s="1439"/>
      <c r="FU37" s="1422">
        <v>0</v>
      </c>
      <c r="FV37" s="1439"/>
      <c r="FW37" s="1420">
        <v>616257.19999999995</v>
      </c>
      <c r="FX37" s="1439"/>
      <c r="FY37" s="1422">
        <v>0</v>
      </c>
      <c r="FZ37" s="1439"/>
      <c r="GA37" s="1422">
        <v>0</v>
      </c>
      <c r="GB37" s="1439"/>
    </row>
    <row r="38" spans="1:184" ht="12.75" customHeight="1" thickBot="1">
      <c r="A38" s="1418" t="s">
        <v>651</v>
      </c>
      <c r="B38" s="1418" t="s">
        <v>652</v>
      </c>
      <c r="C38" s="1420">
        <v>203.3</v>
      </c>
      <c r="D38" s="1439"/>
      <c r="E38" s="1420">
        <v>431.47</v>
      </c>
      <c r="F38" s="1439"/>
      <c r="G38" s="1421">
        <v>-0.15</v>
      </c>
      <c r="H38" s="1439"/>
      <c r="I38" s="1420">
        <v>460.61</v>
      </c>
      <c r="J38" s="1439"/>
      <c r="K38" s="1420">
        <v>445.08</v>
      </c>
      <c r="L38" s="1439"/>
      <c r="M38" s="1422">
        <v>51362365</v>
      </c>
      <c r="N38" s="1439"/>
      <c r="O38" s="1422">
        <v>25</v>
      </c>
      <c r="P38" s="1439"/>
      <c r="Q38" s="1422">
        <v>25</v>
      </c>
      <c r="R38" s="1439"/>
      <c r="S38" s="1422">
        <v>0</v>
      </c>
      <c r="T38" s="1439"/>
      <c r="U38" s="1422">
        <v>0</v>
      </c>
      <c r="V38" s="1439"/>
      <c r="W38" s="1420">
        <v>11.6</v>
      </c>
      <c r="X38" s="1439"/>
      <c r="Y38" s="1420">
        <v>36.6</v>
      </c>
      <c r="Z38" s="1439"/>
      <c r="AA38" s="1422">
        <v>2758000</v>
      </c>
      <c r="AB38" s="1455"/>
      <c r="AC38" s="1424">
        <v>1588114.26</v>
      </c>
      <c r="AD38" s="1422">
        <v>1819471</v>
      </c>
      <c r="AE38" s="1420">
        <v>288408.01</v>
      </c>
      <c r="AF38" s="1422">
        <v>163400</v>
      </c>
      <c r="AG38" s="1420">
        <v>420.01</v>
      </c>
      <c r="AH38" s="1456">
        <v>0</v>
      </c>
      <c r="AI38" s="1428">
        <v>1653430</v>
      </c>
      <c r="AJ38" s="1422">
        <v>1552441</v>
      </c>
      <c r="AK38" s="1422">
        <v>23867</v>
      </c>
      <c r="AL38" s="1422">
        <v>0</v>
      </c>
      <c r="AM38" s="1422">
        <v>0</v>
      </c>
      <c r="AN38" s="1422">
        <v>0</v>
      </c>
      <c r="AO38" s="1422">
        <v>114046</v>
      </c>
      <c r="AP38" s="1422">
        <v>0</v>
      </c>
      <c r="AQ38" s="1422">
        <v>0</v>
      </c>
      <c r="AR38" s="1422">
        <v>0</v>
      </c>
      <c r="AS38" s="1422">
        <v>0</v>
      </c>
      <c r="AT38" s="1422">
        <v>0</v>
      </c>
      <c r="AU38" s="1422">
        <v>1701</v>
      </c>
      <c r="AV38" s="1422">
        <v>1361</v>
      </c>
      <c r="AW38" s="1422">
        <v>0</v>
      </c>
      <c r="AX38" s="1422">
        <v>0</v>
      </c>
      <c r="AY38" s="1420">
        <v>3669986.28</v>
      </c>
      <c r="AZ38" s="1422">
        <v>3536673</v>
      </c>
      <c r="BA38" s="1422">
        <v>0</v>
      </c>
      <c r="BB38" s="1422">
        <v>0</v>
      </c>
      <c r="BC38" s="1422">
        <v>18409</v>
      </c>
      <c r="BD38" s="1422">
        <v>19395</v>
      </c>
      <c r="BE38" s="1422">
        <v>0</v>
      </c>
      <c r="BF38" s="1422">
        <v>5000</v>
      </c>
      <c r="BG38" s="1422">
        <v>830</v>
      </c>
      <c r="BH38" s="1422">
        <v>0</v>
      </c>
      <c r="BI38" s="1422">
        <v>0</v>
      </c>
      <c r="BJ38" s="1422">
        <v>0</v>
      </c>
      <c r="BK38" s="1422">
        <v>0</v>
      </c>
      <c r="BL38" s="1422">
        <v>0</v>
      </c>
      <c r="BM38" s="1422">
        <v>138384</v>
      </c>
      <c r="BN38" s="1422">
        <v>135102</v>
      </c>
      <c r="BO38" s="1420">
        <v>1823.35</v>
      </c>
      <c r="BP38" s="1422">
        <v>0</v>
      </c>
      <c r="BQ38" s="1422">
        <v>0</v>
      </c>
      <c r="BR38" s="1422">
        <v>3250</v>
      </c>
      <c r="BS38" s="1420">
        <v>2021.63</v>
      </c>
      <c r="BT38" s="1422">
        <v>2100</v>
      </c>
      <c r="BU38" s="1422">
        <v>0</v>
      </c>
      <c r="BV38" s="1422">
        <v>0</v>
      </c>
      <c r="BW38" s="1422">
        <v>451994</v>
      </c>
      <c r="BX38" s="1422">
        <v>452480</v>
      </c>
      <c r="BY38" s="1422">
        <v>0</v>
      </c>
      <c r="BZ38" s="1422">
        <v>0</v>
      </c>
      <c r="CA38" s="1422">
        <v>11336</v>
      </c>
      <c r="CB38" s="1422">
        <v>7172</v>
      </c>
      <c r="CC38" s="1420">
        <v>624797.98</v>
      </c>
      <c r="CD38" s="1422">
        <v>624499</v>
      </c>
      <c r="CE38" s="1420">
        <v>1349712.07</v>
      </c>
      <c r="CF38" s="1420">
        <v>728620.84</v>
      </c>
      <c r="CG38" s="1422">
        <v>602700</v>
      </c>
      <c r="CH38" s="1422">
        <v>0</v>
      </c>
      <c r="CI38" s="1422">
        <v>0</v>
      </c>
      <c r="CJ38" s="1422">
        <v>0</v>
      </c>
      <c r="CK38" s="1422">
        <v>0</v>
      </c>
      <c r="CL38" s="1422">
        <v>0</v>
      </c>
      <c r="CM38" s="1422">
        <v>27001</v>
      </c>
      <c r="CN38" s="1422">
        <v>0</v>
      </c>
      <c r="CO38" s="1422">
        <v>0</v>
      </c>
      <c r="CP38" s="1422">
        <v>0</v>
      </c>
      <c r="CQ38" s="1422">
        <v>0</v>
      </c>
      <c r="CR38" s="1422">
        <v>0</v>
      </c>
      <c r="CS38" s="1422">
        <v>629701</v>
      </c>
      <c r="CT38" s="1422">
        <v>0</v>
      </c>
      <c r="CU38" s="1420">
        <v>6274197.3300000001</v>
      </c>
      <c r="CV38" s="1420">
        <v>4889792.84</v>
      </c>
      <c r="CW38" s="1420">
        <v>1925365.22</v>
      </c>
      <c r="CX38" s="1420">
        <v>1870313.12</v>
      </c>
      <c r="CY38" s="1420">
        <v>216826.49</v>
      </c>
      <c r="CZ38" s="1420">
        <v>236447.76</v>
      </c>
      <c r="DA38" s="1420">
        <v>185380.85</v>
      </c>
      <c r="DB38" s="1420">
        <v>168686.78</v>
      </c>
      <c r="DC38" s="1422">
        <v>0</v>
      </c>
      <c r="DD38" s="1422">
        <v>0</v>
      </c>
      <c r="DE38" s="1420">
        <v>242147.3</v>
      </c>
      <c r="DF38" s="1420">
        <v>167154.47</v>
      </c>
      <c r="DG38" s="1420">
        <v>40833.9</v>
      </c>
      <c r="DH38" s="1420">
        <v>41278.17</v>
      </c>
      <c r="DI38" s="1420">
        <v>2610553.7599999998</v>
      </c>
      <c r="DJ38" s="1420">
        <v>2483880.2999999998</v>
      </c>
      <c r="DK38" s="1420">
        <v>188075.01</v>
      </c>
      <c r="DL38" s="1420">
        <v>186550.22</v>
      </c>
      <c r="DM38" s="1420">
        <v>90481.77</v>
      </c>
      <c r="DN38" s="1420">
        <v>100321.29</v>
      </c>
      <c r="DO38" s="1420">
        <v>587452.21</v>
      </c>
      <c r="DP38" s="1420">
        <v>545842.18000000005</v>
      </c>
      <c r="DQ38" s="1420">
        <v>246313.18</v>
      </c>
      <c r="DR38" s="1420">
        <v>219992.52</v>
      </c>
      <c r="DS38" s="1420">
        <v>18703.96</v>
      </c>
      <c r="DT38" s="1422">
        <v>8500</v>
      </c>
      <c r="DU38" s="1420">
        <v>1131026.1299999999</v>
      </c>
      <c r="DV38" s="1420">
        <v>1061206.21</v>
      </c>
      <c r="DW38" s="1420">
        <v>308400.3</v>
      </c>
      <c r="DX38" s="1420">
        <v>231186.11</v>
      </c>
      <c r="DY38" s="1420">
        <v>334030.77</v>
      </c>
      <c r="DZ38" s="1420">
        <v>365373.62</v>
      </c>
      <c r="EA38" s="1420">
        <v>170161.26</v>
      </c>
      <c r="EB38" s="1420">
        <v>145144.5</v>
      </c>
      <c r="EC38" s="1420">
        <v>812592.33</v>
      </c>
      <c r="ED38" s="1420">
        <v>741704.23</v>
      </c>
      <c r="EE38" s="1420">
        <v>276366.24</v>
      </c>
      <c r="EF38" s="1420">
        <v>257547.54</v>
      </c>
      <c r="EG38" s="1420">
        <v>2944.15</v>
      </c>
      <c r="EH38" s="1422">
        <v>0</v>
      </c>
      <c r="EI38" s="1420">
        <v>126399.37</v>
      </c>
      <c r="EJ38" s="1420">
        <v>93660.69</v>
      </c>
      <c r="EK38" s="1422">
        <v>0</v>
      </c>
      <c r="EL38" s="1422">
        <v>0</v>
      </c>
      <c r="EM38" s="1420">
        <v>405709.76</v>
      </c>
      <c r="EN38" s="1420">
        <v>351208.23</v>
      </c>
      <c r="EO38" s="1420">
        <v>467088.05</v>
      </c>
      <c r="EP38" s="1422">
        <v>5000</v>
      </c>
      <c r="EQ38" s="1420">
        <v>192009.72</v>
      </c>
      <c r="ER38" s="1420">
        <v>246275.35</v>
      </c>
      <c r="ES38" s="1422">
        <v>0</v>
      </c>
      <c r="ET38" s="1422">
        <v>0</v>
      </c>
      <c r="EU38" s="1420">
        <v>5618979.75</v>
      </c>
      <c r="EV38" s="1420">
        <v>4889274.32</v>
      </c>
      <c r="EW38" s="1420">
        <v>658632.88</v>
      </c>
      <c r="EX38" s="1422">
        <v>130305</v>
      </c>
      <c r="EY38" s="1420">
        <v>192009.72</v>
      </c>
      <c r="EZ38" s="1420">
        <v>246275.35</v>
      </c>
      <c r="FA38" s="1420">
        <v>4768337.1500000004</v>
      </c>
      <c r="FB38" s="1420">
        <v>4512693.97</v>
      </c>
      <c r="FC38" s="1420">
        <v>700345.16</v>
      </c>
      <c r="FD38" s="1439"/>
      <c r="FE38" s="1420">
        <v>4067991.99</v>
      </c>
      <c r="FF38" s="1439"/>
      <c r="FG38" s="1422">
        <v>9428</v>
      </c>
      <c r="FH38" s="1439"/>
      <c r="FI38" s="1420">
        <v>34.18</v>
      </c>
      <c r="FJ38" s="1439"/>
      <c r="FK38" s="1422">
        <v>38832</v>
      </c>
      <c r="FL38" s="1439"/>
      <c r="FM38" s="1420">
        <v>38.22</v>
      </c>
      <c r="FN38" s="1439"/>
      <c r="FO38" s="1422">
        <v>41477</v>
      </c>
      <c r="FP38" s="1439"/>
      <c r="FQ38" s="1422">
        <v>1220793</v>
      </c>
      <c r="FR38" s="1439"/>
      <c r="FS38" s="1420">
        <v>5471.37</v>
      </c>
      <c r="FT38" s="1439"/>
      <c r="FU38" s="1422">
        <v>0</v>
      </c>
      <c r="FV38" s="1439"/>
      <c r="FW38" s="1420">
        <v>1215321.6299999999</v>
      </c>
      <c r="FX38" s="1439"/>
      <c r="FY38" s="1420">
        <v>1101157.57</v>
      </c>
      <c r="FZ38" s="1439"/>
      <c r="GA38" s="1422">
        <v>0</v>
      </c>
      <c r="GB38" s="1439"/>
    </row>
    <row r="39" spans="1:184" ht="12.75" customHeight="1" thickBot="1">
      <c r="A39" s="1418" t="s">
        <v>653</v>
      </c>
      <c r="B39" s="1418" t="s">
        <v>654</v>
      </c>
      <c r="C39" s="1420">
        <v>75.319999999999993</v>
      </c>
      <c r="D39" s="1439"/>
      <c r="E39" s="1420">
        <v>1633.87</v>
      </c>
      <c r="F39" s="1439"/>
      <c r="G39" s="1421">
        <v>0.02</v>
      </c>
      <c r="H39" s="1439"/>
      <c r="I39" s="1420">
        <v>1737.77</v>
      </c>
      <c r="J39" s="1439"/>
      <c r="K39" s="1420">
        <v>1713.35</v>
      </c>
      <c r="L39" s="1439"/>
      <c r="M39" s="1422">
        <v>235471967</v>
      </c>
      <c r="N39" s="1439"/>
      <c r="O39" s="1422">
        <v>25</v>
      </c>
      <c r="P39" s="1439"/>
      <c r="Q39" s="1422">
        <v>25</v>
      </c>
      <c r="R39" s="1439"/>
      <c r="S39" s="1422">
        <v>0</v>
      </c>
      <c r="T39" s="1439"/>
      <c r="U39" s="1422">
        <v>0</v>
      </c>
      <c r="V39" s="1439"/>
      <c r="W39" s="1420">
        <v>4.4000000000000004</v>
      </c>
      <c r="X39" s="1439"/>
      <c r="Y39" s="1420">
        <v>29.4</v>
      </c>
      <c r="Z39" s="1439"/>
      <c r="AA39" s="1420">
        <v>10410589.970000001</v>
      </c>
      <c r="AB39" s="1455"/>
      <c r="AC39" s="1424">
        <v>6387188.4199999999</v>
      </c>
      <c r="AD39" s="1422">
        <v>6320519</v>
      </c>
      <c r="AE39" s="1420">
        <v>822433.8</v>
      </c>
      <c r="AF39" s="1422">
        <v>438862</v>
      </c>
      <c r="AG39" s="1420">
        <v>1618.88</v>
      </c>
      <c r="AH39" s="1456">
        <v>1470</v>
      </c>
      <c r="AI39" s="1428">
        <v>4761625</v>
      </c>
      <c r="AJ39" s="1422">
        <v>4951152</v>
      </c>
      <c r="AK39" s="1422">
        <v>191760</v>
      </c>
      <c r="AL39" s="1422">
        <v>0</v>
      </c>
      <c r="AM39" s="1422">
        <v>155484</v>
      </c>
      <c r="AN39" s="1422">
        <v>0</v>
      </c>
      <c r="AO39" s="1422">
        <v>0</v>
      </c>
      <c r="AP39" s="1422">
        <v>0</v>
      </c>
      <c r="AQ39" s="1422">
        <v>0</v>
      </c>
      <c r="AR39" s="1422">
        <v>0</v>
      </c>
      <c r="AS39" s="1422">
        <v>0</v>
      </c>
      <c r="AT39" s="1422">
        <v>0</v>
      </c>
      <c r="AU39" s="1422">
        <v>0</v>
      </c>
      <c r="AV39" s="1422">
        <v>0</v>
      </c>
      <c r="AW39" s="1422">
        <v>0</v>
      </c>
      <c r="AX39" s="1422">
        <v>0</v>
      </c>
      <c r="AY39" s="1420">
        <v>12320110.1</v>
      </c>
      <c r="AZ39" s="1422">
        <v>11712003</v>
      </c>
      <c r="BA39" s="1422">
        <v>0</v>
      </c>
      <c r="BB39" s="1422">
        <v>0</v>
      </c>
      <c r="BC39" s="1422">
        <v>70864</v>
      </c>
      <c r="BD39" s="1422">
        <v>74053</v>
      </c>
      <c r="BE39" s="1420">
        <v>14287.55</v>
      </c>
      <c r="BF39" s="1422">
        <v>6200</v>
      </c>
      <c r="BG39" s="1422">
        <v>1000</v>
      </c>
      <c r="BH39" s="1422">
        <v>500</v>
      </c>
      <c r="BI39" s="1422">
        <v>75450</v>
      </c>
      <c r="BJ39" s="1422">
        <v>73491</v>
      </c>
      <c r="BK39" s="1422">
        <v>7911</v>
      </c>
      <c r="BL39" s="1422">
        <v>0</v>
      </c>
      <c r="BM39" s="1422">
        <v>424576</v>
      </c>
      <c r="BN39" s="1422">
        <v>468556</v>
      </c>
      <c r="BO39" s="1420">
        <v>132894.43</v>
      </c>
      <c r="BP39" s="1422">
        <v>114140</v>
      </c>
      <c r="BQ39" s="1420">
        <v>28438.16</v>
      </c>
      <c r="BR39" s="1420">
        <v>27625.33</v>
      </c>
      <c r="BS39" s="1420">
        <v>5259.9</v>
      </c>
      <c r="BT39" s="1422">
        <v>5340</v>
      </c>
      <c r="BU39" s="1422">
        <v>0</v>
      </c>
      <c r="BV39" s="1422">
        <v>0</v>
      </c>
      <c r="BW39" s="1422">
        <v>105000</v>
      </c>
      <c r="BX39" s="1422">
        <v>105000</v>
      </c>
      <c r="BY39" s="1422">
        <v>0</v>
      </c>
      <c r="BZ39" s="1422">
        <v>0</v>
      </c>
      <c r="CA39" s="1422">
        <v>3010</v>
      </c>
      <c r="CB39" s="1422">
        <v>70673</v>
      </c>
      <c r="CC39" s="1420">
        <v>868691.04</v>
      </c>
      <c r="CD39" s="1420">
        <v>945578.33</v>
      </c>
      <c r="CE39" s="1420">
        <v>2116138.54</v>
      </c>
      <c r="CF39" s="1422">
        <v>1874904</v>
      </c>
      <c r="CG39" s="1420">
        <v>10275.1</v>
      </c>
      <c r="CH39" s="1422">
        <v>0</v>
      </c>
      <c r="CI39" s="1422">
        <v>0</v>
      </c>
      <c r="CJ39" s="1422">
        <v>0</v>
      </c>
      <c r="CK39" s="1422">
        <v>2000</v>
      </c>
      <c r="CL39" s="1422">
        <v>0</v>
      </c>
      <c r="CM39" s="1422">
        <v>7226</v>
      </c>
      <c r="CN39" s="1422">
        <v>0</v>
      </c>
      <c r="CO39" s="1422">
        <v>0</v>
      </c>
      <c r="CP39" s="1422">
        <v>0</v>
      </c>
      <c r="CQ39" s="1422">
        <v>0</v>
      </c>
      <c r="CR39" s="1422">
        <v>0</v>
      </c>
      <c r="CS39" s="1420">
        <v>19501.099999999999</v>
      </c>
      <c r="CT39" s="1422">
        <v>0</v>
      </c>
      <c r="CU39" s="1420">
        <v>15324440.779999999</v>
      </c>
      <c r="CV39" s="1420">
        <v>14532485.33</v>
      </c>
      <c r="CW39" s="1420">
        <v>5902035.3399999999</v>
      </c>
      <c r="CX39" s="1420">
        <v>5474857.0099999998</v>
      </c>
      <c r="CY39" s="1420">
        <v>1439327.91</v>
      </c>
      <c r="CZ39" s="1420">
        <v>1397515.5</v>
      </c>
      <c r="DA39" s="1420">
        <v>490294.43</v>
      </c>
      <c r="DB39" s="1420">
        <v>501116.37</v>
      </c>
      <c r="DC39" s="1422">
        <v>0</v>
      </c>
      <c r="DD39" s="1422">
        <v>0</v>
      </c>
      <c r="DE39" s="1420">
        <v>359501.97</v>
      </c>
      <c r="DF39" s="1420">
        <v>427397.03</v>
      </c>
      <c r="DG39" s="1420">
        <v>539317.15</v>
      </c>
      <c r="DH39" s="1420">
        <v>388516.14</v>
      </c>
      <c r="DI39" s="1420">
        <v>8730476.8000000007</v>
      </c>
      <c r="DJ39" s="1420">
        <v>8189402.0499999998</v>
      </c>
      <c r="DK39" s="1420">
        <v>208825.83</v>
      </c>
      <c r="DL39" s="1420">
        <v>201749.74</v>
      </c>
      <c r="DM39" s="1420">
        <v>261520.05</v>
      </c>
      <c r="DN39" s="1420">
        <v>293075.39</v>
      </c>
      <c r="DO39" s="1420">
        <v>1522435.96</v>
      </c>
      <c r="DP39" s="1420">
        <v>1581361.69</v>
      </c>
      <c r="DQ39" s="1420">
        <v>447165.45</v>
      </c>
      <c r="DR39" s="1420">
        <v>419904.67</v>
      </c>
      <c r="DS39" s="1420">
        <v>42885.86</v>
      </c>
      <c r="DT39" s="1422">
        <v>26825</v>
      </c>
      <c r="DU39" s="1420">
        <v>2482833.15</v>
      </c>
      <c r="DV39" s="1420">
        <v>2522916.4900000002</v>
      </c>
      <c r="DW39" s="1420">
        <v>717774.29</v>
      </c>
      <c r="DX39" s="1420">
        <v>740146.39</v>
      </c>
      <c r="DY39" s="1420">
        <v>797269.45</v>
      </c>
      <c r="DZ39" s="1420">
        <v>780210.82</v>
      </c>
      <c r="EA39" s="1420">
        <v>709525.89</v>
      </c>
      <c r="EB39" s="1420">
        <v>623939.79</v>
      </c>
      <c r="EC39" s="1420">
        <v>2224569.63</v>
      </c>
      <c r="ED39" s="1422">
        <v>2144297</v>
      </c>
      <c r="EE39" s="1420">
        <v>892287.64</v>
      </c>
      <c r="EF39" s="1420">
        <v>833679.39</v>
      </c>
      <c r="EG39" s="1420">
        <v>32594.12</v>
      </c>
      <c r="EH39" s="1422">
        <v>0</v>
      </c>
      <c r="EI39" s="1420">
        <v>3485.03</v>
      </c>
      <c r="EJ39" s="1422">
        <v>0</v>
      </c>
      <c r="EK39" s="1422">
        <v>0</v>
      </c>
      <c r="EL39" s="1422">
        <v>0</v>
      </c>
      <c r="EM39" s="1420">
        <v>928366.79</v>
      </c>
      <c r="EN39" s="1420">
        <v>833679.39</v>
      </c>
      <c r="EO39" s="1420">
        <v>306220.36</v>
      </c>
      <c r="EP39" s="1420">
        <v>990691.95</v>
      </c>
      <c r="EQ39" s="1420">
        <v>552126.56999999995</v>
      </c>
      <c r="ER39" s="1420">
        <v>906304.56</v>
      </c>
      <c r="ES39" s="1420">
        <v>10571.64</v>
      </c>
      <c r="ET39" s="1422">
        <v>0</v>
      </c>
      <c r="EU39" s="1420">
        <v>15235164.939999999</v>
      </c>
      <c r="EV39" s="1420">
        <v>15587291.439999999</v>
      </c>
      <c r="EW39" s="1420">
        <v>498167.69</v>
      </c>
      <c r="EX39" s="1420">
        <v>1061241.95</v>
      </c>
      <c r="EY39" s="1420">
        <v>552126.56999999995</v>
      </c>
      <c r="EZ39" s="1420">
        <v>906304.56</v>
      </c>
      <c r="FA39" s="1420">
        <v>14184870.68</v>
      </c>
      <c r="FB39" s="1420">
        <v>13619744.93</v>
      </c>
      <c r="FC39" s="1420">
        <v>798827.36</v>
      </c>
      <c r="FD39" s="1439"/>
      <c r="FE39" s="1420">
        <v>13386043.32</v>
      </c>
      <c r="FF39" s="1439"/>
      <c r="FG39" s="1422">
        <v>8192</v>
      </c>
      <c r="FH39" s="1439"/>
      <c r="FI39" s="1420">
        <v>123.86</v>
      </c>
      <c r="FJ39" s="1439"/>
      <c r="FK39" s="1422">
        <v>42836</v>
      </c>
      <c r="FL39" s="1439"/>
      <c r="FM39" s="1420">
        <v>131.81</v>
      </c>
      <c r="FN39" s="1439"/>
      <c r="FO39" s="1422">
        <v>44489</v>
      </c>
      <c r="FP39" s="1439"/>
      <c r="FQ39" s="1420">
        <v>920776.46</v>
      </c>
      <c r="FR39" s="1439"/>
      <c r="FS39" s="1420">
        <v>31527.65</v>
      </c>
      <c r="FT39" s="1439"/>
      <c r="FU39" s="1422">
        <v>0</v>
      </c>
      <c r="FV39" s="1439"/>
      <c r="FW39" s="1420">
        <v>889248.81</v>
      </c>
      <c r="FX39" s="1439"/>
      <c r="FY39" s="1420">
        <v>522094.43</v>
      </c>
      <c r="FZ39" s="1439"/>
      <c r="GA39" s="1422">
        <v>0</v>
      </c>
      <c r="GB39" s="1439"/>
    </row>
    <row r="40" spans="1:184" ht="12.75" customHeight="1" thickBot="1">
      <c r="A40" s="1418" t="s">
        <v>655</v>
      </c>
      <c r="B40" s="1418" t="s">
        <v>656</v>
      </c>
      <c r="C40" s="1420">
        <v>158.55000000000001</v>
      </c>
      <c r="D40" s="1439"/>
      <c r="E40" s="1420">
        <v>567.78</v>
      </c>
      <c r="F40" s="1439"/>
      <c r="G40" s="1421">
        <v>0.03</v>
      </c>
      <c r="H40" s="1439"/>
      <c r="I40" s="1420">
        <v>603.97</v>
      </c>
      <c r="J40" s="1439"/>
      <c r="K40" s="1420">
        <v>613.75</v>
      </c>
      <c r="L40" s="1439"/>
      <c r="M40" s="1422">
        <v>134227849</v>
      </c>
      <c r="N40" s="1439"/>
      <c r="O40" s="1420">
        <v>26.24</v>
      </c>
      <c r="P40" s="1439"/>
      <c r="Q40" s="1422">
        <v>25</v>
      </c>
      <c r="R40" s="1439"/>
      <c r="S40" s="1420">
        <v>1.24</v>
      </c>
      <c r="T40" s="1439"/>
      <c r="U40" s="1422">
        <v>0</v>
      </c>
      <c r="V40" s="1439"/>
      <c r="W40" s="1420">
        <v>7.26</v>
      </c>
      <c r="X40" s="1439"/>
      <c r="Y40" s="1420">
        <v>33.5</v>
      </c>
      <c r="Z40" s="1439"/>
      <c r="AA40" s="1420">
        <v>3889281.27</v>
      </c>
      <c r="AB40" s="1455"/>
      <c r="AC40" s="1424">
        <v>3298234.23</v>
      </c>
      <c r="AD40" s="1420">
        <v>4489614.63</v>
      </c>
      <c r="AE40" s="1420">
        <v>423848.29</v>
      </c>
      <c r="AF40" s="1422">
        <v>290611</v>
      </c>
      <c r="AG40" s="1420">
        <v>576.71</v>
      </c>
      <c r="AH40" s="1456">
        <v>550</v>
      </c>
      <c r="AI40" s="1428">
        <v>1578708</v>
      </c>
      <c r="AJ40" s="1422">
        <v>435576</v>
      </c>
      <c r="AK40" s="1422">
        <v>11156</v>
      </c>
      <c r="AL40" s="1422">
        <v>0</v>
      </c>
      <c r="AM40" s="1422">
        <v>11308</v>
      </c>
      <c r="AN40" s="1422">
        <v>0</v>
      </c>
      <c r="AO40" s="1422">
        <v>0</v>
      </c>
      <c r="AP40" s="1422">
        <v>21719</v>
      </c>
      <c r="AQ40" s="1422">
        <v>0</v>
      </c>
      <c r="AR40" s="1422">
        <v>0</v>
      </c>
      <c r="AS40" s="1422">
        <v>0</v>
      </c>
      <c r="AT40" s="1422">
        <v>0</v>
      </c>
      <c r="AU40" s="1422">
        <v>0</v>
      </c>
      <c r="AV40" s="1422">
        <v>0</v>
      </c>
      <c r="AW40" s="1422">
        <v>0</v>
      </c>
      <c r="AX40" s="1422">
        <v>0</v>
      </c>
      <c r="AY40" s="1420">
        <v>5323831.2300000004</v>
      </c>
      <c r="AZ40" s="1420">
        <v>5238070.63</v>
      </c>
      <c r="BA40" s="1422">
        <v>0</v>
      </c>
      <c r="BB40" s="1422">
        <v>0</v>
      </c>
      <c r="BC40" s="1422">
        <v>25385</v>
      </c>
      <c r="BD40" s="1422">
        <v>25711</v>
      </c>
      <c r="BE40" s="1420">
        <v>2489.59</v>
      </c>
      <c r="BF40" s="1422">
        <v>0</v>
      </c>
      <c r="BG40" s="1422">
        <v>300</v>
      </c>
      <c r="BH40" s="1422">
        <v>0</v>
      </c>
      <c r="BI40" s="1422">
        <v>50544</v>
      </c>
      <c r="BJ40" s="1422">
        <v>23336</v>
      </c>
      <c r="BK40" s="1422">
        <v>0</v>
      </c>
      <c r="BL40" s="1422">
        <v>0</v>
      </c>
      <c r="BM40" s="1422">
        <v>158224</v>
      </c>
      <c r="BN40" s="1422">
        <v>166980</v>
      </c>
      <c r="BO40" s="1420">
        <v>2514.31</v>
      </c>
      <c r="BP40" s="1422">
        <v>0</v>
      </c>
      <c r="BQ40" s="1420">
        <v>45229.919999999998</v>
      </c>
      <c r="BR40" s="1422">
        <v>0</v>
      </c>
      <c r="BS40" s="1420">
        <v>2825.09</v>
      </c>
      <c r="BT40" s="1422">
        <v>3000</v>
      </c>
      <c r="BU40" s="1422">
        <v>0</v>
      </c>
      <c r="BV40" s="1422">
        <v>0</v>
      </c>
      <c r="BW40" s="1422">
        <v>0</v>
      </c>
      <c r="BX40" s="1422">
        <v>0</v>
      </c>
      <c r="BY40" s="1422">
        <v>0</v>
      </c>
      <c r="BZ40" s="1422">
        <v>0</v>
      </c>
      <c r="CA40" s="1420">
        <v>469383.55</v>
      </c>
      <c r="CB40" s="1422">
        <v>4096</v>
      </c>
      <c r="CC40" s="1420">
        <v>756895.46</v>
      </c>
      <c r="CD40" s="1422">
        <v>223123</v>
      </c>
      <c r="CE40" s="1420">
        <v>1049297.83</v>
      </c>
      <c r="CF40" s="1420">
        <v>894800.22</v>
      </c>
      <c r="CG40" s="1422">
        <v>0</v>
      </c>
      <c r="CH40" s="1422">
        <v>0</v>
      </c>
      <c r="CI40" s="1422">
        <v>0</v>
      </c>
      <c r="CJ40" s="1422">
        <v>0</v>
      </c>
      <c r="CK40" s="1422">
        <v>0</v>
      </c>
      <c r="CL40" s="1422">
        <v>0</v>
      </c>
      <c r="CM40" s="1420">
        <v>15388.19</v>
      </c>
      <c r="CN40" s="1422">
        <v>0</v>
      </c>
      <c r="CO40" s="1422">
        <v>0</v>
      </c>
      <c r="CP40" s="1422">
        <v>0</v>
      </c>
      <c r="CQ40" s="1422">
        <v>0</v>
      </c>
      <c r="CR40" s="1422">
        <v>0</v>
      </c>
      <c r="CS40" s="1420">
        <v>15388.19</v>
      </c>
      <c r="CT40" s="1422">
        <v>0</v>
      </c>
      <c r="CU40" s="1420">
        <v>7145412.71</v>
      </c>
      <c r="CV40" s="1420">
        <v>6355993.8499999996</v>
      </c>
      <c r="CW40" s="1420">
        <v>2385173.02</v>
      </c>
      <c r="CX40" s="1420">
        <v>2104506.23</v>
      </c>
      <c r="CY40" s="1420">
        <v>299792.62</v>
      </c>
      <c r="CZ40" s="1420">
        <v>282387.07</v>
      </c>
      <c r="DA40" s="1420">
        <v>229303.26</v>
      </c>
      <c r="DB40" s="1420">
        <v>189728.07</v>
      </c>
      <c r="DC40" s="1422">
        <v>0</v>
      </c>
      <c r="DD40" s="1422">
        <v>0</v>
      </c>
      <c r="DE40" s="1420">
        <v>277920.01</v>
      </c>
      <c r="DF40" s="1420">
        <v>124451.98</v>
      </c>
      <c r="DG40" s="1420">
        <v>289124.90000000002</v>
      </c>
      <c r="DH40" s="1420">
        <v>192747.41</v>
      </c>
      <c r="DI40" s="1420">
        <v>3481313.81</v>
      </c>
      <c r="DJ40" s="1420">
        <v>2893820.76</v>
      </c>
      <c r="DK40" s="1420">
        <v>195177.4</v>
      </c>
      <c r="DL40" s="1420">
        <v>202188.49</v>
      </c>
      <c r="DM40" s="1420">
        <v>192508.74</v>
      </c>
      <c r="DN40" s="1420">
        <v>186115.32</v>
      </c>
      <c r="DO40" s="1420">
        <v>587949.07999999996</v>
      </c>
      <c r="DP40" s="1420">
        <v>665113.74</v>
      </c>
      <c r="DQ40" s="1420">
        <v>378441.75</v>
      </c>
      <c r="DR40" s="1420">
        <v>345394.27</v>
      </c>
      <c r="DS40" s="1420">
        <v>3126.34</v>
      </c>
      <c r="DT40" s="1422">
        <v>3500</v>
      </c>
      <c r="DU40" s="1420">
        <v>1357203.31</v>
      </c>
      <c r="DV40" s="1420">
        <v>1402311.82</v>
      </c>
      <c r="DW40" s="1420">
        <v>235654.72</v>
      </c>
      <c r="DX40" s="1420">
        <v>242970.05</v>
      </c>
      <c r="DY40" s="1420">
        <v>499315.65</v>
      </c>
      <c r="DZ40" s="1420">
        <v>441289.79</v>
      </c>
      <c r="EA40" s="1420">
        <v>233949.7</v>
      </c>
      <c r="EB40" s="1420">
        <v>239925.73</v>
      </c>
      <c r="EC40" s="1420">
        <v>968920.07</v>
      </c>
      <c r="ED40" s="1420">
        <v>924185.57</v>
      </c>
      <c r="EE40" s="1420">
        <v>343488.05</v>
      </c>
      <c r="EF40" s="1420">
        <v>404371.61</v>
      </c>
      <c r="EG40" s="1422">
        <v>0</v>
      </c>
      <c r="EH40" s="1422">
        <v>0</v>
      </c>
      <c r="EI40" s="1420">
        <v>33.65</v>
      </c>
      <c r="EJ40" s="1422">
        <v>1500</v>
      </c>
      <c r="EK40" s="1422">
        <v>0</v>
      </c>
      <c r="EL40" s="1422">
        <v>0</v>
      </c>
      <c r="EM40" s="1420">
        <v>343521.7</v>
      </c>
      <c r="EN40" s="1420">
        <v>405871.61</v>
      </c>
      <c r="EO40" s="1420">
        <v>1503919.19</v>
      </c>
      <c r="EP40" s="1422">
        <v>331655</v>
      </c>
      <c r="EQ40" s="1420">
        <v>150627.12</v>
      </c>
      <c r="ER40" s="1420">
        <v>337555.64</v>
      </c>
      <c r="ES40" s="1422">
        <v>0</v>
      </c>
      <c r="ET40" s="1422">
        <v>0</v>
      </c>
      <c r="EU40" s="1420">
        <v>7805505.2000000002</v>
      </c>
      <c r="EV40" s="1420">
        <v>6295400.4000000004</v>
      </c>
      <c r="EW40" s="1420">
        <v>1636918.77</v>
      </c>
      <c r="EX40" s="1422">
        <v>470442</v>
      </c>
      <c r="EY40" s="1420">
        <v>150627.12</v>
      </c>
      <c r="EZ40" s="1420">
        <v>337555.64</v>
      </c>
      <c r="FA40" s="1420">
        <v>6017959.3099999996</v>
      </c>
      <c r="FB40" s="1420">
        <v>5487402.7599999998</v>
      </c>
      <c r="FC40" s="1420">
        <v>287096.56</v>
      </c>
      <c r="FD40" s="1439"/>
      <c r="FE40" s="1420">
        <v>5730862.75</v>
      </c>
      <c r="FF40" s="1439"/>
      <c r="FG40" s="1422">
        <v>10093</v>
      </c>
      <c r="FH40" s="1439"/>
      <c r="FI40" s="1420">
        <v>48.45</v>
      </c>
      <c r="FJ40" s="1439"/>
      <c r="FK40" s="1422">
        <v>38880</v>
      </c>
      <c r="FL40" s="1439"/>
      <c r="FM40" s="1420">
        <v>53.45</v>
      </c>
      <c r="FN40" s="1439"/>
      <c r="FO40" s="1422">
        <v>41237</v>
      </c>
      <c r="FP40" s="1439"/>
      <c r="FQ40" s="1420">
        <v>2321998.89</v>
      </c>
      <c r="FR40" s="1439"/>
      <c r="FS40" s="1420">
        <v>18134.37</v>
      </c>
      <c r="FT40" s="1439"/>
      <c r="FU40" s="1422">
        <v>0</v>
      </c>
      <c r="FV40" s="1439"/>
      <c r="FW40" s="1420">
        <v>2303864.52</v>
      </c>
      <c r="FX40" s="1439"/>
      <c r="FY40" s="1420">
        <v>627732.36</v>
      </c>
      <c r="FZ40" s="1439"/>
      <c r="GA40" s="1422">
        <v>0</v>
      </c>
      <c r="GB40" s="1439"/>
    </row>
    <row r="41" spans="1:184" ht="12.75" customHeight="1" thickBot="1">
      <c r="A41" s="1418" t="s">
        <v>657</v>
      </c>
      <c r="B41" s="1418" t="s">
        <v>658</v>
      </c>
      <c r="C41" s="1420">
        <v>181.23</v>
      </c>
      <c r="D41" s="1439"/>
      <c r="E41" s="1420">
        <v>467.85</v>
      </c>
      <c r="F41" s="1439"/>
      <c r="G41" s="1421">
        <v>-0.03</v>
      </c>
      <c r="H41" s="1439"/>
      <c r="I41" s="1420">
        <v>487.46</v>
      </c>
      <c r="J41" s="1439"/>
      <c r="K41" s="1420">
        <v>513.28</v>
      </c>
      <c r="L41" s="1439"/>
      <c r="M41" s="1422">
        <v>133683258</v>
      </c>
      <c r="N41" s="1439"/>
      <c r="O41" s="1420">
        <v>25.04</v>
      </c>
      <c r="P41" s="1439"/>
      <c r="Q41" s="1422">
        <v>25</v>
      </c>
      <c r="R41" s="1439"/>
      <c r="S41" s="1420">
        <v>0.04</v>
      </c>
      <c r="T41" s="1439"/>
      <c r="U41" s="1422">
        <v>0</v>
      </c>
      <c r="V41" s="1439"/>
      <c r="W41" s="1420">
        <v>3.66</v>
      </c>
      <c r="X41" s="1439"/>
      <c r="Y41" s="1420">
        <v>28.7</v>
      </c>
      <c r="Z41" s="1439"/>
      <c r="AA41" s="1420">
        <v>4452376.8099999996</v>
      </c>
      <c r="AB41" s="1455"/>
      <c r="AC41" s="1424">
        <v>3514424.32</v>
      </c>
      <c r="AD41" s="1422">
        <v>3169048</v>
      </c>
      <c r="AE41" s="1422">
        <v>309591</v>
      </c>
      <c r="AF41" s="1422">
        <v>145448</v>
      </c>
      <c r="AG41" s="1420">
        <v>482.61</v>
      </c>
      <c r="AH41" s="1456">
        <v>0</v>
      </c>
      <c r="AI41" s="1428">
        <v>0</v>
      </c>
      <c r="AJ41" s="1422">
        <v>0</v>
      </c>
      <c r="AK41" s="1422">
        <v>0</v>
      </c>
      <c r="AL41" s="1422">
        <v>0</v>
      </c>
      <c r="AM41" s="1422">
        <v>0</v>
      </c>
      <c r="AN41" s="1422">
        <v>0</v>
      </c>
      <c r="AO41" s="1422">
        <v>0</v>
      </c>
      <c r="AP41" s="1422">
        <v>68352</v>
      </c>
      <c r="AQ41" s="1422">
        <v>0</v>
      </c>
      <c r="AR41" s="1422">
        <v>0</v>
      </c>
      <c r="AS41" s="1422">
        <v>0</v>
      </c>
      <c r="AT41" s="1422">
        <v>0</v>
      </c>
      <c r="AU41" s="1422">
        <v>0</v>
      </c>
      <c r="AV41" s="1422">
        <v>0</v>
      </c>
      <c r="AW41" s="1422">
        <v>0</v>
      </c>
      <c r="AX41" s="1422">
        <v>0</v>
      </c>
      <c r="AY41" s="1420">
        <v>3824497.93</v>
      </c>
      <c r="AZ41" s="1422">
        <v>3382848</v>
      </c>
      <c r="BA41" s="1422">
        <v>0</v>
      </c>
      <c r="BB41" s="1422">
        <v>0</v>
      </c>
      <c r="BC41" s="1422">
        <v>21229</v>
      </c>
      <c r="BD41" s="1422">
        <v>20810</v>
      </c>
      <c r="BE41" s="1420">
        <v>16494.5</v>
      </c>
      <c r="BF41" s="1422">
        <v>2400</v>
      </c>
      <c r="BG41" s="1422">
        <v>1780</v>
      </c>
      <c r="BH41" s="1422">
        <v>0</v>
      </c>
      <c r="BI41" s="1422">
        <v>21534</v>
      </c>
      <c r="BJ41" s="1422">
        <v>7876</v>
      </c>
      <c r="BK41" s="1422">
        <v>0</v>
      </c>
      <c r="BL41" s="1422">
        <v>0</v>
      </c>
      <c r="BM41" s="1422">
        <v>144336</v>
      </c>
      <c r="BN41" s="1422">
        <v>149776</v>
      </c>
      <c r="BO41" s="1420">
        <v>2102.71</v>
      </c>
      <c r="BP41" s="1422">
        <v>0</v>
      </c>
      <c r="BQ41" s="1420">
        <v>52430.28</v>
      </c>
      <c r="BR41" s="1420">
        <v>9208.8799999999992</v>
      </c>
      <c r="BS41" s="1420">
        <v>1937.17</v>
      </c>
      <c r="BT41" s="1422">
        <v>1937</v>
      </c>
      <c r="BU41" s="1422">
        <v>0</v>
      </c>
      <c r="BV41" s="1422">
        <v>0</v>
      </c>
      <c r="BW41" s="1422">
        <v>46725</v>
      </c>
      <c r="BX41" s="1422">
        <v>47250</v>
      </c>
      <c r="BY41" s="1422">
        <v>0</v>
      </c>
      <c r="BZ41" s="1422">
        <v>0</v>
      </c>
      <c r="CA41" s="1422">
        <v>0</v>
      </c>
      <c r="CB41" s="1422">
        <v>0</v>
      </c>
      <c r="CC41" s="1420">
        <v>308568.65999999997</v>
      </c>
      <c r="CD41" s="1420">
        <v>239257.88</v>
      </c>
      <c r="CE41" s="1420">
        <v>1687421.43</v>
      </c>
      <c r="CF41" s="1420">
        <v>875088.15</v>
      </c>
      <c r="CG41" s="1422">
        <v>808900</v>
      </c>
      <c r="CH41" s="1422">
        <v>0</v>
      </c>
      <c r="CI41" s="1422">
        <v>0</v>
      </c>
      <c r="CJ41" s="1422">
        <v>0</v>
      </c>
      <c r="CK41" s="1422">
        <v>0</v>
      </c>
      <c r="CL41" s="1422">
        <v>0</v>
      </c>
      <c r="CM41" s="1422">
        <v>0</v>
      </c>
      <c r="CN41" s="1422">
        <v>0</v>
      </c>
      <c r="CO41" s="1422">
        <v>0</v>
      </c>
      <c r="CP41" s="1422">
        <v>0</v>
      </c>
      <c r="CQ41" s="1422">
        <v>0</v>
      </c>
      <c r="CR41" s="1422">
        <v>0</v>
      </c>
      <c r="CS41" s="1422">
        <v>808900</v>
      </c>
      <c r="CT41" s="1422">
        <v>0</v>
      </c>
      <c r="CU41" s="1420">
        <v>6629388.0199999996</v>
      </c>
      <c r="CV41" s="1420">
        <v>4497194.03</v>
      </c>
      <c r="CW41" s="1420">
        <v>2355648.44</v>
      </c>
      <c r="CX41" s="1420">
        <v>1514456.94</v>
      </c>
      <c r="CY41" s="1420">
        <v>327281.42</v>
      </c>
      <c r="CZ41" s="1420">
        <v>282321.06</v>
      </c>
      <c r="DA41" s="1420">
        <v>223388.69</v>
      </c>
      <c r="DB41" s="1420">
        <v>164915.17000000001</v>
      </c>
      <c r="DC41" s="1422">
        <v>0</v>
      </c>
      <c r="DD41" s="1422">
        <v>0</v>
      </c>
      <c r="DE41" s="1420">
        <v>142589.43</v>
      </c>
      <c r="DF41" s="1420">
        <v>215267.46</v>
      </c>
      <c r="DG41" s="1420">
        <v>151737.91</v>
      </c>
      <c r="DH41" s="1420">
        <v>73476.22</v>
      </c>
      <c r="DI41" s="1420">
        <v>3200645.89</v>
      </c>
      <c r="DJ41" s="1420">
        <v>2250436.85</v>
      </c>
      <c r="DK41" s="1420">
        <v>237564.01</v>
      </c>
      <c r="DL41" s="1420">
        <v>215418.93</v>
      </c>
      <c r="DM41" s="1420">
        <v>89746.01</v>
      </c>
      <c r="DN41" s="1420">
        <v>64986.19</v>
      </c>
      <c r="DO41" s="1420">
        <v>406435.04</v>
      </c>
      <c r="DP41" s="1420">
        <v>356070.2</v>
      </c>
      <c r="DQ41" s="1420">
        <v>192630.3</v>
      </c>
      <c r="DR41" s="1420">
        <v>172489.13</v>
      </c>
      <c r="DS41" s="1420">
        <v>13249.9</v>
      </c>
      <c r="DT41" s="1420">
        <v>8106.16</v>
      </c>
      <c r="DU41" s="1420">
        <v>939625.26</v>
      </c>
      <c r="DV41" s="1420">
        <v>817070.61</v>
      </c>
      <c r="DW41" s="1420">
        <v>224302.81</v>
      </c>
      <c r="DX41" s="1420">
        <v>176702.36</v>
      </c>
      <c r="DY41" s="1422">
        <v>225789</v>
      </c>
      <c r="DZ41" s="1420">
        <v>273204.09999999998</v>
      </c>
      <c r="EA41" s="1420">
        <v>269639.84999999998</v>
      </c>
      <c r="EB41" s="1420">
        <v>171765.87</v>
      </c>
      <c r="EC41" s="1420">
        <v>719731.66</v>
      </c>
      <c r="ED41" s="1420">
        <v>621672.32999999996</v>
      </c>
      <c r="EE41" s="1420">
        <v>271241.19</v>
      </c>
      <c r="EF41" s="1420">
        <v>237226.94</v>
      </c>
      <c r="EG41" s="1422">
        <v>0</v>
      </c>
      <c r="EH41" s="1422">
        <v>0</v>
      </c>
      <c r="EI41" s="1422">
        <v>0</v>
      </c>
      <c r="EJ41" s="1422">
        <v>1000</v>
      </c>
      <c r="EK41" s="1422">
        <v>0</v>
      </c>
      <c r="EL41" s="1422">
        <v>0</v>
      </c>
      <c r="EM41" s="1420">
        <v>271241.19</v>
      </c>
      <c r="EN41" s="1420">
        <v>238226.94</v>
      </c>
      <c r="EO41" s="1420">
        <v>1060713.54</v>
      </c>
      <c r="EP41" s="1420">
        <v>0.95</v>
      </c>
      <c r="EQ41" s="1422">
        <v>280595</v>
      </c>
      <c r="ER41" s="1420">
        <v>370306.42</v>
      </c>
      <c r="ES41" s="1420">
        <v>52459.5</v>
      </c>
      <c r="ET41" s="1422">
        <v>0</v>
      </c>
      <c r="EU41" s="1420">
        <v>6525012.04</v>
      </c>
      <c r="EV41" s="1420">
        <v>4297714.0999999996</v>
      </c>
      <c r="EW41" s="1420">
        <v>1183159.98</v>
      </c>
      <c r="EX41" s="1420">
        <v>9934.91</v>
      </c>
      <c r="EY41" s="1422">
        <v>280595</v>
      </c>
      <c r="EZ41" s="1420">
        <v>370306.42</v>
      </c>
      <c r="FA41" s="1420">
        <v>5061257.0599999996</v>
      </c>
      <c r="FB41" s="1420">
        <v>3917472.77</v>
      </c>
      <c r="FC41" s="1420">
        <v>380017.97</v>
      </c>
      <c r="FD41" s="1439"/>
      <c r="FE41" s="1420">
        <v>4681239.09</v>
      </c>
      <c r="FF41" s="1439"/>
      <c r="FG41" s="1422">
        <v>10005</v>
      </c>
      <c r="FH41" s="1439"/>
      <c r="FI41" s="1420">
        <v>37.58</v>
      </c>
      <c r="FJ41" s="1439"/>
      <c r="FK41" s="1422">
        <v>50939</v>
      </c>
      <c r="FL41" s="1439"/>
      <c r="FM41" s="1420">
        <v>40.68</v>
      </c>
      <c r="FN41" s="1439"/>
      <c r="FO41" s="1422">
        <v>53699</v>
      </c>
      <c r="FP41" s="1439"/>
      <c r="FQ41" s="1420">
        <v>1034790.68</v>
      </c>
      <c r="FR41" s="1439"/>
      <c r="FS41" s="1420">
        <v>19427.080000000002</v>
      </c>
      <c r="FT41" s="1439"/>
      <c r="FU41" s="1422">
        <v>0</v>
      </c>
      <c r="FV41" s="1439"/>
      <c r="FW41" s="1420">
        <v>1015363.6</v>
      </c>
      <c r="FX41" s="1439"/>
      <c r="FY41" s="1422">
        <v>0</v>
      </c>
      <c r="FZ41" s="1439"/>
      <c r="GA41" s="1422">
        <v>0</v>
      </c>
      <c r="GB41" s="1439"/>
    </row>
    <row r="42" spans="1:184" ht="12.75" customHeight="1" thickBot="1">
      <c r="A42" s="1418" t="s">
        <v>481</v>
      </c>
      <c r="B42" s="1418" t="s">
        <v>482</v>
      </c>
      <c r="C42" s="1420">
        <v>102.84</v>
      </c>
      <c r="D42" s="1439"/>
      <c r="E42" s="1420">
        <v>521.4</v>
      </c>
      <c r="F42" s="1439"/>
      <c r="G42" s="1421">
        <v>-0.06</v>
      </c>
      <c r="H42" s="1439"/>
      <c r="I42" s="1420">
        <v>550.17999999999995</v>
      </c>
      <c r="J42" s="1439"/>
      <c r="K42" s="1420">
        <v>551.95000000000005</v>
      </c>
      <c r="L42" s="1439"/>
      <c r="M42" s="1422">
        <v>25654954</v>
      </c>
      <c r="N42" s="1439"/>
      <c r="O42" s="1422">
        <v>25</v>
      </c>
      <c r="P42" s="1439"/>
      <c r="Q42" s="1422">
        <v>25</v>
      </c>
      <c r="R42" s="1439"/>
      <c r="S42" s="1422">
        <v>0</v>
      </c>
      <c r="T42" s="1439"/>
      <c r="U42" s="1422">
        <v>0</v>
      </c>
      <c r="V42" s="1439"/>
      <c r="W42" s="1422">
        <v>10</v>
      </c>
      <c r="X42" s="1439"/>
      <c r="Y42" s="1422">
        <v>35</v>
      </c>
      <c r="Z42" s="1439"/>
      <c r="AA42" s="1420">
        <v>2540492.92</v>
      </c>
      <c r="AB42" s="1455"/>
      <c r="AC42" s="1424">
        <v>821193.4</v>
      </c>
      <c r="AD42" s="1422">
        <v>850000</v>
      </c>
      <c r="AE42" s="1420">
        <v>370044.85</v>
      </c>
      <c r="AF42" s="1420">
        <v>121585.08</v>
      </c>
      <c r="AG42" s="1422">
        <v>0</v>
      </c>
      <c r="AH42" s="1456">
        <v>0</v>
      </c>
      <c r="AI42" s="1428">
        <v>2720420</v>
      </c>
      <c r="AJ42" s="1422">
        <v>2750285</v>
      </c>
      <c r="AK42" s="1422">
        <v>23846</v>
      </c>
      <c r="AL42" s="1422">
        <v>20000</v>
      </c>
      <c r="AM42" s="1422">
        <v>0</v>
      </c>
      <c r="AN42" s="1422">
        <v>0</v>
      </c>
      <c r="AO42" s="1422">
        <v>31982</v>
      </c>
      <c r="AP42" s="1422">
        <v>6175</v>
      </c>
      <c r="AQ42" s="1422">
        <v>0</v>
      </c>
      <c r="AR42" s="1422">
        <v>0</v>
      </c>
      <c r="AS42" s="1422">
        <v>0</v>
      </c>
      <c r="AT42" s="1422">
        <v>0</v>
      </c>
      <c r="AU42" s="1422">
        <v>38344</v>
      </c>
      <c r="AV42" s="1422">
        <v>30675</v>
      </c>
      <c r="AW42" s="1422">
        <v>0</v>
      </c>
      <c r="AX42" s="1422">
        <v>0</v>
      </c>
      <c r="AY42" s="1420">
        <v>4005830.25</v>
      </c>
      <c r="AZ42" s="1420">
        <v>3778720.08</v>
      </c>
      <c r="BA42" s="1422">
        <v>0</v>
      </c>
      <c r="BB42" s="1422">
        <v>0</v>
      </c>
      <c r="BC42" s="1422">
        <v>22829</v>
      </c>
      <c r="BD42" s="1422">
        <v>23306</v>
      </c>
      <c r="BE42" s="1420">
        <v>7044.69</v>
      </c>
      <c r="BF42" s="1422">
        <v>2000</v>
      </c>
      <c r="BG42" s="1422">
        <v>250</v>
      </c>
      <c r="BH42" s="1422">
        <v>250</v>
      </c>
      <c r="BI42" s="1422">
        <v>51113</v>
      </c>
      <c r="BJ42" s="1422">
        <v>16207</v>
      </c>
      <c r="BK42" s="1422">
        <v>0</v>
      </c>
      <c r="BL42" s="1422">
        <v>0</v>
      </c>
      <c r="BM42" s="1422">
        <v>96720</v>
      </c>
      <c r="BN42" s="1422">
        <v>105754</v>
      </c>
      <c r="BO42" s="1420">
        <v>2261.12</v>
      </c>
      <c r="BP42" s="1422">
        <v>0</v>
      </c>
      <c r="BQ42" s="1420">
        <v>39812.519999999997</v>
      </c>
      <c r="BR42" s="1420">
        <v>55791.61</v>
      </c>
      <c r="BS42" s="1422">
        <v>0</v>
      </c>
      <c r="BT42" s="1422">
        <v>0</v>
      </c>
      <c r="BU42" s="1422">
        <v>0</v>
      </c>
      <c r="BV42" s="1422">
        <v>0</v>
      </c>
      <c r="BW42" s="1422">
        <v>0</v>
      </c>
      <c r="BX42" s="1422">
        <v>0</v>
      </c>
      <c r="BY42" s="1422">
        <v>0</v>
      </c>
      <c r="BZ42" s="1422">
        <v>0</v>
      </c>
      <c r="CA42" s="1420">
        <v>135037.76000000001</v>
      </c>
      <c r="CB42" s="1422">
        <v>1282365</v>
      </c>
      <c r="CC42" s="1420">
        <v>355068.09</v>
      </c>
      <c r="CD42" s="1420">
        <v>1485673.61</v>
      </c>
      <c r="CE42" s="1420">
        <v>567482.64</v>
      </c>
      <c r="CF42" s="1420">
        <v>597041.18000000005</v>
      </c>
      <c r="CG42" s="1420">
        <v>714127.26</v>
      </c>
      <c r="CH42" s="1422">
        <v>0</v>
      </c>
      <c r="CI42" s="1422">
        <v>0</v>
      </c>
      <c r="CJ42" s="1422">
        <v>0</v>
      </c>
      <c r="CK42" s="1422">
        <v>0</v>
      </c>
      <c r="CL42" s="1422">
        <v>0</v>
      </c>
      <c r="CM42" s="1422">
        <v>0</v>
      </c>
      <c r="CN42" s="1422">
        <v>0</v>
      </c>
      <c r="CO42" s="1422">
        <v>0</v>
      </c>
      <c r="CP42" s="1422">
        <v>0</v>
      </c>
      <c r="CQ42" s="1422">
        <v>0</v>
      </c>
      <c r="CR42" s="1422">
        <v>0</v>
      </c>
      <c r="CS42" s="1420">
        <v>714127.26</v>
      </c>
      <c r="CT42" s="1422">
        <v>0</v>
      </c>
      <c r="CU42" s="1420">
        <v>5642508.2400000002</v>
      </c>
      <c r="CV42" s="1420">
        <v>5861434.8700000001</v>
      </c>
      <c r="CW42" s="1420">
        <v>2211764.84</v>
      </c>
      <c r="CX42" s="1420">
        <v>2058188.14</v>
      </c>
      <c r="CY42" s="1420">
        <v>218223.59</v>
      </c>
      <c r="CZ42" s="1420">
        <v>331484.5</v>
      </c>
      <c r="DA42" s="1420">
        <v>95159.61</v>
      </c>
      <c r="DB42" s="1420">
        <v>100815.02</v>
      </c>
      <c r="DC42" s="1422">
        <v>0</v>
      </c>
      <c r="DD42" s="1422">
        <v>0</v>
      </c>
      <c r="DE42" s="1420">
        <v>65949.27</v>
      </c>
      <c r="DF42" s="1420">
        <v>162232.56</v>
      </c>
      <c r="DG42" s="1420">
        <v>66285.72</v>
      </c>
      <c r="DH42" s="1420">
        <v>40074.53</v>
      </c>
      <c r="DI42" s="1420">
        <v>2657383.0299999998</v>
      </c>
      <c r="DJ42" s="1420">
        <v>2692794.75</v>
      </c>
      <c r="DK42" s="1420">
        <v>247139.39</v>
      </c>
      <c r="DL42" s="1420">
        <v>218878.52</v>
      </c>
      <c r="DM42" s="1420">
        <v>29480.46</v>
      </c>
      <c r="DN42" s="1420">
        <v>43185.61</v>
      </c>
      <c r="DO42" s="1420">
        <v>419119.66</v>
      </c>
      <c r="DP42" s="1420">
        <v>482996.55</v>
      </c>
      <c r="DQ42" s="1420">
        <v>254347.89</v>
      </c>
      <c r="DR42" s="1420">
        <v>164921.37</v>
      </c>
      <c r="DS42" s="1420">
        <v>4013.07</v>
      </c>
      <c r="DT42" s="1420">
        <v>11954.99</v>
      </c>
      <c r="DU42" s="1420">
        <v>954100.47</v>
      </c>
      <c r="DV42" s="1420">
        <v>921937.04</v>
      </c>
      <c r="DW42" s="1420">
        <v>167767.41</v>
      </c>
      <c r="DX42" s="1420">
        <v>225349.54</v>
      </c>
      <c r="DY42" s="1420">
        <v>212202.14</v>
      </c>
      <c r="DZ42" s="1420">
        <v>252879.13</v>
      </c>
      <c r="EA42" s="1420">
        <v>231607.84</v>
      </c>
      <c r="EB42" s="1420">
        <v>223744.79</v>
      </c>
      <c r="EC42" s="1420">
        <v>611577.39</v>
      </c>
      <c r="ED42" s="1420">
        <v>701973.46</v>
      </c>
      <c r="EE42" s="1420">
        <v>232631.2</v>
      </c>
      <c r="EF42" s="1420">
        <v>112665.87</v>
      </c>
      <c r="EG42" s="1422">
        <v>0</v>
      </c>
      <c r="EH42" s="1422">
        <v>0</v>
      </c>
      <c r="EI42" s="1420">
        <v>39.28</v>
      </c>
      <c r="EJ42" s="1422">
        <v>500</v>
      </c>
      <c r="EK42" s="1422">
        <v>0</v>
      </c>
      <c r="EL42" s="1422">
        <v>0</v>
      </c>
      <c r="EM42" s="1420">
        <v>232670.48</v>
      </c>
      <c r="EN42" s="1420">
        <v>113165.87</v>
      </c>
      <c r="EO42" s="1420">
        <v>154856.57</v>
      </c>
      <c r="EP42" s="1422">
        <v>1857519</v>
      </c>
      <c r="EQ42" s="1420">
        <v>64838.92</v>
      </c>
      <c r="ER42" s="1420">
        <v>123022.5</v>
      </c>
      <c r="ES42" s="1422">
        <v>0</v>
      </c>
      <c r="ET42" s="1422">
        <v>0</v>
      </c>
      <c r="EU42" s="1420">
        <v>4675426.8600000003</v>
      </c>
      <c r="EV42" s="1420">
        <v>6410412.6200000001</v>
      </c>
      <c r="EW42" s="1420">
        <v>286148.39</v>
      </c>
      <c r="EX42" s="1422">
        <v>1952449</v>
      </c>
      <c r="EY42" s="1420">
        <v>64838.92</v>
      </c>
      <c r="EZ42" s="1420">
        <v>123022.5</v>
      </c>
      <c r="FA42" s="1420">
        <v>4324439.55</v>
      </c>
      <c r="FB42" s="1420">
        <v>4334941.12</v>
      </c>
      <c r="FC42" s="1420">
        <v>303601.78999999998</v>
      </c>
      <c r="FD42" s="1439"/>
      <c r="FE42" s="1420">
        <v>4020837.76</v>
      </c>
      <c r="FF42" s="1439"/>
      <c r="FG42" s="1422">
        <v>7711</v>
      </c>
      <c r="FH42" s="1439"/>
      <c r="FI42" s="1420">
        <v>34.6</v>
      </c>
      <c r="FJ42" s="1439"/>
      <c r="FK42" s="1422">
        <v>44351</v>
      </c>
      <c r="FL42" s="1439"/>
      <c r="FM42" s="1420">
        <v>38.67</v>
      </c>
      <c r="FN42" s="1439"/>
      <c r="FO42" s="1422">
        <v>46724</v>
      </c>
      <c r="FP42" s="1439"/>
      <c r="FQ42" s="1420">
        <v>932383.13</v>
      </c>
      <c r="FR42" s="1439"/>
      <c r="FS42" s="1420">
        <v>11619.35</v>
      </c>
      <c r="FT42" s="1439"/>
      <c r="FU42" s="1422">
        <v>0</v>
      </c>
      <c r="FV42" s="1439"/>
      <c r="FW42" s="1420">
        <v>920763.78</v>
      </c>
      <c r="FX42" s="1439"/>
      <c r="FY42" s="1420">
        <v>924624.21</v>
      </c>
      <c r="FZ42" s="1439"/>
      <c r="GA42" s="1422">
        <v>0</v>
      </c>
      <c r="GB42" s="1439"/>
    </row>
    <row r="43" spans="1:184" ht="12.75" customHeight="1" thickBot="1">
      <c r="A43" s="1418" t="s">
        <v>483</v>
      </c>
      <c r="B43" s="1418" t="s">
        <v>484</v>
      </c>
      <c r="C43" s="1420">
        <v>467.75</v>
      </c>
      <c r="D43" s="1439"/>
      <c r="E43" s="1420">
        <v>810.84</v>
      </c>
      <c r="F43" s="1439"/>
      <c r="G43" s="1421">
        <v>-0.02</v>
      </c>
      <c r="H43" s="1439"/>
      <c r="I43" s="1420">
        <v>846.77</v>
      </c>
      <c r="J43" s="1439"/>
      <c r="K43" s="1420">
        <v>894.25</v>
      </c>
      <c r="L43" s="1439"/>
      <c r="M43" s="1422">
        <v>53565172</v>
      </c>
      <c r="N43" s="1439"/>
      <c r="O43" s="1422">
        <v>28</v>
      </c>
      <c r="P43" s="1439"/>
      <c r="Q43" s="1422">
        <v>25</v>
      </c>
      <c r="R43" s="1439"/>
      <c r="S43" s="1422">
        <v>3</v>
      </c>
      <c r="T43" s="1439"/>
      <c r="U43" s="1422">
        <v>0</v>
      </c>
      <c r="V43" s="1439"/>
      <c r="W43" s="1420">
        <v>10.1</v>
      </c>
      <c r="X43" s="1439"/>
      <c r="Y43" s="1420">
        <v>38.1</v>
      </c>
      <c r="Z43" s="1439"/>
      <c r="AA43" s="1422">
        <v>4632000</v>
      </c>
      <c r="AB43" s="1455"/>
      <c r="AC43" s="1424">
        <v>1799810.06</v>
      </c>
      <c r="AD43" s="1420">
        <v>2083322.34</v>
      </c>
      <c r="AE43" s="1420">
        <v>467375.76</v>
      </c>
      <c r="AF43" s="1420">
        <v>137153.95000000001</v>
      </c>
      <c r="AG43" s="1422">
        <v>0</v>
      </c>
      <c r="AH43" s="1456">
        <v>0</v>
      </c>
      <c r="AI43" s="1428">
        <v>4137037</v>
      </c>
      <c r="AJ43" s="1422">
        <v>3876691</v>
      </c>
      <c r="AK43" s="1422">
        <v>54026</v>
      </c>
      <c r="AL43" s="1422">
        <v>0</v>
      </c>
      <c r="AM43" s="1422">
        <v>46133</v>
      </c>
      <c r="AN43" s="1422">
        <v>0</v>
      </c>
      <c r="AO43" s="1422">
        <v>0</v>
      </c>
      <c r="AP43" s="1422">
        <v>152617</v>
      </c>
      <c r="AQ43" s="1422">
        <v>0</v>
      </c>
      <c r="AR43" s="1422">
        <v>0</v>
      </c>
      <c r="AS43" s="1422">
        <v>60975</v>
      </c>
      <c r="AT43" s="1422">
        <v>0</v>
      </c>
      <c r="AU43" s="1422">
        <v>11100</v>
      </c>
      <c r="AV43" s="1422">
        <v>8880</v>
      </c>
      <c r="AW43" s="1422">
        <v>0</v>
      </c>
      <c r="AX43" s="1422">
        <v>0</v>
      </c>
      <c r="AY43" s="1420">
        <v>6576456.8200000003</v>
      </c>
      <c r="AZ43" s="1420">
        <v>6258664.29</v>
      </c>
      <c r="BA43" s="1422">
        <v>0</v>
      </c>
      <c r="BB43" s="1422">
        <v>0</v>
      </c>
      <c r="BC43" s="1422">
        <v>36986</v>
      </c>
      <c r="BD43" s="1422">
        <v>35793</v>
      </c>
      <c r="BE43" s="1420">
        <v>30814.06</v>
      </c>
      <c r="BF43" s="1422">
        <v>7800</v>
      </c>
      <c r="BG43" s="1422">
        <v>2500</v>
      </c>
      <c r="BH43" s="1422">
        <v>0</v>
      </c>
      <c r="BI43" s="1422">
        <v>26206</v>
      </c>
      <c r="BJ43" s="1422">
        <v>26404</v>
      </c>
      <c r="BK43" s="1422">
        <v>1172</v>
      </c>
      <c r="BL43" s="1422">
        <v>0</v>
      </c>
      <c r="BM43" s="1422">
        <v>247504</v>
      </c>
      <c r="BN43" s="1422">
        <v>240350</v>
      </c>
      <c r="BO43" s="1420">
        <v>7134.53</v>
      </c>
      <c r="BP43" s="1422">
        <v>0</v>
      </c>
      <c r="BQ43" s="1420">
        <v>22750.32</v>
      </c>
      <c r="BR43" s="1422">
        <v>22000</v>
      </c>
      <c r="BS43" s="1420">
        <v>3042.04</v>
      </c>
      <c r="BT43" s="1422">
        <v>0</v>
      </c>
      <c r="BU43" s="1422">
        <v>0</v>
      </c>
      <c r="BV43" s="1422">
        <v>0</v>
      </c>
      <c r="BW43" s="1422">
        <v>136080</v>
      </c>
      <c r="BX43" s="1422">
        <v>136080</v>
      </c>
      <c r="BY43" s="1422">
        <v>0</v>
      </c>
      <c r="BZ43" s="1422">
        <v>0</v>
      </c>
      <c r="CA43" s="1420">
        <v>78351.11</v>
      </c>
      <c r="CB43" s="1422">
        <v>63657</v>
      </c>
      <c r="CC43" s="1420">
        <v>592540.06000000006</v>
      </c>
      <c r="CD43" s="1422">
        <v>532084</v>
      </c>
      <c r="CE43" s="1420">
        <v>2479054.87</v>
      </c>
      <c r="CF43" s="1420">
        <v>1928623.74</v>
      </c>
      <c r="CG43" s="1420">
        <v>3831.29</v>
      </c>
      <c r="CH43" s="1422">
        <v>32618</v>
      </c>
      <c r="CI43" s="1422">
        <v>0</v>
      </c>
      <c r="CJ43" s="1422">
        <v>0</v>
      </c>
      <c r="CK43" s="1422">
        <v>0</v>
      </c>
      <c r="CL43" s="1422">
        <v>0</v>
      </c>
      <c r="CM43" s="1422">
        <v>0</v>
      </c>
      <c r="CN43" s="1422">
        <v>0</v>
      </c>
      <c r="CO43" s="1422">
        <v>0</v>
      </c>
      <c r="CP43" s="1422">
        <v>0</v>
      </c>
      <c r="CQ43" s="1422">
        <v>0</v>
      </c>
      <c r="CR43" s="1422">
        <v>0</v>
      </c>
      <c r="CS43" s="1420">
        <v>3831.29</v>
      </c>
      <c r="CT43" s="1422">
        <v>32618</v>
      </c>
      <c r="CU43" s="1420">
        <v>9651883.0399999991</v>
      </c>
      <c r="CV43" s="1420">
        <v>8751990.0299999993</v>
      </c>
      <c r="CW43" s="1420">
        <v>3210569.46</v>
      </c>
      <c r="CX43" s="1420">
        <v>3569269.59</v>
      </c>
      <c r="CY43" s="1420">
        <v>409674.1</v>
      </c>
      <c r="CZ43" s="1420">
        <v>440961.7</v>
      </c>
      <c r="DA43" s="1420">
        <v>230231.67999999999</v>
      </c>
      <c r="DB43" s="1420">
        <v>217093.84</v>
      </c>
      <c r="DC43" s="1422">
        <v>0</v>
      </c>
      <c r="DD43" s="1422">
        <v>0</v>
      </c>
      <c r="DE43" s="1420">
        <v>274787.15000000002</v>
      </c>
      <c r="DF43" s="1420">
        <v>275589.63</v>
      </c>
      <c r="DG43" s="1420">
        <v>118337.07</v>
      </c>
      <c r="DH43" s="1422">
        <v>0</v>
      </c>
      <c r="DI43" s="1420">
        <v>4243599.46</v>
      </c>
      <c r="DJ43" s="1420">
        <v>4502914.76</v>
      </c>
      <c r="DK43" s="1420">
        <v>292838.08</v>
      </c>
      <c r="DL43" s="1420">
        <v>227050.09</v>
      </c>
      <c r="DM43" s="1420">
        <v>242785.46</v>
      </c>
      <c r="DN43" s="1420">
        <v>296216.90000000002</v>
      </c>
      <c r="DO43" s="1420">
        <v>923273.27</v>
      </c>
      <c r="DP43" s="1420">
        <v>591893.43999999994</v>
      </c>
      <c r="DQ43" s="1420">
        <v>482482.37</v>
      </c>
      <c r="DR43" s="1420">
        <v>330057.46999999997</v>
      </c>
      <c r="DS43" s="1420">
        <v>7278.8</v>
      </c>
      <c r="DT43" s="1422">
        <v>3250</v>
      </c>
      <c r="DU43" s="1420">
        <v>1948657.98</v>
      </c>
      <c r="DV43" s="1420">
        <v>1448467.9</v>
      </c>
      <c r="DW43" s="1420">
        <v>599652.52</v>
      </c>
      <c r="DX43" s="1420">
        <v>577640.74</v>
      </c>
      <c r="DY43" s="1420">
        <v>541177.1</v>
      </c>
      <c r="DZ43" s="1420">
        <v>506239.36</v>
      </c>
      <c r="EA43" s="1420">
        <v>389167.37</v>
      </c>
      <c r="EB43" s="1420">
        <v>431385.46</v>
      </c>
      <c r="EC43" s="1420">
        <v>1529996.99</v>
      </c>
      <c r="ED43" s="1420">
        <v>1515265.56</v>
      </c>
      <c r="EE43" s="1420">
        <v>499412.99</v>
      </c>
      <c r="EF43" s="1420">
        <v>455607.73</v>
      </c>
      <c r="EG43" s="1422">
        <v>0</v>
      </c>
      <c r="EH43" s="1422">
        <v>0</v>
      </c>
      <c r="EI43" s="1420">
        <v>545022.1</v>
      </c>
      <c r="EJ43" s="1420">
        <v>597167.63</v>
      </c>
      <c r="EK43" s="1422">
        <v>0</v>
      </c>
      <c r="EL43" s="1422">
        <v>0</v>
      </c>
      <c r="EM43" s="1420">
        <v>1044435.09</v>
      </c>
      <c r="EN43" s="1420">
        <v>1052775.3600000001</v>
      </c>
      <c r="EO43" s="1420">
        <v>498849.31</v>
      </c>
      <c r="EP43" s="1420">
        <v>141694.64000000001</v>
      </c>
      <c r="EQ43" s="1420">
        <v>139422.22</v>
      </c>
      <c r="ER43" s="1420">
        <v>156739.13</v>
      </c>
      <c r="ES43" s="1422">
        <v>0</v>
      </c>
      <c r="ET43" s="1422">
        <v>0</v>
      </c>
      <c r="EU43" s="1420">
        <v>9404961.0500000007</v>
      </c>
      <c r="EV43" s="1420">
        <v>8817857.3499999996</v>
      </c>
      <c r="EW43" s="1420">
        <v>860318.51</v>
      </c>
      <c r="EX43" s="1420">
        <v>238148.54</v>
      </c>
      <c r="EY43" s="1420">
        <v>139422.22</v>
      </c>
      <c r="EZ43" s="1420">
        <v>156739.13</v>
      </c>
      <c r="FA43" s="1420">
        <v>8405220.3200000003</v>
      </c>
      <c r="FB43" s="1420">
        <v>8422969.6799999997</v>
      </c>
      <c r="FC43" s="1420">
        <v>877603.74</v>
      </c>
      <c r="FD43" s="1439"/>
      <c r="FE43" s="1420">
        <v>7527616.5800000001</v>
      </c>
      <c r="FF43" s="1439"/>
      <c r="FG43" s="1422">
        <v>9283</v>
      </c>
      <c r="FH43" s="1439"/>
      <c r="FI43" s="1420">
        <v>65.47</v>
      </c>
      <c r="FJ43" s="1439"/>
      <c r="FK43" s="1422">
        <v>40820</v>
      </c>
      <c r="FL43" s="1439"/>
      <c r="FM43" s="1420">
        <v>70.260000000000005</v>
      </c>
      <c r="FN43" s="1439"/>
      <c r="FO43" s="1422">
        <v>43818</v>
      </c>
      <c r="FP43" s="1439"/>
      <c r="FQ43" s="1420">
        <v>1804447.11</v>
      </c>
      <c r="FR43" s="1439"/>
      <c r="FS43" s="1420">
        <v>51839.49</v>
      </c>
      <c r="FT43" s="1439"/>
      <c r="FU43" s="1422">
        <v>0</v>
      </c>
      <c r="FV43" s="1439"/>
      <c r="FW43" s="1420">
        <v>1752607.62</v>
      </c>
      <c r="FX43" s="1439"/>
      <c r="FY43" s="1422">
        <v>0</v>
      </c>
      <c r="FZ43" s="1439"/>
      <c r="GA43" s="1422">
        <v>0</v>
      </c>
      <c r="GB43" s="1439"/>
    </row>
    <row r="44" spans="1:184" ht="12.75" customHeight="1" thickBot="1">
      <c r="A44" s="1418" t="s">
        <v>485</v>
      </c>
      <c r="B44" s="1418" t="s">
        <v>486</v>
      </c>
      <c r="C44" s="1420">
        <v>380.27</v>
      </c>
      <c r="D44" s="1439"/>
      <c r="E44" s="1420">
        <v>2599.9699999999998</v>
      </c>
      <c r="F44" s="1439"/>
      <c r="G44" s="1421">
        <v>-0.13</v>
      </c>
      <c r="H44" s="1439"/>
      <c r="I44" s="1420">
        <v>2758.03</v>
      </c>
      <c r="J44" s="1439"/>
      <c r="K44" s="1420">
        <v>2857.8</v>
      </c>
      <c r="L44" s="1439"/>
      <c r="M44" s="1422">
        <v>245726881</v>
      </c>
      <c r="N44" s="1439"/>
      <c r="O44" s="1422">
        <v>25</v>
      </c>
      <c r="P44" s="1439"/>
      <c r="Q44" s="1422">
        <v>25</v>
      </c>
      <c r="R44" s="1439"/>
      <c r="S44" s="1422">
        <v>0</v>
      </c>
      <c r="T44" s="1439"/>
      <c r="U44" s="1422">
        <v>0</v>
      </c>
      <c r="V44" s="1439"/>
      <c r="W44" s="1420">
        <v>4.5999999999999996</v>
      </c>
      <c r="X44" s="1439"/>
      <c r="Y44" s="1420">
        <v>29.6</v>
      </c>
      <c r="Z44" s="1439"/>
      <c r="AA44" s="1422">
        <v>9805000</v>
      </c>
      <c r="AB44" s="1455"/>
      <c r="AC44" s="1424">
        <v>6805219.5899999999</v>
      </c>
      <c r="AD44" s="1422">
        <v>6195309</v>
      </c>
      <c r="AE44" s="1420">
        <v>866415.2</v>
      </c>
      <c r="AF44" s="1420">
        <v>558235.43999999994</v>
      </c>
      <c r="AG44" s="1420">
        <v>538260.89</v>
      </c>
      <c r="AH44" s="1456">
        <v>350000</v>
      </c>
      <c r="AI44" s="1428">
        <v>11041299</v>
      </c>
      <c r="AJ44" s="1422">
        <v>10622157</v>
      </c>
      <c r="AK44" s="1422">
        <v>170916</v>
      </c>
      <c r="AL44" s="1422">
        <v>0</v>
      </c>
      <c r="AM44" s="1422">
        <v>0</v>
      </c>
      <c r="AN44" s="1422">
        <v>0</v>
      </c>
      <c r="AO44" s="1422">
        <v>172619</v>
      </c>
      <c r="AP44" s="1422">
        <v>246712</v>
      </c>
      <c r="AQ44" s="1422">
        <v>0</v>
      </c>
      <c r="AR44" s="1422">
        <v>0</v>
      </c>
      <c r="AS44" s="1422">
        <v>8804</v>
      </c>
      <c r="AT44" s="1422">
        <v>8804</v>
      </c>
      <c r="AU44" s="1422">
        <v>0</v>
      </c>
      <c r="AV44" s="1422">
        <v>0</v>
      </c>
      <c r="AW44" s="1422">
        <v>0</v>
      </c>
      <c r="AX44" s="1422">
        <v>0</v>
      </c>
      <c r="AY44" s="1420">
        <v>19603533.68</v>
      </c>
      <c r="AZ44" s="1420">
        <v>17981217.440000001</v>
      </c>
      <c r="BA44" s="1420">
        <v>233623.91</v>
      </c>
      <c r="BB44" s="1422">
        <v>0</v>
      </c>
      <c r="BC44" s="1422">
        <v>118199</v>
      </c>
      <c r="BD44" s="1422">
        <v>117710</v>
      </c>
      <c r="BE44" s="1422">
        <v>7400</v>
      </c>
      <c r="BF44" s="1422">
        <v>18200</v>
      </c>
      <c r="BG44" s="1422">
        <v>3400</v>
      </c>
      <c r="BH44" s="1422">
        <v>0</v>
      </c>
      <c r="BI44" s="1422">
        <v>158538</v>
      </c>
      <c r="BJ44" s="1422">
        <v>136702</v>
      </c>
      <c r="BK44" s="1422">
        <v>10255</v>
      </c>
      <c r="BL44" s="1422">
        <v>9000</v>
      </c>
      <c r="BM44" s="1422">
        <v>948848</v>
      </c>
      <c r="BN44" s="1422">
        <v>961400</v>
      </c>
      <c r="BO44" s="1420">
        <v>54022.84</v>
      </c>
      <c r="BP44" s="1422">
        <v>0</v>
      </c>
      <c r="BQ44" s="1420">
        <v>101293.41</v>
      </c>
      <c r="BR44" s="1422">
        <v>100000</v>
      </c>
      <c r="BS44" s="1420">
        <v>10445.68</v>
      </c>
      <c r="BT44" s="1422">
        <v>7500</v>
      </c>
      <c r="BU44" s="1422">
        <v>0</v>
      </c>
      <c r="BV44" s="1422">
        <v>0</v>
      </c>
      <c r="BW44" s="1420">
        <v>583576.9</v>
      </c>
      <c r="BX44" s="1422">
        <v>583200</v>
      </c>
      <c r="BY44" s="1422">
        <v>0</v>
      </c>
      <c r="BZ44" s="1422">
        <v>0</v>
      </c>
      <c r="CA44" s="1420">
        <v>751603.29</v>
      </c>
      <c r="CB44" s="1422">
        <v>1178807</v>
      </c>
      <c r="CC44" s="1420">
        <v>2981206.03</v>
      </c>
      <c r="CD44" s="1422">
        <v>3112519</v>
      </c>
      <c r="CE44" s="1420">
        <v>6218935.9100000001</v>
      </c>
      <c r="CF44" s="1420">
        <v>4447053.25</v>
      </c>
      <c r="CG44" s="1420">
        <v>1021419.05</v>
      </c>
      <c r="CH44" s="1422">
        <v>0</v>
      </c>
      <c r="CI44" s="1422">
        <v>0</v>
      </c>
      <c r="CJ44" s="1422">
        <v>0</v>
      </c>
      <c r="CK44" s="1420">
        <v>145651.67000000001</v>
      </c>
      <c r="CL44" s="1422">
        <v>0</v>
      </c>
      <c r="CM44" s="1420">
        <v>30667.33</v>
      </c>
      <c r="CN44" s="1422">
        <v>13950</v>
      </c>
      <c r="CO44" s="1420">
        <v>9673.94</v>
      </c>
      <c r="CP44" s="1422">
        <v>0</v>
      </c>
      <c r="CQ44" s="1422">
        <v>0</v>
      </c>
      <c r="CR44" s="1422">
        <v>0</v>
      </c>
      <c r="CS44" s="1420">
        <v>1207411.99</v>
      </c>
      <c r="CT44" s="1422">
        <v>13950</v>
      </c>
      <c r="CU44" s="1420">
        <v>30011087.609999999</v>
      </c>
      <c r="CV44" s="1420">
        <v>25554739.690000001</v>
      </c>
      <c r="CW44" s="1420">
        <v>10038374.109999999</v>
      </c>
      <c r="CX44" s="1422">
        <v>9604908</v>
      </c>
      <c r="CY44" s="1420">
        <v>1503346.14</v>
      </c>
      <c r="CZ44" s="1420">
        <v>1537325.04</v>
      </c>
      <c r="DA44" s="1420">
        <v>839888.2</v>
      </c>
      <c r="DB44" s="1420">
        <v>895567.75</v>
      </c>
      <c r="DC44" s="1420">
        <v>294153.49</v>
      </c>
      <c r="DD44" s="1422">
        <v>0</v>
      </c>
      <c r="DE44" s="1420">
        <v>1887631.27</v>
      </c>
      <c r="DF44" s="1420">
        <v>1773151.71</v>
      </c>
      <c r="DG44" s="1420">
        <v>511600.39</v>
      </c>
      <c r="DH44" s="1420">
        <v>547515.81000000006</v>
      </c>
      <c r="DI44" s="1420">
        <v>15074993.6</v>
      </c>
      <c r="DJ44" s="1420">
        <v>14358468.310000001</v>
      </c>
      <c r="DK44" s="1420">
        <v>445195.11</v>
      </c>
      <c r="DL44" s="1420">
        <v>471811.15</v>
      </c>
      <c r="DM44" s="1420">
        <v>595121.31999999995</v>
      </c>
      <c r="DN44" s="1420">
        <v>653631.18999999994</v>
      </c>
      <c r="DO44" s="1420">
        <v>2325506.79</v>
      </c>
      <c r="DP44" s="1420">
        <v>3654918.04</v>
      </c>
      <c r="DQ44" s="1420">
        <v>1073198.78</v>
      </c>
      <c r="DR44" s="1422">
        <v>1327613</v>
      </c>
      <c r="DS44" s="1420">
        <v>177872.33</v>
      </c>
      <c r="DT44" s="1420">
        <v>146319.51999999999</v>
      </c>
      <c r="DU44" s="1420">
        <v>4616894.33</v>
      </c>
      <c r="DV44" s="1420">
        <v>6254292.9000000004</v>
      </c>
      <c r="DW44" s="1420">
        <v>1001297.92</v>
      </c>
      <c r="DX44" s="1420">
        <v>949131.09</v>
      </c>
      <c r="DY44" s="1420">
        <v>1300600.2</v>
      </c>
      <c r="DZ44" s="1420">
        <v>1848149.7</v>
      </c>
      <c r="EA44" s="1420">
        <v>1534419.91</v>
      </c>
      <c r="EB44" s="1420">
        <v>1486911.2</v>
      </c>
      <c r="EC44" s="1420">
        <v>3836318.03</v>
      </c>
      <c r="ED44" s="1420">
        <v>4284191.99</v>
      </c>
      <c r="EE44" s="1420">
        <v>1454090.67</v>
      </c>
      <c r="EF44" s="1422">
        <v>1501068</v>
      </c>
      <c r="EG44" s="1422">
        <v>0</v>
      </c>
      <c r="EH44" s="1422">
        <v>0</v>
      </c>
      <c r="EI44" s="1422">
        <v>0</v>
      </c>
      <c r="EJ44" s="1422">
        <v>1500</v>
      </c>
      <c r="EK44" s="1422">
        <v>0</v>
      </c>
      <c r="EL44" s="1422">
        <v>0</v>
      </c>
      <c r="EM44" s="1420">
        <v>1454090.67</v>
      </c>
      <c r="EN44" s="1422">
        <v>1502568</v>
      </c>
      <c r="EO44" s="1420">
        <v>3265348.73</v>
      </c>
      <c r="EP44" s="1420">
        <v>1446575.16</v>
      </c>
      <c r="EQ44" s="1420">
        <v>229809.63</v>
      </c>
      <c r="ER44" s="1420">
        <v>425018.76</v>
      </c>
      <c r="ES44" s="1422">
        <v>0</v>
      </c>
      <c r="ET44" s="1420">
        <v>29884.55</v>
      </c>
      <c r="EU44" s="1420">
        <v>28477454.989999998</v>
      </c>
      <c r="EV44" s="1420">
        <v>28300999.670000002</v>
      </c>
      <c r="EW44" s="1420">
        <v>3667809.9</v>
      </c>
      <c r="EX44" s="1420">
        <v>2102665.0299999998</v>
      </c>
      <c r="EY44" s="1420">
        <v>229809.63</v>
      </c>
      <c r="EZ44" s="1420">
        <v>425018.76</v>
      </c>
      <c r="FA44" s="1420">
        <v>24579835.460000001</v>
      </c>
      <c r="FB44" s="1420">
        <v>25773315.879999999</v>
      </c>
      <c r="FC44" s="1420">
        <v>1486044.4</v>
      </c>
      <c r="FD44" s="1439"/>
      <c r="FE44" s="1420">
        <v>23093791.059999999</v>
      </c>
      <c r="FF44" s="1439"/>
      <c r="FG44" s="1422">
        <v>8882</v>
      </c>
      <c r="FH44" s="1439"/>
      <c r="FI44" s="1420">
        <v>198.77</v>
      </c>
      <c r="FJ44" s="1439"/>
      <c r="FK44" s="1422">
        <v>44130</v>
      </c>
      <c r="FL44" s="1439"/>
      <c r="FM44" s="1422">
        <v>219</v>
      </c>
      <c r="FN44" s="1439"/>
      <c r="FO44" s="1422">
        <v>46830</v>
      </c>
      <c r="FP44" s="1439"/>
      <c r="FQ44" s="1420">
        <v>3684474.8</v>
      </c>
      <c r="FR44" s="1439"/>
      <c r="FS44" s="1420">
        <v>104841.97</v>
      </c>
      <c r="FT44" s="1439"/>
      <c r="FU44" s="1422">
        <v>0</v>
      </c>
      <c r="FV44" s="1439"/>
      <c r="FW44" s="1420">
        <v>3579632.83</v>
      </c>
      <c r="FX44" s="1439"/>
      <c r="FY44" s="1420">
        <v>4506611.1399999997</v>
      </c>
      <c r="FZ44" s="1439"/>
      <c r="GA44" s="1422">
        <v>0</v>
      </c>
      <c r="GB44" s="1439"/>
    </row>
    <row r="45" spans="1:184" ht="12.75" customHeight="1" thickBot="1">
      <c r="A45" s="1418" t="s">
        <v>487</v>
      </c>
      <c r="B45" s="1418" t="s">
        <v>488</v>
      </c>
      <c r="C45" s="1420">
        <v>291.64999999999998</v>
      </c>
      <c r="D45" s="1439"/>
      <c r="E45" s="1420">
        <v>575.98</v>
      </c>
      <c r="F45" s="1439"/>
      <c r="G45" s="1421">
        <v>-0.1</v>
      </c>
      <c r="H45" s="1439"/>
      <c r="I45" s="1420">
        <v>613.47</v>
      </c>
      <c r="J45" s="1439"/>
      <c r="K45" s="1420">
        <v>622.33000000000004</v>
      </c>
      <c r="L45" s="1439"/>
      <c r="M45" s="1422">
        <v>69247514</v>
      </c>
      <c r="N45" s="1439"/>
      <c r="O45" s="1420">
        <v>29.9</v>
      </c>
      <c r="P45" s="1439"/>
      <c r="Q45" s="1422">
        <v>25</v>
      </c>
      <c r="R45" s="1439"/>
      <c r="S45" s="1420">
        <v>4.9000000000000004</v>
      </c>
      <c r="T45" s="1439"/>
      <c r="U45" s="1422">
        <v>0</v>
      </c>
      <c r="V45" s="1439"/>
      <c r="W45" s="1420">
        <v>7.5</v>
      </c>
      <c r="X45" s="1439"/>
      <c r="Y45" s="1420">
        <v>37.4</v>
      </c>
      <c r="Z45" s="1439"/>
      <c r="AA45" s="1422">
        <v>6160596</v>
      </c>
      <c r="AB45" s="1455"/>
      <c r="AC45" s="1424">
        <v>2328121.5699999998</v>
      </c>
      <c r="AD45" s="1422">
        <v>2121000</v>
      </c>
      <c r="AE45" s="1420">
        <v>386476.72</v>
      </c>
      <c r="AF45" s="1420">
        <v>329986.63</v>
      </c>
      <c r="AG45" s="1420">
        <v>116868.14</v>
      </c>
      <c r="AH45" s="1456">
        <v>110000</v>
      </c>
      <c r="AI45" s="1428">
        <v>2158864</v>
      </c>
      <c r="AJ45" s="1422">
        <v>2004970</v>
      </c>
      <c r="AK45" s="1422">
        <v>44176</v>
      </c>
      <c r="AL45" s="1422">
        <v>0</v>
      </c>
      <c r="AM45" s="1422">
        <v>0</v>
      </c>
      <c r="AN45" s="1422">
        <v>70000</v>
      </c>
      <c r="AO45" s="1422">
        <v>0</v>
      </c>
      <c r="AP45" s="1422">
        <v>0</v>
      </c>
      <c r="AQ45" s="1422">
        <v>0</v>
      </c>
      <c r="AR45" s="1422">
        <v>0</v>
      </c>
      <c r="AS45" s="1422">
        <v>294309</v>
      </c>
      <c r="AT45" s="1422">
        <v>295000</v>
      </c>
      <c r="AU45" s="1422">
        <v>6320</v>
      </c>
      <c r="AV45" s="1422">
        <v>0</v>
      </c>
      <c r="AW45" s="1422">
        <v>0</v>
      </c>
      <c r="AX45" s="1422">
        <v>0</v>
      </c>
      <c r="AY45" s="1420">
        <v>5335135.43</v>
      </c>
      <c r="AZ45" s="1420">
        <v>4930956.63</v>
      </c>
      <c r="BA45" s="1422">
        <v>0</v>
      </c>
      <c r="BB45" s="1422">
        <v>0</v>
      </c>
      <c r="BC45" s="1422">
        <v>25740</v>
      </c>
      <c r="BD45" s="1422">
        <v>26016</v>
      </c>
      <c r="BE45" s="1420">
        <v>387594.85</v>
      </c>
      <c r="BF45" s="1422">
        <v>393200</v>
      </c>
      <c r="BG45" s="1422">
        <v>200</v>
      </c>
      <c r="BH45" s="1422">
        <v>0</v>
      </c>
      <c r="BI45" s="1422">
        <v>9711</v>
      </c>
      <c r="BJ45" s="1422">
        <v>5306</v>
      </c>
      <c r="BK45" s="1422">
        <v>0</v>
      </c>
      <c r="BL45" s="1422">
        <v>0</v>
      </c>
      <c r="BM45" s="1422">
        <v>137888</v>
      </c>
      <c r="BN45" s="1422">
        <v>135102</v>
      </c>
      <c r="BO45" s="1420">
        <v>2549.4899999999998</v>
      </c>
      <c r="BP45" s="1420">
        <v>18551.41</v>
      </c>
      <c r="BQ45" s="1420">
        <v>9244.25</v>
      </c>
      <c r="BR45" s="1420">
        <v>30068.25</v>
      </c>
      <c r="BS45" s="1420">
        <v>2216.48</v>
      </c>
      <c r="BT45" s="1422">
        <v>2000</v>
      </c>
      <c r="BU45" s="1422">
        <v>0</v>
      </c>
      <c r="BV45" s="1422">
        <v>0</v>
      </c>
      <c r="BW45" s="1422">
        <v>0</v>
      </c>
      <c r="BX45" s="1422">
        <v>0</v>
      </c>
      <c r="BY45" s="1422">
        <v>0</v>
      </c>
      <c r="BZ45" s="1422">
        <v>0</v>
      </c>
      <c r="CA45" s="1420">
        <v>493815.21</v>
      </c>
      <c r="CB45" s="1422">
        <v>5013</v>
      </c>
      <c r="CC45" s="1420">
        <v>1068959.28</v>
      </c>
      <c r="CD45" s="1420">
        <v>615256.66</v>
      </c>
      <c r="CE45" s="1420">
        <v>788018.31</v>
      </c>
      <c r="CF45" s="1420">
        <v>755340.24</v>
      </c>
      <c r="CG45" s="1420">
        <v>983677.2</v>
      </c>
      <c r="CH45" s="1422">
        <v>0</v>
      </c>
      <c r="CI45" s="1422">
        <v>0</v>
      </c>
      <c r="CJ45" s="1422">
        <v>0</v>
      </c>
      <c r="CK45" s="1422">
        <v>0</v>
      </c>
      <c r="CL45" s="1422">
        <v>0</v>
      </c>
      <c r="CM45" s="1422">
        <v>0</v>
      </c>
      <c r="CN45" s="1422">
        <v>0</v>
      </c>
      <c r="CO45" s="1422">
        <v>0</v>
      </c>
      <c r="CP45" s="1422">
        <v>0</v>
      </c>
      <c r="CQ45" s="1422">
        <v>0</v>
      </c>
      <c r="CR45" s="1422">
        <v>0</v>
      </c>
      <c r="CS45" s="1420">
        <v>983677.2</v>
      </c>
      <c r="CT45" s="1422">
        <v>0</v>
      </c>
      <c r="CU45" s="1420">
        <v>8175790.2199999997</v>
      </c>
      <c r="CV45" s="1420">
        <v>6301553.5300000003</v>
      </c>
      <c r="CW45" s="1420">
        <v>2308739.46</v>
      </c>
      <c r="CX45" s="1420">
        <v>2284590.46</v>
      </c>
      <c r="CY45" s="1420">
        <v>348521.57</v>
      </c>
      <c r="CZ45" s="1420">
        <v>395151.37</v>
      </c>
      <c r="DA45" s="1420">
        <v>380308.93</v>
      </c>
      <c r="DB45" s="1420">
        <v>395619.82</v>
      </c>
      <c r="DC45" s="1422">
        <v>0</v>
      </c>
      <c r="DD45" s="1422">
        <v>0</v>
      </c>
      <c r="DE45" s="1420">
        <v>151103.92000000001</v>
      </c>
      <c r="DF45" s="1420">
        <v>123113.26</v>
      </c>
      <c r="DG45" s="1420">
        <v>230856.43</v>
      </c>
      <c r="DH45" s="1420">
        <v>222629.59</v>
      </c>
      <c r="DI45" s="1420">
        <v>3419530.31</v>
      </c>
      <c r="DJ45" s="1420">
        <v>3421104.5</v>
      </c>
      <c r="DK45" s="1420">
        <v>130989.58</v>
      </c>
      <c r="DL45" s="1420">
        <v>141359.32999999999</v>
      </c>
      <c r="DM45" s="1420">
        <v>125870.29</v>
      </c>
      <c r="DN45" s="1420">
        <v>148551.41</v>
      </c>
      <c r="DO45" s="1420">
        <v>543501.23</v>
      </c>
      <c r="DP45" s="1420">
        <v>949956.18</v>
      </c>
      <c r="DQ45" s="1420">
        <v>225876.75</v>
      </c>
      <c r="DR45" s="1420">
        <v>502006.09</v>
      </c>
      <c r="DS45" s="1420">
        <v>26207.99</v>
      </c>
      <c r="DT45" s="1420">
        <v>46790.79</v>
      </c>
      <c r="DU45" s="1420">
        <v>1052445.8400000001</v>
      </c>
      <c r="DV45" s="1420">
        <v>1788663.8</v>
      </c>
      <c r="DW45" s="1420">
        <v>217461.45</v>
      </c>
      <c r="DX45" s="1420">
        <v>239031.09</v>
      </c>
      <c r="DY45" s="1420">
        <v>436627.8</v>
      </c>
      <c r="DZ45" s="1420">
        <v>462246.36</v>
      </c>
      <c r="EA45" s="1420">
        <v>436732.29</v>
      </c>
      <c r="EB45" s="1420">
        <v>442106.89</v>
      </c>
      <c r="EC45" s="1420">
        <v>1090821.54</v>
      </c>
      <c r="ED45" s="1420">
        <v>1143384.3400000001</v>
      </c>
      <c r="EE45" s="1420">
        <v>310120.3</v>
      </c>
      <c r="EF45" s="1422">
        <v>317295</v>
      </c>
      <c r="EG45" s="1422">
        <v>0</v>
      </c>
      <c r="EH45" s="1422">
        <v>0</v>
      </c>
      <c r="EI45" s="1420">
        <v>4044.08</v>
      </c>
      <c r="EJ45" s="1422">
        <v>1500</v>
      </c>
      <c r="EK45" s="1422">
        <v>0</v>
      </c>
      <c r="EL45" s="1422">
        <v>0</v>
      </c>
      <c r="EM45" s="1420">
        <v>314164.38</v>
      </c>
      <c r="EN45" s="1422">
        <v>318795</v>
      </c>
      <c r="EO45" s="1420">
        <v>1841511.29</v>
      </c>
      <c r="EP45" s="1420">
        <v>746988.54</v>
      </c>
      <c r="EQ45" s="1422">
        <v>357543</v>
      </c>
      <c r="ER45" s="1420">
        <v>614473.5</v>
      </c>
      <c r="ES45" s="1422">
        <v>0</v>
      </c>
      <c r="ET45" s="1422">
        <v>0</v>
      </c>
      <c r="EU45" s="1420">
        <v>8076016.3600000003</v>
      </c>
      <c r="EV45" s="1420">
        <v>8033409.6799999997</v>
      </c>
      <c r="EW45" s="1420">
        <v>1885222.43</v>
      </c>
      <c r="EX45" s="1420">
        <v>1053808.3799999999</v>
      </c>
      <c r="EY45" s="1422">
        <v>357543</v>
      </c>
      <c r="EZ45" s="1420">
        <v>614473.5</v>
      </c>
      <c r="FA45" s="1420">
        <v>5833250.9299999997</v>
      </c>
      <c r="FB45" s="1420">
        <v>6365127.7999999998</v>
      </c>
      <c r="FC45" s="1420">
        <v>305675.01</v>
      </c>
      <c r="FD45" s="1439"/>
      <c r="FE45" s="1420">
        <v>5527575.9199999999</v>
      </c>
      <c r="FF45" s="1439"/>
      <c r="FG45" s="1422">
        <v>9596</v>
      </c>
      <c r="FH45" s="1439"/>
      <c r="FI45" s="1420">
        <v>55.84</v>
      </c>
      <c r="FJ45" s="1439"/>
      <c r="FK45" s="1422">
        <v>40756</v>
      </c>
      <c r="FL45" s="1439"/>
      <c r="FM45" s="1420">
        <v>61.5</v>
      </c>
      <c r="FN45" s="1439"/>
      <c r="FO45" s="1422">
        <v>43540</v>
      </c>
      <c r="FP45" s="1439"/>
      <c r="FQ45" s="1420">
        <v>3547196.18</v>
      </c>
      <c r="FR45" s="1439"/>
      <c r="FS45" s="1420">
        <v>46034.85</v>
      </c>
      <c r="FT45" s="1439"/>
      <c r="FU45" s="1420">
        <v>225437.84</v>
      </c>
      <c r="FV45" s="1439"/>
      <c r="FW45" s="1420">
        <v>3275723.49</v>
      </c>
      <c r="FX45" s="1439"/>
      <c r="FY45" s="1420">
        <v>949266.43</v>
      </c>
      <c r="FZ45" s="1439"/>
      <c r="GA45" s="1422">
        <v>0</v>
      </c>
      <c r="GB45" s="1439"/>
    </row>
    <row r="46" spans="1:184" ht="12.75" customHeight="1" thickBot="1">
      <c r="A46" s="1418" t="s">
        <v>489</v>
      </c>
      <c r="B46" s="1418" t="s">
        <v>490</v>
      </c>
      <c r="C46" s="1420">
        <v>106.57</v>
      </c>
      <c r="D46" s="1439"/>
      <c r="E46" s="1420">
        <v>462.99</v>
      </c>
      <c r="F46" s="1439"/>
      <c r="G46" s="1421">
        <v>0.08</v>
      </c>
      <c r="H46" s="1439"/>
      <c r="I46" s="1420">
        <v>490.49</v>
      </c>
      <c r="J46" s="1439"/>
      <c r="K46" s="1420">
        <v>495.63</v>
      </c>
      <c r="L46" s="1439"/>
      <c r="M46" s="1422">
        <v>139456568</v>
      </c>
      <c r="N46" s="1439"/>
      <c r="O46" s="1420">
        <v>26.6</v>
      </c>
      <c r="P46" s="1439"/>
      <c r="Q46" s="1422">
        <v>25</v>
      </c>
      <c r="R46" s="1439"/>
      <c r="S46" s="1420">
        <v>1.6</v>
      </c>
      <c r="T46" s="1439"/>
      <c r="U46" s="1422">
        <v>0</v>
      </c>
      <c r="V46" s="1439"/>
      <c r="W46" s="1420">
        <v>11.7</v>
      </c>
      <c r="X46" s="1439"/>
      <c r="Y46" s="1420">
        <v>38.299999999999997</v>
      </c>
      <c r="Z46" s="1439"/>
      <c r="AA46" s="1422">
        <v>2103897</v>
      </c>
      <c r="AB46" s="1455"/>
      <c r="AC46" s="1424">
        <v>4565124.95</v>
      </c>
      <c r="AD46" s="1422">
        <v>4119035</v>
      </c>
      <c r="AE46" s="1420">
        <v>212749.11</v>
      </c>
      <c r="AF46" s="1422">
        <v>99050</v>
      </c>
      <c r="AG46" s="1420">
        <v>52913.89</v>
      </c>
      <c r="AH46" s="1456">
        <v>700</v>
      </c>
      <c r="AI46" s="1428">
        <v>236256</v>
      </c>
      <c r="AJ46" s="1422">
        <v>0</v>
      </c>
      <c r="AK46" s="1422">
        <v>62488</v>
      </c>
      <c r="AL46" s="1422">
        <v>0</v>
      </c>
      <c r="AM46" s="1422">
        <v>0</v>
      </c>
      <c r="AN46" s="1422">
        <v>0</v>
      </c>
      <c r="AO46" s="1422">
        <v>22104</v>
      </c>
      <c r="AP46" s="1422">
        <v>14961</v>
      </c>
      <c r="AQ46" s="1422">
        <v>0</v>
      </c>
      <c r="AR46" s="1422">
        <v>0</v>
      </c>
      <c r="AS46" s="1422">
        <v>0</v>
      </c>
      <c r="AT46" s="1422">
        <v>0</v>
      </c>
      <c r="AU46" s="1422">
        <v>31398</v>
      </c>
      <c r="AV46" s="1422">
        <v>25118</v>
      </c>
      <c r="AW46" s="1422">
        <v>0</v>
      </c>
      <c r="AX46" s="1422">
        <v>0</v>
      </c>
      <c r="AY46" s="1420">
        <v>5183033.95</v>
      </c>
      <c r="AZ46" s="1422">
        <v>4258864</v>
      </c>
      <c r="BA46" s="1422">
        <v>0</v>
      </c>
      <c r="BB46" s="1422">
        <v>0</v>
      </c>
      <c r="BC46" s="1422">
        <v>20499</v>
      </c>
      <c r="BD46" s="1422">
        <v>20798</v>
      </c>
      <c r="BE46" s="1422">
        <v>3800</v>
      </c>
      <c r="BF46" s="1422">
        <v>2600</v>
      </c>
      <c r="BG46" s="1422">
        <v>100</v>
      </c>
      <c r="BH46" s="1422">
        <v>0</v>
      </c>
      <c r="BI46" s="1422">
        <v>27628</v>
      </c>
      <c r="BJ46" s="1422">
        <v>30134</v>
      </c>
      <c r="BK46" s="1422">
        <v>586</v>
      </c>
      <c r="BL46" s="1422">
        <v>598</v>
      </c>
      <c r="BM46" s="1422">
        <v>160704</v>
      </c>
      <c r="BN46" s="1422">
        <v>154330</v>
      </c>
      <c r="BO46" s="1420">
        <v>2030.41</v>
      </c>
      <c r="BP46" s="1422">
        <v>0</v>
      </c>
      <c r="BQ46" s="1420">
        <v>2978.97</v>
      </c>
      <c r="BR46" s="1422">
        <v>2979</v>
      </c>
      <c r="BS46" s="1420">
        <v>1923.93</v>
      </c>
      <c r="BT46" s="1422">
        <v>2000</v>
      </c>
      <c r="BU46" s="1422">
        <v>0</v>
      </c>
      <c r="BV46" s="1422">
        <v>0</v>
      </c>
      <c r="BW46" s="1422">
        <v>97200</v>
      </c>
      <c r="BX46" s="1422">
        <v>98000</v>
      </c>
      <c r="BY46" s="1422">
        <v>0</v>
      </c>
      <c r="BZ46" s="1422">
        <v>0</v>
      </c>
      <c r="CA46" s="1422">
        <v>5595</v>
      </c>
      <c r="CB46" s="1422">
        <v>14064</v>
      </c>
      <c r="CC46" s="1420">
        <v>323045.31</v>
      </c>
      <c r="CD46" s="1422">
        <v>325503</v>
      </c>
      <c r="CE46" s="1420">
        <v>784643.09</v>
      </c>
      <c r="CF46" s="1422">
        <v>716348</v>
      </c>
      <c r="CG46" s="1422">
        <v>0</v>
      </c>
      <c r="CH46" s="1422">
        <v>0</v>
      </c>
      <c r="CI46" s="1422">
        <v>0</v>
      </c>
      <c r="CJ46" s="1422">
        <v>0</v>
      </c>
      <c r="CK46" s="1422">
        <v>0</v>
      </c>
      <c r="CL46" s="1422">
        <v>0</v>
      </c>
      <c r="CM46" s="1422">
        <v>0</v>
      </c>
      <c r="CN46" s="1422">
        <v>0</v>
      </c>
      <c r="CO46" s="1422">
        <v>0</v>
      </c>
      <c r="CP46" s="1422">
        <v>0</v>
      </c>
      <c r="CQ46" s="1422">
        <v>0</v>
      </c>
      <c r="CR46" s="1422">
        <v>0</v>
      </c>
      <c r="CS46" s="1422">
        <v>0</v>
      </c>
      <c r="CT46" s="1422">
        <v>0</v>
      </c>
      <c r="CU46" s="1420">
        <v>6290722.3499999996</v>
      </c>
      <c r="CV46" s="1422">
        <v>5300715</v>
      </c>
      <c r="CW46" s="1420">
        <v>1885874.33</v>
      </c>
      <c r="CX46" s="1422">
        <v>1875643</v>
      </c>
      <c r="CY46" s="1420">
        <v>294993.40999999997</v>
      </c>
      <c r="CZ46" s="1422">
        <v>264706</v>
      </c>
      <c r="DA46" s="1420">
        <v>180434.39</v>
      </c>
      <c r="DB46" s="1422">
        <v>186487</v>
      </c>
      <c r="DC46" s="1422">
        <v>0</v>
      </c>
      <c r="DD46" s="1422">
        <v>0</v>
      </c>
      <c r="DE46" s="1420">
        <v>181695.77</v>
      </c>
      <c r="DF46" s="1422">
        <v>156272</v>
      </c>
      <c r="DG46" s="1420">
        <v>97715.97</v>
      </c>
      <c r="DH46" s="1422">
        <v>90961</v>
      </c>
      <c r="DI46" s="1420">
        <v>2640713.87</v>
      </c>
      <c r="DJ46" s="1422">
        <v>2574069</v>
      </c>
      <c r="DK46" s="1420">
        <v>209588.48000000001</v>
      </c>
      <c r="DL46" s="1422">
        <v>230538</v>
      </c>
      <c r="DM46" s="1420">
        <v>54448.59</v>
      </c>
      <c r="DN46" s="1422">
        <v>76816</v>
      </c>
      <c r="DO46" s="1420">
        <v>514043.83</v>
      </c>
      <c r="DP46" s="1422">
        <v>695076</v>
      </c>
      <c r="DQ46" s="1420">
        <v>255799.65</v>
      </c>
      <c r="DR46" s="1422">
        <v>274305</v>
      </c>
      <c r="DS46" s="1420">
        <v>28465.96</v>
      </c>
      <c r="DT46" s="1422">
        <v>20000</v>
      </c>
      <c r="DU46" s="1420">
        <v>1062346.51</v>
      </c>
      <c r="DV46" s="1422">
        <v>1296735</v>
      </c>
      <c r="DW46" s="1420">
        <v>358464.26</v>
      </c>
      <c r="DX46" s="1422">
        <v>417486</v>
      </c>
      <c r="DY46" s="1420">
        <v>235821.88</v>
      </c>
      <c r="DZ46" s="1422">
        <v>307242</v>
      </c>
      <c r="EA46" s="1420">
        <v>251656.97</v>
      </c>
      <c r="EB46" s="1422">
        <v>277820</v>
      </c>
      <c r="EC46" s="1420">
        <v>845943.11</v>
      </c>
      <c r="ED46" s="1422">
        <v>1002548</v>
      </c>
      <c r="EE46" s="1420">
        <v>294489.13</v>
      </c>
      <c r="EF46" s="1422">
        <v>296232</v>
      </c>
      <c r="EG46" s="1420">
        <v>18305.580000000002</v>
      </c>
      <c r="EH46" s="1422">
        <v>0</v>
      </c>
      <c r="EI46" s="1420">
        <v>535.27</v>
      </c>
      <c r="EJ46" s="1422">
        <v>5076</v>
      </c>
      <c r="EK46" s="1422">
        <v>0</v>
      </c>
      <c r="EL46" s="1422">
        <v>0</v>
      </c>
      <c r="EM46" s="1420">
        <v>313329.98</v>
      </c>
      <c r="EN46" s="1422">
        <v>301308</v>
      </c>
      <c r="EO46" s="1420">
        <v>222320.86</v>
      </c>
      <c r="EP46" s="1422">
        <v>763651</v>
      </c>
      <c r="EQ46" s="1420">
        <v>215100.57</v>
      </c>
      <c r="ER46" s="1422">
        <v>210527</v>
      </c>
      <c r="ES46" s="1422">
        <v>0</v>
      </c>
      <c r="ET46" s="1422">
        <v>0</v>
      </c>
      <c r="EU46" s="1420">
        <v>5299754.9000000004</v>
      </c>
      <c r="EV46" s="1422">
        <v>6148838</v>
      </c>
      <c r="EW46" s="1420">
        <v>379751.59</v>
      </c>
      <c r="EX46" s="1422">
        <v>823747</v>
      </c>
      <c r="EY46" s="1420">
        <v>215100.57</v>
      </c>
      <c r="EZ46" s="1422">
        <v>210527</v>
      </c>
      <c r="FA46" s="1420">
        <v>4704902.74</v>
      </c>
      <c r="FB46" s="1422">
        <v>5114564</v>
      </c>
      <c r="FC46" s="1420">
        <v>278241.36</v>
      </c>
      <c r="FD46" s="1439"/>
      <c r="FE46" s="1420">
        <v>4426661.38</v>
      </c>
      <c r="FF46" s="1439"/>
      <c r="FG46" s="1422">
        <v>9561</v>
      </c>
      <c r="FH46" s="1439"/>
      <c r="FI46" s="1420">
        <v>40.090000000000003</v>
      </c>
      <c r="FJ46" s="1439"/>
      <c r="FK46" s="1422">
        <v>38706</v>
      </c>
      <c r="FL46" s="1439"/>
      <c r="FM46" s="1420">
        <v>43.57</v>
      </c>
      <c r="FN46" s="1439"/>
      <c r="FO46" s="1422">
        <v>41680</v>
      </c>
      <c r="FP46" s="1439"/>
      <c r="FQ46" s="1420">
        <v>3751511.73</v>
      </c>
      <c r="FR46" s="1439"/>
      <c r="FS46" s="1420">
        <v>11688.42</v>
      </c>
      <c r="FT46" s="1439"/>
      <c r="FU46" s="1422">
        <v>0</v>
      </c>
      <c r="FV46" s="1439"/>
      <c r="FW46" s="1420">
        <v>3739823.31</v>
      </c>
      <c r="FX46" s="1439"/>
      <c r="FY46" s="1420">
        <v>231188.92</v>
      </c>
      <c r="FZ46" s="1439"/>
      <c r="GA46" s="1422">
        <v>0</v>
      </c>
      <c r="GB46" s="1439"/>
    </row>
    <row r="47" spans="1:184" ht="12.75" customHeight="1" thickBot="1">
      <c r="A47" s="1418" t="s">
        <v>491</v>
      </c>
      <c r="B47" s="1418" t="s">
        <v>492</v>
      </c>
      <c r="C47" s="1420">
        <v>161.09</v>
      </c>
      <c r="D47" s="1439"/>
      <c r="E47" s="1420">
        <v>391.68</v>
      </c>
      <c r="F47" s="1439"/>
      <c r="G47" s="1421">
        <v>0</v>
      </c>
      <c r="H47" s="1439"/>
      <c r="I47" s="1420">
        <v>411.35</v>
      </c>
      <c r="J47" s="1439"/>
      <c r="K47" s="1420">
        <v>412.05</v>
      </c>
      <c r="L47" s="1439"/>
      <c r="M47" s="1422">
        <v>70606416</v>
      </c>
      <c r="N47" s="1439"/>
      <c r="O47" s="1422">
        <v>25</v>
      </c>
      <c r="P47" s="1439"/>
      <c r="Q47" s="1422">
        <v>25</v>
      </c>
      <c r="R47" s="1439"/>
      <c r="S47" s="1422">
        <v>0</v>
      </c>
      <c r="T47" s="1439"/>
      <c r="U47" s="1422">
        <v>0</v>
      </c>
      <c r="V47" s="1439"/>
      <c r="W47" s="1420">
        <v>11.2</v>
      </c>
      <c r="X47" s="1439"/>
      <c r="Y47" s="1420">
        <v>36.200000000000003</v>
      </c>
      <c r="Z47" s="1439"/>
      <c r="AA47" s="1422">
        <v>4675000</v>
      </c>
      <c r="AB47" s="1455"/>
      <c r="AC47" s="1424">
        <v>2225620.11</v>
      </c>
      <c r="AD47" s="1422">
        <v>2430000</v>
      </c>
      <c r="AE47" s="1420">
        <v>225217.26</v>
      </c>
      <c r="AF47" s="1422">
        <v>50000</v>
      </c>
      <c r="AG47" s="1420">
        <v>475.41</v>
      </c>
      <c r="AH47" s="1456">
        <v>0</v>
      </c>
      <c r="AI47" s="1428">
        <v>1027823</v>
      </c>
      <c r="AJ47" s="1422">
        <v>679706</v>
      </c>
      <c r="AK47" s="1422">
        <v>24991</v>
      </c>
      <c r="AL47" s="1422">
        <v>0</v>
      </c>
      <c r="AM47" s="1422">
        <v>9622</v>
      </c>
      <c r="AN47" s="1422">
        <v>0</v>
      </c>
      <c r="AO47" s="1422">
        <v>0</v>
      </c>
      <c r="AP47" s="1422">
        <v>0</v>
      </c>
      <c r="AQ47" s="1422">
        <v>0</v>
      </c>
      <c r="AR47" s="1422">
        <v>0</v>
      </c>
      <c r="AS47" s="1422">
        <v>0</v>
      </c>
      <c r="AT47" s="1422">
        <v>0</v>
      </c>
      <c r="AU47" s="1422">
        <v>16258</v>
      </c>
      <c r="AV47" s="1422">
        <v>13007</v>
      </c>
      <c r="AW47" s="1422">
        <v>0</v>
      </c>
      <c r="AX47" s="1422">
        <v>0</v>
      </c>
      <c r="AY47" s="1420">
        <v>3530006.78</v>
      </c>
      <c r="AZ47" s="1422">
        <v>3172713</v>
      </c>
      <c r="BA47" s="1422">
        <v>0</v>
      </c>
      <c r="BB47" s="1422">
        <v>0</v>
      </c>
      <c r="BC47" s="1422">
        <v>17042</v>
      </c>
      <c r="BD47" s="1422">
        <v>17501</v>
      </c>
      <c r="BE47" s="1422">
        <v>6400</v>
      </c>
      <c r="BF47" s="1422">
        <v>0</v>
      </c>
      <c r="BG47" s="1422">
        <v>0</v>
      </c>
      <c r="BH47" s="1422">
        <v>0</v>
      </c>
      <c r="BI47" s="1422">
        <v>32585</v>
      </c>
      <c r="BJ47" s="1422">
        <v>37471</v>
      </c>
      <c r="BK47" s="1422">
        <v>0</v>
      </c>
      <c r="BL47" s="1422">
        <v>0</v>
      </c>
      <c r="BM47" s="1422">
        <v>102672</v>
      </c>
      <c r="BN47" s="1422">
        <v>106260</v>
      </c>
      <c r="BO47" s="1420">
        <v>30348.13</v>
      </c>
      <c r="BP47" s="1422">
        <v>29000</v>
      </c>
      <c r="BQ47" s="1422">
        <v>0</v>
      </c>
      <c r="BR47" s="1422">
        <v>0</v>
      </c>
      <c r="BS47" s="1420">
        <v>1642.21</v>
      </c>
      <c r="BT47" s="1422">
        <v>0</v>
      </c>
      <c r="BU47" s="1422">
        <v>0</v>
      </c>
      <c r="BV47" s="1422">
        <v>0</v>
      </c>
      <c r="BW47" s="1422">
        <v>97200</v>
      </c>
      <c r="BX47" s="1422">
        <v>97200</v>
      </c>
      <c r="BY47" s="1422">
        <v>0</v>
      </c>
      <c r="BZ47" s="1422">
        <v>0</v>
      </c>
      <c r="CA47" s="1420">
        <v>378994.94</v>
      </c>
      <c r="CB47" s="1422">
        <v>4367</v>
      </c>
      <c r="CC47" s="1420">
        <v>666884.28</v>
      </c>
      <c r="CD47" s="1422">
        <v>291799</v>
      </c>
      <c r="CE47" s="1420">
        <v>1162004.1299999999</v>
      </c>
      <c r="CF47" s="1420">
        <v>411203.46</v>
      </c>
      <c r="CG47" s="1420">
        <v>1820179.23</v>
      </c>
      <c r="CH47" s="1422">
        <v>250000</v>
      </c>
      <c r="CI47" s="1422">
        <v>0</v>
      </c>
      <c r="CJ47" s="1422">
        <v>0</v>
      </c>
      <c r="CK47" s="1422">
        <v>0</v>
      </c>
      <c r="CL47" s="1422">
        <v>0</v>
      </c>
      <c r="CM47" s="1422">
        <v>0</v>
      </c>
      <c r="CN47" s="1422">
        <v>0</v>
      </c>
      <c r="CO47" s="1422">
        <v>0</v>
      </c>
      <c r="CP47" s="1422">
        <v>0</v>
      </c>
      <c r="CQ47" s="1422">
        <v>0</v>
      </c>
      <c r="CR47" s="1422">
        <v>0</v>
      </c>
      <c r="CS47" s="1420">
        <v>1820179.23</v>
      </c>
      <c r="CT47" s="1422">
        <v>250000</v>
      </c>
      <c r="CU47" s="1420">
        <v>7179074.4199999999</v>
      </c>
      <c r="CV47" s="1420">
        <v>4125715.46</v>
      </c>
      <c r="CW47" s="1420">
        <v>1751799.39</v>
      </c>
      <c r="CX47" s="1420">
        <v>1444736.06</v>
      </c>
      <c r="CY47" s="1420">
        <v>250759.18</v>
      </c>
      <c r="CZ47" s="1420">
        <v>264915.83</v>
      </c>
      <c r="DA47" s="1420">
        <v>178106.84</v>
      </c>
      <c r="DB47" s="1420">
        <v>153260.09</v>
      </c>
      <c r="DC47" s="1422">
        <v>0</v>
      </c>
      <c r="DD47" s="1422">
        <v>0</v>
      </c>
      <c r="DE47" s="1420">
        <v>124972.4</v>
      </c>
      <c r="DF47" s="1420">
        <v>96362.22</v>
      </c>
      <c r="DG47" s="1420">
        <v>136919.25</v>
      </c>
      <c r="DH47" s="1420">
        <v>135838.32999999999</v>
      </c>
      <c r="DI47" s="1420">
        <v>2442557.06</v>
      </c>
      <c r="DJ47" s="1420">
        <v>2095112.53</v>
      </c>
      <c r="DK47" s="1420">
        <v>197062.92</v>
      </c>
      <c r="DL47" s="1420">
        <v>186198.11</v>
      </c>
      <c r="DM47" s="1420">
        <v>189537.86</v>
      </c>
      <c r="DN47" s="1420">
        <v>95501.119999999995</v>
      </c>
      <c r="DO47" s="1420">
        <v>411146.43</v>
      </c>
      <c r="DP47" s="1420">
        <v>316456.55</v>
      </c>
      <c r="DQ47" s="1420">
        <v>167162.97</v>
      </c>
      <c r="DR47" s="1420">
        <v>153283.56</v>
      </c>
      <c r="DS47" s="1420">
        <v>10410.200000000001</v>
      </c>
      <c r="DT47" s="1422">
        <v>0</v>
      </c>
      <c r="DU47" s="1420">
        <v>975320.38</v>
      </c>
      <c r="DV47" s="1420">
        <v>751439.34</v>
      </c>
      <c r="DW47" s="1420">
        <v>136980.63</v>
      </c>
      <c r="DX47" s="1420">
        <v>129108.35</v>
      </c>
      <c r="DY47" s="1420">
        <v>146699.85</v>
      </c>
      <c r="DZ47" s="1420">
        <v>122092.97</v>
      </c>
      <c r="EA47" s="1420">
        <v>217511.13</v>
      </c>
      <c r="EB47" s="1420">
        <v>196718.2</v>
      </c>
      <c r="EC47" s="1420">
        <v>501191.61</v>
      </c>
      <c r="ED47" s="1420">
        <v>447919.52</v>
      </c>
      <c r="EE47" s="1420">
        <v>237833.54</v>
      </c>
      <c r="EF47" s="1420">
        <v>190297.3</v>
      </c>
      <c r="EG47" s="1422">
        <v>0</v>
      </c>
      <c r="EH47" s="1422">
        <v>0</v>
      </c>
      <c r="EI47" s="1420">
        <v>1000.93</v>
      </c>
      <c r="EJ47" s="1422">
        <v>0</v>
      </c>
      <c r="EK47" s="1422">
        <v>0</v>
      </c>
      <c r="EL47" s="1422">
        <v>0</v>
      </c>
      <c r="EM47" s="1420">
        <v>238834.47</v>
      </c>
      <c r="EN47" s="1420">
        <v>190297.3</v>
      </c>
      <c r="EO47" s="1420">
        <v>3092460.32</v>
      </c>
      <c r="EP47" s="1422">
        <v>200000</v>
      </c>
      <c r="EQ47" s="1420">
        <v>219868.64</v>
      </c>
      <c r="ER47" s="1422">
        <v>302000</v>
      </c>
      <c r="ES47" s="1422">
        <v>38900</v>
      </c>
      <c r="ET47" s="1422">
        <v>0</v>
      </c>
      <c r="EU47" s="1420">
        <v>7509132.4800000004</v>
      </c>
      <c r="EV47" s="1420">
        <v>3986768.69</v>
      </c>
      <c r="EW47" s="1420">
        <v>3183608.37</v>
      </c>
      <c r="EX47" s="1422">
        <v>235000</v>
      </c>
      <c r="EY47" s="1420">
        <v>219868.64</v>
      </c>
      <c r="EZ47" s="1422">
        <v>302000</v>
      </c>
      <c r="FA47" s="1420">
        <v>4105655.47</v>
      </c>
      <c r="FB47" s="1420">
        <v>3449768.69</v>
      </c>
      <c r="FC47" s="1420">
        <v>315890.42</v>
      </c>
      <c r="FD47" s="1439"/>
      <c r="FE47" s="1420">
        <v>3789765.05</v>
      </c>
      <c r="FF47" s="1439"/>
      <c r="FG47" s="1422">
        <v>9675</v>
      </c>
      <c r="FH47" s="1439"/>
      <c r="FI47" s="1420">
        <v>37.97</v>
      </c>
      <c r="FJ47" s="1439"/>
      <c r="FK47" s="1422">
        <v>36161</v>
      </c>
      <c r="FL47" s="1439"/>
      <c r="FM47" s="1420">
        <v>40.799999999999997</v>
      </c>
      <c r="FN47" s="1439"/>
      <c r="FO47" s="1422">
        <v>38194</v>
      </c>
      <c r="FP47" s="1439"/>
      <c r="FQ47" s="1420">
        <v>987808.77</v>
      </c>
      <c r="FR47" s="1439"/>
      <c r="FS47" s="1420">
        <v>18506.5</v>
      </c>
      <c r="FT47" s="1439"/>
      <c r="FU47" s="1422">
        <v>0</v>
      </c>
      <c r="FV47" s="1439"/>
      <c r="FW47" s="1420">
        <v>969302.27</v>
      </c>
      <c r="FX47" s="1439"/>
      <c r="FY47" s="1420">
        <v>1550652.7</v>
      </c>
      <c r="FZ47" s="1439"/>
      <c r="GA47" s="1422">
        <v>0</v>
      </c>
      <c r="GB47" s="1439"/>
    </row>
    <row r="48" spans="1:184" ht="12.75" customHeight="1" thickBot="1">
      <c r="A48" s="1418" t="s">
        <v>493</v>
      </c>
      <c r="B48" s="1418" t="s">
        <v>494</v>
      </c>
      <c r="C48" s="1420">
        <v>274.06</v>
      </c>
      <c r="D48" s="1439"/>
      <c r="E48" s="1420">
        <v>2105.8200000000002</v>
      </c>
      <c r="F48" s="1439"/>
      <c r="G48" s="1421">
        <v>-0.04</v>
      </c>
      <c r="H48" s="1439"/>
      <c r="I48" s="1420">
        <v>2227.21</v>
      </c>
      <c r="J48" s="1439"/>
      <c r="K48" s="1420">
        <v>2281.88</v>
      </c>
      <c r="L48" s="1439"/>
      <c r="M48" s="1422">
        <v>197354704</v>
      </c>
      <c r="N48" s="1439"/>
      <c r="O48" s="1422">
        <v>25</v>
      </c>
      <c r="P48" s="1439"/>
      <c r="Q48" s="1422">
        <v>25</v>
      </c>
      <c r="R48" s="1439"/>
      <c r="S48" s="1422">
        <v>0</v>
      </c>
      <c r="T48" s="1439"/>
      <c r="U48" s="1422">
        <v>0</v>
      </c>
      <c r="V48" s="1439"/>
      <c r="W48" s="1420">
        <v>10.4</v>
      </c>
      <c r="X48" s="1439"/>
      <c r="Y48" s="1420">
        <v>35.4</v>
      </c>
      <c r="Z48" s="1439"/>
      <c r="AA48" s="1422">
        <v>18415176</v>
      </c>
      <c r="AB48" s="1455"/>
      <c r="AC48" s="1424">
        <v>6590488.2999999998</v>
      </c>
      <c r="AD48" s="1422">
        <v>6606675</v>
      </c>
      <c r="AE48" s="1420">
        <v>1160743.74</v>
      </c>
      <c r="AF48" s="1420">
        <v>627888.13</v>
      </c>
      <c r="AG48" s="1420">
        <v>6296.77</v>
      </c>
      <c r="AH48" s="1456">
        <v>6500</v>
      </c>
      <c r="AI48" s="1428">
        <v>8923664</v>
      </c>
      <c r="AJ48" s="1422">
        <v>8829817</v>
      </c>
      <c r="AK48" s="1422">
        <v>228356</v>
      </c>
      <c r="AL48" s="1422">
        <v>0</v>
      </c>
      <c r="AM48" s="1422">
        <v>0</v>
      </c>
      <c r="AN48" s="1422">
        <v>0</v>
      </c>
      <c r="AO48" s="1422">
        <v>61615</v>
      </c>
      <c r="AP48" s="1422">
        <v>161864</v>
      </c>
      <c r="AQ48" s="1422">
        <v>0</v>
      </c>
      <c r="AR48" s="1422">
        <v>0</v>
      </c>
      <c r="AS48" s="1422">
        <v>0</v>
      </c>
      <c r="AT48" s="1422">
        <v>0</v>
      </c>
      <c r="AU48" s="1422">
        <v>0</v>
      </c>
      <c r="AV48" s="1422">
        <v>0</v>
      </c>
      <c r="AW48" s="1422">
        <v>0</v>
      </c>
      <c r="AX48" s="1422">
        <v>600</v>
      </c>
      <c r="AY48" s="1420">
        <v>16971163.809999999</v>
      </c>
      <c r="AZ48" s="1420">
        <v>16233344.130000001</v>
      </c>
      <c r="BA48" s="1422">
        <v>0</v>
      </c>
      <c r="BB48" s="1422">
        <v>0</v>
      </c>
      <c r="BC48" s="1422">
        <v>94379</v>
      </c>
      <c r="BD48" s="1422">
        <v>94473</v>
      </c>
      <c r="BE48" s="1420">
        <v>6070.78</v>
      </c>
      <c r="BF48" s="1422">
        <v>12000</v>
      </c>
      <c r="BG48" s="1422">
        <v>1950</v>
      </c>
      <c r="BH48" s="1422">
        <v>2000</v>
      </c>
      <c r="BI48" s="1422">
        <v>48756</v>
      </c>
      <c r="BJ48" s="1422">
        <v>58859</v>
      </c>
      <c r="BK48" s="1422">
        <v>16408</v>
      </c>
      <c r="BL48" s="1422">
        <v>0</v>
      </c>
      <c r="BM48" s="1422">
        <v>707296</v>
      </c>
      <c r="BN48" s="1422">
        <v>705364</v>
      </c>
      <c r="BO48" s="1420">
        <v>20842.11</v>
      </c>
      <c r="BP48" s="1422">
        <v>0</v>
      </c>
      <c r="BQ48" s="1420">
        <v>638729.69999999995</v>
      </c>
      <c r="BR48" s="1422">
        <v>501059</v>
      </c>
      <c r="BS48" s="1420">
        <v>800142.21</v>
      </c>
      <c r="BT48" s="1422">
        <v>805000</v>
      </c>
      <c r="BU48" s="1422">
        <v>0</v>
      </c>
      <c r="BV48" s="1422">
        <v>0</v>
      </c>
      <c r="BW48" s="1422">
        <v>388800</v>
      </c>
      <c r="BX48" s="1422">
        <v>388800</v>
      </c>
      <c r="BY48" s="1422">
        <v>0</v>
      </c>
      <c r="BZ48" s="1422">
        <v>0</v>
      </c>
      <c r="CA48" s="1422">
        <v>130260</v>
      </c>
      <c r="CB48" s="1422">
        <v>360776</v>
      </c>
      <c r="CC48" s="1420">
        <v>2853633.8</v>
      </c>
      <c r="CD48" s="1422">
        <v>2928331</v>
      </c>
      <c r="CE48" s="1420">
        <v>4241649.3499999996</v>
      </c>
      <c r="CF48" s="1420">
        <v>2964687.92</v>
      </c>
      <c r="CG48" s="1420">
        <v>1274573.3500000001</v>
      </c>
      <c r="CH48" s="1422">
        <v>0</v>
      </c>
      <c r="CI48" s="1422">
        <v>0</v>
      </c>
      <c r="CJ48" s="1422">
        <v>0</v>
      </c>
      <c r="CK48" s="1422">
        <v>20546</v>
      </c>
      <c r="CL48" s="1422">
        <v>18500</v>
      </c>
      <c r="CM48" s="1422">
        <v>0</v>
      </c>
      <c r="CN48" s="1422">
        <v>0</v>
      </c>
      <c r="CO48" s="1420">
        <v>6068.89</v>
      </c>
      <c r="CP48" s="1422">
        <v>0</v>
      </c>
      <c r="CQ48" s="1420">
        <v>87447.6</v>
      </c>
      <c r="CR48" s="1422">
        <v>85000</v>
      </c>
      <c r="CS48" s="1420">
        <v>1388635.84</v>
      </c>
      <c r="CT48" s="1422">
        <v>103500</v>
      </c>
      <c r="CU48" s="1420">
        <v>25455082.800000001</v>
      </c>
      <c r="CV48" s="1420">
        <v>22229863.050000001</v>
      </c>
      <c r="CW48" s="1420">
        <v>7677577.4199999999</v>
      </c>
      <c r="CX48" s="1420">
        <v>7352398.7300000004</v>
      </c>
      <c r="CY48" s="1420">
        <v>1220880.0900000001</v>
      </c>
      <c r="CZ48" s="1420">
        <v>1108171.68</v>
      </c>
      <c r="DA48" s="1420">
        <v>1045348.28</v>
      </c>
      <c r="DB48" s="1420">
        <v>990957.53</v>
      </c>
      <c r="DC48" s="1422">
        <v>0</v>
      </c>
      <c r="DD48" s="1422">
        <v>0</v>
      </c>
      <c r="DE48" s="1420">
        <v>519391.57</v>
      </c>
      <c r="DF48" s="1420">
        <v>678877.54</v>
      </c>
      <c r="DG48" s="1420">
        <v>1020914.29</v>
      </c>
      <c r="DH48" s="1420">
        <v>1114093.8400000001</v>
      </c>
      <c r="DI48" s="1420">
        <v>11484111.65</v>
      </c>
      <c r="DJ48" s="1420">
        <v>11244499.32</v>
      </c>
      <c r="DK48" s="1420">
        <v>484533.8</v>
      </c>
      <c r="DL48" s="1420">
        <v>403112.01</v>
      </c>
      <c r="DM48" s="1420">
        <v>412845.81</v>
      </c>
      <c r="DN48" s="1420">
        <v>536672.07999999996</v>
      </c>
      <c r="DO48" s="1420">
        <v>2134232.6</v>
      </c>
      <c r="DP48" s="1420">
        <v>1982615.14</v>
      </c>
      <c r="DQ48" s="1420">
        <v>1349361.45</v>
      </c>
      <c r="DR48" s="1420">
        <v>1320598.8500000001</v>
      </c>
      <c r="DS48" s="1420">
        <v>106750.37</v>
      </c>
      <c r="DT48" s="1422">
        <v>91482</v>
      </c>
      <c r="DU48" s="1420">
        <v>4487724.03</v>
      </c>
      <c r="DV48" s="1420">
        <v>4334480.08</v>
      </c>
      <c r="DW48" s="1420">
        <v>1102235.83</v>
      </c>
      <c r="DX48" s="1420">
        <v>1238382.22</v>
      </c>
      <c r="DY48" s="1420">
        <v>1543818.37</v>
      </c>
      <c r="DZ48" s="1420">
        <v>1690969.47</v>
      </c>
      <c r="EA48" s="1420">
        <v>1049553.96</v>
      </c>
      <c r="EB48" s="1420">
        <v>1023573.63</v>
      </c>
      <c r="EC48" s="1420">
        <v>3695608.16</v>
      </c>
      <c r="ED48" s="1420">
        <v>3952925.32</v>
      </c>
      <c r="EE48" s="1420">
        <v>1067112.5</v>
      </c>
      <c r="EF48" s="1420">
        <v>1081593.47</v>
      </c>
      <c r="EG48" s="1422">
        <v>0</v>
      </c>
      <c r="EH48" s="1422">
        <v>0</v>
      </c>
      <c r="EI48" s="1420">
        <v>5621.59</v>
      </c>
      <c r="EJ48" s="1422">
        <v>10000</v>
      </c>
      <c r="EK48" s="1422">
        <v>0</v>
      </c>
      <c r="EL48" s="1422">
        <v>0</v>
      </c>
      <c r="EM48" s="1420">
        <v>1072734.0900000001</v>
      </c>
      <c r="EN48" s="1420">
        <v>1091593.47</v>
      </c>
      <c r="EO48" s="1420">
        <v>3342789.73</v>
      </c>
      <c r="EP48" s="1420">
        <v>1851830.06</v>
      </c>
      <c r="EQ48" s="1422">
        <v>757962</v>
      </c>
      <c r="ER48" s="1422">
        <v>1287678</v>
      </c>
      <c r="ES48" s="1422">
        <v>0</v>
      </c>
      <c r="ET48" s="1422">
        <v>0</v>
      </c>
      <c r="EU48" s="1420">
        <v>24840929.66</v>
      </c>
      <c r="EV48" s="1420">
        <v>23763006.25</v>
      </c>
      <c r="EW48" s="1420">
        <v>4075885.61</v>
      </c>
      <c r="EX48" s="1420">
        <v>2589128.02</v>
      </c>
      <c r="EY48" s="1422">
        <v>757962</v>
      </c>
      <c r="EZ48" s="1422">
        <v>1287678</v>
      </c>
      <c r="FA48" s="1420">
        <v>20007082.050000001</v>
      </c>
      <c r="FB48" s="1420">
        <v>19886200.23</v>
      </c>
      <c r="FC48" s="1420">
        <v>1260452.19</v>
      </c>
      <c r="FD48" s="1439"/>
      <c r="FE48" s="1420">
        <v>18746629.859999999</v>
      </c>
      <c r="FF48" s="1439"/>
      <c r="FG48" s="1422">
        <v>8902</v>
      </c>
      <c r="FH48" s="1439"/>
      <c r="FI48" s="1420">
        <v>169.67</v>
      </c>
      <c r="FJ48" s="1439"/>
      <c r="FK48" s="1422">
        <v>42991</v>
      </c>
      <c r="FL48" s="1439"/>
      <c r="FM48" s="1420">
        <v>182.38</v>
      </c>
      <c r="FN48" s="1439"/>
      <c r="FO48" s="1422">
        <v>45256</v>
      </c>
      <c r="FP48" s="1439"/>
      <c r="FQ48" s="1420">
        <v>2522663.34</v>
      </c>
      <c r="FR48" s="1439"/>
      <c r="FS48" s="1420">
        <v>57997.2</v>
      </c>
      <c r="FT48" s="1439"/>
      <c r="FU48" s="1422">
        <v>0</v>
      </c>
      <c r="FV48" s="1439"/>
      <c r="FW48" s="1420">
        <v>2464666.14</v>
      </c>
      <c r="FX48" s="1439"/>
      <c r="FY48" s="1420">
        <v>961902.07</v>
      </c>
      <c r="FZ48" s="1439"/>
      <c r="GA48" s="1422">
        <v>0</v>
      </c>
      <c r="GB48" s="1439"/>
    </row>
    <row r="49" spans="1:184" ht="12.75" customHeight="1" thickBot="1">
      <c r="A49" s="1418" t="s">
        <v>495</v>
      </c>
      <c r="B49" s="1418" t="s">
        <v>496</v>
      </c>
      <c r="C49" s="1420">
        <v>64.650000000000006</v>
      </c>
      <c r="D49" s="1439"/>
      <c r="E49" s="1420">
        <v>531.74</v>
      </c>
      <c r="F49" s="1439"/>
      <c r="G49" s="1421">
        <v>-0.03</v>
      </c>
      <c r="H49" s="1439"/>
      <c r="I49" s="1420">
        <v>566.29</v>
      </c>
      <c r="J49" s="1439"/>
      <c r="K49" s="1420">
        <v>532.98</v>
      </c>
      <c r="L49" s="1439"/>
      <c r="M49" s="1422">
        <v>29732090</v>
      </c>
      <c r="N49" s="1439"/>
      <c r="O49" s="1422">
        <v>25</v>
      </c>
      <c r="P49" s="1439"/>
      <c r="Q49" s="1422">
        <v>25</v>
      </c>
      <c r="R49" s="1439"/>
      <c r="S49" s="1422">
        <v>0</v>
      </c>
      <c r="T49" s="1439"/>
      <c r="U49" s="1422">
        <v>0</v>
      </c>
      <c r="V49" s="1439"/>
      <c r="W49" s="1420">
        <v>12.7</v>
      </c>
      <c r="X49" s="1439"/>
      <c r="Y49" s="1420">
        <v>37.700000000000003</v>
      </c>
      <c r="Z49" s="1439"/>
      <c r="AA49" s="1422">
        <v>2802600</v>
      </c>
      <c r="AB49" s="1455"/>
      <c r="AC49" s="1424">
        <v>1037657.29</v>
      </c>
      <c r="AD49" s="1422">
        <v>1032439</v>
      </c>
      <c r="AE49" s="1420">
        <v>395548.47</v>
      </c>
      <c r="AF49" s="1422">
        <v>118731</v>
      </c>
      <c r="AG49" s="1422">
        <v>0</v>
      </c>
      <c r="AH49" s="1456">
        <v>0</v>
      </c>
      <c r="AI49" s="1428">
        <v>2477120</v>
      </c>
      <c r="AJ49" s="1422">
        <v>2744214</v>
      </c>
      <c r="AK49" s="1422">
        <v>36525</v>
      </c>
      <c r="AL49" s="1422">
        <v>0</v>
      </c>
      <c r="AM49" s="1422">
        <v>200024</v>
      </c>
      <c r="AN49" s="1422">
        <v>0</v>
      </c>
      <c r="AO49" s="1422">
        <v>0</v>
      </c>
      <c r="AP49" s="1422">
        <v>0</v>
      </c>
      <c r="AQ49" s="1422">
        <v>0</v>
      </c>
      <c r="AR49" s="1422">
        <v>0</v>
      </c>
      <c r="AS49" s="1422">
        <v>0</v>
      </c>
      <c r="AT49" s="1422">
        <v>0</v>
      </c>
      <c r="AU49" s="1422">
        <v>23555</v>
      </c>
      <c r="AV49" s="1422">
        <v>9422</v>
      </c>
      <c r="AW49" s="1422">
        <v>0</v>
      </c>
      <c r="AX49" s="1422">
        <v>0</v>
      </c>
      <c r="AY49" s="1420">
        <v>4170429.76</v>
      </c>
      <c r="AZ49" s="1422">
        <v>3904806</v>
      </c>
      <c r="BA49" s="1422">
        <v>0</v>
      </c>
      <c r="BB49" s="1422">
        <v>0</v>
      </c>
      <c r="BC49" s="1422">
        <v>22044</v>
      </c>
      <c r="BD49" s="1422">
        <v>23954</v>
      </c>
      <c r="BE49" s="1422">
        <v>100</v>
      </c>
      <c r="BF49" s="1422">
        <v>0</v>
      </c>
      <c r="BG49" s="1422">
        <v>100</v>
      </c>
      <c r="BH49" s="1422">
        <v>0</v>
      </c>
      <c r="BI49" s="1422">
        <v>7842</v>
      </c>
      <c r="BJ49" s="1422">
        <v>5679</v>
      </c>
      <c r="BK49" s="1422">
        <v>0</v>
      </c>
      <c r="BL49" s="1422">
        <v>0</v>
      </c>
      <c r="BM49" s="1422">
        <v>143344</v>
      </c>
      <c r="BN49" s="1422">
        <v>154836</v>
      </c>
      <c r="BO49" s="1420">
        <v>24960.13</v>
      </c>
      <c r="BP49" s="1422">
        <v>18256</v>
      </c>
      <c r="BQ49" s="1420">
        <v>8937.52</v>
      </c>
      <c r="BR49" s="1422">
        <v>1625</v>
      </c>
      <c r="BS49" s="1420">
        <v>1903.2</v>
      </c>
      <c r="BT49" s="1422">
        <v>1600</v>
      </c>
      <c r="BU49" s="1422">
        <v>0</v>
      </c>
      <c r="BV49" s="1422">
        <v>0</v>
      </c>
      <c r="BW49" s="1422">
        <v>0</v>
      </c>
      <c r="BX49" s="1422">
        <v>0</v>
      </c>
      <c r="BY49" s="1422">
        <v>0</v>
      </c>
      <c r="BZ49" s="1422">
        <v>0</v>
      </c>
      <c r="CA49" s="1422">
        <v>27623</v>
      </c>
      <c r="CB49" s="1422">
        <v>14557</v>
      </c>
      <c r="CC49" s="1420">
        <v>236853.85</v>
      </c>
      <c r="CD49" s="1422">
        <v>220507</v>
      </c>
      <c r="CE49" s="1420">
        <v>810724.85</v>
      </c>
      <c r="CF49" s="1420">
        <v>739196.53</v>
      </c>
      <c r="CG49" s="1422">
        <v>0</v>
      </c>
      <c r="CH49" s="1422">
        <v>0</v>
      </c>
      <c r="CI49" s="1422">
        <v>0</v>
      </c>
      <c r="CJ49" s="1422">
        <v>0</v>
      </c>
      <c r="CK49" s="1422">
        <v>0</v>
      </c>
      <c r="CL49" s="1422">
        <v>0</v>
      </c>
      <c r="CM49" s="1422">
        <v>2450</v>
      </c>
      <c r="CN49" s="1422">
        <v>0</v>
      </c>
      <c r="CO49" s="1422">
        <v>0</v>
      </c>
      <c r="CP49" s="1422">
        <v>0</v>
      </c>
      <c r="CQ49" s="1422">
        <v>0</v>
      </c>
      <c r="CR49" s="1422">
        <v>0</v>
      </c>
      <c r="CS49" s="1422">
        <v>2450</v>
      </c>
      <c r="CT49" s="1422">
        <v>0</v>
      </c>
      <c r="CU49" s="1420">
        <v>5220458.46</v>
      </c>
      <c r="CV49" s="1420">
        <v>4864509.53</v>
      </c>
      <c r="CW49" s="1420">
        <v>1892757.5</v>
      </c>
      <c r="CX49" s="1420">
        <v>1740810.2</v>
      </c>
      <c r="CY49" s="1420">
        <v>433771.9</v>
      </c>
      <c r="CZ49" s="1420">
        <v>420068.81</v>
      </c>
      <c r="DA49" s="1420">
        <v>199357.91</v>
      </c>
      <c r="DB49" s="1420">
        <v>284738.06</v>
      </c>
      <c r="DC49" s="1422">
        <v>0</v>
      </c>
      <c r="DD49" s="1422">
        <v>0</v>
      </c>
      <c r="DE49" s="1420">
        <v>259963.68</v>
      </c>
      <c r="DF49" s="1420">
        <v>168229.08</v>
      </c>
      <c r="DG49" s="1420">
        <v>213906.97</v>
      </c>
      <c r="DH49" s="1422">
        <v>240300</v>
      </c>
      <c r="DI49" s="1420">
        <v>2999757.96</v>
      </c>
      <c r="DJ49" s="1420">
        <v>2854146.15</v>
      </c>
      <c r="DK49" s="1420">
        <v>204406.57</v>
      </c>
      <c r="DL49" s="1422">
        <v>223840</v>
      </c>
      <c r="DM49" s="1420">
        <v>102586.99</v>
      </c>
      <c r="DN49" s="1420">
        <v>106228.54</v>
      </c>
      <c r="DO49" s="1420">
        <v>513709.9</v>
      </c>
      <c r="DP49" s="1422">
        <v>522643</v>
      </c>
      <c r="DQ49" s="1420">
        <v>126267.36</v>
      </c>
      <c r="DR49" s="1422">
        <v>209742</v>
      </c>
      <c r="DS49" s="1420">
        <v>22144.2</v>
      </c>
      <c r="DT49" s="1422">
        <v>7700</v>
      </c>
      <c r="DU49" s="1420">
        <v>969115.02</v>
      </c>
      <c r="DV49" s="1420">
        <v>1070153.54</v>
      </c>
      <c r="DW49" s="1420">
        <v>156554.35</v>
      </c>
      <c r="DX49" s="1422">
        <v>191164</v>
      </c>
      <c r="DY49" s="1420">
        <v>367089.32</v>
      </c>
      <c r="DZ49" s="1420">
        <v>402439.2</v>
      </c>
      <c r="EA49" s="1420">
        <v>324165.69</v>
      </c>
      <c r="EB49" s="1422">
        <v>247206</v>
      </c>
      <c r="EC49" s="1420">
        <v>847809.36</v>
      </c>
      <c r="ED49" s="1420">
        <v>840809.2</v>
      </c>
      <c r="EE49" s="1420">
        <v>302971.28000000003</v>
      </c>
      <c r="EF49" s="1422">
        <v>311585</v>
      </c>
      <c r="EG49" s="1422">
        <v>0</v>
      </c>
      <c r="EH49" s="1422">
        <v>0</v>
      </c>
      <c r="EI49" s="1422">
        <v>0</v>
      </c>
      <c r="EJ49" s="1422">
        <v>1000</v>
      </c>
      <c r="EK49" s="1422">
        <v>0</v>
      </c>
      <c r="EL49" s="1422">
        <v>0</v>
      </c>
      <c r="EM49" s="1420">
        <v>302971.28000000003</v>
      </c>
      <c r="EN49" s="1422">
        <v>312585</v>
      </c>
      <c r="EO49" s="1422">
        <v>6212</v>
      </c>
      <c r="EP49" s="1422">
        <v>26968</v>
      </c>
      <c r="EQ49" s="1420">
        <v>209559.55</v>
      </c>
      <c r="ER49" s="1422">
        <v>205131</v>
      </c>
      <c r="ES49" s="1422">
        <v>0</v>
      </c>
      <c r="ET49" s="1422">
        <v>0</v>
      </c>
      <c r="EU49" s="1420">
        <v>5335425.17</v>
      </c>
      <c r="EV49" s="1420">
        <v>5309792.8899999997</v>
      </c>
      <c r="EW49" s="1420">
        <v>68085.03</v>
      </c>
      <c r="EX49" s="1420">
        <v>144888.79</v>
      </c>
      <c r="EY49" s="1420">
        <v>209559.55</v>
      </c>
      <c r="EZ49" s="1422">
        <v>205131</v>
      </c>
      <c r="FA49" s="1420">
        <v>5057780.59</v>
      </c>
      <c r="FB49" s="1420">
        <v>4959773.0999999996</v>
      </c>
      <c r="FC49" s="1420">
        <v>298233.59999999998</v>
      </c>
      <c r="FD49" s="1439"/>
      <c r="FE49" s="1420">
        <v>4759546.99</v>
      </c>
      <c r="FF49" s="1439"/>
      <c r="FG49" s="1422">
        <v>8950</v>
      </c>
      <c r="FH49" s="1439"/>
      <c r="FI49" s="1420">
        <v>45.4</v>
      </c>
      <c r="FJ49" s="1439"/>
      <c r="FK49" s="1422">
        <v>38558</v>
      </c>
      <c r="FL49" s="1439"/>
      <c r="FM49" s="1420">
        <v>51.45</v>
      </c>
      <c r="FN49" s="1439"/>
      <c r="FO49" s="1422">
        <v>40602</v>
      </c>
      <c r="FP49" s="1439"/>
      <c r="FQ49" s="1420">
        <v>1762002.26</v>
      </c>
      <c r="FR49" s="1439"/>
      <c r="FS49" s="1420">
        <v>45203.54</v>
      </c>
      <c r="FT49" s="1439"/>
      <c r="FU49" s="1422">
        <v>0</v>
      </c>
      <c r="FV49" s="1439"/>
      <c r="FW49" s="1420">
        <v>1716798.72</v>
      </c>
      <c r="FX49" s="1439"/>
      <c r="FY49" s="1420">
        <v>56941.51</v>
      </c>
      <c r="FZ49" s="1439"/>
      <c r="GA49" s="1422">
        <v>0</v>
      </c>
      <c r="GB49" s="1439"/>
    </row>
    <row r="50" spans="1:184" ht="12.75" customHeight="1" thickBot="1">
      <c r="A50" s="1418" t="s">
        <v>497</v>
      </c>
      <c r="B50" s="1418" t="s">
        <v>498</v>
      </c>
      <c r="C50" s="1420">
        <v>208.99</v>
      </c>
      <c r="D50" s="1439"/>
      <c r="E50" s="1420">
        <v>1535.1</v>
      </c>
      <c r="F50" s="1439"/>
      <c r="G50" s="1421">
        <v>-0.03</v>
      </c>
      <c r="H50" s="1439"/>
      <c r="I50" s="1420">
        <v>1619.97</v>
      </c>
      <c r="J50" s="1439"/>
      <c r="K50" s="1420">
        <v>1598.06</v>
      </c>
      <c r="L50" s="1439"/>
      <c r="M50" s="1422">
        <v>97151883</v>
      </c>
      <c r="N50" s="1439"/>
      <c r="O50" s="1422">
        <v>25</v>
      </c>
      <c r="P50" s="1439"/>
      <c r="Q50" s="1422">
        <v>25</v>
      </c>
      <c r="R50" s="1439"/>
      <c r="S50" s="1422">
        <v>0</v>
      </c>
      <c r="T50" s="1439"/>
      <c r="U50" s="1422">
        <v>0</v>
      </c>
      <c r="V50" s="1439"/>
      <c r="W50" s="1420">
        <v>7.17</v>
      </c>
      <c r="X50" s="1439"/>
      <c r="Y50" s="1420">
        <v>32.17</v>
      </c>
      <c r="Z50" s="1439"/>
      <c r="AA50" s="1420">
        <v>6342416.7199999997</v>
      </c>
      <c r="AB50" s="1455"/>
      <c r="AC50" s="1424">
        <v>2732964.25</v>
      </c>
      <c r="AD50" s="1422">
        <v>3404624</v>
      </c>
      <c r="AE50" s="1420">
        <v>878723.72</v>
      </c>
      <c r="AF50" s="1422">
        <v>648697</v>
      </c>
      <c r="AG50" s="1422">
        <v>0</v>
      </c>
      <c r="AH50" s="1456">
        <v>0</v>
      </c>
      <c r="AI50" s="1428">
        <v>7347520</v>
      </c>
      <c r="AJ50" s="1422">
        <v>7580800</v>
      </c>
      <c r="AK50" s="1422">
        <v>37124</v>
      </c>
      <c r="AL50" s="1422">
        <v>0</v>
      </c>
      <c r="AM50" s="1422">
        <v>129796</v>
      </c>
      <c r="AN50" s="1422">
        <v>0</v>
      </c>
      <c r="AO50" s="1422">
        <v>0</v>
      </c>
      <c r="AP50" s="1422">
        <v>0</v>
      </c>
      <c r="AQ50" s="1422">
        <v>0</v>
      </c>
      <c r="AR50" s="1422">
        <v>0</v>
      </c>
      <c r="AS50" s="1422">
        <v>0</v>
      </c>
      <c r="AT50" s="1422">
        <v>0</v>
      </c>
      <c r="AU50" s="1422">
        <v>12477</v>
      </c>
      <c r="AV50" s="1422">
        <v>9981</v>
      </c>
      <c r="AW50" s="1422">
        <v>31422</v>
      </c>
      <c r="AX50" s="1422">
        <v>0</v>
      </c>
      <c r="AY50" s="1420">
        <v>11170026.970000001</v>
      </c>
      <c r="AZ50" s="1422">
        <v>11644102</v>
      </c>
      <c r="BA50" s="1422">
        <v>0</v>
      </c>
      <c r="BB50" s="1422">
        <v>0</v>
      </c>
      <c r="BC50" s="1422">
        <v>66096</v>
      </c>
      <c r="BD50" s="1422">
        <v>68709</v>
      </c>
      <c r="BE50" s="1422">
        <v>1940</v>
      </c>
      <c r="BF50" s="1422">
        <v>0</v>
      </c>
      <c r="BG50" s="1422">
        <v>900</v>
      </c>
      <c r="BH50" s="1422">
        <v>0</v>
      </c>
      <c r="BI50" s="1422">
        <v>22753</v>
      </c>
      <c r="BJ50" s="1422">
        <v>18570</v>
      </c>
      <c r="BK50" s="1422">
        <v>0</v>
      </c>
      <c r="BL50" s="1422">
        <v>0</v>
      </c>
      <c r="BM50" s="1422">
        <v>428544</v>
      </c>
      <c r="BN50" s="1422">
        <v>446292</v>
      </c>
      <c r="BO50" s="1420">
        <v>343238.33</v>
      </c>
      <c r="BP50" s="1422">
        <v>0</v>
      </c>
      <c r="BQ50" s="1420">
        <v>68791.759999999995</v>
      </c>
      <c r="BR50" s="1422">
        <v>50375</v>
      </c>
      <c r="BS50" s="1420">
        <v>6520.13</v>
      </c>
      <c r="BT50" s="1422">
        <v>6500</v>
      </c>
      <c r="BU50" s="1422">
        <v>0</v>
      </c>
      <c r="BV50" s="1422">
        <v>0</v>
      </c>
      <c r="BW50" s="1422">
        <v>169846</v>
      </c>
      <c r="BX50" s="1422">
        <v>170000</v>
      </c>
      <c r="BY50" s="1422">
        <v>0</v>
      </c>
      <c r="BZ50" s="1422">
        <v>0</v>
      </c>
      <c r="CA50" s="1422">
        <v>109821</v>
      </c>
      <c r="CB50" s="1422">
        <v>102544</v>
      </c>
      <c r="CC50" s="1420">
        <v>1218450.22</v>
      </c>
      <c r="CD50" s="1422">
        <v>862990</v>
      </c>
      <c r="CE50" s="1420">
        <v>2391888.52</v>
      </c>
      <c r="CF50" s="1420">
        <v>2033553.69</v>
      </c>
      <c r="CG50" s="1422">
        <v>178520</v>
      </c>
      <c r="CH50" s="1422">
        <v>0</v>
      </c>
      <c r="CI50" s="1422">
        <v>0</v>
      </c>
      <c r="CJ50" s="1422">
        <v>0</v>
      </c>
      <c r="CK50" s="1422">
        <v>0</v>
      </c>
      <c r="CL50" s="1422">
        <v>0</v>
      </c>
      <c r="CM50" s="1422">
        <v>0</v>
      </c>
      <c r="CN50" s="1422">
        <v>0</v>
      </c>
      <c r="CO50" s="1422">
        <v>53075</v>
      </c>
      <c r="CP50" s="1422">
        <v>0</v>
      </c>
      <c r="CQ50" s="1422">
        <v>0</v>
      </c>
      <c r="CR50" s="1422">
        <v>0</v>
      </c>
      <c r="CS50" s="1422">
        <v>231595</v>
      </c>
      <c r="CT50" s="1422">
        <v>0</v>
      </c>
      <c r="CU50" s="1420">
        <v>15011960.710000001</v>
      </c>
      <c r="CV50" s="1420">
        <v>14540645.689999999</v>
      </c>
      <c r="CW50" s="1420">
        <v>5645400.8499999996</v>
      </c>
      <c r="CX50" s="1420">
        <v>5228843.01</v>
      </c>
      <c r="CY50" s="1420">
        <v>1287067.93</v>
      </c>
      <c r="CZ50" s="1420">
        <v>1059476.92</v>
      </c>
      <c r="DA50" s="1420">
        <v>333807.2</v>
      </c>
      <c r="DB50" s="1422">
        <v>350289</v>
      </c>
      <c r="DC50" s="1422">
        <v>0</v>
      </c>
      <c r="DD50" s="1422">
        <v>0</v>
      </c>
      <c r="DE50" s="1420">
        <v>464368.59</v>
      </c>
      <c r="DF50" s="1420">
        <v>467445.81</v>
      </c>
      <c r="DG50" s="1420">
        <v>538408.31000000006</v>
      </c>
      <c r="DH50" s="1422">
        <v>584190</v>
      </c>
      <c r="DI50" s="1420">
        <v>8269052.8799999999</v>
      </c>
      <c r="DJ50" s="1420">
        <v>7690244.7400000002</v>
      </c>
      <c r="DK50" s="1420">
        <v>188158.75</v>
      </c>
      <c r="DL50" s="1422">
        <v>193034</v>
      </c>
      <c r="DM50" s="1420">
        <v>410147.83</v>
      </c>
      <c r="DN50" s="1420">
        <v>390446.77</v>
      </c>
      <c r="DO50" s="1420">
        <v>1370866.08</v>
      </c>
      <c r="DP50" s="1422">
        <v>1446533</v>
      </c>
      <c r="DQ50" s="1420">
        <v>672238.1</v>
      </c>
      <c r="DR50" s="1422">
        <v>727147</v>
      </c>
      <c r="DS50" s="1420">
        <v>41243.96</v>
      </c>
      <c r="DT50" s="1422">
        <v>26300</v>
      </c>
      <c r="DU50" s="1420">
        <v>2682654.7200000002</v>
      </c>
      <c r="DV50" s="1420">
        <v>2783460.77</v>
      </c>
      <c r="DW50" s="1420">
        <v>635269.4</v>
      </c>
      <c r="DX50" s="1422">
        <v>703601</v>
      </c>
      <c r="DY50" s="1420">
        <v>703764.52</v>
      </c>
      <c r="DZ50" s="1420">
        <v>754615.78</v>
      </c>
      <c r="EA50" s="1420">
        <v>555143.73</v>
      </c>
      <c r="EB50" s="1422">
        <v>551405</v>
      </c>
      <c r="EC50" s="1420">
        <v>1894177.65</v>
      </c>
      <c r="ED50" s="1420">
        <v>2009621.78</v>
      </c>
      <c r="EE50" s="1420">
        <v>796851.47</v>
      </c>
      <c r="EF50" s="1422">
        <v>656924</v>
      </c>
      <c r="EG50" s="1422">
        <v>0</v>
      </c>
      <c r="EH50" s="1422">
        <v>0</v>
      </c>
      <c r="EI50" s="1420">
        <v>73017.19</v>
      </c>
      <c r="EJ50" s="1422">
        <v>80350</v>
      </c>
      <c r="EK50" s="1422">
        <v>0</v>
      </c>
      <c r="EL50" s="1422">
        <v>0</v>
      </c>
      <c r="EM50" s="1420">
        <v>869868.66</v>
      </c>
      <c r="EN50" s="1422">
        <v>737274</v>
      </c>
      <c r="EO50" s="1420">
        <v>456240.7</v>
      </c>
      <c r="EP50" s="1420">
        <v>116544.45</v>
      </c>
      <c r="EQ50" s="1420">
        <v>647732.73</v>
      </c>
      <c r="ER50" s="1420">
        <v>572733.32999999996</v>
      </c>
      <c r="ES50" s="1422">
        <v>0</v>
      </c>
      <c r="ET50" s="1422">
        <v>0</v>
      </c>
      <c r="EU50" s="1420">
        <v>14819727.34</v>
      </c>
      <c r="EV50" s="1420">
        <v>13909879.07</v>
      </c>
      <c r="EW50" s="1420">
        <v>753120.98</v>
      </c>
      <c r="EX50" s="1420">
        <v>176234.45</v>
      </c>
      <c r="EY50" s="1420">
        <v>647732.73</v>
      </c>
      <c r="EZ50" s="1420">
        <v>572733.32999999996</v>
      </c>
      <c r="FA50" s="1420">
        <v>13418873.630000001</v>
      </c>
      <c r="FB50" s="1420">
        <v>13160911.289999999</v>
      </c>
      <c r="FC50" s="1420">
        <v>1080611.67</v>
      </c>
      <c r="FD50" s="1439"/>
      <c r="FE50" s="1420">
        <v>12338261.960000001</v>
      </c>
      <c r="FF50" s="1439"/>
      <c r="FG50" s="1422">
        <v>8037</v>
      </c>
      <c r="FH50" s="1439"/>
      <c r="FI50" s="1420">
        <v>114.46</v>
      </c>
      <c r="FJ50" s="1439"/>
      <c r="FK50" s="1422">
        <v>40653</v>
      </c>
      <c r="FL50" s="1439"/>
      <c r="FM50" s="1420">
        <v>123.52</v>
      </c>
      <c r="FN50" s="1439"/>
      <c r="FO50" s="1422">
        <v>42478</v>
      </c>
      <c r="FP50" s="1439"/>
      <c r="FQ50" s="1420">
        <v>1678623.26</v>
      </c>
      <c r="FR50" s="1439"/>
      <c r="FS50" s="1420">
        <v>49667.59</v>
      </c>
      <c r="FT50" s="1439"/>
      <c r="FU50" s="1420">
        <v>148620.54</v>
      </c>
      <c r="FV50" s="1439"/>
      <c r="FW50" s="1420">
        <v>1480335.13</v>
      </c>
      <c r="FX50" s="1439"/>
      <c r="FY50" s="1420">
        <v>223304.05</v>
      </c>
      <c r="FZ50" s="1439"/>
      <c r="GA50" s="1422">
        <v>0</v>
      </c>
      <c r="GB50" s="1439"/>
    </row>
    <row r="51" spans="1:184" ht="12.75" customHeight="1" thickBot="1">
      <c r="A51" s="1418" t="s">
        <v>499</v>
      </c>
      <c r="B51" s="1418" t="s">
        <v>500</v>
      </c>
      <c r="C51" s="1420">
        <v>113.04</v>
      </c>
      <c r="D51" s="1439"/>
      <c r="E51" s="1420">
        <v>1567.46</v>
      </c>
      <c r="F51" s="1439"/>
      <c r="G51" s="1421">
        <v>0.24</v>
      </c>
      <c r="H51" s="1439"/>
      <c r="I51" s="1420">
        <v>1625.27</v>
      </c>
      <c r="J51" s="1439"/>
      <c r="K51" s="1420">
        <v>1574.01</v>
      </c>
      <c r="L51" s="1439"/>
      <c r="M51" s="1422">
        <v>97971832</v>
      </c>
      <c r="N51" s="1439"/>
      <c r="O51" s="1422">
        <v>25</v>
      </c>
      <c r="P51" s="1439"/>
      <c r="Q51" s="1422">
        <v>25</v>
      </c>
      <c r="R51" s="1439"/>
      <c r="S51" s="1422">
        <v>0</v>
      </c>
      <c r="T51" s="1439"/>
      <c r="U51" s="1422">
        <v>0</v>
      </c>
      <c r="V51" s="1439"/>
      <c r="W51" s="1420">
        <v>12.01</v>
      </c>
      <c r="X51" s="1439"/>
      <c r="Y51" s="1420">
        <v>37.01</v>
      </c>
      <c r="Z51" s="1439"/>
      <c r="AA51" s="1420">
        <v>10690489.32</v>
      </c>
      <c r="AB51" s="1455"/>
      <c r="AC51" s="1424">
        <v>3342596.4</v>
      </c>
      <c r="AD51" s="1422">
        <v>3807454</v>
      </c>
      <c r="AE51" s="1420">
        <v>1007765.11</v>
      </c>
      <c r="AF51" s="1422">
        <v>588214</v>
      </c>
      <c r="AG51" s="1422">
        <v>0</v>
      </c>
      <c r="AH51" s="1456">
        <v>0</v>
      </c>
      <c r="AI51" s="1428">
        <v>7220250</v>
      </c>
      <c r="AJ51" s="1422">
        <v>7533248</v>
      </c>
      <c r="AK51" s="1422">
        <v>43611</v>
      </c>
      <c r="AL51" s="1422">
        <v>0</v>
      </c>
      <c r="AM51" s="1422">
        <v>323931</v>
      </c>
      <c r="AN51" s="1422">
        <v>200000</v>
      </c>
      <c r="AO51" s="1422">
        <v>0</v>
      </c>
      <c r="AP51" s="1422">
        <v>0</v>
      </c>
      <c r="AQ51" s="1422">
        <v>0</v>
      </c>
      <c r="AR51" s="1422">
        <v>0</v>
      </c>
      <c r="AS51" s="1422">
        <v>0</v>
      </c>
      <c r="AT51" s="1422">
        <v>0</v>
      </c>
      <c r="AU51" s="1422">
        <v>0</v>
      </c>
      <c r="AV51" s="1422">
        <v>0</v>
      </c>
      <c r="AW51" s="1422">
        <v>18007</v>
      </c>
      <c r="AX51" s="1422">
        <v>18007</v>
      </c>
      <c r="AY51" s="1420">
        <v>11956160.51</v>
      </c>
      <c r="AZ51" s="1422">
        <v>12146923</v>
      </c>
      <c r="BA51" s="1422">
        <v>0</v>
      </c>
      <c r="BB51" s="1422">
        <v>360</v>
      </c>
      <c r="BC51" s="1422">
        <v>65101</v>
      </c>
      <c r="BD51" s="1422">
        <v>68520</v>
      </c>
      <c r="BE51" s="1420">
        <v>6691.02</v>
      </c>
      <c r="BF51" s="1422">
        <v>7200</v>
      </c>
      <c r="BG51" s="1422">
        <v>1000</v>
      </c>
      <c r="BH51" s="1422">
        <v>0</v>
      </c>
      <c r="BI51" s="1422">
        <v>28360</v>
      </c>
      <c r="BJ51" s="1422">
        <v>33409</v>
      </c>
      <c r="BK51" s="1422">
        <v>4102</v>
      </c>
      <c r="BL51" s="1422">
        <v>0</v>
      </c>
      <c r="BM51" s="1422">
        <v>313328</v>
      </c>
      <c r="BN51" s="1422">
        <v>314226</v>
      </c>
      <c r="BO51" s="1420">
        <v>57430.32</v>
      </c>
      <c r="BP51" s="1420">
        <v>35610.65</v>
      </c>
      <c r="BQ51" s="1420">
        <v>52678.879999999997</v>
      </c>
      <c r="BR51" s="1422">
        <v>24375</v>
      </c>
      <c r="BS51" s="1420">
        <v>5918.71</v>
      </c>
      <c r="BT51" s="1422">
        <v>6200</v>
      </c>
      <c r="BU51" s="1422">
        <v>0</v>
      </c>
      <c r="BV51" s="1422">
        <v>0</v>
      </c>
      <c r="BW51" s="1422">
        <v>296460</v>
      </c>
      <c r="BX51" s="1422">
        <v>296460</v>
      </c>
      <c r="BY51" s="1422">
        <v>0</v>
      </c>
      <c r="BZ51" s="1422">
        <v>0</v>
      </c>
      <c r="CA51" s="1420">
        <v>365777.05</v>
      </c>
      <c r="CB51" s="1422">
        <v>616325</v>
      </c>
      <c r="CC51" s="1420">
        <v>1196846.98</v>
      </c>
      <c r="CD51" s="1420">
        <v>1402685.65</v>
      </c>
      <c r="CE51" s="1420">
        <v>1839145.65</v>
      </c>
      <c r="CF51" s="1420">
        <v>1458382.9</v>
      </c>
      <c r="CG51" s="1422">
        <v>510761</v>
      </c>
      <c r="CH51" s="1422">
        <v>188409</v>
      </c>
      <c r="CI51" s="1422">
        <v>0</v>
      </c>
      <c r="CJ51" s="1422">
        <v>0</v>
      </c>
      <c r="CK51" s="1422">
        <v>0</v>
      </c>
      <c r="CL51" s="1422">
        <v>0</v>
      </c>
      <c r="CM51" s="1422">
        <v>0</v>
      </c>
      <c r="CN51" s="1422">
        <v>0</v>
      </c>
      <c r="CO51" s="1422">
        <v>0</v>
      </c>
      <c r="CP51" s="1422">
        <v>0</v>
      </c>
      <c r="CQ51" s="1422">
        <v>0</v>
      </c>
      <c r="CR51" s="1422">
        <v>0</v>
      </c>
      <c r="CS51" s="1422">
        <v>510761</v>
      </c>
      <c r="CT51" s="1422">
        <v>188409</v>
      </c>
      <c r="CU51" s="1420">
        <v>15502914.140000001</v>
      </c>
      <c r="CV51" s="1420">
        <v>15196400.550000001</v>
      </c>
      <c r="CW51" s="1420">
        <v>5782408.6500000004</v>
      </c>
      <c r="CX51" s="1420">
        <v>5936539.0700000003</v>
      </c>
      <c r="CY51" s="1420">
        <v>1064273.69</v>
      </c>
      <c r="CZ51" s="1420">
        <v>1157600.56</v>
      </c>
      <c r="DA51" s="1420">
        <v>339343.18</v>
      </c>
      <c r="DB51" s="1422">
        <v>356294</v>
      </c>
      <c r="DC51" s="1422">
        <v>0</v>
      </c>
      <c r="DD51" s="1422">
        <v>360</v>
      </c>
      <c r="DE51" s="1420">
        <v>324871.62</v>
      </c>
      <c r="DF51" s="1420">
        <v>298506.13</v>
      </c>
      <c r="DG51" s="1420">
        <v>330179.93</v>
      </c>
      <c r="DH51" s="1422">
        <v>302246</v>
      </c>
      <c r="DI51" s="1420">
        <v>7841077.0700000003</v>
      </c>
      <c r="DJ51" s="1420">
        <v>8051545.7599999998</v>
      </c>
      <c r="DK51" s="1420">
        <v>308028.46999999997</v>
      </c>
      <c r="DL51" s="1420">
        <v>348492.77</v>
      </c>
      <c r="DM51" s="1420">
        <v>159241.1</v>
      </c>
      <c r="DN51" s="1420">
        <v>147275.45000000001</v>
      </c>
      <c r="DO51" s="1420">
        <v>1150616.51</v>
      </c>
      <c r="DP51" s="1422">
        <v>1324391</v>
      </c>
      <c r="DQ51" s="1420">
        <v>471104.86</v>
      </c>
      <c r="DR51" s="1420">
        <v>583151.65</v>
      </c>
      <c r="DS51" s="1420">
        <v>13302.75</v>
      </c>
      <c r="DT51" s="1422">
        <v>20838</v>
      </c>
      <c r="DU51" s="1420">
        <v>2102293.69</v>
      </c>
      <c r="DV51" s="1420">
        <v>2424148.87</v>
      </c>
      <c r="DW51" s="1420">
        <v>503146.43</v>
      </c>
      <c r="DX51" s="1420">
        <v>563782.05000000005</v>
      </c>
      <c r="DY51" s="1420">
        <v>890587.52</v>
      </c>
      <c r="DZ51" s="1420">
        <v>810621.96</v>
      </c>
      <c r="EA51" s="1420">
        <v>621774.49</v>
      </c>
      <c r="EB51" s="1420">
        <v>695957.19</v>
      </c>
      <c r="EC51" s="1420">
        <v>2015508.44</v>
      </c>
      <c r="ED51" s="1420">
        <v>2070361.2</v>
      </c>
      <c r="EE51" s="1420">
        <v>649675.5</v>
      </c>
      <c r="EF51" s="1422">
        <v>654913</v>
      </c>
      <c r="EG51" s="1420">
        <v>642.03</v>
      </c>
      <c r="EH51" s="1422">
        <v>0</v>
      </c>
      <c r="EI51" s="1420">
        <v>143233.16</v>
      </c>
      <c r="EJ51" s="1422">
        <v>146554</v>
      </c>
      <c r="EK51" s="1422">
        <v>0</v>
      </c>
      <c r="EL51" s="1422">
        <v>0</v>
      </c>
      <c r="EM51" s="1420">
        <v>793550.69</v>
      </c>
      <c r="EN51" s="1422">
        <v>801467</v>
      </c>
      <c r="EO51" s="1420">
        <v>727762.65</v>
      </c>
      <c r="EP51" s="1422">
        <v>1049472</v>
      </c>
      <c r="EQ51" s="1420">
        <v>1075416.26</v>
      </c>
      <c r="ER51" s="1420">
        <v>887033.62</v>
      </c>
      <c r="ES51" s="1422">
        <v>0</v>
      </c>
      <c r="ET51" s="1422">
        <v>1144</v>
      </c>
      <c r="EU51" s="1420">
        <v>14555608.800000001</v>
      </c>
      <c r="EV51" s="1420">
        <v>15285172.449999999</v>
      </c>
      <c r="EW51" s="1420">
        <v>826275.76</v>
      </c>
      <c r="EX51" s="1422">
        <v>1257922</v>
      </c>
      <c r="EY51" s="1420">
        <v>1075416.26</v>
      </c>
      <c r="EZ51" s="1420">
        <v>887033.62</v>
      </c>
      <c r="FA51" s="1420">
        <v>12653916.779999999</v>
      </c>
      <c r="FB51" s="1420">
        <v>13140216.83</v>
      </c>
      <c r="FC51" s="1420">
        <v>1163512.46</v>
      </c>
      <c r="FD51" s="1439"/>
      <c r="FE51" s="1420">
        <v>11490404.32</v>
      </c>
      <c r="FF51" s="1439"/>
      <c r="FG51" s="1422">
        <v>7330</v>
      </c>
      <c r="FH51" s="1439"/>
      <c r="FI51" s="1420">
        <v>113.39</v>
      </c>
      <c r="FJ51" s="1439"/>
      <c r="FK51" s="1422">
        <v>42002</v>
      </c>
      <c r="FL51" s="1439"/>
      <c r="FM51" s="1420">
        <v>124.5</v>
      </c>
      <c r="FN51" s="1439"/>
      <c r="FO51" s="1422">
        <v>43311</v>
      </c>
      <c r="FP51" s="1439"/>
      <c r="FQ51" s="1420">
        <v>2054439.33</v>
      </c>
      <c r="FR51" s="1439"/>
      <c r="FS51" s="1420">
        <v>19623.45</v>
      </c>
      <c r="FT51" s="1439"/>
      <c r="FU51" s="1422">
        <v>0</v>
      </c>
      <c r="FV51" s="1439"/>
      <c r="FW51" s="1420">
        <v>2034815.88</v>
      </c>
      <c r="FX51" s="1439"/>
      <c r="FY51" s="1420">
        <v>886271.66</v>
      </c>
      <c r="FZ51" s="1439"/>
      <c r="GA51" s="1422">
        <v>0</v>
      </c>
      <c r="GB51" s="1439"/>
    </row>
    <row r="52" spans="1:184" ht="12.75" customHeight="1" thickBot="1">
      <c r="A52" s="1418" t="s">
        <v>501</v>
      </c>
      <c r="B52" s="1418" t="s">
        <v>502</v>
      </c>
      <c r="C52" s="1420">
        <v>137.56</v>
      </c>
      <c r="D52" s="1439"/>
      <c r="E52" s="1420">
        <v>773.94</v>
      </c>
      <c r="F52" s="1439"/>
      <c r="G52" s="1421">
        <v>-0.01</v>
      </c>
      <c r="H52" s="1439"/>
      <c r="I52" s="1420">
        <v>821.9</v>
      </c>
      <c r="J52" s="1439"/>
      <c r="K52" s="1420">
        <v>806.92</v>
      </c>
      <c r="L52" s="1439"/>
      <c r="M52" s="1422">
        <v>51082096</v>
      </c>
      <c r="N52" s="1439"/>
      <c r="O52" s="1422">
        <v>25</v>
      </c>
      <c r="P52" s="1439"/>
      <c r="Q52" s="1422">
        <v>25</v>
      </c>
      <c r="R52" s="1439"/>
      <c r="S52" s="1422">
        <v>0</v>
      </c>
      <c r="T52" s="1439"/>
      <c r="U52" s="1422">
        <v>0</v>
      </c>
      <c r="V52" s="1439"/>
      <c r="W52" s="1422">
        <v>8</v>
      </c>
      <c r="X52" s="1439"/>
      <c r="Y52" s="1422">
        <v>33</v>
      </c>
      <c r="Z52" s="1439"/>
      <c r="AA52" s="1422">
        <v>3515000</v>
      </c>
      <c r="AB52" s="1455"/>
      <c r="AC52" s="1424">
        <v>1357398.96</v>
      </c>
      <c r="AD52" s="1422">
        <v>1578810</v>
      </c>
      <c r="AE52" s="1420">
        <v>742672.05</v>
      </c>
      <c r="AF52" s="1422">
        <v>163350</v>
      </c>
      <c r="AG52" s="1422">
        <v>0</v>
      </c>
      <c r="AH52" s="1456">
        <v>0</v>
      </c>
      <c r="AI52" s="1428">
        <v>3678213</v>
      </c>
      <c r="AJ52" s="1422">
        <v>3791603</v>
      </c>
      <c r="AK52" s="1422">
        <v>23318</v>
      </c>
      <c r="AL52" s="1422">
        <v>0</v>
      </c>
      <c r="AM52" s="1422">
        <v>0</v>
      </c>
      <c r="AN52" s="1422">
        <v>0</v>
      </c>
      <c r="AO52" s="1422">
        <v>93688</v>
      </c>
      <c r="AP52" s="1422">
        <v>0</v>
      </c>
      <c r="AQ52" s="1422">
        <v>0</v>
      </c>
      <c r="AR52" s="1422">
        <v>0</v>
      </c>
      <c r="AS52" s="1422">
        <v>0</v>
      </c>
      <c r="AT52" s="1422">
        <v>0</v>
      </c>
      <c r="AU52" s="1422">
        <v>173</v>
      </c>
      <c r="AV52" s="1422">
        <v>0</v>
      </c>
      <c r="AW52" s="1422">
        <v>0</v>
      </c>
      <c r="AX52" s="1422">
        <v>0</v>
      </c>
      <c r="AY52" s="1420">
        <v>5895463.0099999998</v>
      </c>
      <c r="AZ52" s="1422">
        <v>5533763</v>
      </c>
      <c r="BA52" s="1422">
        <v>0</v>
      </c>
      <c r="BB52" s="1422">
        <v>0</v>
      </c>
      <c r="BC52" s="1422">
        <v>33374</v>
      </c>
      <c r="BD52" s="1422">
        <v>34831</v>
      </c>
      <c r="BE52" s="1422">
        <v>0</v>
      </c>
      <c r="BF52" s="1422">
        <v>2400</v>
      </c>
      <c r="BG52" s="1422">
        <v>100</v>
      </c>
      <c r="BH52" s="1422">
        <v>0</v>
      </c>
      <c r="BI52" s="1422">
        <v>0</v>
      </c>
      <c r="BJ52" s="1422">
        <v>0</v>
      </c>
      <c r="BK52" s="1422">
        <v>15236</v>
      </c>
      <c r="BL52" s="1422">
        <v>7500</v>
      </c>
      <c r="BM52" s="1422">
        <v>257920</v>
      </c>
      <c r="BN52" s="1422">
        <v>280324</v>
      </c>
      <c r="BO52" s="1420">
        <v>3305.61</v>
      </c>
      <c r="BP52" s="1422">
        <v>0</v>
      </c>
      <c r="BQ52" s="1422">
        <v>0</v>
      </c>
      <c r="BR52" s="1422">
        <v>0</v>
      </c>
      <c r="BS52" s="1420">
        <v>2939.74</v>
      </c>
      <c r="BT52" s="1422">
        <v>2750</v>
      </c>
      <c r="BU52" s="1422">
        <v>0</v>
      </c>
      <c r="BV52" s="1422">
        <v>0</v>
      </c>
      <c r="BW52" s="1420">
        <v>145320.20000000001</v>
      </c>
      <c r="BX52" s="1422">
        <v>145000</v>
      </c>
      <c r="BY52" s="1422">
        <v>0</v>
      </c>
      <c r="BZ52" s="1422">
        <v>0</v>
      </c>
      <c r="CA52" s="1420">
        <v>67936.639999999999</v>
      </c>
      <c r="CB52" s="1422">
        <v>47934</v>
      </c>
      <c r="CC52" s="1420">
        <v>526132.18999999994</v>
      </c>
      <c r="CD52" s="1422">
        <v>520739</v>
      </c>
      <c r="CE52" s="1420">
        <v>1639759.89</v>
      </c>
      <c r="CF52" s="1422">
        <v>876736</v>
      </c>
      <c r="CG52" s="1422">
        <v>0</v>
      </c>
      <c r="CH52" s="1422">
        <v>0</v>
      </c>
      <c r="CI52" s="1422">
        <v>0</v>
      </c>
      <c r="CJ52" s="1422">
        <v>0</v>
      </c>
      <c r="CK52" s="1422">
        <v>0</v>
      </c>
      <c r="CL52" s="1422">
        <v>0</v>
      </c>
      <c r="CM52" s="1422">
        <v>0</v>
      </c>
      <c r="CN52" s="1422">
        <v>0</v>
      </c>
      <c r="CO52" s="1422">
        <v>0</v>
      </c>
      <c r="CP52" s="1422">
        <v>0</v>
      </c>
      <c r="CQ52" s="1422">
        <v>0</v>
      </c>
      <c r="CR52" s="1422">
        <v>0</v>
      </c>
      <c r="CS52" s="1422">
        <v>0</v>
      </c>
      <c r="CT52" s="1422">
        <v>0</v>
      </c>
      <c r="CU52" s="1420">
        <v>8061355.0899999999</v>
      </c>
      <c r="CV52" s="1422">
        <v>6931238</v>
      </c>
      <c r="CW52" s="1420">
        <v>4052629.85</v>
      </c>
      <c r="CX52" s="1422">
        <v>3451804</v>
      </c>
      <c r="CY52" s="1420">
        <v>576636.14</v>
      </c>
      <c r="CZ52" s="1422">
        <v>548319</v>
      </c>
      <c r="DA52" s="1420">
        <v>255097.95</v>
      </c>
      <c r="DB52" s="1422">
        <v>264780</v>
      </c>
      <c r="DC52" s="1422">
        <v>0</v>
      </c>
      <c r="DD52" s="1422">
        <v>0</v>
      </c>
      <c r="DE52" s="1420">
        <v>399393.92</v>
      </c>
      <c r="DF52" s="1422">
        <v>290418</v>
      </c>
      <c r="DG52" s="1420">
        <v>66206.899999999994</v>
      </c>
      <c r="DH52" s="1422">
        <v>69155</v>
      </c>
      <c r="DI52" s="1420">
        <v>5349964.76</v>
      </c>
      <c r="DJ52" s="1422">
        <v>4624476</v>
      </c>
      <c r="DK52" s="1420">
        <v>226194.2</v>
      </c>
      <c r="DL52" s="1422">
        <v>229110</v>
      </c>
      <c r="DM52" s="1420">
        <v>38459.89</v>
      </c>
      <c r="DN52" s="1422">
        <v>39150</v>
      </c>
      <c r="DO52" s="1420">
        <v>710084.76</v>
      </c>
      <c r="DP52" s="1422">
        <v>769946</v>
      </c>
      <c r="DQ52" s="1420">
        <v>266847.2</v>
      </c>
      <c r="DR52" s="1422">
        <v>232730</v>
      </c>
      <c r="DS52" s="1420">
        <v>5017.4799999999996</v>
      </c>
      <c r="DT52" s="1422">
        <v>5000</v>
      </c>
      <c r="DU52" s="1420">
        <v>1246603.53</v>
      </c>
      <c r="DV52" s="1422">
        <v>1275936</v>
      </c>
      <c r="DW52" s="1420">
        <v>217091.55</v>
      </c>
      <c r="DX52" s="1422">
        <v>229710</v>
      </c>
      <c r="DY52" s="1420">
        <v>258480.2</v>
      </c>
      <c r="DZ52" s="1422">
        <v>287315</v>
      </c>
      <c r="EA52" s="1420">
        <v>424033.97</v>
      </c>
      <c r="EB52" s="1422">
        <v>416245</v>
      </c>
      <c r="EC52" s="1420">
        <v>899605.72</v>
      </c>
      <c r="ED52" s="1422">
        <v>933270</v>
      </c>
      <c r="EE52" s="1420">
        <v>368402.9</v>
      </c>
      <c r="EF52" s="1422">
        <v>377200</v>
      </c>
      <c r="EG52" s="1422">
        <v>0</v>
      </c>
      <c r="EH52" s="1422">
        <v>0</v>
      </c>
      <c r="EI52" s="1420">
        <v>717.82</v>
      </c>
      <c r="EJ52" s="1422">
        <v>0</v>
      </c>
      <c r="EK52" s="1422">
        <v>0</v>
      </c>
      <c r="EL52" s="1422">
        <v>0</v>
      </c>
      <c r="EM52" s="1420">
        <v>369120.72</v>
      </c>
      <c r="EN52" s="1422">
        <v>377200</v>
      </c>
      <c r="EO52" s="1420">
        <v>64433.5</v>
      </c>
      <c r="EP52" s="1422">
        <v>0</v>
      </c>
      <c r="EQ52" s="1420">
        <v>117556.75</v>
      </c>
      <c r="ER52" s="1420">
        <v>232156.26</v>
      </c>
      <c r="ES52" s="1422">
        <v>0</v>
      </c>
      <c r="ET52" s="1422">
        <v>0</v>
      </c>
      <c r="EU52" s="1420">
        <v>8047284.9800000004</v>
      </c>
      <c r="EV52" s="1420">
        <v>7443038.2599999998</v>
      </c>
      <c r="EW52" s="1420">
        <v>319173.84999999998</v>
      </c>
      <c r="EX52" s="1422">
        <v>106000</v>
      </c>
      <c r="EY52" s="1420">
        <v>117556.75</v>
      </c>
      <c r="EZ52" s="1420">
        <v>232156.26</v>
      </c>
      <c r="FA52" s="1420">
        <v>7610554.3799999999</v>
      </c>
      <c r="FB52" s="1422">
        <v>7104882</v>
      </c>
      <c r="FC52" s="1422">
        <v>695250</v>
      </c>
      <c r="FD52" s="1439"/>
      <c r="FE52" s="1420">
        <v>6915304.3799999999</v>
      </c>
      <c r="FF52" s="1439"/>
      <c r="FG52" s="1422">
        <v>8935</v>
      </c>
      <c r="FH52" s="1439"/>
      <c r="FI52" s="1422">
        <v>71</v>
      </c>
      <c r="FJ52" s="1439"/>
      <c r="FK52" s="1422">
        <v>40580</v>
      </c>
      <c r="FL52" s="1439"/>
      <c r="FM52" s="1422">
        <v>76</v>
      </c>
      <c r="FN52" s="1439"/>
      <c r="FO52" s="1422">
        <v>42534</v>
      </c>
      <c r="FP52" s="1439"/>
      <c r="FQ52" s="1420">
        <v>1168519.6299999999</v>
      </c>
      <c r="FR52" s="1439"/>
      <c r="FS52" s="1420">
        <v>134609.63</v>
      </c>
      <c r="FT52" s="1439"/>
      <c r="FU52" s="1422">
        <v>0</v>
      </c>
      <c r="FV52" s="1439"/>
      <c r="FW52" s="1422">
        <v>1033910</v>
      </c>
      <c r="FX52" s="1439"/>
      <c r="FY52" s="1420">
        <v>134333.07999999999</v>
      </c>
      <c r="FZ52" s="1439"/>
      <c r="GA52" s="1422">
        <v>0</v>
      </c>
      <c r="GB52" s="1439"/>
    </row>
    <row r="53" spans="1:184" ht="12.75" customHeight="1" thickBot="1">
      <c r="A53" s="1418" t="s">
        <v>503</v>
      </c>
      <c r="B53" s="1418" t="s">
        <v>504</v>
      </c>
      <c r="C53" s="1420">
        <v>36.47</v>
      </c>
      <c r="D53" s="1439"/>
      <c r="E53" s="1420">
        <v>4911.8500000000004</v>
      </c>
      <c r="F53" s="1439"/>
      <c r="G53" s="1421">
        <v>0.12</v>
      </c>
      <c r="H53" s="1439"/>
      <c r="I53" s="1420">
        <v>5315.11</v>
      </c>
      <c r="J53" s="1439"/>
      <c r="K53" s="1420">
        <v>5214.8</v>
      </c>
      <c r="L53" s="1439"/>
      <c r="M53" s="1422">
        <v>505829513</v>
      </c>
      <c r="N53" s="1439"/>
      <c r="O53" s="1420">
        <v>25.4</v>
      </c>
      <c r="P53" s="1439"/>
      <c r="Q53" s="1422">
        <v>25</v>
      </c>
      <c r="R53" s="1439"/>
      <c r="S53" s="1420">
        <v>0.4</v>
      </c>
      <c r="T53" s="1439"/>
      <c r="U53" s="1422">
        <v>0</v>
      </c>
      <c r="V53" s="1439"/>
      <c r="W53" s="1420">
        <v>7.7</v>
      </c>
      <c r="X53" s="1439"/>
      <c r="Y53" s="1420">
        <v>33.1</v>
      </c>
      <c r="Z53" s="1439"/>
      <c r="AA53" s="1420">
        <v>43182475.390000001</v>
      </c>
      <c r="AB53" s="1455"/>
      <c r="AC53" s="1424">
        <v>14164337.76</v>
      </c>
      <c r="AD53" s="1420">
        <v>15386988.189999999</v>
      </c>
      <c r="AE53" s="1420">
        <v>2142165.5699999998</v>
      </c>
      <c r="AF53" s="1420">
        <v>1640141.86</v>
      </c>
      <c r="AG53" s="1422">
        <v>0</v>
      </c>
      <c r="AH53" s="1456">
        <v>0</v>
      </c>
      <c r="AI53" s="1428">
        <v>19439646</v>
      </c>
      <c r="AJ53" s="1422">
        <v>20294847</v>
      </c>
      <c r="AK53" s="1422">
        <v>291130</v>
      </c>
      <c r="AL53" s="1420">
        <v>389491.98</v>
      </c>
      <c r="AM53" s="1422">
        <v>714051</v>
      </c>
      <c r="AN53" s="1422">
        <v>0</v>
      </c>
      <c r="AO53" s="1422">
        <v>0</v>
      </c>
      <c r="AP53" s="1422">
        <v>0</v>
      </c>
      <c r="AQ53" s="1422">
        <v>0</v>
      </c>
      <c r="AR53" s="1422">
        <v>0</v>
      </c>
      <c r="AS53" s="1422">
        <v>0</v>
      </c>
      <c r="AT53" s="1422">
        <v>0</v>
      </c>
      <c r="AU53" s="1422">
        <v>0</v>
      </c>
      <c r="AV53" s="1422">
        <v>0</v>
      </c>
      <c r="AW53" s="1422">
        <v>0</v>
      </c>
      <c r="AX53" s="1422">
        <v>0</v>
      </c>
      <c r="AY53" s="1420">
        <v>36751330.329999998</v>
      </c>
      <c r="AZ53" s="1420">
        <v>37711469.030000001</v>
      </c>
      <c r="BA53" s="1422">
        <v>0</v>
      </c>
      <c r="BB53" s="1422">
        <v>0</v>
      </c>
      <c r="BC53" s="1422">
        <v>215684</v>
      </c>
      <c r="BD53" s="1422">
        <v>225592</v>
      </c>
      <c r="BE53" s="1420">
        <v>27794.26</v>
      </c>
      <c r="BF53" s="1422">
        <v>24000</v>
      </c>
      <c r="BG53" s="1422">
        <v>14150</v>
      </c>
      <c r="BH53" s="1422">
        <v>0</v>
      </c>
      <c r="BI53" s="1422">
        <v>427265</v>
      </c>
      <c r="BJ53" s="1422">
        <v>445712</v>
      </c>
      <c r="BK53" s="1422">
        <v>70320</v>
      </c>
      <c r="BL53" s="1422">
        <v>70320</v>
      </c>
      <c r="BM53" s="1422">
        <v>1797411</v>
      </c>
      <c r="BN53" s="1422">
        <v>2704725</v>
      </c>
      <c r="BO53" s="1420">
        <v>272778.64</v>
      </c>
      <c r="BP53" s="1422">
        <v>0</v>
      </c>
      <c r="BQ53" s="1420">
        <v>273766.48</v>
      </c>
      <c r="BR53" s="1420">
        <v>323080.5</v>
      </c>
      <c r="BS53" s="1420">
        <v>20089.310000000001</v>
      </c>
      <c r="BT53" s="1422">
        <v>20000</v>
      </c>
      <c r="BU53" s="1422">
        <v>0</v>
      </c>
      <c r="BV53" s="1422">
        <v>0</v>
      </c>
      <c r="BW53" s="1420">
        <v>398505.24</v>
      </c>
      <c r="BX53" s="1422">
        <v>397800</v>
      </c>
      <c r="BY53" s="1422">
        <v>0</v>
      </c>
      <c r="BZ53" s="1422">
        <v>0</v>
      </c>
      <c r="CA53" s="1422">
        <v>140395</v>
      </c>
      <c r="CB53" s="1422">
        <v>333766</v>
      </c>
      <c r="CC53" s="1420">
        <v>3658158.93</v>
      </c>
      <c r="CD53" s="1420">
        <v>4544995.5</v>
      </c>
      <c r="CE53" s="1420">
        <v>11966386.16</v>
      </c>
      <c r="CF53" s="1420">
        <v>7361157.4000000004</v>
      </c>
      <c r="CG53" s="1420">
        <v>18625037.850000001</v>
      </c>
      <c r="CH53" s="1422">
        <v>0</v>
      </c>
      <c r="CI53" s="1422">
        <v>0</v>
      </c>
      <c r="CJ53" s="1422">
        <v>0</v>
      </c>
      <c r="CK53" s="1420">
        <v>82564.759999999995</v>
      </c>
      <c r="CL53" s="1422">
        <v>57410</v>
      </c>
      <c r="CM53" s="1420">
        <v>2830.03</v>
      </c>
      <c r="CN53" s="1422">
        <v>0</v>
      </c>
      <c r="CO53" s="1422">
        <v>0</v>
      </c>
      <c r="CP53" s="1422">
        <v>0</v>
      </c>
      <c r="CQ53" s="1422">
        <v>0</v>
      </c>
      <c r="CR53" s="1422">
        <v>0</v>
      </c>
      <c r="CS53" s="1420">
        <v>18710432.640000001</v>
      </c>
      <c r="CT53" s="1422">
        <v>57410</v>
      </c>
      <c r="CU53" s="1420">
        <v>71086308.060000002</v>
      </c>
      <c r="CV53" s="1420">
        <v>49675031.93</v>
      </c>
      <c r="CW53" s="1420">
        <v>16559992.810000001</v>
      </c>
      <c r="CX53" s="1420">
        <v>16267093.91</v>
      </c>
      <c r="CY53" s="1420">
        <v>3595203.1</v>
      </c>
      <c r="CZ53" s="1420">
        <v>3194926.39</v>
      </c>
      <c r="DA53" s="1420">
        <v>1237109.05</v>
      </c>
      <c r="DB53" s="1420">
        <v>1196042.6599999999</v>
      </c>
      <c r="DC53" s="1422">
        <v>0</v>
      </c>
      <c r="DD53" s="1422">
        <v>0</v>
      </c>
      <c r="DE53" s="1420">
        <v>2146138.0699999998</v>
      </c>
      <c r="DF53" s="1420">
        <v>2260932.34</v>
      </c>
      <c r="DG53" s="1420">
        <v>3483484.48</v>
      </c>
      <c r="DH53" s="1420">
        <v>3316711.94</v>
      </c>
      <c r="DI53" s="1420">
        <v>27021927.510000002</v>
      </c>
      <c r="DJ53" s="1420">
        <v>26235707.239999998</v>
      </c>
      <c r="DK53" s="1420">
        <v>917452.58</v>
      </c>
      <c r="DL53" s="1420">
        <v>866025.83</v>
      </c>
      <c r="DM53" s="1420">
        <v>578769.93999999994</v>
      </c>
      <c r="DN53" s="1420">
        <v>571629.88</v>
      </c>
      <c r="DO53" s="1420">
        <v>4524983.5999999996</v>
      </c>
      <c r="DP53" s="1420">
        <v>4663688.5199999996</v>
      </c>
      <c r="DQ53" s="1420">
        <v>1582847.08</v>
      </c>
      <c r="DR53" s="1420">
        <v>1744738.5</v>
      </c>
      <c r="DS53" s="1420">
        <v>206137.91</v>
      </c>
      <c r="DT53" s="1420">
        <v>163653.98000000001</v>
      </c>
      <c r="DU53" s="1420">
        <v>7810191.1100000003</v>
      </c>
      <c r="DV53" s="1420">
        <v>8009736.71</v>
      </c>
      <c r="DW53" s="1420">
        <v>1568677.7</v>
      </c>
      <c r="DX53" s="1420">
        <v>1608017.25</v>
      </c>
      <c r="DY53" s="1420">
        <v>4659669.62</v>
      </c>
      <c r="DZ53" s="1420">
        <v>4679599.4000000004</v>
      </c>
      <c r="EA53" s="1420">
        <v>2543582.9500000002</v>
      </c>
      <c r="EB53" s="1420">
        <v>2469400.61</v>
      </c>
      <c r="EC53" s="1420">
        <v>8771930.2699999996</v>
      </c>
      <c r="ED53" s="1420">
        <v>8757017.2599999998</v>
      </c>
      <c r="EE53" s="1420">
        <v>2882964.16</v>
      </c>
      <c r="EF53" s="1420">
        <v>3631317.98</v>
      </c>
      <c r="EG53" s="1422">
        <v>0</v>
      </c>
      <c r="EH53" s="1422">
        <v>0</v>
      </c>
      <c r="EI53" s="1420">
        <v>11498.07</v>
      </c>
      <c r="EJ53" s="1422">
        <v>12480</v>
      </c>
      <c r="EK53" s="1422">
        <v>0</v>
      </c>
      <c r="EL53" s="1422">
        <v>0</v>
      </c>
      <c r="EM53" s="1420">
        <v>2894462.23</v>
      </c>
      <c r="EN53" s="1420">
        <v>3643797.98</v>
      </c>
      <c r="EO53" s="1420">
        <v>5632971.4000000004</v>
      </c>
      <c r="EP53" s="1420">
        <v>14920541.390000001</v>
      </c>
      <c r="EQ53" s="1420">
        <v>2045918.42</v>
      </c>
      <c r="ER53" s="1420">
        <v>3122712.26</v>
      </c>
      <c r="ES53" s="1420">
        <v>48868.81</v>
      </c>
      <c r="ET53" s="1422">
        <v>0</v>
      </c>
      <c r="EU53" s="1420">
        <v>54226269.75</v>
      </c>
      <c r="EV53" s="1420">
        <v>64689512.840000004</v>
      </c>
      <c r="EW53" s="1420">
        <v>7021350.4000000004</v>
      </c>
      <c r="EX53" s="1420">
        <v>16152774.880000001</v>
      </c>
      <c r="EY53" s="1420">
        <v>2045918.42</v>
      </c>
      <c r="EZ53" s="1420">
        <v>3122712.26</v>
      </c>
      <c r="FA53" s="1420">
        <v>45159000.93</v>
      </c>
      <c r="FB53" s="1420">
        <v>45414025.700000003</v>
      </c>
      <c r="FC53" s="1420">
        <v>2181816.87</v>
      </c>
      <c r="FD53" s="1439"/>
      <c r="FE53" s="1420">
        <v>42977184.060000002</v>
      </c>
      <c r="FF53" s="1439"/>
      <c r="FG53" s="1422">
        <v>8749</v>
      </c>
      <c r="FH53" s="1439"/>
      <c r="FI53" s="1420">
        <v>315.33</v>
      </c>
      <c r="FJ53" s="1439"/>
      <c r="FK53" s="1422">
        <v>45539</v>
      </c>
      <c r="FL53" s="1439"/>
      <c r="FM53" s="1420">
        <v>341.06</v>
      </c>
      <c r="FN53" s="1439"/>
      <c r="FO53" s="1422">
        <v>48132</v>
      </c>
      <c r="FP53" s="1439"/>
      <c r="FQ53" s="1420">
        <v>10005217.92</v>
      </c>
      <c r="FR53" s="1439"/>
      <c r="FS53" s="1420">
        <v>966449.31</v>
      </c>
      <c r="FT53" s="1439"/>
      <c r="FU53" s="1420">
        <v>300317.32</v>
      </c>
      <c r="FV53" s="1439"/>
      <c r="FW53" s="1420">
        <v>8738451.2899999991</v>
      </c>
      <c r="FX53" s="1439"/>
      <c r="FY53" s="1420">
        <v>20138746.73</v>
      </c>
      <c r="FZ53" s="1439"/>
      <c r="GA53" s="1422">
        <v>0</v>
      </c>
      <c r="GB53" s="1439"/>
    </row>
    <row r="54" spans="1:184" ht="12.75" customHeight="1" thickBot="1">
      <c r="A54" s="1418" t="s">
        <v>505</v>
      </c>
      <c r="B54" s="1418" t="s">
        <v>506</v>
      </c>
      <c r="C54" s="1420">
        <v>41.54</v>
      </c>
      <c r="D54" s="1439"/>
      <c r="E54" s="1420">
        <v>3010.36</v>
      </c>
      <c r="F54" s="1439"/>
      <c r="G54" s="1421">
        <v>0.09</v>
      </c>
      <c r="H54" s="1439"/>
      <c r="I54" s="1420">
        <v>3149.23</v>
      </c>
      <c r="J54" s="1439"/>
      <c r="K54" s="1420">
        <v>3114.91</v>
      </c>
      <c r="L54" s="1439"/>
      <c r="M54" s="1422">
        <v>375717359</v>
      </c>
      <c r="N54" s="1439"/>
      <c r="O54" s="1422">
        <v>26</v>
      </c>
      <c r="P54" s="1439"/>
      <c r="Q54" s="1422">
        <v>25</v>
      </c>
      <c r="R54" s="1439"/>
      <c r="S54" s="1422">
        <v>1</v>
      </c>
      <c r="T54" s="1439"/>
      <c r="U54" s="1422">
        <v>0</v>
      </c>
      <c r="V54" s="1439"/>
      <c r="W54" s="1422">
        <v>9</v>
      </c>
      <c r="X54" s="1439"/>
      <c r="Y54" s="1422">
        <v>35</v>
      </c>
      <c r="Z54" s="1439"/>
      <c r="AA54" s="1420">
        <v>25795116.780000001</v>
      </c>
      <c r="AB54" s="1455"/>
      <c r="AC54" s="1424">
        <v>12359185.869999999</v>
      </c>
      <c r="AD54" s="1420">
        <v>12857297.449999999</v>
      </c>
      <c r="AE54" s="1420">
        <v>1576575.66</v>
      </c>
      <c r="AF54" s="1420">
        <v>466735.05</v>
      </c>
      <c r="AG54" s="1422">
        <v>12106</v>
      </c>
      <c r="AH54" s="1456">
        <v>0</v>
      </c>
      <c r="AI54" s="1428">
        <v>9856446</v>
      </c>
      <c r="AJ54" s="1422">
        <v>10147982</v>
      </c>
      <c r="AK54" s="1422">
        <v>121568</v>
      </c>
      <c r="AL54" s="1422">
        <v>0</v>
      </c>
      <c r="AM54" s="1422">
        <v>210905</v>
      </c>
      <c r="AN54" s="1422">
        <v>0</v>
      </c>
      <c r="AO54" s="1422">
        <v>0</v>
      </c>
      <c r="AP54" s="1422">
        <v>0</v>
      </c>
      <c r="AQ54" s="1422">
        <v>0</v>
      </c>
      <c r="AR54" s="1422">
        <v>0</v>
      </c>
      <c r="AS54" s="1422">
        <v>0</v>
      </c>
      <c r="AT54" s="1422">
        <v>0</v>
      </c>
      <c r="AU54" s="1422">
        <v>0</v>
      </c>
      <c r="AV54" s="1422">
        <v>0</v>
      </c>
      <c r="AW54" s="1422">
        <v>0</v>
      </c>
      <c r="AX54" s="1422">
        <v>0</v>
      </c>
      <c r="AY54" s="1420">
        <v>24136786.530000001</v>
      </c>
      <c r="AZ54" s="1420">
        <v>23472014.5</v>
      </c>
      <c r="BA54" s="1422">
        <v>0</v>
      </c>
      <c r="BB54" s="1422">
        <v>0</v>
      </c>
      <c r="BC54" s="1422">
        <v>128833</v>
      </c>
      <c r="BD54" s="1422">
        <v>133616</v>
      </c>
      <c r="BE54" s="1420">
        <v>17010.28</v>
      </c>
      <c r="BF54" s="1422">
        <v>0</v>
      </c>
      <c r="BG54" s="1422">
        <v>1550</v>
      </c>
      <c r="BH54" s="1422">
        <v>0</v>
      </c>
      <c r="BI54" s="1422">
        <v>165649</v>
      </c>
      <c r="BJ54" s="1422">
        <v>165649</v>
      </c>
      <c r="BK54" s="1422">
        <v>39262</v>
      </c>
      <c r="BL54" s="1420">
        <v>39261.040000000001</v>
      </c>
      <c r="BM54" s="1422">
        <v>898752</v>
      </c>
      <c r="BN54" s="1422">
        <v>925980</v>
      </c>
      <c r="BO54" s="1420">
        <v>225043.11</v>
      </c>
      <c r="BP54" s="1422">
        <v>0</v>
      </c>
      <c r="BQ54" s="1420">
        <v>130030.52</v>
      </c>
      <c r="BR54" s="1422">
        <v>0</v>
      </c>
      <c r="BS54" s="1420">
        <v>11587.19</v>
      </c>
      <c r="BT54" s="1422">
        <v>11700</v>
      </c>
      <c r="BU54" s="1422">
        <v>0</v>
      </c>
      <c r="BV54" s="1422">
        <v>0</v>
      </c>
      <c r="BW54" s="1422">
        <v>437303</v>
      </c>
      <c r="BX54" s="1422">
        <v>437400</v>
      </c>
      <c r="BY54" s="1422">
        <v>0</v>
      </c>
      <c r="BZ54" s="1422">
        <v>0</v>
      </c>
      <c r="CA54" s="1420">
        <v>83852.429999999993</v>
      </c>
      <c r="CB54" s="1422">
        <v>30953</v>
      </c>
      <c r="CC54" s="1420">
        <v>2138872.5299999998</v>
      </c>
      <c r="CD54" s="1420">
        <v>1744559.04</v>
      </c>
      <c r="CE54" s="1420">
        <v>4548959.26</v>
      </c>
      <c r="CF54" s="1420">
        <v>2958154.26</v>
      </c>
      <c r="CG54" s="1420">
        <v>587681.26</v>
      </c>
      <c r="CH54" s="1422">
        <v>0</v>
      </c>
      <c r="CI54" s="1422">
        <v>0</v>
      </c>
      <c r="CJ54" s="1422">
        <v>0</v>
      </c>
      <c r="CK54" s="1420">
        <v>11116.11</v>
      </c>
      <c r="CL54" s="1422">
        <v>0</v>
      </c>
      <c r="CM54" s="1422">
        <v>0</v>
      </c>
      <c r="CN54" s="1422">
        <v>0</v>
      </c>
      <c r="CO54" s="1420">
        <v>15537.93</v>
      </c>
      <c r="CP54" s="1422">
        <v>0</v>
      </c>
      <c r="CQ54" s="1422">
        <v>0</v>
      </c>
      <c r="CR54" s="1422">
        <v>0</v>
      </c>
      <c r="CS54" s="1420">
        <v>614335.30000000005</v>
      </c>
      <c r="CT54" s="1422">
        <v>0</v>
      </c>
      <c r="CU54" s="1420">
        <v>31438953.620000001</v>
      </c>
      <c r="CV54" s="1420">
        <v>28174727.800000001</v>
      </c>
      <c r="CW54" s="1420">
        <v>10755279.199999999</v>
      </c>
      <c r="CX54" s="1420">
        <v>10470572.529999999</v>
      </c>
      <c r="CY54" s="1420">
        <v>2381541.5499999998</v>
      </c>
      <c r="CZ54" s="1420">
        <v>2255600.89</v>
      </c>
      <c r="DA54" s="1420">
        <v>746908.39</v>
      </c>
      <c r="DB54" s="1420">
        <v>560044.78</v>
      </c>
      <c r="DC54" s="1422">
        <v>0</v>
      </c>
      <c r="DD54" s="1422">
        <v>0</v>
      </c>
      <c r="DE54" s="1420">
        <v>914842.08</v>
      </c>
      <c r="DF54" s="1420">
        <v>766107.53</v>
      </c>
      <c r="DG54" s="1420">
        <v>1440820.08</v>
      </c>
      <c r="DH54" s="1420">
        <v>1305470.3799999999</v>
      </c>
      <c r="DI54" s="1420">
        <v>16239391.300000001</v>
      </c>
      <c r="DJ54" s="1420">
        <v>15357796.109999999</v>
      </c>
      <c r="DK54" s="1420">
        <v>449910.63</v>
      </c>
      <c r="DL54" s="1420">
        <v>415657.25</v>
      </c>
      <c r="DM54" s="1420">
        <v>288715.46999999997</v>
      </c>
      <c r="DN54" s="1420">
        <v>300031.28000000003</v>
      </c>
      <c r="DO54" s="1420">
        <v>2755713.72</v>
      </c>
      <c r="DP54" s="1420">
        <v>2675774.04</v>
      </c>
      <c r="DQ54" s="1420">
        <v>1326268.24</v>
      </c>
      <c r="DR54" s="1420">
        <v>941001.11</v>
      </c>
      <c r="DS54" s="1420">
        <v>95025.91</v>
      </c>
      <c r="DT54" s="1420">
        <v>84296.81</v>
      </c>
      <c r="DU54" s="1420">
        <v>4915633.97</v>
      </c>
      <c r="DV54" s="1420">
        <v>4416760.49</v>
      </c>
      <c r="DW54" s="1420">
        <v>1403101.37</v>
      </c>
      <c r="DX54" s="1420">
        <v>1453393.83</v>
      </c>
      <c r="DY54" s="1420">
        <v>2265286.67</v>
      </c>
      <c r="DZ54" s="1420">
        <v>1874004.9</v>
      </c>
      <c r="EA54" s="1420">
        <v>1684993.76</v>
      </c>
      <c r="EB54" s="1420">
        <v>1665156.84</v>
      </c>
      <c r="EC54" s="1420">
        <v>5353381.8</v>
      </c>
      <c r="ED54" s="1420">
        <v>4992555.57</v>
      </c>
      <c r="EE54" s="1420">
        <v>1520235.09</v>
      </c>
      <c r="EF54" s="1420">
        <v>1396002.71</v>
      </c>
      <c r="EG54" s="1422">
        <v>0</v>
      </c>
      <c r="EH54" s="1422">
        <v>0</v>
      </c>
      <c r="EI54" s="1420">
        <v>444190.06</v>
      </c>
      <c r="EJ54" s="1420">
        <v>130877.71</v>
      </c>
      <c r="EK54" s="1422">
        <v>0</v>
      </c>
      <c r="EL54" s="1422">
        <v>0</v>
      </c>
      <c r="EM54" s="1420">
        <v>1964425.15</v>
      </c>
      <c r="EN54" s="1420">
        <v>1526880.42</v>
      </c>
      <c r="EO54" s="1420">
        <v>718778.97</v>
      </c>
      <c r="EP54" s="1422">
        <v>0</v>
      </c>
      <c r="EQ54" s="1420">
        <v>2351131.4700000002</v>
      </c>
      <c r="ER54" s="1420">
        <v>2442139.36</v>
      </c>
      <c r="ES54" s="1422">
        <v>0</v>
      </c>
      <c r="ET54" s="1422">
        <v>0</v>
      </c>
      <c r="EU54" s="1420">
        <v>31542742.66</v>
      </c>
      <c r="EV54" s="1420">
        <v>28736131.949999999</v>
      </c>
      <c r="EW54" s="1420">
        <v>1488551.4</v>
      </c>
      <c r="EX54" s="1420">
        <v>174446.24</v>
      </c>
      <c r="EY54" s="1420">
        <v>2351131.4700000002</v>
      </c>
      <c r="EZ54" s="1420">
        <v>2442139.36</v>
      </c>
      <c r="FA54" s="1420">
        <v>27703059.789999999</v>
      </c>
      <c r="FB54" s="1420">
        <v>26119546.350000001</v>
      </c>
      <c r="FC54" s="1420">
        <v>1778416.57</v>
      </c>
      <c r="FD54" s="1439"/>
      <c r="FE54" s="1420">
        <v>25924643.219999999</v>
      </c>
      <c r="FF54" s="1439"/>
      <c r="FG54" s="1422">
        <v>8611</v>
      </c>
      <c r="FH54" s="1439"/>
      <c r="FI54" s="1420">
        <v>216.8</v>
      </c>
      <c r="FJ54" s="1439"/>
      <c r="FK54" s="1422">
        <v>45144</v>
      </c>
      <c r="FL54" s="1439"/>
      <c r="FM54" s="1420">
        <v>234.87</v>
      </c>
      <c r="FN54" s="1439"/>
      <c r="FO54" s="1422">
        <v>47296</v>
      </c>
      <c r="FP54" s="1439"/>
      <c r="FQ54" s="1420">
        <v>1737391.08</v>
      </c>
      <c r="FR54" s="1439"/>
      <c r="FS54" s="1420">
        <v>618.46</v>
      </c>
      <c r="FT54" s="1439"/>
      <c r="FU54" s="1422">
        <v>0</v>
      </c>
      <c r="FV54" s="1439"/>
      <c r="FW54" s="1420">
        <v>1736772.62</v>
      </c>
      <c r="FX54" s="1439"/>
      <c r="FY54" s="1420">
        <v>592417.63</v>
      </c>
      <c r="FZ54" s="1439"/>
      <c r="GA54" s="1422">
        <v>0</v>
      </c>
      <c r="GB54" s="1439"/>
    </row>
    <row r="55" spans="1:184" ht="12.75" customHeight="1" thickBot="1">
      <c r="A55" s="1418" t="s">
        <v>507</v>
      </c>
      <c r="B55" s="1418" t="s">
        <v>508</v>
      </c>
      <c r="C55" s="1420">
        <v>106.46</v>
      </c>
      <c r="D55" s="1439"/>
      <c r="E55" s="1420">
        <v>2264.75</v>
      </c>
      <c r="F55" s="1439"/>
      <c r="G55" s="1421">
        <v>0.28999999999999998</v>
      </c>
      <c r="H55" s="1439"/>
      <c r="I55" s="1420">
        <v>2349.21</v>
      </c>
      <c r="J55" s="1439"/>
      <c r="K55" s="1420">
        <v>2278.88</v>
      </c>
      <c r="L55" s="1439"/>
      <c r="M55" s="1422">
        <v>159845670</v>
      </c>
      <c r="N55" s="1439"/>
      <c r="O55" s="1422">
        <v>25</v>
      </c>
      <c r="P55" s="1439"/>
      <c r="Q55" s="1422">
        <v>25</v>
      </c>
      <c r="R55" s="1439"/>
      <c r="S55" s="1422">
        <v>0</v>
      </c>
      <c r="T55" s="1439"/>
      <c r="U55" s="1422">
        <v>0</v>
      </c>
      <c r="V55" s="1439"/>
      <c r="W55" s="1420">
        <v>12.6</v>
      </c>
      <c r="X55" s="1439"/>
      <c r="Y55" s="1420">
        <v>37.6</v>
      </c>
      <c r="Z55" s="1439"/>
      <c r="AA55" s="1420">
        <v>37204838.899999999</v>
      </c>
      <c r="AB55" s="1455"/>
      <c r="AC55" s="1424">
        <v>5538221.0599999996</v>
      </c>
      <c r="AD55" s="1420">
        <v>5869871.1600000001</v>
      </c>
      <c r="AE55" s="1420">
        <v>1432244.62</v>
      </c>
      <c r="AF55" s="1422">
        <v>900150</v>
      </c>
      <c r="AG55" s="1422">
        <v>0</v>
      </c>
      <c r="AH55" s="1456">
        <v>0</v>
      </c>
      <c r="AI55" s="1428">
        <v>10040060</v>
      </c>
      <c r="AJ55" s="1422">
        <v>10496561</v>
      </c>
      <c r="AK55" s="1422">
        <v>60272</v>
      </c>
      <c r="AL55" s="1422">
        <v>0</v>
      </c>
      <c r="AM55" s="1422">
        <v>441084</v>
      </c>
      <c r="AN55" s="1422">
        <v>500000</v>
      </c>
      <c r="AO55" s="1422">
        <v>0</v>
      </c>
      <c r="AP55" s="1422">
        <v>0</v>
      </c>
      <c r="AQ55" s="1422">
        <v>0</v>
      </c>
      <c r="AR55" s="1422">
        <v>0</v>
      </c>
      <c r="AS55" s="1422">
        <v>0</v>
      </c>
      <c r="AT55" s="1422">
        <v>0</v>
      </c>
      <c r="AU55" s="1422">
        <v>0</v>
      </c>
      <c r="AV55" s="1422">
        <v>0</v>
      </c>
      <c r="AW55" s="1422">
        <v>22190</v>
      </c>
      <c r="AX55" s="1422">
        <v>0</v>
      </c>
      <c r="AY55" s="1420">
        <v>17534071.68</v>
      </c>
      <c r="AZ55" s="1420">
        <v>17766582.16</v>
      </c>
      <c r="BA55" s="1420">
        <v>538258.21</v>
      </c>
      <c r="BB55" s="1420">
        <v>534812.11</v>
      </c>
      <c r="BC55" s="1422">
        <v>94254</v>
      </c>
      <c r="BD55" s="1422">
        <v>99416</v>
      </c>
      <c r="BE55" s="1420">
        <v>41030.28</v>
      </c>
      <c r="BF55" s="1422">
        <v>4600</v>
      </c>
      <c r="BG55" s="1422">
        <v>4533</v>
      </c>
      <c r="BH55" s="1422">
        <v>0</v>
      </c>
      <c r="BI55" s="1422">
        <v>12392</v>
      </c>
      <c r="BJ55" s="1422">
        <v>10197</v>
      </c>
      <c r="BK55" s="1422">
        <v>12599</v>
      </c>
      <c r="BL55" s="1422">
        <v>0</v>
      </c>
      <c r="BM55" s="1422">
        <v>279903</v>
      </c>
      <c r="BN55" s="1422">
        <v>285467</v>
      </c>
      <c r="BO55" s="1420">
        <v>159866.76999999999</v>
      </c>
      <c r="BP55" s="1420">
        <v>110297.32</v>
      </c>
      <c r="BQ55" s="1420">
        <v>47937.52</v>
      </c>
      <c r="BR55" s="1422">
        <v>37375</v>
      </c>
      <c r="BS55" s="1420">
        <v>8789.6200000000008</v>
      </c>
      <c r="BT55" s="1422">
        <v>8700</v>
      </c>
      <c r="BU55" s="1422">
        <v>0</v>
      </c>
      <c r="BV55" s="1422">
        <v>0</v>
      </c>
      <c r="BW55" s="1422">
        <v>288198</v>
      </c>
      <c r="BX55" s="1422">
        <v>291600</v>
      </c>
      <c r="BY55" s="1422">
        <v>0</v>
      </c>
      <c r="BZ55" s="1422">
        <v>0</v>
      </c>
      <c r="CA55" s="1420">
        <v>319268.14</v>
      </c>
      <c r="CB55" s="1420">
        <v>5917842.8600000003</v>
      </c>
      <c r="CC55" s="1420">
        <v>1807029.54</v>
      </c>
      <c r="CD55" s="1420">
        <v>7300307.29</v>
      </c>
      <c r="CE55" s="1420">
        <v>1658537.6</v>
      </c>
      <c r="CF55" s="1420">
        <v>1571577.96</v>
      </c>
      <c r="CG55" s="1420">
        <v>16426857.83</v>
      </c>
      <c r="CH55" s="1422">
        <v>112000</v>
      </c>
      <c r="CI55" s="1422">
        <v>0</v>
      </c>
      <c r="CJ55" s="1422">
        <v>0</v>
      </c>
      <c r="CK55" s="1420">
        <v>760.6</v>
      </c>
      <c r="CL55" s="1420">
        <v>1002.63</v>
      </c>
      <c r="CM55" s="1422">
        <v>0</v>
      </c>
      <c r="CN55" s="1422">
        <v>0</v>
      </c>
      <c r="CO55" s="1422">
        <v>14695</v>
      </c>
      <c r="CP55" s="1422">
        <v>0</v>
      </c>
      <c r="CQ55" s="1422">
        <v>0</v>
      </c>
      <c r="CR55" s="1422">
        <v>0</v>
      </c>
      <c r="CS55" s="1420">
        <v>16442313.43</v>
      </c>
      <c r="CT55" s="1420">
        <v>113002.63</v>
      </c>
      <c r="CU55" s="1420">
        <v>37441952.25</v>
      </c>
      <c r="CV55" s="1420">
        <v>26751470.039999999</v>
      </c>
      <c r="CW55" s="1420">
        <v>8360193.5599999996</v>
      </c>
      <c r="CX55" s="1420">
        <v>8386858.71</v>
      </c>
      <c r="CY55" s="1420">
        <v>1099227.3400000001</v>
      </c>
      <c r="CZ55" s="1420">
        <v>1049865.99</v>
      </c>
      <c r="DA55" s="1420">
        <v>611459.55000000005</v>
      </c>
      <c r="DB55" s="1420">
        <v>572296.61</v>
      </c>
      <c r="DC55" s="1420">
        <v>649446.03</v>
      </c>
      <c r="DD55" s="1420">
        <v>571827.72</v>
      </c>
      <c r="DE55" s="1420">
        <v>153696.4</v>
      </c>
      <c r="DF55" s="1420">
        <v>141137.78</v>
      </c>
      <c r="DG55" s="1420">
        <v>1019955.09</v>
      </c>
      <c r="DH55" s="1420">
        <v>991893.27</v>
      </c>
      <c r="DI55" s="1420">
        <v>11893977.970000001</v>
      </c>
      <c r="DJ55" s="1420">
        <v>11713880.08</v>
      </c>
      <c r="DK55" s="1420">
        <v>379409.37</v>
      </c>
      <c r="DL55" s="1420">
        <v>429585.34</v>
      </c>
      <c r="DM55" s="1420">
        <v>198543.56</v>
      </c>
      <c r="DN55" s="1420">
        <v>548508.73</v>
      </c>
      <c r="DO55" s="1420">
        <v>1865284.5</v>
      </c>
      <c r="DP55" s="1420">
        <v>1850281.87</v>
      </c>
      <c r="DQ55" s="1420">
        <v>615674.94999999995</v>
      </c>
      <c r="DR55" s="1420">
        <v>723026.4</v>
      </c>
      <c r="DS55" s="1420">
        <v>52619.02</v>
      </c>
      <c r="DT55" s="1420">
        <v>52046.43</v>
      </c>
      <c r="DU55" s="1420">
        <v>3111531.4</v>
      </c>
      <c r="DV55" s="1420">
        <v>3603448.77</v>
      </c>
      <c r="DW55" s="1420">
        <v>736632.43</v>
      </c>
      <c r="DX55" s="1420">
        <v>736707.81</v>
      </c>
      <c r="DY55" s="1420">
        <v>860110.19</v>
      </c>
      <c r="DZ55" s="1420">
        <v>808119.71</v>
      </c>
      <c r="EA55" s="1420">
        <v>857152.54</v>
      </c>
      <c r="EB55" s="1420">
        <v>880023.13</v>
      </c>
      <c r="EC55" s="1420">
        <v>2453895.16</v>
      </c>
      <c r="ED55" s="1420">
        <v>2424850.65</v>
      </c>
      <c r="EE55" s="1420">
        <v>1146035.3400000001</v>
      </c>
      <c r="EF55" s="1420">
        <v>1078388.99</v>
      </c>
      <c r="EG55" s="1422">
        <v>0</v>
      </c>
      <c r="EH55" s="1422">
        <v>0</v>
      </c>
      <c r="EI55" s="1422">
        <v>0</v>
      </c>
      <c r="EJ55" s="1420">
        <v>1340.24</v>
      </c>
      <c r="EK55" s="1422">
        <v>0</v>
      </c>
      <c r="EL55" s="1422">
        <v>0</v>
      </c>
      <c r="EM55" s="1420">
        <v>1146035.3400000001</v>
      </c>
      <c r="EN55" s="1420">
        <v>1079729.23</v>
      </c>
      <c r="EO55" s="1420">
        <v>2737089.31</v>
      </c>
      <c r="EP55" s="1420">
        <v>22307069.43</v>
      </c>
      <c r="EQ55" s="1420">
        <v>1562609.75</v>
      </c>
      <c r="ER55" s="1420">
        <v>2194925.96</v>
      </c>
      <c r="ES55" s="1420">
        <v>2631.99</v>
      </c>
      <c r="ET55" s="1422">
        <v>0</v>
      </c>
      <c r="EU55" s="1420">
        <v>22907770.920000002</v>
      </c>
      <c r="EV55" s="1420">
        <v>43323904.119999997</v>
      </c>
      <c r="EW55" s="1420">
        <v>2956814.49</v>
      </c>
      <c r="EX55" s="1420">
        <v>22722095.800000001</v>
      </c>
      <c r="EY55" s="1420">
        <v>1562609.75</v>
      </c>
      <c r="EZ55" s="1420">
        <v>2194925.96</v>
      </c>
      <c r="FA55" s="1420">
        <v>18388346.68</v>
      </c>
      <c r="FB55" s="1420">
        <v>18406882.359999999</v>
      </c>
      <c r="FC55" s="1420">
        <v>2287922.87</v>
      </c>
      <c r="FD55" s="1439"/>
      <c r="FE55" s="1420">
        <v>16100423.810000001</v>
      </c>
      <c r="FF55" s="1439"/>
      <c r="FG55" s="1422">
        <v>7109</v>
      </c>
      <c r="FH55" s="1439"/>
      <c r="FI55" s="1420">
        <v>158.6</v>
      </c>
      <c r="FJ55" s="1439"/>
      <c r="FK55" s="1422">
        <v>44170</v>
      </c>
      <c r="FL55" s="1439"/>
      <c r="FM55" s="1420">
        <v>168.17</v>
      </c>
      <c r="FN55" s="1439"/>
      <c r="FO55" s="1422">
        <v>46260</v>
      </c>
      <c r="FP55" s="1439"/>
      <c r="FQ55" s="1420">
        <v>2675541.06</v>
      </c>
      <c r="FR55" s="1439"/>
      <c r="FS55" s="1420">
        <v>26929.14</v>
      </c>
      <c r="FT55" s="1439"/>
      <c r="FU55" s="1422">
        <v>0</v>
      </c>
      <c r="FV55" s="1439"/>
      <c r="FW55" s="1420">
        <v>2648611.92</v>
      </c>
      <c r="FX55" s="1439"/>
      <c r="FY55" s="1420">
        <v>16863269.859999999</v>
      </c>
      <c r="FZ55" s="1439"/>
      <c r="GA55" s="1422">
        <v>0</v>
      </c>
      <c r="GB55" s="1439"/>
    </row>
    <row r="56" spans="1:184" ht="12.75" customHeight="1" thickBot="1">
      <c r="A56" s="1418" t="s">
        <v>509</v>
      </c>
      <c r="B56" s="1418" t="s">
        <v>510</v>
      </c>
      <c r="C56" s="1420">
        <v>100.31</v>
      </c>
      <c r="D56" s="1439"/>
      <c r="E56" s="1420">
        <v>762.97</v>
      </c>
      <c r="F56" s="1439"/>
      <c r="G56" s="1421">
        <v>0.04</v>
      </c>
      <c r="H56" s="1439"/>
      <c r="I56" s="1420">
        <v>811.51</v>
      </c>
      <c r="J56" s="1439"/>
      <c r="K56" s="1420">
        <v>803.52</v>
      </c>
      <c r="L56" s="1439"/>
      <c r="M56" s="1422">
        <v>37673394</v>
      </c>
      <c r="N56" s="1439"/>
      <c r="O56" s="1422">
        <v>25</v>
      </c>
      <c r="P56" s="1439"/>
      <c r="Q56" s="1422">
        <v>25</v>
      </c>
      <c r="R56" s="1439"/>
      <c r="S56" s="1422">
        <v>0</v>
      </c>
      <c r="T56" s="1439"/>
      <c r="U56" s="1422">
        <v>0</v>
      </c>
      <c r="V56" s="1439"/>
      <c r="W56" s="1420">
        <v>16.059999999999999</v>
      </c>
      <c r="X56" s="1439"/>
      <c r="Y56" s="1420">
        <v>41.06</v>
      </c>
      <c r="Z56" s="1439"/>
      <c r="AA56" s="1420">
        <v>5425185.2599999998</v>
      </c>
      <c r="AB56" s="1455"/>
      <c r="AC56" s="1424">
        <v>1472367.09</v>
      </c>
      <c r="AD56" s="1422">
        <v>1480000</v>
      </c>
      <c r="AE56" s="1420">
        <v>421157.78</v>
      </c>
      <c r="AF56" s="1422">
        <v>142572</v>
      </c>
      <c r="AG56" s="1422">
        <v>0</v>
      </c>
      <c r="AH56" s="1456">
        <v>0</v>
      </c>
      <c r="AI56" s="1428">
        <v>3937362</v>
      </c>
      <c r="AJ56" s="1422">
        <v>4048682</v>
      </c>
      <c r="AK56" s="1422">
        <v>3697</v>
      </c>
      <c r="AL56" s="1422">
        <v>4000</v>
      </c>
      <c r="AM56" s="1422">
        <v>46076</v>
      </c>
      <c r="AN56" s="1422">
        <v>40685</v>
      </c>
      <c r="AO56" s="1422">
        <v>0</v>
      </c>
      <c r="AP56" s="1422">
        <v>0</v>
      </c>
      <c r="AQ56" s="1422">
        <v>0</v>
      </c>
      <c r="AR56" s="1422">
        <v>0</v>
      </c>
      <c r="AS56" s="1422">
        <v>0</v>
      </c>
      <c r="AT56" s="1422">
        <v>0</v>
      </c>
      <c r="AU56" s="1422">
        <v>23622</v>
      </c>
      <c r="AV56" s="1422">
        <v>18898</v>
      </c>
      <c r="AW56" s="1422">
        <v>0</v>
      </c>
      <c r="AX56" s="1422">
        <v>0</v>
      </c>
      <c r="AY56" s="1420">
        <v>5904281.8700000001</v>
      </c>
      <c r="AZ56" s="1422">
        <v>5734837</v>
      </c>
      <c r="BA56" s="1422">
        <v>0</v>
      </c>
      <c r="BB56" s="1422">
        <v>0</v>
      </c>
      <c r="BC56" s="1422">
        <v>33234</v>
      </c>
      <c r="BD56" s="1422">
        <v>34324</v>
      </c>
      <c r="BE56" s="1420">
        <v>5767.86</v>
      </c>
      <c r="BF56" s="1422">
        <v>0</v>
      </c>
      <c r="BG56" s="1422">
        <v>300</v>
      </c>
      <c r="BH56" s="1422">
        <v>0</v>
      </c>
      <c r="BI56" s="1422">
        <v>0</v>
      </c>
      <c r="BJ56" s="1422">
        <v>0</v>
      </c>
      <c r="BK56" s="1422">
        <v>0</v>
      </c>
      <c r="BL56" s="1422">
        <v>0</v>
      </c>
      <c r="BM56" s="1422">
        <v>252960</v>
      </c>
      <c r="BN56" s="1422">
        <v>259578</v>
      </c>
      <c r="BO56" s="1420">
        <v>60069.25</v>
      </c>
      <c r="BP56" s="1422">
        <v>3000</v>
      </c>
      <c r="BQ56" s="1420">
        <v>38925.300000000003</v>
      </c>
      <c r="BR56" s="1422">
        <v>43875</v>
      </c>
      <c r="BS56" s="1420">
        <v>3250.22</v>
      </c>
      <c r="BT56" s="1422">
        <v>2000</v>
      </c>
      <c r="BU56" s="1422">
        <v>0</v>
      </c>
      <c r="BV56" s="1422">
        <v>0</v>
      </c>
      <c r="BW56" s="1422">
        <v>0</v>
      </c>
      <c r="BX56" s="1422">
        <v>0</v>
      </c>
      <c r="BY56" s="1422">
        <v>0</v>
      </c>
      <c r="BZ56" s="1422">
        <v>0</v>
      </c>
      <c r="CA56" s="1420">
        <v>5764701.0700000003</v>
      </c>
      <c r="CB56" s="1422">
        <v>23495</v>
      </c>
      <c r="CC56" s="1420">
        <v>6159207.7000000002</v>
      </c>
      <c r="CD56" s="1422">
        <v>366272</v>
      </c>
      <c r="CE56" s="1420">
        <v>1409228.02</v>
      </c>
      <c r="CF56" s="1422">
        <v>1798147</v>
      </c>
      <c r="CG56" s="1422">
        <v>0</v>
      </c>
      <c r="CH56" s="1422">
        <v>0</v>
      </c>
      <c r="CI56" s="1422">
        <v>0</v>
      </c>
      <c r="CJ56" s="1422">
        <v>0</v>
      </c>
      <c r="CK56" s="1422">
        <v>0</v>
      </c>
      <c r="CL56" s="1422">
        <v>0</v>
      </c>
      <c r="CM56" s="1422">
        <v>0</v>
      </c>
      <c r="CN56" s="1422">
        <v>0</v>
      </c>
      <c r="CO56" s="1422">
        <v>0</v>
      </c>
      <c r="CP56" s="1422">
        <v>0</v>
      </c>
      <c r="CQ56" s="1422">
        <v>0</v>
      </c>
      <c r="CR56" s="1422">
        <v>0</v>
      </c>
      <c r="CS56" s="1422">
        <v>0</v>
      </c>
      <c r="CT56" s="1422">
        <v>0</v>
      </c>
      <c r="CU56" s="1420">
        <v>13472717.59</v>
      </c>
      <c r="CV56" s="1422">
        <v>7899256</v>
      </c>
      <c r="CW56" s="1420">
        <v>3166915.21</v>
      </c>
      <c r="CX56" s="1422">
        <v>2716358</v>
      </c>
      <c r="CY56" s="1420">
        <v>580621.75</v>
      </c>
      <c r="CZ56" s="1422">
        <v>744199</v>
      </c>
      <c r="DA56" s="1420">
        <v>245991.84</v>
      </c>
      <c r="DB56" s="1422">
        <v>294700</v>
      </c>
      <c r="DC56" s="1422">
        <v>0</v>
      </c>
      <c r="DD56" s="1422">
        <v>0</v>
      </c>
      <c r="DE56" s="1420">
        <v>385236.92</v>
      </c>
      <c r="DF56" s="1422">
        <v>440207</v>
      </c>
      <c r="DG56" s="1420">
        <v>94285.08</v>
      </c>
      <c r="DH56" s="1422">
        <v>106135</v>
      </c>
      <c r="DI56" s="1420">
        <v>4473050.8</v>
      </c>
      <c r="DJ56" s="1422">
        <v>4301599</v>
      </c>
      <c r="DK56" s="1420">
        <v>240084.47</v>
      </c>
      <c r="DL56" s="1422">
        <v>217972</v>
      </c>
      <c r="DM56" s="1420">
        <v>52339.199999999997</v>
      </c>
      <c r="DN56" s="1422">
        <v>88511</v>
      </c>
      <c r="DO56" s="1420">
        <v>546665.06000000006</v>
      </c>
      <c r="DP56" s="1422">
        <v>741864</v>
      </c>
      <c r="DQ56" s="1420">
        <v>253376.01</v>
      </c>
      <c r="DR56" s="1422">
        <v>408691</v>
      </c>
      <c r="DS56" s="1420">
        <v>28394.11</v>
      </c>
      <c r="DT56" s="1422">
        <v>10000</v>
      </c>
      <c r="DU56" s="1420">
        <v>1120858.8500000001</v>
      </c>
      <c r="DV56" s="1422">
        <v>1467038</v>
      </c>
      <c r="DW56" s="1420">
        <v>185799.43</v>
      </c>
      <c r="DX56" s="1422">
        <v>247260</v>
      </c>
      <c r="DY56" s="1420">
        <v>728437.39</v>
      </c>
      <c r="DZ56" s="1422">
        <v>706405</v>
      </c>
      <c r="EA56" s="1420">
        <v>395148.64</v>
      </c>
      <c r="EB56" s="1422">
        <v>378973</v>
      </c>
      <c r="EC56" s="1420">
        <v>1309385.46</v>
      </c>
      <c r="ED56" s="1422">
        <v>1332638</v>
      </c>
      <c r="EE56" s="1420">
        <v>373814.43</v>
      </c>
      <c r="EF56" s="1420">
        <v>425544.44</v>
      </c>
      <c r="EG56" s="1422">
        <v>0</v>
      </c>
      <c r="EH56" s="1422">
        <v>0</v>
      </c>
      <c r="EI56" s="1422">
        <v>0</v>
      </c>
      <c r="EJ56" s="1422">
        <v>0</v>
      </c>
      <c r="EK56" s="1422">
        <v>0</v>
      </c>
      <c r="EL56" s="1422">
        <v>0</v>
      </c>
      <c r="EM56" s="1420">
        <v>373814.43</v>
      </c>
      <c r="EN56" s="1420">
        <v>425544.44</v>
      </c>
      <c r="EO56" s="1420">
        <v>8143042.0700000003</v>
      </c>
      <c r="EP56" s="1422">
        <v>805000</v>
      </c>
      <c r="EQ56" s="1420">
        <v>403778.65</v>
      </c>
      <c r="ER56" s="1422">
        <v>418777</v>
      </c>
      <c r="ES56" s="1420">
        <v>59632.5</v>
      </c>
      <c r="ET56" s="1422">
        <v>0</v>
      </c>
      <c r="EU56" s="1420">
        <v>15883562.76</v>
      </c>
      <c r="EV56" s="1420">
        <v>8750596.4399999995</v>
      </c>
      <c r="EW56" s="1420">
        <v>8342807.29</v>
      </c>
      <c r="EX56" s="1422">
        <v>1143080</v>
      </c>
      <c r="EY56" s="1420">
        <v>403778.65</v>
      </c>
      <c r="EZ56" s="1422">
        <v>418777</v>
      </c>
      <c r="FA56" s="1420">
        <v>7136976.8200000003</v>
      </c>
      <c r="FB56" s="1420">
        <v>7188739.4400000004</v>
      </c>
      <c r="FC56" s="1420">
        <v>403317.38</v>
      </c>
      <c r="FD56" s="1439"/>
      <c r="FE56" s="1420">
        <v>6733659.4400000004</v>
      </c>
      <c r="FF56" s="1439"/>
      <c r="FG56" s="1422">
        <v>8825</v>
      </c>
      <c r="FH56" s="1439"/>
      <c r="FI56" s="1420">
        <v>64.55</v>
      </c>
      <c r="FJ56" s="1439"/>
      <c r="FK56" s="1422">
        <v>40589</v>
      </c>
      <c r="FL56" s="1439"/>
      <c r="FM56" s="1420">
        <v>69.58</v>
      </c>
      <c r="FN56" s="1439"/>
      <c r="FO56" s="1422">
        <v>42401</v>
      </c>
      <c r="FP56" s="1439"/>
      <c r="FQ56" s="1420">
        <v>920004.31</v>
      </c>
      <c r="FR56" s="1439"/>
      <c r="FS56" s="1420">
        <v>119162.32</v>
      </c>
      <c r="FT56" s="1439"/>
      <c r="FU56" s="1422">
        <v>0</v>
      </c>
      <c r="FV56" s="1439"/>
      <c r="FW56" s="1420">
        <v>800841.99</v>
      </c>
      <c r="FX56" s="1439"/>
      <c r="FY56" s="1420">
        <v>1188895.5900000001</v>
      </c>
      <c r="FZ56" s="1439"/>
      <c r="GA56" s="1422">
        <v>0</v>
      </c>
      <c r="GB56" s="1439"/>
    </row>
    <row r="57" spans="1:184" ht="12.75" customHeight="1" thickBot="1">
      <c r="A57" s="1418" t="s">
        <v>511</v>
      </c>
      <c r="B57" s="1418" t="s">
        <v>512</v>
      </c>
      <c r="C57" s="1420">
        <v>102.41</v>
      </c>
      <c r="D57" s="1439"/>
      <c r="E57" s="1420">
        <v>3261.51</v>
      </c>
      <c r="F57" s="1439"/>
      <c r="G57" s="1421">
        <v>7.0000000000000007E-2</v>
      </c>
      <c r="H57" s="1439"/>
      <c r="I57" s="1420">
        <v>3405.6</v>
      </c>
      <c r="J57" s="1439"/>
      <c r="K57" s="1420">
        <v>3431.79</v>
      </c>
      <c r="L57" s="1439"/>
      <c r="M57" s="1422">
        <v>164383418</v>
      </c>
      <c r="N57" s="1439"/>
      <c r="O57" s="1422">
        <v>25</v>
      </c>
      <c r="P57" s="1439"/>
      <c r="Q57" s="1422">
        <v>25</v>
      </c>
      <c r="R57" s="1439"/>
      <c r="S57" s="1422">
        <v>0</v>
      </c>
      <c r="T57" s="1439"/>
      <c r="U57" s="1422">
        <v>0</v>
      </c>
      <c r="V57" s="1439"/>
      <c r="W57" s="1420">
        <v>18.399999999999999</v>
      </c>
      <c r="X57" s="1439"/>
      <c r="Y57" s="1420">
        <v>43.4</v>
      </c>
      <c r="Z57" s="1439"/>
      <c r="AA57" s="1422">
        <v>53585000</v>
      </c>
      <c r="AB57" s="1455"/>
      <c r="AC57" s="1424">
        <v>6588614.4699999997</v>
      </c>
      <c r="AD57" s="1422">
        <v>7041183</v>
      </c>
      <c r="AE57" s="1420">
        <v>1802327.13</v>
      </c>
      <c r="AF57" s="1422">
        <v>88843</v>
      </c>
      <c r="AG57" s="1420">
        <v>2264.37</v>
      </c>
      <c r="AH57" s="1456">
        <v>2000</v>
      </c>
      <c r="AI57" s="1428">
        <v>16753036</v>
      </c>
      <c r="AJ57" s="1422">
        <v>16921998</v>
      </c>
      <c r="AK57" s="1422">
        <v>67487</v>
      </c>
      <c r="AL57" s="1422">
        <v>0</v>
      </c>
      <c r="AM57" s="1422">
        <v>0</v>
      </c>
      <c r="AN57" s="1422">
        <v>0</v>
      </c>
      <c r="AO57" s="1422">
        <v>0</v>
      </c>
      <c r="AP57" s="1422">
        <v>62822</v>
      </c>
      <c r="AQ57" s="1422">
        <v>0</v>
      </c>
      <c r="AR57" s="1422">
        <v>0</v>
      </c>
      <c r="AS57" s="1422">
        <v>0</v>
      </c>
      <c r="AT57" s="1422">
        <v>0</v>
      </c>
      <c r="AU57" s="1422">
        <v>0</v>
      </c>
      <c r="AV57" s="1422">
        <v>0</v>
      </c>
      <c r="AW57" s="1420">
        <v>23774.68</v>
      </c>
      <c r="AX57" s="1422">
        <v>0</v>
      </c>
      <c r="AY57" s="1420">
        <v>25237503.649999999</v>
      </c>
      <c r="AZ57" s="1422">
        <v>24116846</v>
      </c>
      <c r="BA57" s="1422">
        <v>0</v>
      </c>
      <c r="BB57" s="1422">
        <v>0</v>
      </c>
      <c r="BC57" s="1422">
        <v>141939</v>
      </c>
      <c r="BD57" s="1422">
        <v>144573</v>
      </c>
      <c r="BE57" s="1420">
        <v>19750.45</v>
      </c>
      <c r="BF57" s="1422">
        <v>11600</v>
      </c>
      <c r="BG57" s="1422">
        <v>5350</v>
      </c>
      <c r="BH57" s="1422">
        <v>5000</v>
      </c>
      <c r="BI57" s="1422">
        <v>93571</v>
      </c>
      <c r="BJ57" s="1422">
        <v>191250</v>
      </c>
      <c r="BK57" s="1422">
        <v>1172</v>
      </c>
      <c r="BL57" s="1422">
        <v>1000</v>
      </c>
      <c r="BM57" s="1422">
        <v>860064</v>
      </c>
      <c r="BN57" s="1422">
        <v>882464</v>
      </c>
      <c r="BO57" s="1420">
        <v>33066.79</v>
      </c>
      <c r="BP57" s="1422">
        <v>19500</v>
      </c>
      <c r="BQ57" s="1420">
        <v>174406.87</v>
      </c>
      <c r="BR57" s="1422">
        <v>173594</v>
      </c>
      <c r="BS57" s="1420">
        <v>12208.78</v>
      </c>
      <c r="BT57" s="1422">
        <v>0</v>
      </c>
      <c r="BU57" s="1422">
        <v>0</v>
      </c>
      <c r="BV57" s="1422">
        <v>0</v>
      </c>
      <c r="BW57" s="1422">
        <v>0</v>
      </c>
      <c r="BX57" s="1422">
        <v>0</v>
      </c>
      <c r="BY57" s="1422">
        <v>0</v>
      </c>
      <c r="BZ57" s="1422">
        <v>0</v>
      </c>
      <c r="CA57" s="1420">
        <v>2320375.7999999998</v>
      </c>
      <c r="CB57" s="1420">
        <v>1975613.2</v>
      </c>
      <c r="CC57" s="1420">
        <v>3661904.69</v>
      </c>
      <c r="CD57" s="1420">
        <v>3404594.2</v>
      </c>
      <c r="CE57" s="1420">
        <v>3825118.59</v>
      </c>
      <c r="CF57" s="1420">
        <v>1833637.83</v>
      </c>
      <c r="CG57" s="1420">
        <v>2895012.56</v>
      </c>
      <c r="CH57" s="1422">
        <v>0</v>
      </c>
      <c r="CI57" s="1422">
        <v>0</v>
      </c>
      <c r="CJ57" s="1422">
        <v>0</v>
      </c>
      <c r="CK57" s="1422">
        <v>0</v>
      </c>
      <c r="CL57" s="1422">
        <v>0</v>
      </c>
      <c r="CM57" s="1422">
        <v>0</v>
      </c>
      <c r="CN57" s="1422">
        <v>0</v>
      </c>
      <c r="CO57" s="1422">
        <v>0</v>
      </c>
      <c r="CP57" s="1422">
        <v>0</v>
      </c>
      <c r="CQ57" s="1422">
        <v>0</v>
      </c>
      <c r="CR57" s="1422">
        <v>0</v>
      </c>
      <c r="CS57" s="1420">
        <v>2895012.56</v>
      </c>
      <c r="CT57" s="1422">
        <v>0</v>
      </c>
      <c r="CU57" s="1420">
        <v>35619539.490000002</v>
      </c>
      <c r="CV57" s="1420">
        <v>29355078.030000001</v>
      </c>
      <c r="CW57" s="1420">
        <v>12150843.220000001</v>
      </c>
      <c r="CX57" s="1420">
        <v>10881290.25</v>
      </c>
      <c r="CY57" s="1420">
        <v>2334872.46</v>
      </c>
      <c r="CZ57" s="1420">
        <v>2335196.88</v>
      </c>
      <c r="DA57" s="1420">
        <v>603475.34</v>
      </c>
      <c r="DB57" s="1420">
        <v>653552.55000000005</v>
      </c>
      <c r="DC57" s="1422">
        <v>0</v>
      </c>
      <c r="DD57" s="1422">
        <v>0</v>
      </c>
      <c r="DE57" s="1420">
        <v>1487323.77</v>
      </c>
      <c r="DF57" s="1420">
        <v>1451973.94</v>
      </c>
      <c r="DG57" s="1420">
        <v>870835.51</v>
      </c>
      <c r="DH57" s="1420">
        <v>932077.77</v>
      </c>
      <c r="DI57" s="1420">
        <v>17447350.300000001</v>
      </c>
      <c r="DJ57" s="1420">
        <v>16254091.390000001</v>
      </c>
      <c r="DK57" s="1420">
        <v>891029.82</v>
      </c>
      <c r="DL57" s="1420">
        <v>934191.88</v>
      </c>
      <c r="DM57" s="1420">
        <v>595715.66</v>
      </c>
      <c r="DN57" s="1420">
        <v>632134.02</v>
      </c>
      <c r="DO57" s="1420">
        <v>2804662.24</v>
      </c>
      <c r="DP57" s="1420">
        <v>2527085.39</v>
      </c>
      <c r="DQ57" s="1420">
        <v>1316114.3600000001</v>
      </c>
      <c r="DR57" s="1420">
        <v>1377259.81</v>
      </c>
      <c r="DS57" s="1420">
        <v>46441.3</v>
      </c>
      <c r="DT57" s="1422">
        <v>50799</v>
      </c>
      <c r="DU57" s="1420">
        <v>5653963.3799999999</v>
      </c>
      <c r="DV57" s="1420">
        <v>5521470.0999999996</v>
      </c>
      <c r="DW57" s="1420">
        <v>1033241.49</v>
      </c>
      <c r="DX57" s="1420">
        <v>1026642.43</v>
      </c>
      <c r="DY57" s="1420">
        <v>1259746.27</v>
      </c>
      <c r="DZ57" s="1420">
        <v>1109561.49</v>
      </c>
      <c r="EA57" s="1420">
        <v>1295708.22</v>
      </c>
      <c r="EB57" s="1420">
        <v>1290173.3799999999</v>
      </c>
      <c r="EC57" s="1420">
        <v>3588695.98</v>
      </c>
      <c r="ED57" s="1420">
        <v>3426377.3</v>
      </c>
      <c r="EE57" s="1420">
        <v>1672169.66</v>
      </c>
      <c r="EF57" s="1420">
        <v>13868.1</v>
      </c>
      <c r="EG57" s="1422">
        <v>0</v>
      </c>
      <c r="EH57" s="1422">
        <v>0</v>
      </c>
      <c r="EI57" s="1422">
        <v>0</v>
      </c>
      <c r="EJ57" s="1422">
        <v>2200</v>
      </c>
      <c r="EK57" s="1422">
        <v>0</v>
      </c>
      <c r="EL57" s="1422">
        <v>0</v>
      </c>
      <c r="EM57" s="1420">
        <v>1672169.66</v>
      </c>
      <c r="EN57" s="1420">
        <v>16068.1</v>
      </c>
      <c r="EO57" s="1420">
        <v>4288535.91</v>
      </c>
      <c r="EP57" s="1422">
        <v>1890000</v>
      </c>
      <c r="EQ57" s="1420">
        <v>2301209.63</v>
      </c>
      <c r="ER57" s="1420">
        <v>2766853.59</v>
      </c>
      <c r="ES57" s="1422">
        <v>57943</v>
      </c>
      <c r="ET57" s="1422">
        <v>0</v>
      </c>
      <c r="EU57" s="1420">
        <v>35009867.859999999</v>
      </c>
      <c r="EV57" s="1420">
        <v>29874860.48</v>
      </c>
      <c r="EW57" s="1420">
        <v>4517164.24</v>
      </c>
      <c r="EX57" s="1420">
        <v>2023910.72</v>
      </c>
      <c r="EY57" s="1420">
        <v>2301209.63</v>
      </c>
      <c r="EZ57" s="1420">
        <v>2766853.59</v>
      </c>
      <c r="FA57" s="1420">
        <v>28191493.989999998</v>
      </c>
      <c r="FB57" s="1420">
        <v>25084096.170000002</v>
      </c>
      <c r="FC57" s="1420">
        <v>1827193.34</v>
      </c>
      <c r="FD57" s="1439"/>
      <c r="FE57" s="1420">
        <v>26364300.649999999</v>
      </c>
      <c r="FF57" s="1439"/>
      <c r="FG57" s="1422">
        <v>8083</v>
      </c>
      <c r="FH57" s="1439"/>
      <c r="FI57" s="1420">
        <v>230.11</v>
      </c>
      <c r="FJ57" s="1439"/>
      <c r="FK57" s="1422">
        <v>45383</v>
      </c>
      <c r="FL57" s="1439"/>
      <c r="FM57" s="1420">
        <v>249.39</v>
      </c>
      <c r="FN57" s="1439"/>
      <c r="FO57" s="1422">
        <v>48715</v>
      </c>
      <c r="FP57" s="1439"/>
      <c r="FQ57" s="1420">
        <v>298076.12</v>
      </c>
      <c r="FR57" s="1439"/>
      <c r="FS57" s="1422">
        <v>0</v>
      </c>
      <c r="FT57" s="1439"/>
      <c r="FU57" s="1422">
        <v>0</v>
      </c>
      <c r="FV57" s="1439"/>
      <c r="FW57" s="1420">
        <v>298076.12</v>
      </c>
      <c r="FX57" s="1439"/>
      <c r="FY57" s="1420">
        <v>617974.92000000004</v>
      </c>
      <c r="FZ57" s="1439"/>
      <c r="GA57" s="1422">
        <v>0</v>
      </c>
      <c r="GB57" s="1439"/>
    </row>
    <row r="58" spans="1:184" ht="12.75" customHeight="1" thickBot="1">
      <c r="A58" s="1418" t="s">
        <v>513</v>
      </c>
      <c r="B58" s="1418" t="s">
        <v>514</v>
      </c>
      <c r="C58" s="1420">
        <v>151.63</v>
      </c>
      <c r="D58" s="1439"/>
      <c r="E58" s="1420">
        <v>856.09</v>
      </c>
      <c r="F58" s="1439"/>
      <c r="G58" s="1421">
        <v>-0.02</v>
      </c>
      <c r="H58" s="1439"/>
      <c r="I58" s="1420">
        <v>925.32</v>
      </c>
      <c r="J58" s="1439"/>
      <c r="K58" s="1420">
        <v>935.14</v>
      </c>
      <c r="L58" s="1439"/>
      <c r="M58" s="1422">
        <v>38831631</v>
      </c>
      <c r="N58" s="1439"/>
      <c r="O58" s="1422">
        <v>25</v>
      </c>
      <c r="P58" s="1439"/>
      <c r="Q58" s="1422">
        <v>25</v>
      </c>
      <c r="R58" s="1439"/>
      <c r="S58" s="1422">
        <v>0</v>
      </c>
      <c r="T58" s="1439"/>
      <c r="U58" s="1422">
        <v>0</v>
      </c>
      <c r="V58" s="1439"/>
      <c r="W58" s="1422">
        <v>11</v>
      </c>
      <c r="X58" s="1439"/>
      <c r="Y58" s="1422">
        <v>36</v>
      </c>
      <c r="Z58" s="1439"/>
      <c r="AA58" s="1420">
        <v>6392403.3700000001</v>
      </c>
      <c r="AB58" s="1455"/>
      <c r="AC58" s="1424">
        <v>1401521.29</v>
      </c>
      <c r="AD58" s="1422">
        <v>1360000</v>
      </c>
      <c r="AE58" s="1420">
        <v>410045.86</v>
      </c>
      <c r="AF58" s="1422">
        <v>325316</v>
      </c>
      <c r="AG58" s="1420">
        <v>603.21</v>
      </c>
      <c r="AH58" s="1456">
        <v>0</v>
      </c>
      <c r="AI58" s="1428">
        <v>4642375</v>
      </c>
      <c r="AJ58" s="1422">
        <v>4217599</v>
      </c>
      <c r="AK58" s="1422">
        <v>10923</v>
      </c>
      <c r="AL58" s="1422">
        <v>0</v>
      </c>
      <c r="AM58" s="1422">
        <v>0</v>
      </c>
      <c r="AN58" s="1422">
        <v>0</v>
      </c>
      <c r="AO58" s="1422">
        <v>4758</v>
      </c>
      <c r="AP58" s="1422">
        <v>22733</v>
      </c>
      <c r="AQ58" s="1422">
        <v>0</v>
      </c>
      <c r="AR58" s="1422">
        <v>0</v>
      </c>
      <c r="AS58" s="1422">
        <v>0</v>
      </c>
      <c r="AT58" s="1422">
        <v>0</v>
      </c>
      <c r="AU58" s="1422">
        <v>14335</v>
      </c>
      <c r="AV58" s="1422">
        <v>11468</v>
      </c>
      <c r="AW58" s="1422">
        <v>0</v>
      </c>
      <c r="AX58" s="1422">
        <v>0</v>
      </c>
      <c r="AY58" s="1420">
        <v>6484561.3600000003</v>
      </c>
      <c r="AZ58" s="1422">
        <v>5937116</v>
      </c>
      <c r="BA58" s="1422">
        <v>0</v>
      </c>
      <c r="BB58" s="1422">
        <v>0</v>
      </c>
      <c r="BC58" s="1422">
        <v>38677</v>
      </c>
      <c r="BD58" s="1422">
        <v>40233</v>
      </c>
      <c r="BE58" s="1420">
        <v>699.24</v>
      </c>
      <c r="BF58" s="1422">
        <v>0</v>
      </c>
      <c r="BG58" s="1422">
        <v>150</v>
      </c>
      <c r="BH58" s="1422">
        <v>0</v>
      </c>
      <c r="BI58" s="1422">
        <v>51194</v>
      </c>
      <c r="BJ58" s="1422">
        <v>100392</v>
      </c>
      <c r="BK58" s="1422">
        <v>0</v>
      </c>
      <c r="BL58" s="1422">
        <v>0</v>
      </c>
      <c r="BM58" s="1422">
        <v>557169</v>
      </c>
      <c r="BN58" s="1422">
        <v>684112</v>
      </c>
      <c r="BO58" s="1420">
        <v>4190.9399999999996</v>
      </c>
      <c r="BP58" s="1422">
        <v>0</v>
      </c>
      <c r="BQ58" s="1422">
        <v>17875</v>
      </c>
      <c r="BR58" s="1422">
        <v>22000</v>
      </c>
      <c r="BS58" s="1420">
        <v>3512.34</v>
      </c>
      <c r="BT58" s="1422">
        <v>3500</v>
      </c>
      <c r="BU58" s="1422">
        <v>0</v>
      </c>
      <c r="BV58" s="1422">
        <v>0</v>
      </c>
      <c r="BW58" s="1422">
        <v>0</v>
      </c>
      <c r="BX58" s="1422">
        <v>0</v>
      </c>
      <c r="BY58" s="1422">
        <v>0</v>
      </c>
      <c r="BZ58" s="1422">
        <v>0</v>
      </c>
      <c r="CA58" s="1420">
        <v>4334489.1100000003</v>
      </c>
      <c r="CB58" s="1422">
        <v>1544203</v>
      </c>
      <c r="CC58" s="1420">
        <v>5007956.63</v>
      </c>
      <c r="CD58" s="1422">
        <v>2394440</v>
      </c>
      <c r="CE58" s="1420">
        <v>3710188.27</v>
      </c>
      <c r="CF58" s="1422">
        <v>1935176</v>
      </c>
      <c r="CG58" s="1420">
        <v>5113782.6900000004</v>
      </c>
      <c r="CH58" s="1422">
        <v>897090</v>
      </c>
      <c r="CI58" s="1422">
        <v>0</v>
      </c>
      <c r="CJ58" s="1422">
        <v>0</v>
      </c>
      <c r="CK58" s="1422">
        <v>4778</v>
      </c>
      <c r="CL58" s="1422">
        <v>0</v>
      </c>
      <c r="CM58" s="1420">
        <v>7975.59</v>
      </c>
      <c r="CN58" s="1422">
        <v>0</v>
      </c>
      <c r="CO58" s="1420">
        <v>158641.26</v>
      </c>
      <c r="CP58" s="1422">
        <v>0</v>
      </c>
      <c r="CQ58" s="1422">
        <v>0</v>
      </c>
      <c r="CR58" s="1422">
        <v>0</v>
      </c>
      <c r="CS58" s="1420">
        <v>5285177.54</v>
      </c>
      <c r="CT58" s="1422">
        <v>897090</v>
      </c>
      <c r="CU58" s="1420">
        <v>20487883.800000001</v>
      </c>
      <c r="CV58" s="1422">
        <v>11163822</v>
      </c>
      <c r="CW58" s="1420">
        <v>2939683.97</v>
      </c>
      <c r="CX58" s="1422">
        <v>3206354</v>
      </c>
      <c r="CY58" s="1420">
        <v>249700.01</v>
      </c>
      <c r="CZ58" s="1422">
        <v>306289</v>
      </c>
      <c r="DA58" s="1420">
        <v>180197.48</v>
      </c>
      <c r="DB58" s="1422">
        <v>183173</v>
      </c>
      <c r="DC58" s="1422">
        <v>0</v>
      </c>
      <c r="DD58" s="1422">
        <v>0</v>
      </c>
      <c r="DE58" s="1420">
        <v>311374.17</v>
      </c>
      <c r="DF58" s="1422">
        <v>250638</v>
      </c>
      <c r="DG58" s="1420">
        <v>192712.25</v>
      </c>
      <c r="DH58" s="1422">
        <v>175603</v>
      </c>
      <c r="DI58" s="1420">
        <v>3873667.88</v>
      </c>
      <c r="DJ58" s="1422">
        <v>4122057</v>
      </c>
      <c r="DK58" s="1420">
        <v>246207.72</v>
      </c>
      <c r="DL58" s="1422">
        <v>262515</v>
      </c>
      <c r="DM58" s="1420">
        <v>126909.07</v>
      </c>
      <c r="DN58" s="1422">
        <v>125532</v>
      </c>
      <c r="DO58" s="1420">
        <v>827560.41</v>
      </c>
      <c r="DP58" s="1422">
        <v>869094</v>
      </c>
      <c r="DQ58" s="1420">
        <v>406580.45</v>
      </c>
      <c r="DR58" s="1422">
        <v>463306</v>
      </c>
      <c r="DS58" s="1420">
        <v>15528.86</v>
      </c>
      <c r="DT58" s="1422">
        <v>16000</v>
      </c>
      <c r="DU58" s="1420">
        <v>1622786.51</v>
      </c>
      <c r="DV58" s="1422">
        <v>1736447</v>
      </c>
      <c r="DW58" s="1420">
        <v>395148.62</v>
      </c>
      <c r="DX58" s="1422">
        <v>436373</v>
      </c>
      <c r="DY58" s="1420">
        <v>839851.73</v>
      </c>
      <c r="DZ58" s="1422">
        <v>892749</v>
      </c>
      <c r="EA58" s="1420">
        <v>442103.38</v>
      </c>
      <c r="EB58" s="1422">
        <v>436902</v>
      </c>
      <c r="EC58" s="1420">
        <v>1677103.73</v>
      </c>
      <c r="ED58" s="1422">
        <v>1766024</v>
      </c>
      <c r="EE58" s="1420">
        <v>569492.89</v>
      </c>
      <c r="EF58" s="1422">
        <v>605832</v>
      </c>
      <c r="EG58" s="1422">
        <v>0</v>
      </c>
      <c r="EH58" s="1422">
        <v>0</v>
      </c>
      <c r="EI58" s="1420">
        <v>554.07000000000005</v>
      </c>
      <c r="EJ58" s="1422">
        <v>6000</v>
      </c>
      <c r="EK58" s="1422">
        <v>0</v>
      </c>
      <c r="EL58" s="1422">
        <v>0</v>
      </c>
      <c r="EM58" s="1420">
        <v>570046.96</v>
      </c>
      <c r="EN58" s="1422">
        <v>611832</v>
      </c>
      <c r="EO58" s="1420">
        <v>7194044.2199999997</v>
      </c>
      <c r="EP58" s="1422">
        <v>7060334</v>
      </c>
      <c r="EQ58" s="1420">
        <v>368040.36</v>
      </c>
      <c r="ER58" s="1422">
        <v>406942</v>
      </c>
      <c r="ES58" s="1420">
        <v>24413.06</v>
      </c>
      <c r="ET58" s="1422">
        <v>8198</v>
      </c>
      <c r="EU58" s="1420">
        <v>15330102.720000001</v>
      </c>
      <c r="EV58" s="1422">
        <v>15711834</v>
      </c>
      <c r="EW58" s="1420">
        <v>7493433.1699999999</v>
      </c>
      <c r="EX58" s="1422">
        <v>7280963</v>
      </c>
      <c r="EY58" s="1420">
        <v>368040.36</v>
      </c>
      <c r="EZ58" s="1422">
        <v>406942</v>
      </c>
      <c r="FA58" s="1420">
        <v>7468629.1900000004</v>
      </c>
      <c r="FB58" s="1422">
        <v>8023929</v>
      </c>
      <c r="FC58" s="1420">
        <v>363620.36</v>
      </c>
      <c r="FD58" s="1439"/>
      <c r="FE58" s="1420">
        <v>7105008.8300000001</v>
      </c>
      <c r="FF58" s="1439"/>
      <c r="FG58" s="1422">
        <v>8299</v>
      </c>
      <c r="FH58" s="1439"/>
      <c r="FI58" s="1420">
        <v>56.89</v>
      </c>
      <c r="FJ58" s="1439"/>
      <c r="FK58" s="1422">
        <v>44597</v>
      </c>
      <c r="FL58" s="1439"/>
      <c r="FM58" s="1420">
        <v>63.21</v>
      </c>
      <c r="FN58" s="1439"/>
      <c r="FO58" s="1422">
        <v>48172</v>
      </c>
      <c r="FP58" s="1439"/>
      <c r="FQ58" s="1420">
        <v>3236902.56</v>
      </c>
      <c r="FR58" s="1439"/>
      <c r="FS58" s="1420">
        <v>65366.06</v>
      </c>
      <c r="FT58" s="1439"/>
      <c r="FU58" s="1422">
        <v>0</v>
      </c>
      <c r="FV58" s="1439"/>
      <c r="FW58" s="1420">
        <v>3171536.5</v>
      </c>
      <c r="FX58" s="1439"/>
      <c r="FY58" s="1420">
        <v>4486326.4000000004</v>
      </c>
      <c r="FZ58" s="1439"/>
      <c r="GA58" s="1422">
        <v>0</v>
      </c>
      <c r="GB58" s="1439"/>
    </row>
    <row r="59" spans="1:184" ht="12.75" customHeight="1" thickBot="1">
      <c r="A59" s="1418" t="s">
        <v>515</v>
      </c>
      <c r="B59" s="1418" t="s">
        <v>516</v>
      </c>
      <c r="C59" s="1420">
        <v>196.32</v>
      </c>
      <c r="D59" s="1439"/>
      <c r="E59" s="1420">
        <v>647.98</v>
      </c>
      <c r="F59" s="1439"/>
      <c r="G59" s="1421">
        <v>-7.0000000000000007E-2</v>
      </c>
      <c r="H59" s="1439"/>
      <c r="I59" s="1420">
        <v>692.48</v>
      </c>
      <c r="J59" s="1439"/>
      <c r="K59" s="1420">
        <v>680.23</v>
      </c>
      <c r="L59" s="1439"/>
      <c r="M59" s="1422">
        <v>34401881</v>
      </c>
      <c r="N59" s="1439"/>
      <c r="O59" s="1422">
        <v>25</v>
      </c>
      <c r="P59" s="1439"/>
      <c r="Q59" s="1422">
        <v>25</v>
      </c>
      <c r="R59" s="1439"/>
      <c r="S59" s="1422">
        <v>0</v>
      </c>
      <c r="T59" s="1439"/>
      <c r="U59" s="1422">
        <v>0</v>
      </c>
      <c r="V59" s="1439"/>
      <c r="W59" s="1420">
        <v>14.1</v>
      </c>
      <c r="X59" s="1439"/>
      <c r="Y59" s="1420">
        <v>39.1</v>
      </c>
      <c r="Z59" s="1439"/>
      <c r="AA59" s="1420">
        <v>2678705.0499999998</v>
      </c>
      <c r="AB59" s="1455"/>
      <c r="AC59" s="1424">
        <v>1262598.7</v>
      </c>
      <c r="AD59" s="1422">
        <v>1259167</v>
      </c>
      <c r="AE59" s="1420">
        <v>323001.40999999997</v>
      </c>
      <c r="AF59" s="1422">
        <v>136596</v>
      </c>
      <c r="AG59" s="1420">
        <v>448.41</v>
      </c>
      <c r="AH59" s="1456">
        <v>440</v>
      </c>
      <c r="AI59" s="1428">
        <v>3215394</v>
      </c>
      <c r="AJ59" s="1422">
        <v>3347407</v>
      </c>
      <c r="AK59" s="1422">
        <v>680</v>
      </c>
      <c r="AL59" s="1422">
        <v>0</v>
      </c>
      <c r="AM59" s="1422">
        <v>0</v>
      </c>
      <c r="AN59" s="1422">
        <v>0</v>
      </c>
      <c r="AO59" s="1422">
        <v>79684</v>
      </c>
      <c r="AP59" s="1422">
        <v>0</v>
      </c>
      <c r="AQ59" s="1422">
        <v>0</v>
      </c>
      <c r="AR59" s="1422">
        <v>0</v>
      </c>
      <c r="AS59" s="1422">
        <v>0</v>
      </c>
      <c r="AT59" s="1422">
        <v>0</v>
      </c>
      <c r="AU59" s="1422">
        <v>31274</v>
      </c>
      <c r="AV59" s="1422">
        <v>25019</v>
      </c>
      <c r="AW59" s="1422">
        <v>0</v>
      </c>
      <c r="AX59" s="1422">
        <v>0</v>
      </c>
      <c r="AY59" s="1420">
        <v>4913080.5199999996</v>
      </c>
      <c r="AZ59" s="1422">
        <v>4768629</v>
      </c>
      <c r="BA59" s="1422">
        <v>0</v>
      </c>
      <c r="BB59" s="1422">
        <v>0</v>
      </c>
      <c r="BC59" s="1422">
        <v>28134</v>
      </c>
      <c r="BD59" s="1422">
        <v>29450</v>
      </c>
      <c r="BE59" s="1420">
        <v>5263.09</v>
      </c>
      <c r="BF59" s="1422">
        <v>7850</v>
      </c>
      <c r="BG59" s="1422">
        <v>982</v>
      </c>
      <c r="BH59" s="1422">
        <v>0</v>
      </c>
      <c r="BI59" s="1422">
        <v>0</v>
      </c>
      <c r="BJ59" s="1422">
        <v>3565</v>
      </c>
      <c r="BK59" s="1422">
        <v>0</v>
      </c>
      <c r="BL59" s="1422">
        <v>0</v>
      </c>
      <c r="BM59" s="1422">
        <v>322068</v>
      </c>
      <c r="BN59" s="1422">
        <v>433477</v>
      </c>
      <c r="BO59" s="1420">
        <v>4562.6099999999997</v>
      </c>
      <c r="BP59" s="1422">
        <v>5550</v>
      </c>
      <c r="BQ59" s="1422">
        <v>14625</v>
      </c>
      <c r="BR59" s="1420">
        <v>13812.5</v>
      </c>
      <c r="BS59" s="1420">
        <v>6738.44</v>
      </c>
      <c r="BT59" s="1422">
        <v>6599</v>
      </c>
      <c r="BU59" s="1422">
        <v>0</v>
      </c>
      <c r="BV59" s="1422">
        <v>0</v>
      </c>
      <c r="BW59" s="1422">
        <v>84901</v>
      </c>
      <c r="BX59" s="1422">
        <v>97200</v>
      </c>
      <c r="BY59" s="1422">
        <v>0</v>
      </c>
      <c r="BZ59" s="1422">
        <v>0</v>
      </c>
      <c r="CA59" s="1422">
        <v>78775</v>
      </c>
      <c r="CB59" s="1422">
        <v>77795</v>
      </c>
      <c r="CC59" s="1420">
        <v>546049.14</v>
      </c>
      <c r="CD59" s="1420">
        <v>675298.5</v>
      </c>
      <c r="CE59" s="1420">
        <v>1334283.51</v>
      </c>
      <c r="CF59" s="1420">
        <v>1059099.02</v>
      </c>
      <c r="CG59" s="1420">
        <v>5170.07</v>
      </c>
      <c r="CH59" s="1422">
        <v>0</v>
      </c>
      <c r="CI59" s="1422">
        <v>0</v>
      </c>
      <c r="CJ59" s="1422">
        <v>0</v>
      </c>
      <c r="CK59" s="1420">
        <v>5691.75</v>
      </c>
      <c r="CL59" s="1422">
        <v>5500</v>
      </c>
      <c r="CM59" s="1422">
        <v>0</v>
      </c>
      <c r="CN59" s="1422">
        <v>0</v>
      </c>
      <c r="CO59" s="1420">
        <v>6785.45</v>
      </c>
      <c r="CP59" s="1422">
        <v>0</v>
      </c>
      <c r="CQ59" s="1422">
        <v>0</v>
      </c>
      <c r="CR59" s="1422">
        <v>0</v>
      </c>
      <c r="CS59" s="1420">
        <v>17647.27</v>
      </c>
      <c r="CT59" s="1422">
        <v>5500</v>
      </c>
      <c r="CU59" s="1420">
        <v>6811060.4400000004</v>
      </c>
      <c r="CV59" s="1420">
        <v>6508526.5199999996</v>
      </c>
      <c r="CW59" s="1420">
        <v>2333515.86</v>
      </c>
      <c r="CX59" s="1420">
        <v>2350965.94</v>
      </c>
      <c r="CY59" s="1420">
        <v>398877.53</v>
      </c>
      <c r="CZ59" s="1420">
        <v>387259.25</v>
      </c>
      <c r="DA59" s="1420">
        <v>216259.14</v>
      </c>
      <c r="DB59" s="1420">
        <v>181401.77</v>
      </c>
      <c r="DC59" s="1422">
        <v>0</v>
      </c>
      <c r="DD59" s="1422">
        <v>0</v>
      </c>
      <c r="DE59" s="1420">
        <v>236347.19</v>
      </c>
      <c r="DF59" s="1420">
        <v>243615.29</v>
      </c>
      <c r="DG59" s="1420">
        <v>56545.54</v>
      </c>
      <c r="DH59" s="1420">
        <v>167823.13</v>
      </c>
      <c r="DI59" s="1420">
        <v>3241545.26</v>
      </c>
      <c r="DJ59" s="1420">
        <v>3331065.38</v>
      </c>
      <c r="DK59" s="1420">
        <v>204183.62</v>
      </c>
      <c r="DL59" s="1420">
        <v>191326.6</v>
      </c>
      <c r="DM59" s="1420">
        <v>133659.91</v>
      </c>
      <c r="DN59" s="1420">
        <v>107653.62</v>
      </c>
      <c r="DO59" s="1420">
        <v>659979.48</v>
      </c>
      <c r="DP59" s="1420">
        <v>687247.8</v>
      </c>
      <c r="DQ59" s="1420">
        <v>386285.28</v>
      </c>
      <c r="DR59" s="1420">
        <v>412118.93</v>
      </c>
      <c r="DS59" s="1420">
        <v>57649.03</v>
      </c>
      <c r="DT59" s="1422">
        <v>27762</v>
      </c>
      <c r="DU59" s="1420">
        <v>1441757.32</v>
      </c>
      <c r="DV59" s="1420">
        <v>1426108.95</v>
      </c>
      <c r="DW59" s="1420">
        <v>375300.61</v>
      </c>
      <c r="DX59" s="1420">
        <v>382267.65</v>
      </c>
      <c r="DY59" s="1420">
        <v>370579.28</v>
      </c>
      <c r="DZ59" s="1420">
        <v>424327.96</v>
      </c>
      <c r="EA59" s="1420">
        <v>311644.09000000003</v>
      </c>
      <c r="EB59" s="1420">
        <v>266759.69</v>
      </c>
      <c r="EC59" s="1420">
        <v>1057523.98</v>
      </c>
      <c r="ED59" s="1420">
        <v>1073355.3</v>
      </c>
      <c r="EE59" s="1420">
        <v>355244.84</v>
      </c>
      <c r="EF59" s="1422">
        <v>352631</v>
      </c>
      <c r="EG59" s="1420">
        <v>34564.79</v>
      </c>
      <c r="EH59" s="1422">
        <v>0</v>
      </c>
      <c r="EI59" s="1420">
        <v>1782.15</v>
      </c>
      <c r="EJ59" s="1422">
        <v>2200</v>
      </c>
      <c r="EK59" s="1422">
        <v>0</v>
      </c>
      <c r="EL59" s="1422">
        <v>0</v>
      </c>
      <c r="EM59" s="1420">
        <v>391591.78</v>
      </c>
      <c r="EN59" s="1422">
        <v>354831</v>
      </c>
      <c r="EO59" s="1420">
        <v>397714.9</v>
      </c>
      <c r="EP59" s="1422">
        <v>15648</v>
      </c>
      <c r="EQ59" s="1420">
        <v>255978.52</v>
      </c>
      <c r="ER59" s="1422">
        <v>334635</v>
      </c>
      <c r="ES59" s="1420">
        <v>71.28</v>
      </c>
      <c r="ET59" s="1422">
        <v>0</v>
      </c>
      <c r="EU59" s="1420">
        <v>6786183.04</v>
      </c>
      <c r="EV59" s="1420">
        <v>6535643.6299999999</v>
      </c>
      <c r="EW59" s="1420">
        <v>449118.64</v>
      </c>
      <c r="EX59" s="1420">
        <v>115329.99</v>
      </c>
      <c r="EY59" s="1420">
        <v>255978.52</v>
      </c>
      <c r="EZ59" s="1422">
        <v>334635</v>
      </c>
      <c r="FA59" s="1420">
        <v>6081085.8799999999</v>
      </c>
      <c r="FB59" s="1420">
        <v>6085678.6399999997</v>
      </c>
      <c r="FC59" s="1420">
        <v>291704.23</v>
      </c>
      <c r="FD59" s="1439"/>
      <c r="FE59" s="1420">
        <v>5789381.6500000004</v>
      </c>
      <c r="FF59" s="1439"/>
      <c r="FG59" s="1422">
        <v>8934</v>
      </c>
      <c r="FH59" s="1439"/>
      <c r="FI59" s="1420">
        <v>52.68</v>
      </c>
      <c r="FJ59" s="1439"/>
      <c r="FK59" s="1422">
        <v>39482</v>
      </c>
      <c r="FL59" s="1439"/>
      <c r="FM59" s="1420">
        <v>57.09</v>
      </c>
      <c r="FN59" s="1439"/>
      <c r="FO59" s="1422">
        <v>42411</v>
      </c>
      <c r="FP59" s="1439"/>
      <c r="FQ59" s="1420">
        <v>655073.97</v>
      </c>
      <c r="FR59" s="1439"/>
      <c r="FS59" s="1420">
        <v>57305.88</v>
      </c>
      <c r="FT59" s="1439"/>
      <c r="FU59" s="1422">
        <v>0</v>
      </c>
      <c r="FV59" s="1439"/>
      <c r="FW59" s="1420">
        <v>597768.09</v>
      </c>
      <c r="FX59" s="1439"/>
      <c r="FY59" s="1420">
        <v>137029.82999999999</v>
      </c>
      <c r="FZ59" s="1439"/>
      <c r="GA59" s="1422">
        <v>0</v>
      </c>
      <c r="GB59" s="1439"/>
    </row>
    <row r="60" spans="1:184" ht="12.75" customHeight="1" thickBot="1">
      <c r="A60" s="1418" t="s">
        <v>517</v>
      </c>
      <c r="B60" s="1418" t="s">
        <v>518</v>
      </c>
      <c r="C60" s="1420">
        <v>125.22</v>
      </c>
      <c r="D60" s="1439"/>
      <c r="E60" s="1420">
        <v>365.7</v>
      </c>
      <c r="F60" s="1439"/>
      <c r="G60" s="1421">
        <v>-0.33</v>
      </c>
      <c r="H60" s="1439"/>
      <c r="I60" s="1420">
        <v>392.55</v>
      </c>
      <c r="J60" s="1439"/>
      <c r="K60" s="1420">
        <v>402.46</v>
      </c>
      <c r="L60" s="1439"/>
      <c r="M60" s="1422">
        <v>43246128</v>
      </c>
      <c r="N60" s="1439"/>
      <c r="O60" s="1422">
        <v>25</v>
      </c>
      <c r="P60" s="1439"/>
      <c r="Q60" s="1422">
        <v>25</v>
      </c>
      <c r="R60" s="1439"/>
      <c r="S60" s="1422">
        <v>0</v>
      </c>
      <c r="T60" s="1439"/>
      <c r="U60" s="1422">
        <v>0</v>
      </c>
      <c r="V60" s="1439"/>
      <c r="W60" s="1420">
        <v>11.4</v>
      </c>
      <c r="X60" s="1439"/>
      <c r="Y60" s="1420">
        <v>36.4</v>
      </c>
      <c r="Z60" s="1439"/>
      <c r="AA60" s="1420">
        <v>1417709.63</v>
      </c>
      <c r="AB60" s="1455"/>
      <c r="AC60" s="1424">
        <v>1513276.45</v>
      </c>
      <c r="AD60" s="1422">
        <v>1511500</v>
      </c>
      <c r="AE60" s="1420">
        <v>288503.15000000002</v>
      </c>
      <c r="AF60" s="1422">
        <v>73180</v>
      </c>
      <c r="AG60" s="1420">
        <v>262.19</v>
      </c>
      <c r="AH60" s="1456">
        <v>250</v>
      </c>
      <c r="AI60" s="1428">
        <v>1297472</v>
      </c>
      <c r="AJ60" s="1422">
        <v>1310694</v>
      </c>
      <c r="AK60" s="1422">
        <v>11860</v>
      </c>
      <c r="AL60" s="1422">
        <v>10000</v>
      </c>
      <c r="AM60" s="1422">
        <v>0</v>
      </c>
      <c r="AN60" s="1422">
        <v>0</v>
      </c>
      <c r="AO60" s="1422">
        <v>37885</v>
      </c>
      <c r="AP60" s="1422">
        <v>33884</v>
      </c>
      <c r="AQ60" s="1422">
        <v>0</v>
      </c>
      <c r="AR60" s="1422">
        <v>0</v>
      </c>
      <c r="AS60" s="1422">
        <v>116944</v>
      </c>
      <c r="AT60" s="1422">
        <v>101000</v>
      </c>
      <c r="AU60" s="1422">
        <v>0</v>
      </c>
      <c r="AV60" s="1422">
        <v>0</v>
      </c>
      <c r="AW60" s="1422">
        <v>0</v>
      </c>
      <c r="AX60" s="1422">
        <v>0</v>
      </c>
      <c r="AY60" s="1420">
        <v>3266202.79</v>
      </c>
      <c r="AZ60" s="1422">
        <v>3040508</v>
      </c>
      <c r="BA60" s="1422">
        <v>0</v>
      </c>
      <c r="BB60" s="1422">
        <v>0</v>
      </c>
      <c r="BC60" s="1422">
        <v>16646</v>
      </c>
      <c r="BD60" s="1422">
        <v>16589</v>
      </c>
      <c r="BE60" s="1420">
        <v>4380.26</v>
      </c>
      <c r="BF60" s="1422">
        <v>9200</v>
      </c>
      <c r="BG60" s="1422">
        <v>962</v>
      </c>
      <c r="BH60" s="1422">
        <v>0</v>
      </c>
      <c r="BI60" s="1422">
        <v>28644</v>
      </c>
      <c r="BJ60" s="1422">
        <v>22507</v>
      </c>
      <c r="BK60" s="1422">
        <v>0</v>
      </c>
      <c r="BL60" s="1422">
        <v>0</v>
      </c>
      <c r="BM60" s="1422">
        <v>237251</v>
      </c>
      <c r="BN60" s="1422">
        <v>314732</v>
      </c>
      <c r="BO60" s="1420">
        <v>11008.76</v>
      </c>
      <c r="BP60" s="1422">
        <v>0</v>
      </c>
      <c r="BQ60" s="1420">
        <v>5687.52</v>
      </c>
      <c r="BR60" s="1422">
        <v>1265</v>
      </c>
      <c r="BS60" s="1420">
        <v>1585.36</v>
      </c>
      <c r="BT60" s="1422">
        <v>1600</v>
      </c>
      <c r="BU60" s="1422">
        <v>0</v>
      </c>
      <c r="BV60" s="1422">
        <v>0</v>
      </c>
      <c r="BW60" s="1422">
        <v>0</v>
      </c>
      <c r="BX60" s="1422">
        <v>0</v>
      </c>
      <c r="BY60" s="1422">
        <v>0</v>
      </c>
      <c r="BZ60" s="1422">
        <v>0</v>
      </c>
      <c r="CA60" s="1420">
        <v>99721.5</v>
      </c>
      <c r="CB60" s="1422">
        <v>9403</v>
      </c>
      <c r="CC60" s="1420">
        <v>405886.4</v>
      </c>
      <c r="CD60" s="1422">
        <v>375296</v>
      </c>
      <c r="CE60" s="1422">
        <v>1298886</v>
      </c>
      <c r="CF60" s="1422">
        <v>765172</v>
      </c>
      <c r="CG60" s="1422">
        <v>0</v>
      </c>
      <c r="CH60" s="1422">
        <v>0</v>
      </c>
      <c r="CI60" s="1422">
        <v>0</v>
      </c>
      <c r="CJ60" s="1422">
        <v>0</v>
      </c>
      <c r="CK60" s="1420">
        <v>2182.56</v>
      </c>
      <c r="CL60" s="1422">
        <v>0</v>
      </c>
      <c r="CM60" s="1422">
        <v>711</v>
      </c>
      <c r="CN60" s="1422">
        <v>0</v>
      </c>
      <c r="CO60" s="1420">
        <v>8395.9</v>
      </c>
      <c r="CP60" s="1422">
        <v>0</v>
      </c>
      <c r="CQ60" s="1422">
        <v>0</v>
      </c>
      <c r="CR60" s="1422">
        <v>0</v>
      </c>
      <c r="CS60" s="1420">
        <v>11289.46</v>
      </c>
      <c r="CT60" s="1422">
        <v>0</v>
      </c>
      <c r="CU60" s="1420">
        <v>4982264.6500000004</v>
      </c>
      <c r="CV60" s="1422">
        <v>4180976</v>
      </c>
      <c r="CW60" s="1420">
        <v>1499879.05</v>
      </c>
      <c r="CX60" s="1420">
        <v>1286044.19</v>
      </c>
      <c r="CY60" s="1420">
        <v>256376.67</v>
      </c>
      <c r="CZ60" s="1420">
        <v>198009.67</v>
      </c>
      <c r="DA60" s="1420">
        <v>143606.6</v>
      </c>
      <c r="DB60" s="1420">
        <v>154801.49</v>
      </c>
      <c r="DC60" s="1422">
        <v>0</v>
      </c>
      <c r="DD60" s="1422">
        <v>0</v>
      </c>
      <c r="DE60" s="1420">
        <v>240688.1</v>
      </c>
      <c r="DF60" s="1420">
        <v>154702.76999999999</v>
      </c>
      <c r="DG60" s="1420">
        <v>62442.71</v>
      </c>
      <c r="DH60" s="1420">
        <v>73429.52</v>
      </c>
      <c r="DI60" s="1420">
        <v>2202993.13</v>
      </c>
      <c r="DJ60" s="1420">
        <v>1866987.64</v>
      </c>
      <c r="DK60" s="1420">
        <v>127871.76</v>
      </c>
      <c r="DL60" s="1420">
        <v>119401.75</v>
      </c>
      <c r="DM60" s="1420">
        <v>70921.47</v>
      </c>
      <c r="DN60" s="1420">
        <v>92477.97</v>
      </c>
      <c r="DO60" s="1420">
        <v>324461.92</v>
      </c>
      <c r="DP60" s="1420">
        <v>337101.14</v>
      </c>
      <c r="DQ60" s="1420">
        <v>134594.65</v>
      </c>
      <c r="DR60" s="1420">
        <v>147215.5</v>
      </c>
      <c r="DS60" s="1420">
        <v>23685.02</v>
      </c>
      <c r="DT60" s="1422">
        <v>6399</v>
      </c>
      <c r="DU60" s="1420">
        <v>681534.82</v>
      </c>
      <c r="DV60" s="1420">
        <v>702595.36</v>
      </c>
      <c r="DW60" s="1420">
        <v>174568.39</v>
      </c>
      <c r="DX60" s="1420">
        <v>189997.54</v>
      </c>
      <c r="DY60" s="1420">
        <v>506319.17</v>
      </c>
      <c r="DZ60" s="1420">
        <v>537187.72</v>
      </c>
      <c r="EA60" s="1420">
        <v>278278.46999999997</v>
      </c>
      <c r="EB60" s="1420">
        <v>261634.49</v>
      </c>
      <c r="EC60" s="1420">
        <v>959166.03</v>
      </c>
      <c r="ED60" s="1420">
        <v>988819.75</v>
      </c>
      <c r="EE60" s="1420">
        <v>233094.09</v>
      </c>
      <c r="EF60" s="1420">
        <v>217497.53</v>
      </c>
      <c r="EG60" s="1420">
        <v>19968.150000000001</v>
      </c>
      <c r="EH60" s="1422">
        <v>0</v>
      </c>
      <c r="EI60" s="1422">
        <v>0</v>
      </c>
      <c r="EJ60" s="1422">
        <v>450</v>
      </c>
      <c r="EK60" s="1422">
        <v>0</v>
      </c>
      <c r="EL60" s="1422">
        <v>0</v>
      </c>
      <c r="EM60" s="1420">
        <v>253062.24</v>
      </c>
      <c r="EN60" s="1420">
        <v>217947.53</v>
      </c>
      <c r="EO60" s="1420">
        <v>778984.92</v>
      </c>
      <c r="EP60" s="1422">
        <v>96464</v>
      </c>
      <c r="EQ60" s="1420">
        <v>278471.34999999998</v>
      </c>
      <c r="ER60" s="1422">
        <v>280691</v>
      </c>
      <c r="ES60" s="1422">
        <v>0</v>
      </c>
      <c r="ET60" s="1422">
        <v>0</v>
      </c>
      <c r="EU60" s="1420">
        <v>5154212.49</v>
      </c>
      <c r="EV60" s="1420">
        <v>4153505.28</v>
      </c>
      <c r="EW60" s="1420">
        <v>822629.9</v>
      </c>
      <c r="EX60" s="1422">
        <v>121894</v>
      </c>
      <c r="EY60" s="1420">
        <v>278471.34999999998</v>
      </c>
      <c r="EZ60" s="1422">
        <v>280691</v>
      </c>
      <c r="FA60" s="1420">
        <v>4053111.24</v>
      </c>
      <c r="FB60" s="1420">
        <v>3750920.28</v>
      </c>
      <c r="FC60" s="1420">
        <v>104259.14</v>
      </c>
      <c r="FD60" s="1439"/>
      <c r="FE60" s="1420">
        <v>3948852.1</v>
      </c>
      <c r="FF60" s="1439"/>
      <c r="FG60" s="1422">
        <v>10798</v>
      </c>
      <c r="FH60" s="1439"/>
      <c r="FI60" s="1420">
        <v>35.14</v>
      </c>
      <c r="FJ60" s="1439"/>
      <c r="FK60" s="1422">
        <v>41060</v>
      </c>
      <c r="FL60" s="1439"/>
      <c r="FM60" s="1420">
        <v>39.69</v>
      </c>
      <c r="FN60" s="1439"/>
      <c r="FO60" s="1422">
        <v>43771</v>
      </c>
      <c r="FP60" s="1439"/>
      <c r="FQ60" s="1420">
        <v>596334.02</v>
      </c>
      <c r="FR60" s="1439"/>
      <c r="FS60" s="1420">
        <v>5779.93</v>
      </c>
      <c r="FT60" s="1439"/>
      <c r="FU60" s="1420">
        <v>80533.37</v>
      </c>
      <c r="FV60" s="1439"/>
      <c r="FW60" s="1420">
        <v>510020.72</v>
      </c>
      <c r="FX60" s="1439"/>
      <c r="FY60" s="1422">
        <v>0</v>
      </c>
      <c r="FZ60" s="1439"/>
      <c r="GA60" s="1422">
        <v>0</v>
      </c>
      <c r="GB60" s="1439"/>
    </row>
    <row r="61" spans="1:184" ht="12.75" customHeight="1" thickBot="1">
      <c r="A61" s="1418" t="s">
        <v>519</v>
      </c>
      <c r="B61" s="1418" t="s">
        <v>520</v>
      </c>
      <c r="C61" s="1420">
        <v>116.11</v>
      </c>
      <c r="D61" s="1439"/>
      <c r="E61" s="1420">
        <v>5591.12</v>
      </c>
      <c r="F61" s="1439"/>
      <c r="G61" s="1421">
        <v>0.02</v>
      </c>
      <c r="H61" s="1439"/>
      <c r="I61" s="1420">
        <v>5880.08</v>
      </c>
      <c r="J61" s="1439"/>
      <c r="K61" s="1420">
        <v>5821.77</v>
      </c>
      <c r="L61" s="1439"/>
      <c r="M61" s="1422">
        <v>405182443</v>
      </c>
      <c r="N61" s="1439"/>
      <c r="O61" s="1422">
        <v>25</v>
      </c>
      <c r="P61" s="1439"/>
      <c r="Q61" s="1422">
        <v>25</v>
      </c>
      <c r="R61" s="1439"/>
      <c r="S61" s="1422">
        <v>0</v>
      </c>
      <c r="T61" s="1439"/>
      <c r="U61" s="1422">
        <v>0</v>
      </c>
      <c r="V61" s="1439"/>
      <c r="W61" s="1420">
        <v>14.6</v>
      </c>
      <c r="X61" s="1439"/>
      <c r="Y61" s="1420">
        <v>39.6</v>
      </c>
      <c r="Z61" s="1439"/>
      <c r="AA61" s="1422">
        <v>76745000</v>
      </c>
      <c r="AB61" s="1455"/>
      <c r="AC61" s="1424">
        <v>15289326.560000001</v>
      </c>
      <c r="AD61" s="1422">
        <v>15724320</v>
      </c>
      <c r="AE61" s="1420">
        <v>2420493.5299999998</v>
      </c>
      <c r="AF61" s="1422">
        <v>1318000</v>
      </c>
      <c r="AG61" s="1420">
        <v>3865.28</v>
      </c>
      <c r="AH61" s="1456">
        <v>0</v>
      </c>
      <c r="AI61" s="1428">
        <v>25278733</v>
      </c>
      <c r="AJ61" s="1422">
        <v>26249549</v>
      </c>
      <c r="AK61" s="1422">
        <v>135424</v>
      </c>
      <c r="AL61" s="1422">
        <v>0</v>
      </c>
      <c r="AM61" s="1422">
        <v>362208</v>
      </c>
      <c r="AN61" s="1422">
        <v>0</v>
      </c>
      <c r="AO61" s="1422">
        <v>0</v>
      </c>
      <c r="AP61" s="1422">
        <v>0</v>
      </c>
      <c r="AQ61" s="1422">
        <v>0</v>
      </c>
      <c r="AR61" s="1422">
        <v>0</v>
      </c>
      <c r="AS61" s="1422">
        <v>0</v>
      </c>
      <c r="AT61" s="1422">
        <v>0</v>
      </c>
      <c r="AU61" s="1422">
        <v>0</v>
      </c>
      <c r="AV61" s="1422">
        <v>0</v>
      </c>
      <c r="AW61" s="1422">
        <v>0</v>
      </c>
      <c r="AX61" s="1422">
        <v>0</v>
      </c>
      <c r="AY61" s="1420">
        <v>43490050.369999997</v>
      </c>
      <c r="AZ61" s="1422">
        <v>43291869</v>
      </c>
      <c r="BA61" s="1420">
        <v>540611.25</v>
      </c>
      <c r="BB61" s="1420">
        <v>520003.9</v>
      </c>
      <c r="BC61" s="1422">
        <v>240788</v>
      </c>
      <c r="BD61" s="1422">
        <v>249661</v>
      </c>
      <c r="BE61" s="1420">
        <v>70984.52</v>
      </c>
      <c r="BF61" s="1422">
        <v>55985</v>
      </c>
      <c r="BG61" s="1422">
        <v>7219</v>
      </c>
      <c r="BH61" s="1422">
        <v>4900</v>
      </c>
      <c r="BI61" s="1422">
        <v>232566</v>
      </c>
      <c r="BJ61" s="1422">
        <v>348553</v>
      </c>
      <c r="BK61" s="1422">
        <v>138882</v>
      </c>
      <c r="BL61" s="1422">
        <v>138000</v>
      </c>
      <c r="BM61" s="1422">
        <v>1557936</v>
      </c>
      <c r="BN61" s="1422">
        <v>1671824</v>
      </c>
      <c r="BO61" s="1420">
        <v>158988.48000000001</v>
      </c>
      <c r="BP61" s="1422">
        <v>132710</v>
      </c>
      <c r="BQ61" s="1420">
        <v>92067.28</v>
      </c>
      <c r="BR61" s="1422">
        <v>69188</v>
      </c>
      <c r="BS61" s="1420">
        <v>27019.08</v>
      </c>
      <c r="BT61" s="1422">
        <v>25000</v>
      </c>
      <c r="BU61" s="1422">
        <v>0</v>
      </c>
      <c r="BV61" s="1422">
        <v>0</v>
      </c>
      <c r="BW61" s="1422">
        <v>388800</v>
      </c>
      <c r="BX61" s="1422">
        <v>388800</v>
      </c>
      <c r="BY61" s="1422">
        <v>0</v>
      </c>
      <c r="BZ61" s="1422">
        <v>0</v>
      </c>
      <c r="CA61" s="1420">
        <v>6813837.4800000004</v>
      </c>
      <c r="CB61" s="1422">
        <v>615573</v>
      </c>
      <c r="CC61" s="1420">
        <v>10269699.09</v>
      </c>
      <c r="CD61" s="1420">
        <v>4220197.9000000004</v>
      </c>
      <c r="CE61" s="1420">
        <v>10189409.73</v>
      </c>
      <c r="CF61" s="1420">
        <v>7827730.9000000004</v>
      </c>
      <c r="CG61" s="1420">
        <v>3107003.22</v>
      </c>
      <c r="CH61" s="1420">
        <v>1327263.28</v>
      </c>
      <c r="CI61" s="1422">
        <v>0</v>
      </c>
      <c r="CJ61" s="1422">
        <v>0</v>
      </c>
      <c r="CK61" s="1422">
        <v>28766</v>
      </c>
      <c r="CL61" s="1422">
        <v>28766</v>
      </c>
      <c r="CM61" s="1420">
        <v>4171.5</v>
      </c>
      <c r="CN61" s="1422">
        <v>0</v>
      </c>
      <c r="CO61" s="1420">
        <v>43052.14</v>
      </c>
      <c r="CP61" s="1422">
        <v>0</v>
      </c>
      <c r="CQ61" s="1422">
        <v>0</v>
      </c>
      <c r="CR61" s="1422">
        <v>0</v>
      </c>
      <c r="CS61" s="1420">
        <v>3182992.86</v>
      </c>
      <c r="CT61" s="1420">
        <v>1356029.28</v>
      </c>
      <c r="CU61" s="1420">
        <v>67132152.049999997</v>
      </c>
      <c r="CV61" s="1420">
        <v>56695827.079999998</v>
      </c>
      <c r="CW61" s="1420">
        <v>20134342.66</v>
      </c>
      <c r="CX61" s="1420">
        <v>19594196.23</v>
      </c>
      <c r="CY61" s="1420">
        <v>4003514.15</v>
      </c>
      <c r="CZ61" s="1420">
        <v>4326874.75</v>
      </c>
      <c r="DA61" s="1420">
        <v>1109062.79</v>
      </c>
      <c r="DB61" s="1420">
        <v>1079140.53</v>
      </c>
      <c r="DC61" s="1420">
        <v>575220.68000000005</v>
      </c>
      <c r="DD61" s="1420">
        <v>578860.73</v>
      </c>
      <c r="DE61" s="1420">
        <v>1627116.72</v>
      </c>
      <c r="DF61" s="1420">
        <v>1672130.18</v>
      </c>
      <c r="DG61" s="1420">
        <v>978869.45</v>
      </c>
      <c r="DH61" s="1420">
        <v>1151858.94</v>
      </c>
      <c r="DI61" s="1420">
        <v>28428126.449999999</v>
      </c>
      <c r="DJ61" s="1420">
        <v>28403061.359999999</v>
      </c>
      <c r="DK61" s="1420">
        <v>1069803.18</v>
      </c>
      <c r="DL61" s="1420">
        <v>1148660.3999999999</v>
      </c>
      <c r="DM61" s="1420">
        <v>907337.25</v>
      </c>
      <c r="DN61" s="1420">
        <v>903847.69</v>
      </c>
      <c r="DO61" s="1422">
        <v>4935752</v>
      </c>
      <c r="DP61" s="1420">
        <v>4820422.51</v>
      </c>
      <c r="DQ61" s="1420">
        <v>2023382.45</v>
      </c>
      <c r="DR61" s="1420">
        <v>1745091.14</v>
      </c>
      <c r="DS61" s="1420">
        <v>108996.22</v>
      </c>
      <c r="DT61" s="1422">
        <v>46766</v>
      </c>
      <c r="DU61" s="1420">
        <v>9045271.0999999996</v>
      </c>
      <c r="DV61" s="1420">
        <v>8664787.7400000002</v>
      </c>
      <c r="DW61" s="1420">
        <v>2163499.17</v>
      </c>
      <c r="DX61" s="1420">
        <v>2346853.58</v>
      </c>
      <c r="DY61" s="1420">
        <v>6289096.2000000002</v>
      </c>
      <c r="DZ61" s="1420">
        <v>5294037.6900000004</v>
      </c>
      <c r="EA61" s="1420">
        <v>2418396.0299999998</v>
      </c>
      <c r="EB61" s="1420">
        <v>2569392.37</v>
      </c>
      <c r="EC61" s="1420">
        <v>10870991.4</v>
      </c>
      <c r="ED61" s="1420">
        <v>10210283.640000001</v>
      </c>
      <c r="EE61" s="1420">
        <v>2636443.66</v>
      </c>
      <c r="EF61" s="1420">
        <v>2447140.64</v>
      </c>
      <c r="EG61" s="1420">
        <v>100053.68</v>
      </c>
      <c r="EH61" s="1422">
        <v>0</v>
      </c>
      <c r="EI61" s="1420">
        <v>1034808.82</v>
      </c>
      <c r="EJ61" s="1420">
        <v>834669.78</v>
      </c>
      <c r="EK61" s="1422">
        <v>0</v>
      </c>
      <c r="EL61" s="1422">
        <v>0</v>
      </c>
      <c r="EM61" s="1420">
        <v>3771306.16</v>
      </c>
      <c r="EN61" s="1420">
        <v>3281810.42</v>
      </c>
      <c r="EO61" s="1420">
        <v>15998995.09</v>
      </c>
      <c r="EP61" s="1420">
        <v>8141138.9699999997</v>
      </c>
      <c r="EQ61" s="1420">
        <v>5272109.9000000004</v>
      </c>
      <c r="ER61" s="1420">
        <v>5741765.21</v>
      </c>
      <c r="ES61" s="1420">
        <v>144.41</v>
      </c>
      <c r="ET61" s="1422">
        <v>0</v>
      </c>
      <c r="EU61" s="1420">
        <v>73386944.510000005</v>
      </c>
      <c r="EV61" s="1420">
        <v>64442847.340000004</v>
      </c>
      <c r="EW61" s="1420">
        <v>17119324.199999999</v>
      </c>
      <c r="EX61" s="1420">
        <v>8454172.1600000001</v>
      </c>
      <c r="EY61" s="1420">
        <v>5272109.9000000004</v>
      </c>
      <c r="EZ61" s="1420">
        <v>5741765.21</v>
      </c>
      <c r="FA61" s="1420">
        <v>50995510.409999996</v>
      </c>
      <c r="FB61" s="1420">
        <v>50246909.969999999</v>
      </c>
      <c r="FC61" s="1420">
        <v>2996443.92</v>
      </c>
      <c r="FD61" s="1439"/>
      <c r="FE61" s="1420">
        <v>47999066.490000002</v>
      </c>
      <c r="FF61" s="1439"/>
      <c r="FG61" s="1422">
        <v>8584</v>
      </c>
      <c r="FH61" s="1439"/>
      <c r="FI61" s="1420">
        <v>403.65</v>
      </c>
      <c r="FJ61" s="1439"/>
      <c r="FK61" s="1422">
        <v>46548</v>
      </c>
      <c r="FL61" s="1439"/>
      <c r="FM61" s="1420">
        <v>441.01</v>
      </c>
      <c r="FN61" s="1439"/>
      <c r="FO61" s="1422">
        <v>49298</v>
      </c>
      <c r="FP61" s="1439"/>
      <c r="FQ61" s="1420">
        <v>6060391.5999999996</v>
      </c>
      <c r="FR61" s="1439"/>
      <c r="FS61" s="1420">
        <v>134712.78</v>
      </c>
      <c r="FT61" s="1439"/>
      <c r="FU61" s="1422">
        <v>0</v>
      </c>
      <c r="FV61" s="1439"/>
      <c r="FW61" s="1420">
        <v>5925678.8200000003</v>
      </c>
      <c r="FX61" s="1439"/>
      <c r="FY61" s="1420">
        <v>6686869.8600000003</v>
      </c>
      <c r="FZ61" s="1439"/>
      <c r="GA61" s="1422">
        <v>0</v>
      </c>
      <c r="GB61" s="1439"/>
    </row>
    <row r="62" spans="1:184" ht="12.75" customHeight="1" thickBot="1">
      <c r="A62" s="1418" t="s">
        <v>521</v>
      </c>
      <c r="B62" s="1418" t="s">
        <v>522</v>
      </c>
      <c r="C62" s="1420">
        <v>136.44999999999999</v>
      </c>
      <c r="D62" s="1439"/>
      <c r="E62" s="1420">
        <v>670.91</v>
      </c>
      <c r="F62" s="1439"/>
      <c r="G62" s="1421">
        <v>-0.17</v>
      </c>
      <c r="H62" s="1439"/>
      <c r="I62" s="1420">
        <v>693.93</v>
      </c>
      <c r="J62" s="1439"/>
      <c r="K62" s="1420">
        <v>755.21</v>
      </c>
      <c r="L62" s="1439"/>
      <c r="M62" s="1422">
        <v>24330476</v>
      </c>
      <c r="N62" s="1439"/>
      <c r="O62" s="1422">
        <v>25</v>
      </c>
      <c r="P62" s="1439"/>
      <c r="Q62" s="1422">
        <v>25</v>
      </c>
      <c r="R62" s="1439"/>
      <c r="S62" s="1422">
        <v>0</v>
      </c>
      <c r="T62" s="1439"/>
      <c r="U62" s="1422">
        <v>0</v>
      </c>
      <c r="V62" s="1439"/>
      <c r="W62" s="1420">
        <v>19.8</v>
      </c>
      <c r="X62" s="1439"/>
      <c r="Y62" s="1420">
        <v>44.8</v>
      </c>
      <c r="Z62" s="1439"/>
      <c r="AA62" s="1420">
        <v>7956454.9699999997</v>
      </c>
      <c r="AB62" s="1455"/>
      <c r="AC62" s="1424">
        <v>1059801.23</v>
      </c>
      <c r="AD62" s="1420">
        <v>964315.54</v>
      </c>
      <c r="AE62" s="1420">
        <v>2172685.2799999998</v>
      </c>
      <c r="AF62" s="1422">
        <v>89972</v>
      </c>
      <c r="AG62" s="1422">
        <v>0</v>
      </c>
      <c r="AH62" s="1456">
        <v>0</v>
      </c>
      <c r="AI62" s="1428">
        <v>3949343</v>
      </c>
      <c r="AJ62" s="1422">
        <v>3679845</v>
      </c>
      <c r="AK62" s="1422">
        <v>34582</v>
      </c>
      <c r="AL62" s="1422">
        <v>0</v>
      </c>
      <c r="AM62" s="1422">
        <v>0</v>
      </c>
      <c r="AN62" s="1422">
        <v>0</v>
      </c>
      <c r="AO62" s="1422">
        <v>69867</v>
      </c>
      <c r="AP62" s="1422">
        <v>180326</v>
      </c>
      <c r="AQ62" s="1422">
        <v>0</v>
      </c>
      <c r="AR62" s="1422">
        <v>0</v>
      </c>
      <c r="AS62" s="1422">
        <v>0</v>
      </c>
      <c r="AT62" s="1422">
        <v>0</v>
      </c>
      <c r="AU62" s="1422">
        <v>29961</v>
      </c>
      <c r="AV62" s="1422">
        <v>23968</v>
      </c>
      <c r="AW62" s="1422">
        <v>0</v>
      </c>
      <c r="AX62" s="1422">
        <v>0</v>
      </c>
      <c r="AY62" s="1420">
        <v>7316239.5099999998</v>
      </c>
      <c r="AZ62" s="1420">
        <v>4938426.54</v>
      </c>
      <c r="BA62" s="1422">
        <v>0</v>
      </c>
      <c r="BB62" s="1422">
        <v>0</v>
      </c>
      <c r="BC62" s="1422">
        <v>31235</v>
      </c>
      <c r="BD62" s="1422">
        <v>29518</v>
      </c>
      <c r="BE62" s="1420">
        <v>153639.35999999999</v>
      </c>
      <c r="BF62" s="1422">
        <v>0</v>
      </c>
      <c r="BG62" s="1422">
        <v>0</v>
      </c>
      <c r="BH62" s="1422">
        <v>0</v>
      </c>
      <c r="BI62" s="1422">
        <v>0</v>
      </c>
      <c r="BJ62" s="1422">
        <v>0</v>
      </c>
      <c r="BK62" s="1422">
        <v>0</v>
      </c>
      <c r="BL62" s="1422">
        <v>0</v>
      </c>
      <c r="BM62" s="1422">
        <v>1078800</v>
      </c>
      <c r="BN62" s="1422">
        <v>1012506</v>
      </c>
      <c r="BO62" s="1420">
        <v>17671.830000000002</v>
      </c>
      <c r="BP62" s="1422">
        <v>0</v>
      </c>
      <c r="BQ62" s="1420">
        <v>79916.710000000006</v>
      </c>
      <c r="BR62" s="1422">
        <v>34125</v>
      </c>
      <c r="BS62" s="1420">
        <v>3359.34</v>
      </c>
      <c r="BT62" s="1422">
        <v>0</v>
      </c>
      <c r="BU62" s="1422">
        <v>0</v>
      </c>
      <c r="BV62" s="1422">
        <v>0</v>
      </c>
      <c r="BW62" s="1422">
        <v>237307</v>
      </c>
      <c r="BX62" s="1422">
        <v>260520</v>
      </c>
      <c r="BY62" s="1422">
        <v>0</v>
      </c>
      <c r="BZ62" s="1422">
        <v>0</v>
      </c>
      <c r="CA62" s="1420">
        <v>239747.20000000001</v>
      </c>
      <c r="CB62" s="1422">
        <v>183741</v>
      </c>
      <c r="CC62" s="1420">
        <v>1841676.44</v>
      </c>
      <c r="CD62" s="1422">
        <v>1520410</v>
      </c>
      <c r="CE62" s="1420">
        <v>3405176.35</v>
      </c>
      <c r="CF62" s="1420">
        <v>1938012.47</v>
      </c>
      <c r="CG62" s="1422">
        <v>688215</v>
      </c>
      <c r="CH62" s="1422">
        <v>0</v>
      </c>
      <c r="CI62" s="1422">
        <v>0</v>
      </c>
      <c r="CJ62" s="1422">
        <v>0</v>
      </c>
      <c r="CK62" s="1422">
        <v>0</v>
      </c>
      <c r="CL62" s="1422">
        <v>0</v>
      </c>
      <c r="CM62" s="1422">
        <v>0</v>
      </c>
      <c r="CN62" s="1422">
        <v>0</v>
      </c>
      <c r="CO62" s="1422">
        <v>0</v>
      </c>
      <c r="CP62" s="1422">
        <v>0</v>
      </c>
      <c r="CQ62" s="1422">
        <v>0</v>
      </c>
      <c r="CR62" s="1422">
        <v>0</v>
      </c>
      <c r="CS62" s="1422">
        <v>688215</v>
      </c>
      <c r="CT62" s="1422">
        <v>0</v>
      </c>
      <c r="CU62" s="1420">
        <v>13251307.300000001</v>
      </c>
      <c r="CV62" s="1420">
        <v>8396849.0099999998</v>
      </c>
      <c r="CW62" s="1420">
        <v>3566575.2</v>
      </c>
      <c r="CX62" s="1420">
        <v>2760346.81</v>
      </c>
      <c r="CY62" s="1420">
        <v>453306.24</v>
      </c>
      <c r="CZ62" s="1420">
        <v>414635.21</v>
      </c>
      <c r="DA62" s="1420">
        <v>422733.91</v>
      </c>
      <c r="DB62" s="1420">
        <v>401052.4</v>
      </c>
      <c r="DC62" s="1422">
        <v>0</v>
      </c>
      <c r="DD62" s="1422">
        <v>0</v>
      </c>
      <c r="DE62" s="1420">
        <v>777896.64</v>
      </c>
      <c r="DF62" s="1420">
        <v>546718.31000000006</v>
      </c>
      <c r="DG62" s="1420">
        <v>150946.97</v>
      </c>
      <c r="DH62" s="1420">
        <v>199911.99</v>
      </c>
      <c r="DI62" s="1420">
        <v>5371458.96</v>
      </c>
      <c r="DJ62" s="1420">
        <v>4322664.72</v>
      </c>
      <c r="DK62" s="1420">
        <v>238264.74</v>
      </c>
      <c r="DL62" s="1420">
        <v>235955.22</v>
      </c>
      <c r="DM62" s="1420">
        <v>242278.93</v>
      </c>
      <c r="DN62" s="1420">
        <v>267596.63</v>
      </c>
      <c r="DO62" s="1420">
        <v>1232518.43</v>
      </c>
      <c r="DP62" s="1420">
        <v>946079.18</v>
      </c>
      <c r="DQ62" s="1420">
        <v>299094.08</v>
      </c>
      <c r="DR62" s="1420">
        <v>229399.28</v>
      </c>
      <c r="DS62" s="1420">
        <v>4300.6499999999996</v>
      </c>
      <c r="DT62" s="1422">
        <v>0</v>
      </c>
      <c r="DU62" s="1420">
        <v>2016456.83</v>
      </c>
      <c r="DV62" s="1420">
        <v>1679030.31</v>
      </c>
      <c r="DW62" s="1420">
        <v>471733.03</v>
      </c>
      <c r="DX62" s="1420">
        <v>289161.05</v>
      </c>
      <c r="DY62" s="1420">
        <v>853610.7</v>
      </c>
      <c r="DZ62" s="1420">
        <v>489566.6</v>
      </c>
      <c r="EA62" s="1420">
        <v>197720.61</v>
      </c>
      <c r="EB62" s="1420">
        <v>252537.66</v>
      </c>
      <c r="EC62" s="1420">
        <v>1523064.34</v>
      </c>
      <c r="ED62" s="1420">
        <v>1031265.31</v>
      </c>
      <c r="EE62" s="1420">
        <v>628625.53</v>
      </c>
      <c r="EF62" s="1420">
        <v>598444.6</v>
      </c>
      <c r="EG62" s="1422">
        <v>0</v>
      </c>
      <c r="EH62" s="1422">
        <v>0</v>
      </c>
      <c r="EI62" s="1422">
        <v>0</v>
      </c>
      <c r="EJ62" s="1422">
        <v>2000</v>
      </c>
      <c r="EK62" s="1422">
        <v>0</v>
      </c>
      <c r="EL62" s="1422">
        <v>0</v>
      </c>
      <c r="EM62" s="1420">
        <v>628625.53</v>
      </c>
      <c r="EN62" s="1420">
        <v>600444.6</v>
      </c>
      <c r="EO62" s="1420">
        <v>1034780.7</v>
      </c>
      <c r="EP62" s="1420">
        <v>163910.79</v>
      </c>
      <c r="EQ62" s="1420">
        <v>1557360.03</v>
      </c>
      <c r="ER62" s="1422">
        <v>514178</v>
      </c>
      <c r="ES62" s="1420">
        <v>115787.26</v>
      </c>
      <c r="ET62" s="1422">
        <v>0</v>
      </c>
      <c r="EU62" s="1420">
        <v>12247533.65</v>
      </c>
      <c r="EV62" s="1420">
        <v>8311493.7300000004</v>
      </c>
      <c r="EW62" s="1420">
        <v>1094272.1000000001</v>
      </c>
      <c r="EX62" s="1420">
        <v>175910.79</v>
      </c>
      <c r="EY62" s="1420">
        <v>1557360.03</v>
      </c>
      <c r="EZ62" s="1422">
        <v>514178</v>
      </c>
      <c r="FA62" s="1420">
        <v>9595901.5199999996</v>
      </c>
      <c r="FB62" s="1420">
        <v>7621404.9400000004</v>
      </c>
      <c r="FC62" s="1420">
        <v>509716.02</v>
      </c>
      <c r="FD62" s="1439"/>
      <c r="FE62" s="1420">
        <v>9086185.5</v>
      </c>
      <c r="FF62" s="1439"/>
      <c r="FG62" s="1422">
        <v>13543</v>
      </c>
      <c r="FH62" s="1439"/>
      <c r="FI62" s="1420">
        <v>51.04</v>
      </c>
      <c r="FJ62" s="1439"/>
      <c r="FK62" s="1422">
        <v>44740</v>
      </c>
      <c r="FL62" s="1439"/>
      <c r="FM62" s="1420">
        <v>55.04</v>
      </c>
      <c r="FN62" s="1439"/>
      <c r="FO62" s="1422">
        <v>48971</v>
      </c>
      <c r="FP62" s="1439"/>
      <c r="FQ62" s="1420">
        <v>1857169.88</v>
      </c>
      <c r="FR62" s="1439"/>
      <c r="FS62" s="1420">
        <v>4995.59</v>
      </c>
      <c r="FT62" s="1439"/>
      <c r="FU62" s="1422">
        <v>0</v>
      </c>
      <c r="FV62" s="1439"/>
      <c r="FW62" s="1420">
        <v>1852174.29</v>
      </c>
      <c r="FX62" s="1439"/>
      <c r="FY62" s="1420">
        <v>183930.71</v>
      </c>
      <c r="FZ62" s="1439"/>
      <c r="GA62" s="1422">
        <v>0</v>
      </c>
      <c r="GB62" s="1439"/>
    </row>
    <row r="63" spans="1:184" ht="12.75" customHeight="1" thickBot="1">
      <c r="A63" s="1418" t="s">
        <v>523</v>
      </c>
      <c r="B63" s="1418" t="s">
        <v>524</v>
      </c>
      <c r="C63" s="1420">
        <v>108.47</v>
      </c>
      <c r="D63" s="1439"/>
      <c r="E63" s="1420">
        <v>5315.78</v>
      </c>
      <c r="F63" s="1439"/>
      <c r="G63" s="1421">
        <v>-0.04</v>
      </c>
      <c r="H63" s="1439"/>
      <c r="I63" s="1420">
        <v>5660.17</v>
      </c>
      <c r="J63" s="1439"/>
      <c r="K63" s="1420">
        <v>5886.66</v>
      </c>
      <c r="L63" s="1439"/>
      <c r="M63" s="1422">
        <v>283741081</v>
      </c>
      <c r="N63" s="1439"/>
      <c r="O63" s="1422">
        <v>27</v>
      </c>
      <c r="P63" s="1439"/>
      <c r="Q63" s="1422">
        <v>25</v>
      </c>
      <c r="R63" s="1439"/>
      <c r="S63" s="1422">
        <v>2</v>
      </c>
      <c r="T63" s="1439"/>
      <c r="U63" s="1422">
        <v>0</v>
      </c>
      <c r="V63" s="1439"/>
      <c r="W63" s="1422">
        <v>2</v>
      </c>
      <c r="X63" s="1439"/>
      <c r="Y63" s="1422">
        <v>29</v>
      </c>
      <c r="Z63" s="1439"/>
      <c r="AA63" s="1422">
        <v>3285000</v>
      </c>
      <c r="AB63" s="1455"/>
      <c r="AC63" s="1424">
        <v>8051799.75</v>
      </c>
      <c r="AD63" s="1422">
        <v>7869218</v>
      </c>
      <c r="AE63" s="1420">
        <v>1185087.23</v>
      </c>
      <c r="AF63" s="1422">
        <v>763325</v>
      </c>
      <c r="AG63" s="1422">
        <v>0</v>
      </c>
      <c r="AH63" s="1456">
        <v>0</v>
      </c>
      <c r="AI63" s="1428">
        <v>28404507</v>
      </c>
      <c r="AJ63" s="1422">
        <v>27855086</v>
      </c>
      <c r="AK63" s="1422">
        <v>308617</v>
      </c>
      <c r="AL63" s="1422">
        <v>310000</v>
      </c>
      <c r="AM63" s="1422">
        <v>0</v>
      </c>
      <c r="AN63" s="1422">
        <v>0</v>
      </c>
      <c r="AO63" s="1422">
        <v>55622</v>
      </c>
      <c r="AP63" s="1422">
        <v>664873</v>
      </c>
      <c r="AQ63" s="1422">
        <v>0</v>
      </c>
      <c r="AR63" s="1422">
        <v>0</v>
      </c>
      <c r="AS63" s="1422">
        <v>0</v>
      </c>
      <c r="AT63" s="1422">
        <v>0</v>
      </c>
      <c r="AU63" s="1422">
        <v>146136</v>
      </c>
      <c r="AV63" s="1422">
        <v>116909</v>
      </c>
      <c r="AW63" s="1422">
        <v>0</v>
      </c>
      <c r="AX63" s="1422">
        <v>0</v>
      </c>
      <c r="AY63" s="1420">
        <v>38151768.979999997</v>
      </c>
      <c r="AZ63" s="1422">
        <v>37579411</v>
      </c>
      <c r="BA63" s="1422">
        <v>0</v>
      </c>
      <c r="BB63" s="1422">
        <v>0</v>
      </c>
      <c r="BC63" s="1422">
        <v>243472</v>
      </c>
      <c r="BD63" s="1422">
        <v>240304</v>
      </c>
      <c r="BE63" s="1420">
        <v>15010.43</v>
      </c>
      <c r="BF63" s="1422">
        <v>11800</v>
      </c>
      <c r="BG63" s="1422">
        <v>1250</v>
      </c>
      <c r="BH63" s="1422">
        <v>0</v>
      </c>
      <c r="BI63" s="1422">
        <v>73012</v>
      </c>
      <c r="BJ63" s="1422">
        <v>92475</v>
      </c>
      <c r="BK63" s="1422">
        <v>1758</v>
      </c>
      <c r="BL63" s="1422">
        <v>0</v>
      </c>
      <c r="BM63" s="1422">
        <v>4679264</v>
      </c>
      <c r="BN63" s="1422">
        <v>4570192</v>
      </c>
      <c r="BO63" s="1420">
        <v>32107.59</v>
      </c>
      <c r="BP63" s="1422">
        <v>0</v>
      </c>
      <c r="BQ63" s="1422">
        <v>115375</v>
      </c>
      <c r="BR63" s="1422">
        <v>139750</v>
      </c>
      <c r="BS63" s="1420">
        <v>25068.44</v>
      </c>
      <c r="BT63" s="1422">
        <v>0</v>
      </c>
      <c r="BU63" s="1422">
        <v>0</v>
      </c>
      <c r="BV63" s="1422">
        <v>0</v>
      </c>
      <c r="BW63" s="1422">
        <v>677452</v>
      </c>
      <c r="BX63" s="1422">
        <v>699900</v>
      </c>
      <c r="BY63" s="1422">
        <v>0</v>
      </c>
      <c r="BZ63" s="1422">
        <v>0</v>
      </c>
      <c r="CA63" s="1420">
        <v>314444.90000000002</v>
      </c>
      <c r="CB63" s="1422">
        <v>214609</v>
      </c>
      <c r="CC63" s="1420">
        <v>6178214.3600000003</v>
      </c>
      <c r="CD63" s="1422">
        <v>5969030</v>
      </c>
      <c r="CE63" s="1420">
        <v>14724806.57</v>
      </c>
      <c r="CF63" s="1420">
        <v>11619341.449999999</v>
      </c>
      <c r="CG63" s="1422">
        <v>0</v>
      </c>
      <c r="CH63" s="1422">
        <v>0</v>
      </c>
      <c r="CI63" s="1422">
        <v>0</v>
      </c>
      <c r="CJ63" s="1422">
        <v>0</v>
      </c>
      <c r="CK63" s="1420">
        <v>5677.52</v>
      </c>
      <c r="CL63" s="1422">
        <v>150000</v>
      </c>
      <c r="CM63" s="1422">
        <v>0</v>
      </c>
      <c r="CN63" s="1422">
        <v>0</v>
      </c>
      <c r="CO63" s="1420">
        <v>200136.94</v>
      </c>
      <c r="CP63" s="1422">
        <v>167000</v>
      </c>
      <c r="CQ63" s="1422">
        <v>0</v>
      </c>
      <c r="CR63" s="1422">
        <v>0</v>
      </c>
      <c r="CS63" s="1420">
        <v>205814.46</v>
      </c>
      <c r="CT63" s="1422">
        <v>317000</v>
      </c>
      <c r="CU63" s="1420">
        <v>59260604.369999997</v>
      </c>
      <c r="CV63" s="1420">
        <v>55484782.450000003</v>
      </c>
      <c r="CW63" s="1420">
        <v>21356388.030000001</v>
      </c>
      <c r="CX63" s="1420">
        <v>21239752.41</v>
      </c>
      <c r="CY63" s="1420">
        <v>3739425.13</v>
      </c>
      <c r="CZ63" s="1420">
        <v>4058707.29</v>
      </c>
      <c r="DA63" s="1420">
        <v>1353844.49</v>
      </c>
      <c r="DB63" s="1422">
        <v>1428057</v>
      </c>
      <c r="DC63" s="1422">
        <v>0</v>
      </c>
      <c r="DD63" s="1422">
        <v>0</v>
      </c>
      <c r="DE63" s="1420">
        <v>3215056.3</v>
      </c>
      <c r="DF63" s="1420">
        <v>2807566.75</v>
      </c>
      <c r="DG63" s="1420">
        <v>1522083.49</v>
      </c>
      <c r="DH63" s="1422">
        <v>1714939</v>
      </c>
      <c r="DI63" s="1420">
        <v>31186797.440000001</v>
      </c>
      <c r="DJ63" s="1420">
        <v>31249022.449999999</v>
      </c>
      <c r="DK63" s="1420">
        <v>1078378.54</v>
      </c>
      <c r="DL63" s="1422">
        <v>1154132</v>
      </c>
      <c r="DM63" s="1420">
        <v>759842.69</v>
      </c>
      <c r="DN63" s="1422">
        <v>606164</v>
      </c>
      <c r="DO63" s="1420">
        <v>5036223.49</v>
      </c>
      <c r="DP63" s="1422">
        <v>5142886</v>
      </c>
      <c r="DQ63" s="1420">
        <v>1002277.08</v>
      </c>
      <c r="DR63" s="1422">
        <v>700199</v>
      </c>
      <c r="DS63" s="1420">
        <v>73749.75</v>
      </c>
      <c r="DT63" s="1422">
        <v>208033</v>
      </c>
      <c r="DU63" s="1420">
        <v>7950471.5499999998</v>
      </c>
      <c r="DV63" s="1422">
        <v>7811414</v>
      </c>
      <c r="DW63" s="1420">
        <v>2206808.2000000002</v>
      </c>
      <c r="DX63" s="1422">
        <v>2475125</v>
      </c>
      <c r="DY63" s="1420">
        <v>5992701.4699999997</v>
      </c>
      <c r="DZ63" s="1420">
        <v>7012997.6500000004</v>
      </c>
      <c r="EA63" s="1420">
        <v>2666462.83</v>
      </c>
      <c r="EB63" s="1422">
        <v>2699520</v>
      </c>
      <c r="EC63" s="1420">
        <v>10865972.5</v>
      </c>
      <c r="ED63" s="1420">
        <v>12187642.65</v>
      </c>
      <c r="EE63" s="1420">
        <v>2997642.18</v>
      </c>
      <c r="EF63" s="1422">
        <v>3038611</v>
      </c>
      <c r="EG63" s="1420">
        <v>16639.740000000002</v>
      </c>
      <c r="EH63" s="1422">
        <v>0</v>
      </c>
      <c r="EI63" s="1420">
        <v>5665.82</v>
      </c>
      <c r="EJ63" s="1422">
        <v>58450</v>
      </c>
      <c r="EK63" s="1422">
        <v>0</v>
      </c>
      <c r="EL63" s="1422">
        <v>0</v>
      </c>
      <c r="EM63" s="1420">
        <v>3019947.74</v>
      </c>
      <c r="EN63" s="1422">
        <v>3097061</v>
      </c>
      <c r="EO63" s="1420">
        <v>3663292.31</v>
      </c>
      <c r="EP63" s="1422">
        <v>1121555</v>
      </c>
      <c r="EQ63" s="1420">
        <v>283421.26</v>
      </c>
      <c r="ER63" s="1420">
        <v>177663.56</v>
      </c>
      <c r="ES63" s="1420">
        <v>8.2100000000000009</v>
      </c>
      <c r="ET63" s="1422">
        <v>0</v>
      </c>
      <c r="EU63" s="1420">
        <v>56969911.009999998</v>
      </c>
      <c r="EV63" s="1420">
        <v>55644358.659999996</v>
      </c>
      <c r="EW63" s="1420">
        <v>5210448.68</v>
      </c>
      <c r="EX63" s="1422">
        <v>1497176</v>
      </c>
      <c r="EY63" s="1420">
        <v>283421.26</v>
      </c>
      <c r="EZ63" s="1420">
        <v>177663.56</v>
      </c>
      <c r="FA63" s="1420">
        <v>51476041.07</v>
      </c>
      <c r="FB63" s="1420">
        <v>53969519.100000001</v>
      </c>
      <c r="FC63" s="1420">
        <v>1629700.23</v>
      </c>
      <c r="FD63" s="1439"/>
      <c r="FE63" s="1420">
        <v>49846340.840000004</v>
      </c>
      <c r="FF63" s="1439"/>
      <c r="FG63" s="1422">
        <v>9377</v>
      </c>
      <c r="FH63" s="1439"/>
      <c r="FI63" s="1420">
        <v>378.37</v>
      </c>
      <c r="FJ63" s="1439"/>
      <c r="FK63" s="1422">
        <v>50435</v>
      </c>
      <c r="FL63" s="1439"/>
      <c r="FM63" s="1420">
        <v>436.99</v>
      </c>
      <c r="FN63" s="1439"/>
      <c r="FO63" s="1422">
        <v>53044</v>
      </c>
      <c r="FP63" s="1439"/>
      <c r="FQ63" s="1420">
        <v>25042727.890000001</v>
      </c>
      <c r="FR63" s="1439"/>
      <c r="FS63" s="1420">
        <v>1058340.8500000001</v>
      </c>
      <c r="FT63" s="1439"/>
      <c r="FU63" s="1422">
        <v>0</v>
      </c>
      <c r="FV63" s="1439"/>
      <c r="FW63" s="1420">
        <v>23984387.039999999</v>
      </c>
      <c r="FX63" s="1439"/>
      <c r="FY63" s="1420">
        <v>10872351.08</v>
      </c>
      <c r="FZ63" s="1439"/>
      <c r="GA63" s="1422">
        <v>0</v>
      </c>
      <c r="GB63" s="1439"/>
    </row>
    <row r="64" spans="1:184" ht="12.75" customHeight="1" thickBot="1">
      <c r="A64" s="1418" t="s">
        <v>525</v>
      </c>
      <c r="B64" s="1418" t="s">
        <v>526</v>
      </c>
      <c r="C64" s="1420">
        <v>311.04000000000002</v>
      </c>
      <c r="D64" s="1439"/>
      <c r="E64" s="1420">
        <v>3997.54</v>
      </c>
      <c r="F64" s="1439"/>
      <c r="G64" s="1421">
        <v>0.01</v>
      </c>
      <c r="H64" s="1439"/>
      <c r="I64" s="1420">
        <v>4230.04</v>
      </c>
      <c r="J64" s="1439"/>
      <c r="K64" s="1420">
        <v>4005.86</v>
      </c>
      <c r="L64" s="1439"/>
      <c r="M64" s="1422">
        <v>315196506</v>
      </c>
      <c r="N64" s="1439"/>
      <c r="O64" s="1422">
        <v>25</v>
      </c>
      <c r="P64" s="1439"/>
      <c r="Q64" s="1422">
        <v>25</v>
      </c>
      <c r="R64" s="1439"/>
      <c r="S64" s="1422">
        <v>0</v>
      </c>
      <c r="T64" s="1439"/>
      <c r="U64" s="1422">
        <v>0</v>
      </c>
      <c r="V64" s="1439"/>
      <c r="W64" s="1420">
        <v>15.7</v>
      </c>
      <c r="X64" s="1439"/>
      <c r="Y64" s="1420">
        <v>40.700000000000003</v>
      </c>
      <c r="Z64" s="1439"/>
      <c r="AA64" s="1420">
        <v>35695467.229999997</v>
      </c>
      <c r="AB64" s="1455"/>
      <c r="AC64" s="1424">
        <v>12021647.77</v>
      </c>
      <c r="AD64" s="1422">
        <v>11806721</v>
      </c>
      <c r="AE64" s="1420">
        <v>3597611.41</v>
      </c>
      <c r="AF64" s="1422">
        <v>799235</v>
      </c>
      <c r="AG64" s="1422">
        <v>0</v>
      </c>
      <c r="AH64" s="1456">
        <v>0</v>
      </c>
      <c r="AI64" s="1428">
        <v>18010532</v>
      </c>
      <c r="AJ64" s="1422">
        <v>18245474</v>
      </c>
      <c r="AK64" s="1422">
        <v>388994</v>
      </c>
      <c r="AL64" s="1422">
        <v>380000</v>
      </c>
      <c r="AM64" s="1422">
        <v>321673</v>
      </c>
      <c r="AN64" s="1422">
        <v>0</v>
      </c>
      <c r="AO64" s="1422">
        <v>0</v>
      </c>
      <c r="AP64" s="1422">
        <v>0</v>
      </c>
      <c r="AQ64" s="1422">
        <v>1535443</v>
      </c>
      <c r="AR64" s="1422">
        <v>0</v>
      </c>
      <c r="AS64" s="1422">
        <v>9502</v>
      </c>
      <c r="AT64" s="1422">
        <v>0</v>
      </c>
      <c r="AU64" s="1422">
        <v>68918</v>
      </c>
      <c r="AV64" s="1422">
        <v>55134</v>
      </c>
      <c r="AW64" s="1422">
        <v>0</v>
      </c>
      <c r="AX64" s="1422">
        <v>0</v>
      </c>
      <c r="AY64" s="1420">
        <v>35954321.18</v>
      </c>
      <c r="AZ64" s="1422">
        <v>31286564</v>
      </c>
      <c r="BA64" s="1422">
        <v>0</v>
      </c>
      <c r="BB64" s="1422">
        <v>0</v>
      </c>
      <c r="BC64" s="1422">
        <v>176226</v>
      </c>
      <c r="BD64" s="1422">
        <v>180098</v>
      </c>
      <c r="BE64" s="1420">
        <v>194900.4</v>
      </c>
      <c r="BF64" s="1422">
        <v>213644</v>
      </c>
      <c r="BG64" s="1422">
        <v>0</v>
      </c>
      <c r="BH64" s="1422">
        <v>0</v>
      </c>
      <c r="BI64" s="1422">
        <v>66877</v>
      </c>
      <c r="BJ64" s="1422">
        <v>80703</v>
      </c>
      <c r="BK64" s="1422">
        <v>10548</v>
      </c>
      <c r="BL64" s="1422">
        <v>38900</v>
      </c>
      <c r="BM64" s="1422">
        <v>1160144</v>
      </c>
      <c r="BN64" s="1422">
        <v>1262976</v>
      </c>
      <c r="BO64" s="1420">
        <v>53296.67</v>
      </c>
      <c r="BP64" s="1422">
        <v>10000</v>
      </c>
      <c r="BQ64" s="1420">
        <v>80880.95</v>
      </c>
      <c r="BR64" s="1422">
        <v>92625</v>
      </c>
      <c r="BS64" s="1422">
        <v>0</v>
      </c>
      <c r="BT64" s="1422">
        <v>0</v>
      </c>
      <c r="BU64" s="1422">
        <v>0</v>
      </c>
      <c r="BV64" s="1422">
        <v>0</v>
      </c>
      <c r="BW64" s="1422">
        <v>289566</v>
      </c>
      <c r="BX64" s="1422">
        <v>291600</v>
      </c>
      <c r="BY64" s="1422">
        <v>0</v>
      </c>
      <c r="BZ64" s="1422">
        <v>0</v>
      </c>
      <c r="CA64" s="1420">
        <v>498005.58</v>
      </c>
      <c r="CB64" s="1420">
        <v>2846039.65</v>
      </c>
      <c r="CC64" s="1420">
        <v>2530444.6</v>
      </c>
      <c r="CD64" s="1420">
        <v>5016585.6500000004</v>
      </c>
      <c r="CE64" s="1420">
        <v>4802398.12</v>
      </c>
      <c r="CF64" s="1420">
        <v>2681755.56</v>
      </c>
      <c r="CG64" s="1420">
        <v>2302668.7400000002</v>
      </c>
      <c r="CH64" s="1422">
        <v>4061775</v>
      </c>
      <c r="CI64" s="1420">
        <v>323268.28999999998</v>
      </c>
      <c r="CJ64" s="1422">
        <v>0</v>
      </c>
      <c r="CK64" s="1422">
        <v>0</v>
      </c>
      <c r="CL64" s="1422">
        <v>0</v>
      </c>
      <c r="CM64" s="1420">
        <v>155025.03</v>
      </c>
      <c r="CN64" s="1422">
        <v>0</v>
      </c>
      <c r="CO64" s="1422">
        <v>0</v>
      </c>
      <c r="CP64" s="1422">
        <v>0</v>
      </c>
      <c r="CQ64" s="1422">
        <v>0</v>
      </c>
      <c r="CR64" s="1422">
        <v>0</v>
      </c>
      <c r="CS64" s="1420">
        <v>2780962.06</v>
      </c>
      <c r="CT64" s="1422">
        <v>4061775</v>
      </c>
      <c r="CU64" s="1420">
        <v>46068125.960000001</v>
      </c>
      <c r="CV64" s="1420">
        <v>43046680.210000001</v>
      </c>
      <c r="CW64" s="1420">
        <v>15024073.01</v>
      </c>
      <c r="CX64" s="1420">
        <v>14044829.77</v>
      </c>
      <c r="CY64" s="1420">
        <v>3602570.82</v>
      </c>
      <c r="CZ64" s="1422">
        <v>3409796</v>
      </c>
      <c r="DA64" s="1420">
        <v>894049.14</v>
      </c>
      <c r="DB64" s="1422">
        <v>836299</v>
      </c>
      <c r="DC64" s="1422">
        <v>0</v>
      </c>
      <c r="DD64" s="1422">
        <v>0</v>
      </c>
      <c r="DE64" s="1420">
        <v>1177560.01</v>
      </c>
      <c r="DF64" s="1420">
        <v>1068750.3700000001</v>
      </c>
      <c r="DG64" s="1420">
        <v>694513.17</v>
      </c>
      <c r="DH64" s="1420">
        <v>616146.71</v>
      </c>
      <c r="DI64" s="1420">
        <v>21392766.149999999</v>
      </c>
      <c r="DJ64" s="1420">
        <v>19975821.850000001</v>
      </c>
      <c r="DK64" s="1420">
        <v>1180830.6000000001</v>
      </c>
      <c r="DL64" s="1420">
        <v>1304168.72</v>
      </c>
      <c r="DM64" s="1420">
        <v>370354.71</v>
      </c>
      <c r="DN64" s="1420">
        <v>329117.55</v>
      </c>
      <c r="DO64" s="1420">
        <v>2626205.87</v>
      </c>
      <c r="DP64" s="1420">
        <v>2881229.75</v>
      </c>
      <c r="DQ64" s="1420">
        <v>2733843.22</v>
      </c>
      <c r="DR64" s="1422">
        <v>1672698</v>
      </c>
      <c r="DS64" s="1420">
        <v>100206.59</v>
      </c>
      <c r="DT64" s="1422">
        <v>61408</v>
      </c>
      <c r="DU64" s="1420">
        <v>7011440.9900000002</v>
      </c>
      <c r="DV64" s="1420">
        <v>6248622.0199999996</v>
      </c>
      <c r="DW64" s="1420">
        <v>1750210.04</v>
      </c>
      <c r="DX64" s="1422">
        <v>1623433</v>
      </c>
      <c r="DY64" s="1420">
        <v>2087889.34</v>
      </c>
      <c r="DZ64" s="1420">
        <v>2484783.77</v>
      </c>
      <c r="EA64" s="1420">
        <v>1885168.11</v>
      </c>
      <c r="EB64" s="1420">
        <v>1913034.42</v>
      </c>
      <c r="EC64" s="1420">
        <v>5723267.4900000002</v>
      </c>
      <c r="ED64" s="1420">
        <v>6021251.1900000004</v>
      </c>
      <c r="EE64" s="1420">
        <v>1957375.88</v>
      </c>
      <c r="EF64" s="1422">
        <v>0</v>
      </c>
      <c r="EG64" s="1422">
        <v>0</v>
      </c>
      <c r="EH64" s="1422">
        <v>0</v>
      </c>
      <c r="EI64" s="1420">
        <v>2360.81</v>
      </c>
      <c r="EJ64" s="1422">
        <v>40000</v>
      </c>
      <c r="EK64" s="1422">
        <v>0</v>
      </c>
      <c r="EL64" s="1422">
        <v>0</v>
      </c>
      <c r="EM64" s="1420">
        <v>1959736.69</v>
      </c>
      <c r="EN64" s="1422">
        <v>40000</v>
      </c>
      <c r="EO64" s="1420">
        <v>3173507.75</v>
      </c>
      <c r="EP64" s="1422">
        <v>12609379</v>
      </c>
      <c r="EQ64" s="1420">
        <v>3631182.59</v>
      </c>
      <c r="ER64" s="1420">
        <v>4028028.65</v>
      </c>
      <c r="ES64" s="1420">
        <v>31720.89</v>
      </c>
      <c r="ET64" s="1422">
        <v>0</v>
      </c>
      <c r="EU64" s="1420">
        <v>42923622.549999997</v>
      </c>
      <c r="EV64" s="1420">
        <v>48923102.710000001</v>
      </c>
      <c r="EW64" s="1422">
        <v>4940939</v>
      </c>
      <c r="EX64" s="1422">
        <v>12884159</v>
      </c>
      <c r="EY64" s="1420">
        <v>3631182.59</v>
      </c>
      <c r="EZ64" s="1420">
        <v>4028028.65</v>
      </c>
      <c r="FA64" s="1420">
        <v>34351500.960000001</v>
      </c>
      <c r="FB64" s="1420">
        <v>32010915.059999999</v>
      </c>
      <c r="FC64" s="1420">
        <v>1265821.52</v>
      </c>
      <c r="FD64" s="1439"/>
      <c r="FE64" s="1420">
        <v>33085679.440000001</v>
      </c>
      <c r="FF64" s="1439"/>
      <c r="FG64" s="1422">
        <v>8276</v>
      </c>
      <c r="FH64" s="1439"/>
      <c r="FI64" s="1422">
        <v>278</v>
      </c>
      <c r="FJ64" s="1439"/>
      <c r="FK64" s="1422">
        <v>48083</v>
      </c>
      <c r="FL64" s="1439"/>
      <c r="FM64" s="1420">
        <v>298.33999999999997</v>
      </c>
      <c r="FN64" s="1439"/>
      <c r="FO64" s="1422">
        <v>50850</v>
      </c>
      <c r="FP64" s="1439"/>
      <c r="FQ64" s="1420">
        <v>5308634.8099999996</v>
      </c>
      <c r="FR64" s="1439"/>
      <c r="FS64" s="1420">
        <v>269774.02</v>
      </c>
      <c r="FT64" s="1439"/>
      <c r="FU64" s="1422">
        <v>0</v>
      </c>
      <c r="FV64" s="1439"/>
      <c r="FW64" s="1420">
        <v>5038860.79</v>
      </c>
      <c r="FX64" s="1439"/>
      <c r="FY64" s="1420">
        <v>6151582.8700000001</v>
      </c>
      <c r="FZ64" s="1439"/>
      <c r="GA64" s="1422">
        <v>0</v>
      </c>
      <c r="GB64" s="1439"/>
    </row>
    <row r="65" spans="1:184" ht="12.75" customHeight="1" thickBot="1">
      <c r="A65" s="1418" t="s">
        <v>527</v>
      </c>
      <c r="B65" s="1418" t="s">
        <v>528</v>
      </c>
      <c r="C65" s="1420">
        <v>292.94</v>
      </c>
      <c r="D65" s="1439"/>
      <c r="E65" s="1420">
        <v>562.99</v>
      </c>
      <c r="F65" s="1439"/>
      <c r="G65" s="1421">
        <v>-0.13</v>
      </c>
      <c r="H65" s="1439"/>
      <c r="I65" s="1420">
        <v>603.22</v>
      </c>
      <c r="J65" s="1439"/>
      <c r="K65" s="1420">
        <v>606.41</v>
      </c>
      <c r="L65" s="1439"/>
      <c r="M65" s="1422">
        <v>45146763</v>
      </c>
      <c r="N65" s="1439"/>
      <c r="O65" s="1420">
        <v>26.3</v>
      </c>
      <c r="P65" s="1439"/>
      <c r="Q65" s="1422">
        <v>25</v>
      </c>
      <c r="R65" s="1439"/>
      <c r="S65" s="1420">
        <v>1.3</v>
      </c>
      <c r="T65" s="1439"/>
      <c r="U65" s="1422">
        <v>0</v>
      </c>
      <c r="V65" s="1439"/>
      <c r="W65" s="1420">
        <v>13.6</v>
      </c>
      <c r="X65" s="1439"/>
      <c r="Y65" s="1420">
        <v>39.9</v>
      </c>
      <c r="Z65" s="1439"/>
      <c r="AA65" s="1422">
        <v>6195000</v>
      </c>
      <c r="AB65" s="1455"/>
      <c r="AC65" s="1424">
        <v>1684505.29</v>
      </c>
      <c r="AD65" s="1422">
        <v>1648921</v>
      </c>
      <c r="AE65" s="1420">
        <v>355767.16</v>
      </c>
      <c r="AF65" s="1422">
        <v>77500</v>
      </c>
      <c r="AG65" s="1420">
        <v>212.29</v>
      </c>
      <c r="AH65" s="1456">
        <v>0</v>
      </c>
      <c r="AI65" s="1428">
        <v>2504420</v>
      </c>
      <c r="AJ65" s="1422">
        <v>2638621</v>
      </c>
      <c r="AK65" s="1422">
        <v>32842</v>
      </c>
      <c r="AL65" s="1422">
        <v>32500</v>
      </c>
      <c r="AM65" s="1422">
        <v>39184</v>
      </c>
      <c r="AN65" s="1422">
        <v>40000</v>
      </c>
      <c r="AO65" s="1422">
        <v>0</v>
      </c>
      <c r="AP65" s="1422">
        <v>0</v>
      </c>
      <c r="AQ65" s="1422">
        <v>0</v>
      </c>
      <c r="AR65" s="1422">
        <v>0</v>
      </c>
      <c r="AS65" s="1422">
        <v>0</v>
      </c>
      <c r="AT65" s="1422">
        <v>0</v>
      </c>
      <c r="AU65" s="1422">
        <v>0</v>
      </c>
      <c r="AV65" s="1422">
        <v>0</v>
      </c>
      <c r="AW65" s="1422">
        <v>0</v>
      </c>
      <c r="AX65" s="1422">
        <v>0</v>
      </c>
      <c r="AY65" s="1420">
        <v>4616930.74</v>
      </c>
      <c r="AZ65" s="1422">
        <v>4437542</v>
      </c>
      <c r="BA65" s="1422">
        <v>0</v>
      </c>
      <c r="BB65" s="1422">
        <v>0</v>
      </c>
      <c r="BC65" s="1422">
        <v>25081</v>
      </c>
      <c r="BD65" s="1422">
        <v>25834</v>
      </c>
      <c r="BE65" s="1420">
        <v>327139.57</v>
      </c>
      <c r="BF65" s="1422">
        <v>13615</v>
      </c>
      <c r="BG65" s="1422">
        <v>860</v>
      </c>
      <c r="BH65" s="1422">
        <v>0</v>
      </c>
      <c r="BI65" s="1422">
        <v>0</v>
      </c>
      <c r="BJ65" s="1422">
        <v>0</v>
      </c>
      <c r="BK65" s="1422">
        <v>0</v>
      </c>
      <c r="BL65" s="1422">
        <v>0</v>
      </c>
      <c r="BM65" s="1422">
        <v>431520</v>
      </c>
      <c r="BN65" s="1422">
        <v>464508</v>
      </c>
      <c r="BO65" s="1420">
        <v>18750.8</v>
      </c>
      <c r="BP65" s="1422">
        <v>0</v>
      </c>
      <c r="BQ65" s="1422">
        <v>0</v>
      </c>
      <c r="BR65" s="1422">
        <v>50000</v>
      </c>
      <c r="BS65" s="1420">
        <v>2782.6</v>
      </c>
      <c r="BT65" s="1422">
        <v>0</v>
      </c>
      <c r="BU65" s="1422">
        <v>0</v>
      </c>
      <c r="BV65" s="1422">
        <v>0</v>
      </c>
      <c r="BW65" s="1422">
        <v>0</v>
      </c>
      <c r="BX65" s="1422">
        <v>0</v>
      </c>
      <c r="BY65" s="1422">
        <v>0</v>
      </c>
      <c r="BZ65" s="1422">
        <v>0</v>
      </c>
      <c r="CA65" s="1422">
        <v>198017</v>
      </c>
      <c r="CB65" s="1422">
        <v>145985</v>
      </c>
      <c r="CC65" s="1420">
        <v>1004150.97</v>
      </c>
      <c r="CD65" s="1422">
        <v>699942</v>
      </c>
      <c r="CE65" s="1420">
        <v>1502845.45</v>
      </c>
      <c r="CF65" s="1422">
        <v>1985113</v>
      </c>
      <c r="CG65" s="1422">
        <v>0</v>
      </c>
      <c r="CH65" s="1422">
        <v>0</v>
      </c>
      <c r="CI65" s="1422">
        <v>0</v>
      </c>
      <c r="CJ65" s="1422">
        <v>0</v>
      </c>
      <c r="CK65" s="1420">
        <v>7443.35</v>
      </c>
      <c r="CL65" s="1422">
        <v>0</v>
      </c>
      <c r="CM65" s="1420">
        <v>144807.32999999999</v>
      </c>
      <c r="CN65" s="1422">
        <v>20000</v>
      </c>
      <c r="CO65" s="1422">
        <v>0</v>
      </c>
      <c r="CP65" s="1422">
        <v>0</v>
      </c>
      <c r="CQ65" s="1420">
        <v>17118.03</v>
      </c>
      <c r="CR65" s="1422">
        <v>0</v>
      </c>
      <c r="CS65" s="1420">
        <v>169368.71</v>
      </c>
      <c r="CT65" s="1422">
        <v>20000</v>
      </c>
      <c r="CU65" s="1420">
        <v>7293295.8700000001</v>
      </c>
      <c r="CV65" s="1422">
        <v>7142597</v>
      </c>
      <c r="CW65" s="1420">
        <v>1961770.47</v>
      </c>
      <c r="CX65" s="1422">
        <v>2132722</v>
      </c>
      <c r="CY65" s="1420">
        <v>381318.63</v>
      </c>
      <c r="CZ65" s="1422">
        <v>360463</v>
      </c>
      <c r="DA65" s="1420">
        <v>165329.92000000001</v>
      </c>
      <c r="DB65" s="1422">
        <v>146867</v>
      </c>
      <c r="DC65" s="1422">
        <v>0</v>
      </c>
      <c r="DD65" s="1422">
        <v>0</v>
      </c>
      <c r="DE65" s="1420">
        <v>256109.69</v>
      </c>
      <c r="DF65" s="1422">
        <v>297375</v>
      </c>
      <c r="DG65" s="1420">
        <v>70657.97</v>
      </c>
      <c r="DH65" s="1422">
        <v>74674</v>
      </c>
      <c r="DI65" s="1420">
        <v>2835186.68</v>
      </c>
      <c r="DJ65" s="1422">
        <v>3012101</v>
      </c>
      <c r="DK65" s="1420">
        <v>375357.61</v>
      </c>
      <c r="DL65" s="1420">
        <v>308414.27</v>
      </c>
      <c r="DM65" s="1420">
        <v>122409.01</v>
      </c>
      <c r="DN65" s="1422">
        <v>258626</v>
      </c>
      <c r="DO65" s="1420">
        <v>513489.5</v>
      </c>
      <c r="DP65" s="1422">
        <v>470518</v>
      </c>
      <c r="DQ65" s="1420">
        <v>316179.34999999998</v>
      </c>
      <c r="DR65" s="1422">
        <v>292562</v>
      </c>
      <c r="DS65" s="1420">
        <v>21162.79</v>
      </c>
      <c r="DT65" s="1422">
        <v>16100</v>
      </c>
      <c r="DU65" s="1420">
        <v>1348598.26</v>
      </c>
      <c r="DV65" s="1420">
        <v>1346220.27</v>
      </c>
      <c r="DW65" s="1420">
        <v>220691.79</v>
      </c>
      <c r="DX65" s="1422">
        <v>245856</v>
      </c>
      <c r="DY65" s="1420">
        <v>1129200.3999999999</v>
      </c>
      <c r="DZ65" s="1420">
        <v>1591464.61</v>
      </c>
      <c r="EA65" s="1420">
        <v>298851.18</v>
      </c>
      <c r="EB65" s="1422">
        <v>239812</v>
      </c>
      <c r="EC65" s="1420">
        <v>1648743.37</v>
      </c>
      <c r="ED65" s="1420">
        <v>2077132.61</v>
      </c>
      <c r="EE65" s="1420">
        <v>294756.39</v>
      </c>
      <c r="EF65" s="1422">
        <v>328288</v>
      </c>
      <c r="EG65" s="1422">
        <v>0</v>
      </c>
      <c r="EH65" s="1422">
        <v>0</v>
      </c>
      <c r="EI65" s="1422">
        <v>0</v>
      </c>
      <c r="EJ65" s="1422">
        <v>3375</v>
      </c>
      <c r="EK65" s="1422">
        <v>0</v>
      </c>
      <c r="EL65" s="1422">
        <v>0</v>
      </c>
      <c r="EM65" s="1420">
        <v>294756.39</v>
      </c>
      <c r="EN65" s="1422">
        <v>331663</v>
      </c>
      <c r="EO65" s="1420">
        <v>15945.06</v>
      </c>
      <c r="EP65" s="1422">
        <v>249874</v>
      </c>
      <c r="EQ65" s="1420">
        <v>513235.78</v>
      </c>
      <c r="ER65" s="1422">
        <v>513368</v>
      </c>
      <c r="ES65" s="1422">
        <v>0</v>
      </c>
      <c r="ET65" s="1422">
        <v>0</v>
      </c>
      <c r="EU65" s="1420">
        <v>6656465.54</v>
      </c>
      <c r="EV65" s="1420">
        <v>7530358.8799999999</v>
      </c>
      <c r="EW65" s="1420">
        <v>108649.22</v>
      </c>
      <c r="EX65" s="1422">
        <v>455815</v>
      </c>
      <c r="EY65" s="1420">
        <v>513235.78</v>
      </c>
      <c r="EZ65" s="1422">
        <v>513368</v>
      </c>
      <c r="FA65" s="1420">
        <v>6034580.54</v>
      </c>
      <c r="FB65" s="1420">
        <v>6561175.8799999999</v>
      </c>
      <c r="FC65" s="1420">
        <v>224186.3</v>
      </c>
      <c r="FD65" s="1439"/>
      <c r="FE65" s="1420">
        <v>5810394.2400000002</v>
      </c>
      <c r="FF65" s="1439"/>
      <c r="FG65" s="1422">
        <v>10320</v>
      </c>
      <c r="FH65" s="1439"/>
      <c r="FI65" s="1420">
        <v>45.65</v>
      </c>
      <c r="FJ65" s="1439"/>
      <c r="FK65" s="1422">
        <v>37774</v>
      </c>
      <c r="FL65" s="1439"/>
      <c r="FM65" s="1420">
        <v>51.71</v>
      </c>
      <c r="FN65" s="1439"/>
      <c r="FO65" s="1422">
        <v>41626</v>
      </c>
      <c r="FP65" s="1439"/>
      <c r="FQ65" s="1420">
        <v>2292785.79</v>
      </c>
      <c r="FR65" s="1439"/>
      <c r="FS65" s="1420">
        <v>12355.98</v>
      </c>
      <c r="FT65" s="1439"/>
      <c r="FU65" s="1422">
        <v>0</v>
      </c>
      <c r="FV65" s="1439"/>
      <c r="FW65" s="1420">
        <v>2280429.81</v>
      </c>
      <c r="FX65" s="1439"/>
      <c r="FY65" s="1422">
        <v>0</v>
      </c>
      <c r="FZ65" s="1439"/>
      <c r="GA65" s="1422">
        <v>0</v>
      </c>
      <c r="GB65" s="1439"/>
    </row>
    <row r="66" spans="1:184" ht="12.75" customHeight="1" thickBot="1">
      <c r="A66" s="1418" t="s">
        <v>529</v>
      </c>
      <c r="B66" s="1418" t="s">
        <v>530</v>
      </c>
      <c r="C66" s="1420">
        <v>337.93</v>
      </c>
      <c r="D66" s="1439"/>
      <c r="E66" s="1420">
        <v>2719.44</v>
      </c>
      <c r="F66" s="1439"/>
      <c r="G66" s="1421">
        <v>-0.06</v>
      </c>
      <c r="H66" s="1439"/>
      <c r="I66" s="1420">
        <v>2852.39</v>
      </c>
      <c r="J66" s="1439"/>
      <c r="K66" s="1420">
        <v>2837.54</v>
      </c>
      <c r="L66" s="1439"/>
      <c r="M66" s="1422">
        <v>160861050</v>
      </c>
      <c r="N66" s="1439"/>
      <c r="O66" s="1422">
        <v>25</v>
      </c>
      <c r="P66" s="1439"/>
      <c r="Q66" s="1422">
        <v>25</v>
      </c>
      <c r="R66" s="1439"/>
      <c r="S66" s="1422">
        <v>0</v>
      </c>
      <c r="T66" s="1439"/>
      <c r="U66" s="1422">
        <v>0</v>
      </c>
      <c r="V66" s="1439"/>
      <c r="W66" s="1422">
        <v>10</v>
      </c>
      <c r="X66" s="1439"/>
      <c r="Y66" s="1422">
        <v>35</v>
      </c>
      <c r="Z66" s="1439"/>
      <c r="AA66" s="1420">
        <v>4440869.1500000004</v>
      </c>
      <c r="AB66" s="1455"/>
      <c r="AC66" s="1424">
        <v>5160253.54</v>
      </c>
      <c r="AD66" s="1422">
        <v>4900000</v>
      </c>
      <c r="AE66" s="1420">
        <v>937506.93</v>
      </c>
      <c r="AF66" s="1422">
        <v>555800</v>
      </c>
      <c r="AG66" s="1420">
        <v>1087.4100000000001</v>
      </c>
      <c r="AH66" s="1456">
        <v>1000</v>
      </c>
      <c r="AI66" s="1428">
        <v>13130137</v>
      </c>
      <c r="AJ66" s="1422">
        <v>13621732</v>
      </c>
      <c r="AK66" s="1422">
        <v>59552</v>
      </c>
      <c r="AL66" s="1422">
        <v>0</v>
      </c>
      <c r="AM66" s="1422">
        <v>0</v>
      </c>
      <c r="AN66" s="1422">
        <v>0</v>
      </c>
      <c r="AO66" s="1422">
        <v>212190</v>
      </c>
      <c r="AP66" s="1422">
        <v>0</v>
      </c>
      <c r="AQ66" s="1422">
        <v>0</v>
      </c>
      <c r="AR66" s="1422">
        <v>0</v>
      </c>
      <c r="AS66" s="1422">
        <v>0</v>
      </c>
      <c r="AT66" s="1422">
        <v>0</v>
      </c>
      <c r="AU66" s="1422">
        <v>117515</v>
      </c>
      <c r="AV66" s="1422">
        <v>94012</v>
      </c>
      <c r="AW66" s="1422">
        <v>0</v>
      </c>
      <c r="AX66" s="1422">
        <v>0</v>
      </c>
      <c r="AY66" s="1420">
        <v>19618241.879999999</v>
      </c>
      <c r="AZ66" s="1422">
        <v>19172544</v>
      </c>
      <c r="BA66" s="1422">
        <v>0</v>
      </c>
      <c r="BB66" s="1422">
        <v>0</v>
      </c>
      <c r="BC66" s="1422">
        <v>117361</v>
      </c>
      <c r="BD66" s="1422">
        <v>121174</v>
      </c>
      <c r="BE66" s="1420">
        <v>3968.3</v>
      </c>
      <c r="BF66" s="1422">
        <v>9300</v>
      </c>
      <c r="BG66" s="1422">
        <v>2382</v>
      </c>
      <c r="BH66" s="1422">
        <v>1000</v>
      </c>
      <c r="BI66" s="1422">
        <v>76181</v>
      </c>
      <c r="BJ66" s="1422">
        <v>80000</v>
      </c>
      <c r="BK66" s="1422">
        <v>879</v>
      </c>
      <c r="BL66" s="1422">
        <v>3000</v>
      </c>
      <c r="BM66" s="1422">
        <v>806992</v>
      </c>
      <c r="BN66" s="1422">
        <v>852610</v>
      </c>
      <c r="BO66" s="1420">
        <v>23258.400000000001</v>
      </c>
      <c r="BP66" s="1422">
        <v>8436</v>
      </c>
      <c r="BQ66" s="1420">
        <v>15167.12</v>
      </c>
      <c r="BR66" s="1420">
        <v>15167.43</v>
      </c>
      <c r="BS66" s="1420">
        <v>11141.88</v>
      </c>
      <c r="BT66" s="1422">
        <v>0</v>
      </c>
      <c r="BU66" s="1422">
        <v>0</v>
      </c>
      <c r="BV66" s="1422">
        <v>0</v>
      </c>
      <c r="BW66" s="1422">
        <v>0</v>
      </c>
      <c r="BX66" s="1422">
        <v>0</v>
      </c>
      <c r="BY66" s="1422">
        <v>0</v>
      </c>
      <c r="BZ66" s="1422">
        <v>0</v>
      </c>
      <c r="CA66" s="1422">
        <v>211568</v>
      </c>
      <c r="CB66" s="1422">
        <v>420739</v>
      </c>
      <c r="CC66" s="1420">
        <v>1268898.7</v>
      </c>
      <c r="CD66" s="1420">
        <v>1511426.43</v>
      </c>
      <c r="CE66" s="1420">
        <v>4701620.99</v>
      </c>
      <c r="CF66" s="1420">
        <v>4053609.4</v>
      </c>
      <c r="CG66" s="1422">
        <v>0</v>
      </c>
      <c r="CH66" s="1422">
        <v>0</v>
      </c>
      <c r="CI66" s="1422">
        <v>0</v>
      </c>
      <c r="CJ66" s="1422">
        <v>0</v>
      </c>
      <c r="CK66" s="1422">
        <v>0</v>
      </c>
      <c r="CL66" s="1422">
        <v>0</v>
      </c>
      <c r="CM66" s="1422">
        <v>0</v>
      </c>
      <c r="CN66" s="1422">
        <v>0</v>
      </c>
      <c r="CO66" s="1422">
        <v>0</v>
      </c>
      <c r="CP66" s="1422">
        <v>0</v>
      </c>
      <c r="CQ66" s="1422">
        <v>0</v>
      </c>
      <c r="CR66" s="1422">
        <v>0</v>
      </c>
      <c r="CS66" s="1422">
        <v>0</v>
      </c>
      <c r="CT66" s="1422">
        <v>0</v>
      </c>
      <c r="CU66" s="1420">
        <v>25588761.57</v>
      </c>
      <c r="CV66" s="1420">
        <v>24737579.829999998</v>
      </c>
      <c r="CW66" s="1420">
        <v>10098108.34</v>
      </c>
      <c r="CX66" s="1420">
        <v>9362792.9299999997</v>
      </c>
      <c r="CY66" s="1420">
        <v>2273047.67</v>
      </c>
      <c r="CZ66" s="1420">
        <v>2392883.92</v>
      </c>
      <c r="DA66" s="1420">
        <v>870168.9</v>
      </c>
      <c r="DB66" s="1422">
        <v>854575</v>
      </c>
      <c r="DC66" s="1422">
        <v>0</v>
      </c>
      <c r="DD66" s="1422">
        <v>0</v>
      </c>
      <c r="DE66" s="1420">
        <v>899322.45</v>
      </c>
      <c r="DF66" s="1420">
        <v>714102.99</v>
      </c>
      <c r="DG66" s="1420">
        <v>888659.08</v>
      </c>
      <c r="DH66" s="1420">
        <v>942098.58</v>
      </c>
      <c r="DI66" s="1420">
        <v>15029306.439999999</v>
      </c>
      <c r="DJ66" s="1420">
        <v>14266453.42</v>
      </c>
      <c r="DK66" s="1420">
        <v>697882.85</v>
      </c>
      <c r="DL66" s="1420">
        <v>471422.45</v>
      </c>
      <c r="DM66" s="1420">
        <v>473985.78</v>
      </c>
      <c r="DN66" s="1420">
        <v>444974.16</v>
      </c>
      <c r="DO66" s="1420">
        <v>1973006.98</v>
      </c>
      <c r="DP66" s="1420">
        <v>2084434.9</v>
      </c>
      <c r="DQ66" s="1420">
        <v>1166901.3600000001</v>
      </c>
      <c r="DR66" s="1420">
        <v>1226253.69</v>
      </c>
      <c r="DS66" s="1420">
        <v>67649.399999999994</v>
      </c>
      <c r="DT66" s="1422">
        <v>50000</v>
      </c>
      <c r="DU66" s="1420">
        <v>4379426.37</v>
      </c>
      <c r="DV66" s="1420">
        <v>4277085.2</v>
      </c>
      <c r="DW66" s="1420">
        <v>1206350.45</v>
      </c>
      <c r="DX66" s="1420">
        <v>1273599.49</v>
      </c>
      <c r="DY66" s="1420">
        <v>2019272.56</v>
      </c>
      <c r="DZ66" s="1420">
        <v>1999083.96</v>
      </c>
      <c r="EA66" s="1420">
        <v>1161400.8400000001</v>
      </c>
      <c r="EB66" s="1420">
        <v>1150673.1299999999</v>
      </c>
      <c r="EC66" s="1420">
        <v>4387023.8499999996</v>
      </c>
      <c r="ED66" s="1420">
        <v>4423356.58</v>
      </c>
      <c r="EE66" s="1420">
        <v>1489861.56</v>
      </c>
      <c r="EF66" s="1420">
        <v>1462365.46</v>
      </c>
      <c r="EG66" s="1420">
        <v>8987.73</v>
      </c>
      <c r="EH66" s="1422">
        <v>0</v>
      </c>
      <c r="EI66" s="1420">
        <v>63.32</v>
      </c>
      <c r="EJ66" s="1422">
        <v>1000</v>
      </c>
      <c r="EK66" s="1422">
        <v>0</v>
      </c>
      <c r="EL66" s="1422">
        <v>0</v>
      </c>
      <c r="EM66" s="1420">
        <v>1498912.61</v>
      </c>
      <c r="EN66" s="1420">
        <v>1463365.46</v>
      </c>
      <c r="EO66" s="1420">
        <v>945488.23</v>
      </c>
      <c r="EP66" s="1420">
        <v>1477831.79</v>
      </c>
      <c r="EQ66" s="1420">
        <v>836515.68</v>
      </c>
      <c r="ER66" s="1422">
        <v>842895</v>
      </c>
      <c r="ES66" s="1420">
        <v>3637.33</v>
      </c>
      <c r="ET66" s="1422">
        <v>0</v>
      </c>
      <c r="EU66" s="1420">
        <v>27080310.510000002</v>
      </c>
      <c r="EV66" s="1420">
        <v>26750987.449999999</v>
      </c>
      <c r="EW66" s="1420">
        <v>1461786.63</v>
      </c>
      <c r="EX66" s="1420">
        <v>2187424.2799999998</v>
      </c>
      <c r="EY66" s="1420">
        <v>836515.68</v>
      </c>
      <c r="EZ66" s="1422">
        <v>842895</v>
      </c>
      <c r="FA66" s="1420">
        <v>24782008.199999999</v>
      </c>
      <c r="FB66" s="1420">
        <v>23720668.170000002</v>
      </c>
      <c r="FC66" s="1420">
        <v>853107.3</v>
      </c>
      <c r="FD66" s="1439"/>
      <c r="FE66" s="1420">
        <v>23928900.899999999</v>
      </c>
      <c r="FF66" s="1439"/>
      <c r="FG66" s="1422">
        <v>8799</v>
      </c>
      <c r="FH66" s="1439"/>
      <c r="FI66" s="1420">
        <v>193.6</v>
      </c>
      <c r="FJ66" s="1439"/>
      <c r="FK66" s="1422">
        <v>50801</v>
      </c>
      <c r="FL66" s="1439"/>
      <c r="FM66" s="1420">
        <v>213.69</v>
      </c>
      <c r="FN66" s="1439"/>
      <c r="FO66" s="1422">
        <v>53375</v>
      </c>
      <c r="FP66" s="1439"/>
      <c r="FQ66" s="1420">
        <v>3015964.86</v>
      </c>
      <c r="FR66" s="1439"/>
      <c r="FS66" s="1420">
        <v>226472.15</v>
      </c>
      <c r="FT66" s="1439"/>
      <c r="FU66" s="1422">
        <v>0</v>
      </c>
      <c r="FV66" s="1439"/>
      <c r="FW66" s="1420">
        <v>2789492.71</v>
      </c>
      <c r="FX66" s="1439"/>
      <c r="FY66" s="1420">
        <v>724792.51</v>
      </c>
      <c r="FZ66" s="1439"/>
      <c r="GA66" s="1422">
        <v>0</v>
      </c>
      <c r="GB66" s="1439"/>
    </row>
    <row r="67" spans="1:184" ht="12.75" customHeight="1" thickBot="1">
      <c r="A67" s="1418" t="s">
        <v>531</v>
      </c>
      <c r="B67" s="1418" t="s">
        <v>532</v>
      </c>
      <c r="C67" s="1420">
        <v>220.87</v>
      </c>
      <c r="D67" s="1439"/>
      <c r="E67" s="1420">
        <v>889.17</v>
      </c>
      <c r="F67" s="1439"/>
      <c r="G67" s="1421">
        <v>-0.17</v>
      </c>
      <c r="H67" s="1439"/>
      <c r="I67" s="1420">
        <v>935.74</v>
      </c>
      <c r="J67" s="1439"/>
      <c r="K67" s="1420">
        <v>981.63</v>
      </c>
      <c r="L67" s="1439"/>
      <c r="M67" s="1422">
        <v>52278710</v>
      </c>
      <c r="N67" s="1439"/>
      <c r="O67" s="1422">
        <v>25</v>
      </c>
      <c r="P67" s="1439"/>
      <c r="Q67" s="1422">
        <v>25</v>
      </c>
      <c r="R67" s="1439"/>
      <c r="S67" s="1422">
        <v>0</v>
      </c>
      <c r="T67" s="1439"/>
      <c r="U67" s="1422">
        <v>0</v>
      </c>
      <c r="V67" s="1439"/>
      <c r="W67" s="1420">
        <v>8.5</v>
      </c>
      <c r="X67" s="1439"/>
      <c r="Y67" s="1420">
        <v>33.5</v>
      </c>
      <c r="Z67" s="1439"/>
      <c r="AA67" s="1420">
        <v>7464490.7800000003</v>
      </c>
      <c r="AB67" s="1455"/>
      <c r="AC67" s="1424">
        <v>1565994.39</v>
      </c>
      <c r="AD67" s="1420">
        <v>1579706.99</v>
      </c>
      <c r="AE67" s="1420">
        <v>307288.78999999998</v>
      </c>
      <c r="AF67" s="1422">
        <v>111611</v>
      </c>
      <c r="AG67" s="1422">
        <v>0</v>
      </c>
      <c r="AH67" s="1456">
        <v>0</v>
      </c>
      <c r="AI67" s="1428">
        <v>4651907</v>
      </c>
      <c r="AJ67" s="1422">
        <v>4480805</v>
      </c>
      <c r="AK67" s="1422">
        <v>95797</v>
      </c>
      <c r="AL67" s="1422">
        <v>95000</v>
      </c>
      <c r="AM67" s="1422">
        <v>0</v>
      </c>
      <c r="AN67" s="1422">
        <v>0</v>
      </c>
      <c r="AO67" s="1422">
        <v>82033</v>
      </c>
      <c r="AP67" s="1422">
        <v>134154</v>
      </c>
      <c r="AQ67" s="1422">
        <v>0</v>
      </c>
      <c r="AR67" s="1422">
        <v>0</v>
      </c>
      <c r="AS67" s="1422">
        <v>0</v>
      </c>
      <c r="AT67" s="1422">
        <v>0</v>
      </c>
      <c r="AU67" s="1422">
        <v>21387</v>
      </c>
      <c r="AV67" s="1422">
        <v>17109</v>
      </c>
      <c r="AW67" s="1422">
        <v>0</v>
      </c>
      <c r="AX67" s="1422">
        <v>0</v>
      </c>
      <c r="AY67" s="1420">
        <v>6724407.1799999997</v>
      </c>
      <c r="AZ67" s="1420">
        <v>6418385.9900000002</v>
      </c>
      <c r="BA67" s="1422">
        <v>0</v>
      </c>
      <c r="BB67" s="1422">
        <v>0</v>
      </c>
      <c r="BC67" s="1422">
        <v>40600</v>
      </c>
      <c r="BD67" s="1422">
        <v>39751</v>
      </c>
      <c r="BE67" s="1420">
        <v>19938.439999999999</v>
      </c>
      <c r="BF67" s="1422">
        <v>0</v>
      </c>
      <c r="BG67" s="1422">
        <v>1300</v>
      </c>
      <c r="BH67" s="1422">
        <v>0</v>
      </c>
      <c r="BI67" s="1422">
        <v>10401</v>
      </c>
      <c r="BJ67" s="1422">
        <v>38466</v>
      </c>
      <c r="BK67" s="1422">
        <v>2930</v>
      </c>
      <c r="BL67" s="1422">
        <v>2930</v>
      </c>
      <c r="BM67" s="1422">
        <v>314960</v>
      </c>
      <c r="BN67" s="1422">
        <v>321310</v>
      </c>
      <c r="BO67" s="1420">
        <v>1880025.26</v>
      </c>
      <c r="BP67" s="1422">
        <v>0</v>
      </c>
      <c r="BQ67" s="1420">
        <v>129897.96</v>
      </c>
      <c r="BR67" s="1422">
        <v>0</v>
      </c>
      <c r="BS67" s="1420">
        <v>2995.73</v>
      </c>
      <c r="BT67" s="1422">
        <v>3000</v>
      </c>
      <c r="BU67" s="1422">
        <v>0</v>
      </c>
      <c r="BV67" s="1422">
        <v>0</v>
      </c>
      <c r="BW67" s="1422">
        <v>0</v>
      </c>
      <c r="BX67" s="1422">
        <v>0</v>
      </c>
      <c r="BY67" s="1422">
        <v>0</v>
      </c>
      <c r="BZ67" s="1422">
        <v>0</v>
      </c>
      <c r="CA67" s="1422">
        <v>130589</v>
      </c>
      <c r="CB67" s="1422">
        <v>118014</v>
      </c>
      <c r="CC67" s="1420">
        <v>2533637.39</v>
      </c>
      <c r="CD67" s="1422">
        <v>523471</v>
      </c>
      <c r="CE67" s="1420">
        <v>1917113.64</v>
      </c>
      <c r="CF67" s="1420">
        <v>1478771.2</v>
      </c>
      <c r="CG67" s="1422">
        <v>0</v>
      </c>
      <c r="CH67" s="1422">
        <v>0</v>
      </c>
      <c r="CI67" s="1422">
        <v>0</v>
      </c>
      <c r="CJ67" s="1422">
        <v>0</v>
      </c>
      <c r="CK67" s="1422">
        <v>0</v>
      </c>
      <c r="CL67" s="1422">
        <v>0</v>
      </c>
      <c r="CM67" s="1422">
        <v>4095</v>
      </c>
      <c r="CN67" s="1422">
        <v>0</v>
      </c>
      <c r="CO67" s="1422">
        <v>0</v>
      </c>
      <c r="CP67" s="1422">
        <v>0</v>
      </c>
      <c r="CQ67" s="1422">
        <v>0</v>
      </c>
      <c r="CR67" s="1422">
        <v>0</v>
      </c>
      <c r="CS67" s="1422">
        <v>4095</v>
      </c>
      <c r="CT67" s="1422">
        <v>0</v>
      </c>
      <c r="CU67" s="1420">
        <v>11179253.210000001</v>
      </c>
      <c r="CV67" s="1420">
        <v>8420628.1899999995</v>
      </c>
      <c r="CW67" s="1420">
        <v>3447839.42</v>
      </c>
      <c r="CX67" s="1420">
        <v>3386333.89</v>
      </c>
      <c r="CY67" s="1420">
        <v>2312321.4700000002</v>
      </c>
      <c r="CZ67" s="1420">
        <v>443103.48</v>
      </c>
      <c r="DA67" s="1420">
        <v>215566.62</v>
      </c>
      <c r="DB67" s="1420">
        <v>94469.3</v>
      </c>
      <c r="DC67" s="1422">
        <v>0</v>
      </c>
      <c r="DD67" s="1422">
        <v>0</v>
      </c>
      <c r="DE67" s="1420">
        <v>324200.33</v>
      </c>
      <c r="DF67" s="1422">
        <v>334097</v>
      </c>
      <c r="DG67" s="1420">
        <v>139330.13</v>
      </c>
      <c r="DH67" s="1420">
        <v>124798.08</v>
      </c>
      <c r="DI67" s="1420">
        <v>6439257.9699999997</v>
      </c>
      <c r="DJ67" s="1420">
        <v>4382801.75</v>
      </c>
      <c r="DK67" s="1420">
        <v>203231.9</v>
      </c>
      <c r="DL67" s="1420">
        <v>216075.39</v>
      </c>
      <c r="DM67" s="1420">
        <v>242499.86</v>
      </c>
      <c r="DN67" s="1420">
        <v>234753.75</v>
      </c>
      <c r="DO67" s="1420">
        <v>712108.78</v>
      </c>
      <c r="DP67" s="1420">
        <v>672940.98</v>
      </c>
      <c r="DQ67" s="1420">
        <v>357569.34</v>
      </c>
      <c r="DR67" s="1420">
        <v>386063.11</v>
      </c>
      <c r="DS67" s="1420">
        <v>29983.45</v>
      </c>
      <c r="DT67" s="1422">
        <v>16200</v>
      </c>
      <c r="DU67" s="1420">
        <v>1545393.33</v>
      </c>
      <c r="DV67" s="1420">
        <v>1526033.23</v>
      </c>
      <c r="DW67" s="1420">
        <v>396009.6</v>
      </c>
      <c r="DX67" s="1420">
        <v>394028.19</v>
      </c>
      <c r="DY67" s="1420">
        <v>718291.26</v>
      </c>
      <c r="DZ67" s="1420">
        <v>654989.31000000006</v>
      </c>
      <c r="EA67" s="1420">
        <v>454187.22</v>
      </c>
      <c r="EB67" s="1420">
        <v>476624.2</v>
      </c>
      <c r="EC67" s="1420">
        <v>1568488.08</v>
      </c>
      <c r="ED67" s="1420">
        <v>1525641.7</v>
      </c>
      <c r="EE67" s="1420">
        <v>416609.79</v>
      </c>
      <c r="EF67" s="1420">
        <v>434511.95</v>
      </c>
      <c r="EG67" s="1422">
        <v>0</v>
      </c>
      <c r="EH67" s="1422">
        <v>0</v>
      </c>
      <c r="EI67" s="1422">
        <v>0</v>
      </c>
      <c r="EJ67" s="1422">
        <v>0</v>
      </c>
      <c r="EK67" s="1422">
        <v>0</v>
      </c>
      <c r="EL67" s="1422">
        <v>0</v>
      </c>
      <c r="EM67" s="1420">
        <v>416609.79</v>
      </c>
      <c r="EN67" s="1420">
        <v>434511.95</v>
      </c>
      <c r="EO67" s="1420">
        <v>158497.84</v>
      </c>
      <c r="EP67" s="1420">
        <v>170554.48</v>
      </c>
      <c r="EQ67" s="1420">
        <v>565607.23</v>
      </c>
      <c r="ER67" s="1420">
        <v>563163.94999999995</v>
      </c>
      <c r="ES67" s="1422">
        <v>0</v>
      </c>
      <c r="ET67" s="1422">
        <v>0</v>
      </c>
      <c r="EU67" s="1420">
        <v>10693854.24</v>
      </c>
      <c r="EV67" s="1420">
        <v>8602707.0600000005</v>
      </c>
      <c r="EW67" s="1420">
        <v>408281.18</v>
      </c>
      <c r="EX67" s="1420">
        <v>446880.29</v>
      </c>
      <c r="EY67" s="1420">
        <v>565607.23</v>
      </c>
      <c r="EZ67" s="1420">
        <v>563163.94999999995</v>
      </c>
      <c r="FA67" s="1420">
        <v>9719965.8300000001</v>
      </c>
      <c r="FB67" s="1420">
        <v>7592662.8200000003</v>
      </c>
      <c r="FC67" s="1420">
        <v>316940.58</v>
      </c>
      <c r="FD67" s="1439"/>
      <c r="FE67" s="1420">
        <v>9403025.25</v>
      </c>
      <c r="FF67" s="1439"/>
      <c r="FG67" s="1422">
        <v>10575</v>
      </c>
      <c r="FH67" s="1439"/>
      <c r="FI67" s="1420">
        <v>66.39</v>
      </c>
      <c r="FJ67" s="1439"/>
      <c r="FK67" s="1422">
        <v>39455</v>
      </c>
      <c r="FL67" s="1439"/>
      <c r="FM67" s="1420">
        <v>72.59</v>
      </c>
      <c r="FN67" s="1439"/>
      <c r="FO67" s="1422">
        <v>42215</v>
      </c>
      <c r="FP67" s="1439"/>
      <c r="FQ67" s="1420">
        <v>1420602.78</v>
      </c>
      <c r="FR67" s="1439"/>
      <c r="FS67" s="1420">
        <v>44186.53</v>
      </c>
      <c r="FT67" s="1439"/>
      <c r="FU67" s="1422">
        <v>0</v>
      </c>
      <c r="FV67" s="1439"/>
      <c r="FW67" s="1420">
        <v>1376416.25</v>
      </c>
      <c r="FX67" s="1439"/>
      <c r="FY67" s="1422">
        <v>0</v>
      </c>
      <c r="FZ67" s="1439"/>
      <c r="GA67" s="1420">
        <v>746.8</v>
      </c>
      <c r="GB67" s="1439"/>
    </row>
    <row r="68" spans="1:184" ht="12.75" customHeight="1" thickBot="1">
      <c r="A68" s="1418" t="s">
        <v>533</v>
      </c>
      <c r="B68" s="1418" t="s">
        <v>534</v>
      </c>
      <c r="C68" s="1420">
        <v>366.46</v>
      </c>
      <c r="D68" s="1439"/>
      <c r="E68" s="1420">
        <v>1383.33</v>
      </c>
      <c r="F68" s="1439"/>
      <c r="G68" s="1421">
        <v>-0.15</v>
      </c>
      <c r="H68" s="1439"/>
      <c r="I68" s="1420">
        <v>1458.83</v>
      </c>
      <c r="J68" s="1439"/>
      <c r="K68" s="1420">
        <v>1496.13</v>
      </c>
      <c r="L68" s="1439"/>
      <c r="M68" s="1422">
        <v>86360112</v>
      </c>
      <c r="N68" s="1439"/>
      <c r="O68" s="1422">
        <v>25</v>
      </c>
      <c r="P68" s="1439"/>
      <c r="Q68" s="1422">
        <v>25</v>
      </c>
      <c r="R68" s="1439"/>
      <c r="S68" s="1422">
        <v>0</v>
      </c>
      <c r="T68" s="1439"/>
      <c r="U68" s="1422">
        <v>0</v>
      </c>
      <c r="V68" s="1439"/>
      <c r="W68" s="1422">
        <v>14</v>
      </c>
      <c r="X68" s="1439"/>
      <c r="Y68" s="1422">
        <v>39</v>
      </c>
      <c r="Z68" s="1439"/>
      <c r="AA68" s="1420">
        <v>12974574.029999999</v>
      </c>
      <c r="AB68" s="1455"/>
      <c r="AC68" s="1424">
        <v>3079271.41</v>
      </c>
      <c r="AD68" s="1422">
        <v>2889300</v>
      </c>
      <c r="AE68" s="1420">
        <v>629562.24</v>
      </c>
      <c r="AF68" s="1420">
        <v>585773.71</v>
      </c>
      <c r="AG68" s="1422">
        <v>2500</v>
      </c>
      <c r="AH68" s="1456">
        <v>0</v>
      </c>
      <c r="AI68" s="1428">
        <v>6787964</v>
      </c>
      <c r="AJ68" s="1422">
        <v>6861943</v>
      </c>
      <c r="AK68" s="1422">
        <v>175849</v>
      </c>
      <c r="AL68" s="1422">
        <v>150000</v>
      </c>
      <c r="AM68" s="1422">
        <v>0</v>
      </c>
      <c r="AN68" s="1422">
        <v>0</v>
      </c>
      <c r="AO68" s="1422">
        <v>255466</v>
      </c>
      <c r="AP68" s="1422">
        <v>99256</v>
      </c>
      <c r="AQ68" s="1422">
        <v>0</v>
      </c>
      <c r="AR68" s="1422">
        <v>0</v>
      </c>
      <c r="AS68" s="1422">
        <v>0</v>
      </c>
      <c r="AT68" s="1422">
        <v>0</v>
      </c>
      <c r="AU68" s="1422">
        <v>37857</v>
      </c>
      <c r="AV68" s="1422">
        <v>30286</v>
      </c>
      <c r="AW68" s="1422">
        <v>0</v>
      </c>
      <c r="AX68" s="1422">
        <v>0</v>
      </c>
      <c r="AY68" s="1420">
        <v>10968469.65</v>
      </c>
      <c r="AZ68" s="1420">
        <v>10616558.710000001</v>
      </c>
      <c r="BA68" s="1420">
        <v>190076.79999999999</v>
      </c>
      <c r="BB68" s="1420">
        <v>195319.96</v>
      </c>
      <c r="BC68" s="1422">
        <v>61880</v>
      </c>
      <c r="BD68" s="1422">
        <v>62037</v>
      </c>
      <c r="BE68" s="1420">
        <v>29225.16</v>
      </c>
      <c r="BF68" s="1422">
        <v>10600</v>
      </c>
      <c r="BG68" s="1422">
        <v>900</v>
      </c>
      <c r="BH68" s="1422">
        <v>500</v>
      </c>
      <c r="BI68" s="1422">
        <v>108035</v>
      </c>
      <c r="BJ68" s="1422">
        <v>114112</v>
      </c>
      <c r="BK68" s="1422">
        <v>20510</v>
      </c>
      <c r="BL68" s="1422">
        <v>20930</v>
      </c>
      <c r="BM68" s="1422">
        <v>1185440</v>
      </c>
      <c r="BN68" s="1422">
        <v>1176956</v>
      </c>
      <c r="BO68" s="1420">
        <v>65853.759999999995</v>
      </c>
      <c r="BP68" s="1422">
        <v>10000</v>
      </c>
      <c r="BQ68" s="1420">
        <v>3923.6</v>
      </c>
      <c r="BR68" s="1422">
        <v>0</v>
      </c>
      <c r="BS68" s="1420">
        <v>5649.77</v>
      </c>
      <c r="BT68" s="1420">
        <v>5649.77</v>
      </c>
      <c r="BU68" s="1422">
        <v>0</v>
      </c>
      <c r="BV68" s="1422">
        <v>0</v>
      </c>
      <c r="BW68" s="1422">
        <v>72900</v>
      </c>
      <c r="BX68" s="1422">
        <v>72900</v>
      </c>
      <c r="BY68" s="1422">
        <v>0</v>
      </c>
      <c r="BZ68" s="1422">
        <v>0</v>
      </c>
      <c r="CA68" s="1420">
        <v>877821.87</v>
      </c>
      <c r="CB68" s="1420">
        <v>268011.74</v>
      </c>
      <c r="CC68" s="1420">
        <v>2622215.96</v>
      </c>
      <c r="CD68" s="1420">
        <v>1937016.47</v>
      </c>
      <c r="CE68" s="1420">
        <v>4589476.1100000003</v>
      </c>
      <c r="CF68" s="1420">
        <v>2671540.9700000002</v>
      </c>
      <c r="CG68" s="1422">
        <v>0</v>
      </c>
      <c r="CH68" s="1422">
        <v>0</v>
      </c>
      <c r="CI68" s="1422">
        <v>0</v>
      </c>
      <c r="CJ68" s="1422">
        <v>0</v>
      </c>
      <c r="CK68" s="1420">
        <v>14335.51</v>
      </c>
      <c r="CL68" s="1422">
        <v>44263</v>
      </c>
      <c r="CM68" s="1422">
        <v>0</v>
      </c>
      <c r="CN68" s="1422">
        <v>0</v>
      </c>
      <c r="CO68" s="1422">
        <v>13650</v>
      </c>
      <c r="CP68" s="1422">
        <v>0</v>
      </c>
      <c r="CQ68" s="1422">
        <v>0</v>
      </c>
      <c r="CR68" s="1422">
        <v>0</v>
      </c>
      <c r="CS68" s="1420">
        <v>27985.51</v>
      </c>
      <c r="CT68" s="1422">
        <v>44263</v>
      </c>
      <c r="CU68" s="1420">
        <v>18208147.23</v>
      </c>
      <c r="CV68" s="1420">
        <v>15269379.15</v>
      </c>
      <c r="CW68" s="1420">
        <v>5323908.1399999997</v>
      </c>
      <c r="CX68" s="1420">
        <v>4477770.21</v>
      </c>
      <c r="CY68" s="1420">
        <v>866889.81</v>
      </c>
      <c r="CZ68" s="1420">
        <v>944800.7</v>
      </c>
      <c r="DA68" s="1420">
        <v>587489.88</v>
      </c>
      <c r="DB68" s="1420">
        <v>560391.52</v>
      </c>
      <c r="DC68" s="1420">
        <v>153643.38</v>
      </c>
      <c r="DD68" s="1420">
        <v>139362.13</v>
      </c>
      <c r="DE68" s="1420">
        <v>1124913.6299999999</v>
      </c>
      <c r="DF68" s="1420">
        <v>1224922.77</v>
      </c>
      <c r="DG68" s="1420">
        <v>778119.8</v>
      </c>
      <c r="DH68" s="1420">
        <v>821868.25</v>
      </c>
      <c r="DI68" s="1420">
        <v>8834964.6400000006</v>
      </c>
      <c r="DJ68" s="1420">
        <v>8169115.5800000001</v>
      </c>
      <c r="DK68" s="1420">
        <v>522997.42</v>
      </c>
      <c r="DL68" s="1420">
        <v>554475.5</v>
      </c>
      <c r="DM68" s="1420">
        <v>583301.1</v>
      </c>
      <c r="DN68" s="1420">
        <v>404855.59</v>
      </c>
      <c r="DO68" s="1420">
        <v>1683542.59</v>
      </c>
      <c r="DP68" s="1420">
        <v>1505464.67</v>
      </c>
      <c r="DQ68" s="1420">
        <v>583088.15</v>
      </c>
      <c r="DR68" s="1420">
        <v>506861.68</v>
      </c>
      <c r="DS68" s="1420">
        <v>49324.66</v>
      </c>
      <c r="DT68" s="1420">
        <v>78734.820000000007</v>
      </c>
      <c r="DU68" s="1420">
        <v>3422253.92</v>
      </c>
      <c r="DV68" s="1420">
        <v>3050392.26</v>
      </c>
      <c r="DW68" s="1420">
        <v>609759.72</v>
      </c>
      <c r="DX68" s="1420">
        <v>616391.63</v>
      </c>
      <c r="DY68" s="1420">
        <v>1250605.21</v>
      </c>
      <c r="DZ68" s="1420">
        <v>1258873.75</v>
      </c>
      <c r="EA68" s="1420">
        <v>678752.6</v>
      </c>
      <c r="EB68" s="1420">
        <v>742768.44</v>
      </c>
      <c r="EC68" s="1420">
        <v>2539117.5299999998</v>
      </c>
      <c r="ED68" s="1420">
        <v>2618033.8199999998</v>
      </c>
      <c r="EE68" s="1420">
        <v>925493.28</v>
      </c>
      <c r="EF68" s="1420">
        <v>846932.16</v>
      </c>
      <c r="EG68" s="1422">
        <v>0</v>
      </c>
      <c r="EH68" s="1422">
        <v>0</v>
      </c>
      <c r="EI68" s="1420">
        <v>9863.07</v>
      </c>
      <c r="EJ68" s="1420">
        <v>30187.3</v>
      </c>
      <c r="EK68" s="1422">
        <v>0</v>
      </c>
      <c r="EL68" s="1422">
        <v>0</v>
      </c>
      <c r="EM68" s="1420">
        <v>935356.35</v>
      </c>
      <c r="EN68" s="1420">
        <v>877119.46</v>
      </c>
      <c r="EO68" s="1420">
        <v>3877102.85</v>
      </c>
      <c r="EP68" s="1420">
        <v>687417.3</v>
      </c>
      <c r="EQ68" s="1420">
        <v>1027342.59</v>
      </c>
      <c r="ER68" s="1420">
        <v>1018839.11</v>
      </c>
      <c r="ES68" s="1420">
        <v>0.19</v>
      </c>
      <c r="ET68" s="1420">
        <v>3098.85</v>
      </c>
      <c r="EU68" s="1420">
        <v>20636138.07</v>
      </c>
      <c r="EV68" s="1420">
        <v>16424016.380000001</v>
      </c>
      <c r="EW68" s="1420">
        <v>4523325.57</v>
      </c>
      <c r="EX68" s="1420">
        <v>815603.43</v>
      </c>
      <c r="EY68" s="1420">
        <v>1027342.59</v>
      </c>
      <c r="EZ68" s="1420">
        <v>1018839.11</v>
      </c>
      <c r="FA68" s="1420">
        <v>15085469.91</v>
      </c>
      <c r="FB68" s="1420">
        <v>14589573.84</v>
      </c>
      <c r="FC68" s="1420">
        <v>702489.73</v>
      </c>
      <c r="FD68" s="1439"/>
      <c r="FE68" s="1420">
        <v>14382980.18</v>
      </c>
      <c r="FF68" s="1439"/>
      <c r="FG68" s="1422">
        <v>10397</v>
      </c>
      <c r="FH68" s="1439"/>
      <c r="FI68" s="1420">
        <v>116.9</v>
      </c>
      <c r="FJ68" s="1439"/>
      <c r="FK68" s="1422">
        <v>40983</v>
      </c>
      <c r="FL68" s="1439"/>
      <c r="FM68" s="1420">
        <v>128.53</v>
      </c>
      <c r="FN68" s="1439"/>
      <c r="FO68" s="1422">
        <v>42936</v>
      </c>
      <c r="FP68" s="1439"/>
      <c r="FQ68" s="1420">
        <v>2258593.48</v>
      </c>
      <c r="FR68" s="1439"/>
      <c r="FS68" s="1420">
        <v>137248.70000000001</v>
      </c>
      <c r="FT68" s="1439"/>
      <c r="FU68" s="1422">
        <v>0</v>
      </c>
      <c r="FV68" s="1439"/>
      <c r="FW68" s="1420">
        <v>2121344.7799999998</v>
      </c>
      <c r="FX68" s="1439"/>
      <c r="FY68" s="1420">
        <v>708071.52</v>
      </c>
      <c r="FZ68" s="1439"/>
      <c r="GA68" s="1422">
        <v>0</v>
      </c>
      <c r="GB68" s="1439"/>
    </row>
    <row r="69" spans="1:184" ht="12.75" customHeight="1" thickBot="1">
      <c r="A69" s="1418" t="s">
        <v>535</v>
      </c>
      <c r="B69" s="1418" t="s">
        <v>536</v>
      </c>
      <c r="C69" s="1420">
        <v>526.13</v>
      </c>
      <c r="D69" s="1439"/>
      <c r="E69" s="1420">
        <v>1078.31</v>
      </c>
      <c r="F69" s="1439"/>
      <c r="G69" s="1421">
        <v>-0.14000000000000001</v>
      </c>
      <c r="H69" s="1439"/>
      <c r="I69" s="1420">
        <v>1120.6199999999999</v>
      </c>
      <c r="J69" s="1439"/>
      <c r="K69" s="1420">
        <v>1156.8800000000001</v>
      </c>
      <c r="L69" s="1439"/>
      <c r="M69" s="1422">
        <v>117733324</v>
      </c>
      <c r="N69" s="1439"/>
      <c r="O69" s="1422">
        <v>31</v>
      </c>
      <c r="P69" s="1439"/>
      <c r="Q69" s="1422">
        <v>25</v>
      </c>
      <c r="R69" s="1439"/>
      <c r="S69" s="1422">
        <v>6</v>
      </c>
      <c r="T69" s="1439"/>
      <c r="U69" s="1422">
        <v>0</v>
      </c>
      <c r="V69" s="1439"/>
      <c r="W69" s="1420">
        <v>9.4600000000000009</v>
      </c>
      <c r="X69" s="1439"/>
      <c r="Y69" s="1420">
        <v>40.46</v>
      </c>
      <c r="Z69" s="1439"/>
      <c r="AA69" s="1420">
        <v>6439539.3099999996</v>
      </c>
      <c r="AB69" s="1455"/>
      <c r="AC69" s="1424">
        <v>4182121.61</v>
      </c>
      <c r="AD69" s="1422">
        <v>4230000</v>
      </c>
      <c r="AE69" s="1420">
        <v>473221.52</v>
      </c>
      <c r="AF69" s="1420">
        <v>170346.19</v>
      </c>
      <c r="AG69" s="1422">
        <v>0</v>
      </c>
      <c r="AH69" s="1456">
        <v>0</v>
      </c>
      <c r="AI69" s="1428">
        <v>4058571</v>
      </c>
      <c r="AJ69" s="1422">
        <v>4028087</v>
      </c>
      <c r="AK69" s="1422">
        <v>70889</v>
      </c>
      <c r="AL69" s="1422">
        <v>75000</v>
      </c>
      <c r="AM69" s="1422">
        <v>0</v>
      </c>
      <c r="AN69" s="1422">
        <v>0</v>
      </c>
      <c r="AO69" s="1422">
        <v>22737</v>
      </c>
      <c r="AP69" s="1422">
        <v>97659</v>
      </c>
      <c r="AQ69" s="1422">
        <v>0</v>
      </c>
      <c r="AR69" s="1422">
        <v>0</v>
      </c>
      <c r="AS69" s="1422">
        <v>0</v>
      </c>
      <c r="AT69" s="1422">
        <v>0</v>
      </c>
      <c r="AU69" s="1422">
        <v>73624</v>
      </c>
      <c r="AV69" s="1422">
        <v>58899</v>
      </c>
      <c r="AW69" s="1422">
        <v>0</v>
      </c>
      <c r="AX69" s="1422">
        <v>0</v>
      </c>
      <c r="AY69" s="1420">
        <v>8881164.1300000008</v>
      </c>
      <c r="AZ69" s="1420">
        <v>8659991.1899999995</v>
      </c>
      <c r="BA69" s="1422">
        <v>0</v>
      </c>
      <c r="BB69" s="1422">
        <v>0</v>
      </c>
      <c r="BC69" s="1422">
        <v>47849</v>
      </c>
      <c r="BD69" s="1422">
        <v>47681</v>
      </c>
      <c r="BE69" s="1420">
        <v>27899.98</v>
      </c>
      <c r="BF69" s="1422">
        <v>5000</v>
      </c>
      <c r="BG69" s="1422">
        <v>1257</v>
      </c>
      <c r="BH69" s="1422">
        <v>0</v>
      </c>
      <c r="BI69" s="1422">
        <v>19096</v>
      </c>
      <c r="BJ69" s="1422">
        <v>17658</v>
      </c>
      <c r="BK69" s="1422">
        <v>4102</v>
      </c>
      <c r="BL69" s="1422">
        <v>0</v>
      </c>
      <c r="BM69" s="1422">
        <v>882880</v>
      </c>
      <c r="BN69" s="1422">
        <v>871332</v>
      </c>
      <c r="BO69" s="1420">
        <v>45216.78</v>
      </c>
      <c r="BP69" s="1422">
        <v>36000</v>
      </c>
      <c r="BQ69" s="1420">
        <v>10833.56</v>
      </c>
      <c r="BR69" s="1422">
        <v>10500</v>
      </c>
      <c r="BS69" s="1420">
        <v>4905.8999999999996</v>
      </c>
      <c r="BT69" s="1422">
        <v>4800</v>
      </c>
      <c r="BU69" s="1422">
        <v>0</v>
      </c>
      <c r="BV69" s="1422">
        <v>0</v>
      </c>
      <c r="BW69" s="1422">
        <v>290136</v>
      </c>
      <c r="BX69" s="1422">
        <v>291600</v>
      </c>
      <c r="BY69" s="1422">
        <v>0</v>
      </c>
      <c r="BZ69" s="1422">
        <v>0</v>
      </c>
      <c r="CA69" s="1422">
        <v>30447</v>
      </c>
      <c r="CB69" s="1422">
        <v>27954</v>
      </c>
      <c r="CC69" s="1420">
        <v>1364623.22</v>
      </c>
      <c r="CD69" s="1422">
        <v>1312525</v>
      </c>
      <c r="CE69" s="1420">
        <v>3859436.63</v>
      </c>
      <c r="CF69" s="1420">
        <v>2298631.4500000002</v>
      </c>
      <c r="CG69" s="1422">
        <v>0</v>
      </c>
      <c r="CH69" s="1422">
        <v>0</v>
      </c>
      <c r="CI69" s="1422">
        <v>0</v>
      </c>
      <c r="CJ69" s="1422">
        <v>0</v>
      </c>
      <c r="CK69" s="1422">
        <v>0</v>
      </c>
      <c r="CL69" s="1422">
        <v>0</v>
      </c>
      <c r="CM69" s="1422">
        <v>0</v>
      </c>
      <c r="CN69" s="1422">
        <v>0</v>
      </c>
      <c r="CO69" s="1422">
        <v>0</v>
      </c>
      <c r="CP69" s="1422">
        <v>0</v>
      </c>
      <c r="CQ69" s="1422">
        <v>0</v>
      </c>
      <c r="CR69" s="1422">
        <v>0</v>
      </c>
      <c r="CS69" s="1422">
        <v>0</v>
      </c>
      <c r="CT69" s="1422">
        <v>0</v>
      </c>
      <c r="CU69" s="1420">
        <v>14105223.98</v>
      </c>
      <c r="CV69" s="1420">
        <v>12271147.640000001</v>
      </c>
      <c r="CW69" s="1420">
        <v>4310984.59</v>
      </c>
      <c r="CX69" s="1420">
        <v>4325186.74</v>
      </c>
      <c r="CY69" s="1420">
        <v>727050.2</v>
      </c>
      <c r="CZ69" s="1420">
        <v>1066838.1000000001</v>
      </c>
      <c r="DA69" s="1420">
        <v>335923.16</v>
      </c>
      <c r="DB69" s="1422">
        <v>356298</v>
      </c>
      <c r="DC69" s="1422">
        <v>0</v>
      </c>
      <c r="DD69" s="1422">
        <v>0</v>
      </c>
      <c r="DE69" s="1420">
        <v>581228.88</v>
      </c>
      <c r="DF69" s="1420">
        <v>743964.28</v>
      </c>
      <c r="DG69" s="1420">
        <v>18248.62</v>
      </c>
      <c r="DH69" s="1420">
        <v>21005.5</v>
      </c>
      <c r="DI69" s="1420">
        <v>5973435.4500000002</v>
      </c>
      <c r="DJ69" s="1420">
        <v>6513292.6200000001</v>
      </c>
      <c r="DK69" s="1420">
        <v>300510.96999999997</v>
      </c>
      <c r="DL69" s="1420">
        <v>363669.9</v>
      </c>
      <c r="DM69" s="1420">
        <v>406458.03</v>
      </c>
      <c r="DN69" s="1420">
        <v>336111.84</v>
      </c>
      <c r="DO69" s="1420">
        <v>886960.79</v>
      </c>
      <c r="DP69" s="1420">
        <v>1026770.8</v>
      </c>
      <c r="DQ69" s="1420">
        <v>414892.98</v>
      </c>
      <c r="DR69" s="1422">
        <v>768321</v>
      </c>
      <c r="DS69" s="1420">
        <v>19719.25</v>
      </c>
      <c r="DT69" s="1422">
        <v>10000</v>
      </c>
      <c r="DU69" s="1420">
        <v>2028542.02</v>
      </c>
      <c r="DV69" s="1420">
        <v>2504873.54</v>
      </c>
      <c r="DW69" s="1420">
        <v>607274.05000000005</v>
      </c>
      <c r="DX69" s="1420">
        <v>648703.80000000005</v>
      </c>
      <c r="DY69" s="1420">
        <v>1360806.08</v>
      </c>
      <c r="DZ69" s="1420">
        <v>1610104.03</v>
      </c>
      <c r="EA69" s="1420">
        <v>457223.56</v>
      </c>
      <c r="EB69" s="1422">
        <v>479132</v>
      </c>
      <c r="EC69" s="1420">
        <v>2425303.69</v>
      </c>
      <c r="ED69" s="1420">
        <v>2737939.83</v>
      </c>
      <c r="EE69" s="1420">
        <v>638081.94999999995</v>
      </c>
      <c r="EF69" s="1422">
        <v>675277</v>
      </c>
      <c r="EG69" s="1422">
        <v>0</v>
      </c>
      <c r="EH69" s="1422">
        <v>0</v>
      </c>
      <c r="EI69" s="1420">
        <v>9393.86</v>
      </c>
      <c r="EJ69" s="1420">
        <v>7759.31</v>
      </c>
      <c r="EK69" s="1422">
        <v>0</v>
      </c>
      <c r="EL69" s="1422">
        <v>0</v>
      </c>
      <c r="EM69" s="1420">
        <v>647475.81000000006</v>
      </c>
      <c r="EN69" s="1420">
        <v>683036.31</v>
      </c>
      <c r="EO69" s="1420">
        <v>1781229.09</v>
      </c>
      <c r="EP69" s="1422">
        <v>0</v>
      </c>
      <c r="EQ69" s="1420">
        <v>685766.06</v>
      </c>
      <c r="ER69" s="1422">
        <v>674872</v>
      </c>
      <c r="ES69" s="1420">
        <v>2866.04</v>
      </c>
      <c r="ET69" s="1422">
        <v>0</v>
      </c>
      <c r="EU69" s="1420">
        <v>13544618.16</v>
      </c>
      <c r="EV69" s="1420">
        <v>13114014.300000001</v>
      </c>
      <c r="EW69" s="1420">
        <v>2074381.86</v>
      </c>
      <c r="EX69" s="1420">
        <v>255342.79</v>
      </c>
      <c r="EY69" s="1420">
        <v>685766.06</v>
      </c>
      <c r="EZ69" s="1422">
        <v>674872</v>
      </c>
      <c r="FA69" s="1420">
        <v>10784470.24</v>
      </c>
      <c r="FB69" s="1420">
        <v>12183799.51</v>
      </c>
      <c r="FC69" s="1420">
        <v>643786.94999999995</v>
      </c>
      <c r="FD69" s="1439"/>
      <c r="FE69" s="1420">
        <v>10140683.289999999</v>
      </c>
      <c r="FF69" s="1439"/>
      <c r="FG69" s="1422">
        <v>9404</v>
      </c>
      <c r="FH69" s="1439"/>
      <c r="FI69" s="1420">
        <v>84.09</v>
      </c>
      <c r="FJ69" s="1439"/>
      <c r="FK69" s="1422">
        <v>41869</v>
      </c>
      <c r="FL69" s="1439"/>
      <c r="FM69" s="1420">
        <v>93.73</v>
      </c>
      <c r="FN69" s="1439"/>
      <c r="FO69" s="1422">
        <v>44147</v>
      </c>
      <c r="FP69" s="1439"/>
      <c r="FQ69" s="1420">
        <v>2888585.74</v>
      </c>
      <c r="FR69" s="1439"/>
      <c r="FS69" s="1420">
        <v>666083.36</v>
      </c>
      <c r="FT69" s="1439"/>
      <c r="FU69" s="1422">
        <v>0</v>
      </c>
      <c r="FV69" s="1439"/>
      <c r="FW69" s="1420">
        <v>2222502.38</v>
      </c>
      <c r="FX69" s="1439"/>
      <c r="FY69" s="1420">
        <v>119349.73</v>
      </c>
      <c r="FZ69" s="1439"/>
      <c r="GA69" s="1422">
        <v>0</v>
      </c>
      <c r="GB69" s="1439"/>
    </row>
    <row r="70" spans="1:184" ht="12.75" customHeight="1" thickBot="1">
      <c r="A70" s="1418" t="s">
        <v>537</v>
      </c>
      <c r="B70" s="1418" t="s">
        <v>538</v>
      </c>
      <c r="C70" s="1420">
        <v>563.51</v>
      </c>
      <c r="D70" s="1439"/>
      <c r="E70" s="1420">
        <v>913.47</v>
      </c>
      <c r="F70" s="1439"/>
      <c r="G70" s="1421">
        <v>-7.0000000000000007E-2</v>
      </c>
      <c r="H70" s="1439"/>
      <c r="I70" s="1420">
        <v>969.89</v>
      </c>
      <c r="J70" s="1439"/>
      <c r="K70" s="1420">
        <v>981.84</v>
      </c>
      <c r="L70" s="1439"/>
      <c r="M70" s="1422">
        <v>61014556</v>
      </c>
      <c r="N70" s="1439"/>
      <c r="O70" s="1422">
        <v>25</v>
      </c>
      <c r="P70" s="1439"/>
      <c r="Q70" s="1422">
        <v>25</v>
      </c>
      <c r="R70" s="1439"/>
      <c r="S70" s="1422">
        <v>0</v>
      </c>
      <c r="T70" s="1439"/>
      <c r="U70" s="1422">
        <v>0</v>
      </c>
      <c r="V70" s="1439"/>
      <c r="W70" s="1420">
        <v>10.6</v>
      </c>
      <c r="X70" s="1439"/>
      <c r="Y70" s="1420">
        <v>35.6</v>
      </c>
      <c r="Z70" s="1439"/>
      <c r="AA70" s="1422">
        <v>7190000</v>
      </c>
      <c r="AB70" s="1455"/>
      <c r="AC70" s="1424">
        <v>1979715.66</v>
      </c>
      <c r="AD70" s="1420">
        <v>1805101.16</v>
      </c>
      <c r="AE70" s="1420">
        <v>438455.43</v>
      </c>
      <c r="AF70" s="1422">
        <v>103500</v>
      </c>
      <c r="AG70" s="1420">
        <v>4513.97</v>
      </c>
      <c r="AH70" s="1456">
        <v>4000</v>
      </c>
      <c r="AI70" s="1428">
        <v>4470911</v>
      </c>
      <c r="AJ70" s="1422">
        <v>4478340</v>
      </c>
      <c r="AK70" s="1422">
        <v>56981</v>
      </c>
      <c r="AL70" s="1422">
        <v>50000</v>
      </c>
      <c r="AM70" s="1422">
        <v>0</v>
      </c>
      <c r="AN70" s="1422">
        <v>0</v>
      </c>
      <c r="AO70" s="1422">
        <v>0</v>
      </c>
      <c r="AP70" s="1422">
        <v>0</v>
      </c>
      <c r="AQ70" s="1422">
        <v>0</v>
      </c>
      <c r="AR70" s="1422">
        <v>0</v>
      </c>
      <c r="AS70" s="1422">
        <v>0</v>
      </c>
      <c r="AT70" s="1422">
        <v>0</v>
      </c>
      <c r="AU70" s="1422">
        <v>0</v>
      </c>
      <c r="AV70" s="1422">
        <v>0</v>
      </c>
      <c r="AW70" s="1422">
        <v>0</v>
      </c>
      <c r="AX70" s="1422">
        <v>0</v>
      </c>
      <c r="AY70" s="1420">
        <v>6950577.0599999996</v>
      </c>
      <c r="AZ70" s="1420">
        <v>6440941.1600000001</v>
      </c>
      <c r="BA70" s="1422">
        <v>0</v>
      </c>
      <c r="BB70" s="1422">
        <v>0</v>
      </c>
      <c r="BC70" s="1422">
        <v>40609</v>
      </c>
      <c r="BD70" s="1422">
        <v>41202</v>
      </c>
      <c r="BE70" s="1420">
        <v>11687.96</v>
      </c>
      <c r="BF70" s="1422">
        <v>3000</v>
      </c>
      <c r="BG70" s="1422">
        <v>200</v>
      </c>
      <c r="BH70" s="1422">
        <v>0</v>
      </c>
      <c r="BI70" s="1422">
        <v>39208</v>
      </c>
      <c r="BJ70" s="1422">
        <v>50901</v>
      </c>
      <c r="BK70" s="1422">
        <v>13478</v>
      </c>
      <c r="BL70" s="1422">
        <v>10000</v>
      </c>
      <c r="BM70" s="1422">
        <v>704320</v>
      </c>
      <c r="BN70" s="1422">
        <v>710424</v>
      </c>
      <c r="BO70" s="1420">
        <v>4022.25</v>
      </c>
      <c r="BP70" s="1422">
        <v>0</v>
      </c>
      <c r="BQ70" s="1420">
        <v>45771.040000000001</v>
      </c>
      <c r="BR70" s="1422">
        <v>40000</v>
      </c>
      <c r="BS70" s="1420">
        <v>3413.37</v>
      </c>
      <c r="BT70" s="1422">
        <v>2000</v>
      </c>
      <c r="BU70" s="1422">
        <v>0</v>
      </c>
      <c r="BV70" s="1422">
        <v>0</v>
      </c>
      <c r="BW70" s="1422">
        <v>291600</v>
      </c>
      <c r="BX70" s="1422">
        <v>291600</v>
      </c>
      <c r="BY70" s="1422">
        <v>0</v>
      </c>
      <c r="BZ70" s="1422">
        <v>0</v>
      </c>
      <c r="CA70" s="1420">
        <v>517440.76</v>
      </c>
      <c r="CB70" s="1422">
        <v>140341</v>
      </c>
      <c r="CC70" s="1420">
        <v>1671750.38</v>
      </c>
      <c r="CD70" s="1422">
        <v>1289468</v>
      </c>
      <c r="CE70" s="1422">
        <v>2286173</v>
      </c>
      <c r="CF70" s="1420">
        <v>1402350.14</v>
      </c>
      <c r="CG70" s="1420">
        <v>1840945.56</v>
      </c>
      <c r="CH70" s="1422">
        <v>0</v>
      </c>
      <c r="CI70" s="1422">
        <v>0</v>
      </c>
      <c r="CJ70" s="1422">
        <v>0</v>
      </c>
      <c r="CK70" s="1422">
        <v>0</v>
      </c>
      <c r="CL70" s="1422">
        <v>0</v>
      </c>
      <c r="CM70" s="1422">
        <v>300</v>
      </c>
      <c r="CN70" s="1422">
        <v>0</v>
      </c>
      <c r="CO70" s="1422">
        <v>0</v>
      </c>
      <c r="CP70" s="1422">
        <v>0</v>
      </c>
      <c r="CQ70" s="1422">
        <v>0</v>
      </c>
      <c r="CR70" s="1422">
        <v>0</v>
      </c>
      <c r="CS70" s="1420">
        <v>1841245.56</v>
      </c>
      <c r="CT70" s="1422">
        <v>0</v>
      </c>
      <c r="CU70" s="1422">
        <v>12749746</v>
      </c>
      <c r="CV70" s="1420">
        <v>9132759.3000000007</v>
      </c>
      <c r="CW70" s="1420">
        <v>3506059.74</v>
      </c>
      <c r="CX70" s="1420">
        <v>3033352.7</v>
      </c>
      <c r="CY70" s="1420">
        <v>426707.61</v>
      </c>
      <c r="CZ70" s="1420">
        <v>480481.36</v>
      </c>
      <c r="DA70" s="1420">
        <v>266165.53000000003</v>
      </c>
      <c r="DB70" s="1420">
        <v>223043.41</v>
      </c>
      <c r="DC70" s="1422">
        <v>0</v>
      </c>
      <c r="DD70" s="1422">
        <v>0</v>
      </c>
      <c r="DE70" s="1420">
        <v>708011.29</v>
      </c>
      <c r="DF70" s="1420">
        <v>784057.8</v>
      </c>
      <c r="DG70" s="1420">
        <v>476846.06</v>
      </c>
      <c r="DH70" s="1420">
        <v>443494.3</v>
      </c>
      <c r="DI70" s="1420">
        <v>5383790.2300000004</v>
      </c>
      <c r="DJ70" s="1420">
        <v>4964429.57</v>
      </c>
      <c r="DK70" s="1420">
        <v>260090.78</v>
      </c>
      <c r="DL70" s="1420">
        <v>171258.07</v>
      </c>
      <c r="DM70" s="1420">
        <v>266772.34999999998</v>
      </c>
      <c r="DN70" s="1420">
        <v>232548.01</v>
      </c>
      <c r="DO70" s="1420">
        <v>756094.12</v>
      </c>
      <c r="DP70" s="1420">
        <v>697374.35</v>
      </c>
      <c r="DQ70" s="1420">
        <v>672251.03</v>
      </c>
      <c r="DR70" s="1420">
        <v>559276.62</v>
      </c>
      <c r="DS70" s="1420">
        <v>14197.26</v>
      </c>
      <c r="DT70" s="1422">
        <v>0</v>
      </c>
      <c r="DU70" s="1420">
        <v>1969405.54</v>
      </c>
      <c r="DV70" s="1420">
        <v>1660457.05</v>
      </c>
      <c r="DW70" s="1420">
        <v>540662.23</v>
      </c>
      <c r="DX70" s="1420">
        <v>502565.67</v>
      </c>
      <c r="DY70" s="1420">
        <v>1010587.43</v>
      </c>
      <c r="DZ70" s="1420">
        <v>733750.59</v>
      </c>
      <c r="EA70" s="1420">
        <v>501969.84</v>
      </c>
      <c r="EB70" s="1420">
        <v>521320.62</v>
      </c>
      <c r="EC70" s="1420">
        <v>2053219.5</v>
      </c>
      <c r="ED70" s="1420">
        <v>1757636.88</v>
      </c>
      <c r="EE70" s="1420">
        <v>530140.17000000004</v>
      </c>
      <c r="EF70" s="1420">
        <v>511683.43</v>
      </c>
      <c r="EG70" s="1422">
        <v>0</v>
      </c>
      <c r="EH70" s="1422">
        <v>0</v>
      </c>
      <c r="EI70" s="1420">
        <v>174.28</v>
      </c>
      <c r="EJ70" s="1422">
        <v>300</v>
      </c>
      <c r="EK70" s="1422">
        <v>0</v>
      </c>
      <c r="EL70" s="1422">
        <v>0</v>
      </c>
      <c r="EM70" s="1420">
        <v>530314.44999999995</v>
      </c>
      <c r="EN70" s="1420">
        <v>511983.43</v>
      </c>
      <c r="EO70" s="1420">
        <v>725579.91</v>
      </c>
      <c r="EP70" s="1422">
        <v>450000</v>
      </c>
      <c r="EQ70" s="1420">
        <v>429677.96</v>
      </c>
      <c r="ER70" s="1420">
        <v>451098.88</v>
      </c>
      <c r="ES70" s="1422">
        <v>0</v>
      </c>
      <c r="ET70" s="1422">
        <v>0</v>
      </c>
      <c r="EU70" s="1420">
        <v>11091987.59</v>
      </c>
      <c r="EV70" s="1420">
        <v>9795605.8100000005</v>
      </c>
      <c r="EW70" s="1420">
        <v>893409.55</v>
      </c>
      <c r="EX70" s="1422">
        <v>469500</v>
      </c>
      <c r="EY70" s="1420">
        <v>429677.96</v>
      </c>
      <c r="EZ70" s="1420">
        <v>451098.88</v>
      </c>
      <c r="FA70" s="1420">
        <v>9768900.0800000001</v>
      </c>
      <c r="FB70" s="1420">
        <v>8875006.9299999997</v>
      </c>
      <c r="FC70" s="1420">
        <v>389764.02</v>
      </c>
      <c r="FD70" s="1439"/>
      <c r="FE70" s="1420">
        <v>9379136.0600000005</v>
      </c>
      <c r="FF70" s="1439"/>
      <c r="FG70" s="1422">
        <v>10267</v>
      </c>
      <c r="FH70" s="1439"/>
      <c r="FI70" s="1420">
        <v>83.37</v>
      </c>
      <c r="FJ70" s="1439"/>
      <c r="FK70" s="1422">
        <v>34514</v>
      </c>
      <c r="FL70" s="1439"/>
      <c r="FM70" s="1420">
        <v>89.51</v>
      </c>
      <c r="FN70" s="1439"/>
      <c r="FO70" s="1422">
        <v>37253</v>
      </c>
      <c r="FP70" s="1439"/>
      <c r="FQ70" s="1420">
        <v>520298.73</v>
      </c>
      <c r="FR70" s="1439"/>
      <c r="FS70" s="1420">
        <v>53690.2</v>
      </c>
      <c r="FT70" s="1439"/>
      <c r="FU70" s="1422">
        <v>0</v>
      </c>
      <c r="FV70" s="1439"/>
      <c r="FW70" s="1420">
        <v>466608.53</v>
      </c>
      <c r="FX70" s="1439"/>
      <c r="FY70" s="1420">
        <v>1835616.7</v>
      </c>
      <c r="FZ70" s="1439"/>
      <c r="GA70" s="1422">
        <v>0</v>
      </c>
      <c r="GB70" s="1439"/>
    </row>
    <row r="71" spans="1:184" ht="12.75" customHeight="1" thickBot="1">
      <c r="A71" s="1418" t="s">
        <v>539</v>
      </c>
      <c r="B71" s="1418" t="s">
        <v>540</v>
      </c>
      <c r="C71" s="1420">
        <v>94.99</v>
      </c>
      <c r="D71" s="1439"/>
      <c r="E71" s="1420">
        <v>2002.14</v>
      </c>
      <c r="F71" s="1439"/>
      <c r="G71" s="1421">
        <v>-0.04</v>
      </c>
      <c r="H71" s="1439"/>
      <c r="I71" s="1420">
        <v>2079.7800000000002</v>
      </c>
      <c r="J71" s="1439"/>
      <c r="K71" s="1420">
        <v>2077.85</v>
      </c>
      <c r="L71" s="1439"/>
      <c r="M71" s="1422">
        <v>116492243</v>
      </c>
      <c r="N71" s="1439"/>
      <c r="O71" s="1422">
        <v>25</v>
      </c>
      <c r="P71" s="1439"/>
      <c r="Q71" s="1422">
        <v>25</v>
      </c>
      <c r="R71" s="1439"/>
      <c r="S71" s="1422">
        <v>0</v>
      </c>
      <c r="T71" s="1439"/>
      <c r="U71" s="1422">
        <v>0</v>
      </c>
      <c r="V71" s="1439"/>
      <c r="W71" s="1420">
        <v>14.9</v>
      </c>
      <c r="X71" s="1439"/>
      <c r="Y71" s="1420">
        <v>39.9</v>
      </c>
      <c r="Z71" s="1439"/>
      <c r="AA71" s="1422">
        <v>9960000</v>
      </c>
      <c r="AB71" s="1455"/>
      <c r="AC71" s="1424">
        <v>4300395.92</v>
      </c>
      <c r="AD71" s="1422">
        <v>4195000</v>
      </c>
      <c r="AE71" s="1420">
        <v>1336199.48</v>
      </c>
      <c r="AF71" s="1422">
        <v>766420</v>
      </c>
      <c r="AG71" s="1420">
        <v>9263.9699999999993</v>
      </c>
      <c r="AH71" s="1456">
        <v>6000</v>
      </c>
      <c r="AI71" s="1428">
        <v>9743002</v>
      </c>
      <c r="AJ71" s="1422">
        <v>9969881</v>
      </c>
      <c r="AK71" s="1422">
        <v>80599</v>
      </c>
      <c r="AL71" s="1422">
        <v>80000</v>
      </c>
      <c r="AM71" s="1422">
        <v>0</v>
      </c>
      <c r="AN71" s="1422">
        <v>0</v>
      </c>
      <c r="AO71" s="1422">
        <v>94501</v>
      </c>
      <c r="AP71" s="1422">
        <v>0</v>
      </c>
      <c r="AQ71" s="1422">
        <v>0</v>
      </c>
      <c r="AR71" s="1422">
        <v>0</v>
      </c>
      <c r="AS71" s="1422">
        <v>0</v>
      </c>
      <c r="AT71" s="1422">
        <v>0</v>
      </c>
      <c r="AU71" s="1422">
        <v>5192</v>
      </c>
      <c r="AV71" s="1422">
        <v>4154</v>
      </c>
      <c r="AW71" s="1422">
        <v>0</v>
      </c>
      <c r="AX71" s="1422">
        <v>0</v>
      </c>
      <c r="AY71" s="1420">
        <v>15569153.369999999</v>
      </c>
      <c r="AZ71" s="1422">
        <v>15021455</v>
      </c>
      <c r="BA71" s="1420">
        <v>208504.74</v>
      </c>
      <c r="BB71" s="1420">
        <v>212356.8</v>
      </c>
      <c r="BC71" s="1422">
        <v>85940</v>
      </c>
      <c r="BD71" s="1422">
        <v>88457</v>
      </c>
      <c r="BE71" s="1420">
        <v>23973.200000000001</v>
      </c>
      <c r="BF71" s="1422">
        <v>5000</v>
      </c>
      <c r="BG71" s="1422">
        <v>850</v>
      </c>
      <c r="BH71" s="1422">
        <v>500</v>
      </c>
      <c r="BI71" s="1422">
        <v>156547</v>
      </c>
      <c r="BJ71" s="1422">
        <v>155562</v>
      </c>
      <c r="BK71" s="1422">
        <v>3223</v>
      </c>
      <c r="BL71" s="1422">
        <v>0</v>
      </c>
      <c r="BM71" s="1422">
        <v>531216</v>
      </c>
      <c r="BN71" s="1422">
        <v>584936</v>
      </c>
      <c r="BO71" s="1420">
        <v>282527.34000000003</v>
      </c>
      <c r="BP71" s="1422">
        <v>254000</v>
      </c>
      <c r="BQ71" s="1420">
        <v>559364.17000000004</v>
      </c>
      <c r="BR71" s="1422">
        <v>470000</v>
      </c>
      <c r="BS71" s="1420">
        <v>6776.98</v>
      </c>
      <c r="BT71" s="1422">
        <v>8500</v>
      </c>
      <c r="BU71" s="1422">
        <v>0</v>
      </c>
      <c r="BV71" s="1422">
        <v>0</v>
      </c>
      <c r="BW71" s="1420">
        <v>196074.72</v>
      </c>
      <c r="BX71" s="1420">
        <v>192732.92</v>
      </c>
      <c r="BY71" s="1422">
        <v>0</v>
      </c>
      <c r="BZ71" s="1422">
        <v>0</v>
      </c>
      <c r="CA71" s="1420">
        <v>334476.18</v>
      </c>
      <c r="CB71" s="1422">
        <v>466153</v>
      </c>
      <c r="CC71" s="1420">
        <v>2389473.33</v>
      </c>
      <c r="CD71" s="1420">
        <v>2438197.7200000002</v>
      </c>
      <c r="CE71" s="1420">
        <v>4204529.0199999996</v>
      </c>
      <c r="CF71" s="1420">
        <v>2634551.2799999998</v>
      </c>
      <c r="CG71" s="1420">
        <v>-451505.04</v>
      </c>
      <c r="CH71" s="1422">
        <v>0</v>
      </c>
      <c r="CI71" s="1422">
        <v>0</v>
      </c>
      <c r="CJ71" s="1422">
        <v>0</v>
      </c>
      <c r="CK71" s="1420">
        <v>18248.169999999998</v>
      </c>
      <c r="CL71" s="1422">
        <v>0</v>
      </c>
      <c r="CM71" s="1422">
        <v>0</v>
      </c>
      <c r="CN71" s="1422">
        <v>0</v>
      </c>
      <c r="CO71" s="1422">
        <v>0</v>
      </c>
      <c r="CP71" s="1422">
        <v>0</v>
      </c>
      <c r="CQ71" s="1422">
        <v>0</v>
      </c>
      <c r="CR71" s="1422">
        <v>0</v>
      </c>
      <c r="CS71" s="1420">
        <v>-433256.87</v>
      </c>
      <c r="CT71" s="1422">
        <v>0</v>
      </c>
      <c r="CU71" s="1420">
        <v>21729898.850000001</v>
      </c>
      <c r="CV71" s="1422">
        <v>20094204</v>
      </c>
      <c r="CW71" s="1420">
        <v>7465877.7699999996</v>
      </c>
      <c r="CX71" s="1420">
        <v>7298704.9500000002</v>
      </c>
      <c r="CY71" s="1420">
        <v>1065853.01</v>
      </c>
      <c r="CZ71" s="1420">
        <v>1156575.48</v>
      </c>
      <c r="DA71" s="1420">
        <v>805619.08</v>
      </c>
      <c r="DB71" s="1420">
        <v>786681.73</v>
      </c>
      <c r="DC71" s="1420">
        <v>361843.5</v>
      </c>
      <c r="DD71" s="1420">
        <v>379828.44</v>
      </c>
      <c r="DE71" s="1420">
        <v>1033731.88</v>
      </c>
      <c r="DF71" s="1420">
        <v>1111197.26</v>
      </c>
      <c r="DG71" s="1420">
        <v>695535.77</v>
      </c>
      <c r="DH71" s="1420">
        <v>664034.84</v>
      </c>
      <c r="DI71" s="1420">
        <v>11428461.01</v>
      </c>
      <c r="DJ71" s="1420">
        <v>11397022.699999999</v>
      </c>
      <c r="DK71" s="1420">
        <v>460492.41</v>
      </c>
      <c r="DL71" s="1420">
        <v>444444.67</v>
      </c>
      <c r="DM71" s="1420">
        <v>740050.07</v>
      </c>
      <c r="DN71" s="1420">
        <v>407300.6</v>
      </c>
      <c r="DO71" s="1420">
        <v>1962487.51</v>
      </c>
      <c r="DP71" s="1420">
        <v>2072570.34</v>
      </c>
      <c r="DQ71" s="1420">
        <v>696985.06</v>
      </c>
      <c r="DR71" s="1420">
        <v>734295.48</v>
      </c>
      <c r="DS71" s="1420">
        <v>48716.01</v>
      </c>
      <c r="DT71" s="1422">
        <v>24000</v>
      </c>
      <c r="DU71" s="1420">
        <v>3908731.06</v>
      </c>
      <c r="DV71" s="1420">
        <v>3682611.09</v>
      </c>
      <c r="DW71" s="1420">
        <v>856146.21</v>
      </c>
      <c r="DX71" s="1420">
        <v>905232.28</v>
      </c>
      <c r="DY71" s="1420">
        <v>1744636.83</v>
      </c>
      <c r="DZ71" s="1420">
        <v>1338329.6000000001</v>
      </c>
      <c r="EA71" s="1420">
        <v>975367.69</v>
      </c>
      <c r="EB71" s="1420">
        <v>1045527.05</v>
      </c>
      <c r="EC71" s="1420">
        <v>3576150.73</v>
      </c>
      <c r="ED71" s="1420">
        <v>3289088.93</v>
      </c>
      <c r="EE71" s="1420">
        <v>1095323.58</v>
      </c>
      <c r="EF71" s="1420">
        <v>1012736.31</v>
      </c>
      <c r="EG71" s="1420">
        <v>30460.61</v>
      </c>
      <c r="EH71" s="1422">
        <v>40815</v>
      </c>
      <c r="EI71" s="1420">
        <v>417871.75</v>
      </c>
      <c r="EJ71" s="1420">
        <v>98744.25</v>
      </c>
      <c r="EK71" s="1422">
        <v>0</v>
      </c>
      <c r="EL71" s="1422">
        <v>0</v>
      </c>
      <c r="EM71" s="1420">
        <v>1543655.94</v>
      </c>
      <c r="EN71" s="1420">
        <v>1152295.56</v>
      </c>
      <c r="EO71" s="1420">
        <v>603451.53</v>
      </c>
      <c r="EP71" s="1422">
        <v>0</v>
      </c>
      <c r="EQ71" s="1420">
        <v>938369.09</v>
      </c>
      <c r="ER71" s="1420">
        <v>291969.24</v>
      </c>
      <c r="ES71" s="1420">
        <v>2167.77</v>
      </c>
      <c r="ET71" s="1420">
        <v>6088.47</v>
      </c>
      <c r="EU71" s="1420">
        <v>22000987.129999999</v>
      </c>
      <c r="EV71" s="1420">
        <v>19819075.989999998</v>
      </c>
      <c r="EW71" s="1420">
        <v>964151.33</v>
      </c>
      <c r="EX71" s="1420">
        <v>219442.33</v>
      </c>
      <c r="EY71" s="1420">
        <v>938369.09</v>
      </c>
      <c r="EZ71" s="1420">
        <v>291969.24</v>
      </c>
      <c r="FA71" s="1420">
        <v>20098466.710000001</v>
      </c>
      <c r="FB71" s="1420">
        <v>19307664.420000002</v>
      </c>
      <c r="FC71" s="1420">
        <v>1847333.95</v>
      </c>
      <c r="FD71" s="1439"/>
      <c r="FE71" s="1420">
        <v>18251132.760000002</v>
      </c>
      <c r="FF71" s="1439"/>
      <c r="FG71" s="1422">
        <v>9115</v>
      </c>
      <c r="FH71" s="1439"/>
      <c r="FI71" s="1420">
        <v>154.35</v>
      </c>
      <c r="FJ71" s="1439"/>
      <c r="FK71" s="1422">
        <v>41391</v>
      </c>
      <c r="FL71" s="1439"/>
      <c r="FM71" s="1420">
        <v>168.35</v>
      </c>
      <c r="FN71" s="1439"/>
      <c r="FO71" s="1422">
        <v>43598</v>
      </c>
      <c r="FP71" s="1439"/>
      <c r="FQ71" s="1420">
        <v>4022449.09</v>
      </c>
      <c r="FR71" s="1439"/>
      <c r="FS71" s="1420">
        <v>65764.179999999993</v>
      </c>
      <c r="FT71" s="1439"/>
      <c r="FU71" s="1422">
        <v>0</v>
      </c>
      <c r="FV71" s="1439"/>
      <c r="FW71" s="1420">
        <v>3956684.91</v>
      </c>
      <c r="FX71" s="1439"/>
      <c r="FY71" s="1420">
        <v>858337.97</v>
      </c>
      <c r="FZ71" s="1439"/>
      <c r="GA71" s="1420">
        <v>298913.28999999998</v>
      </c>
      <c r="GB71" s="1439"/>
    </row>
    <row r="72" spans="1:184" ht="12.75" customHeight="1" thickBot="1">
      <c r="A72" s="1418" t="s">
        <v>541</v>
      </c>
      <c r="B72" s="1418" t="s">
        <v>542</v>
      </c>
      <c r="C72" s="1420">
        <v>125.33</v>
      </c>
      <c r="D72" s="1439"/>
      <c r="E72" s="1420">
        <v>8809.35</v>
      </c>
      <c r="F72" s="1439"/>
      <c r="G72" s="1421">
        <v>0.09</v>
      </c>
      <c r="H72" s="1439"/>
      <c r="I72" s="1420">
        <v>9207.42</v>
      </c>
      <c r="J72" s="1439"/>
      <c r="K72" s="1420">
        <v>9053.8700000000008</v>
      </c>
      <c r="L72" s="1439"/>
      <c r="M72" s="1422">
        <v>995462472</v>
      </c>
      <c r="N72" s="1439"/>
      <c r="O72" s="1422">
        <v>25</v>
      </c>
      <c r="P72" s="1439"/>
      <c r="Q72" s="1422">
        <v>25</v>
      </c>
      <c r="R72" s="1439"/>
      <c r="S72" s="1422">
        <v>0</v>
      </c>
      <c r="T72" s="1439"/>
      <c r="U72" s="1422">
        <v>0</v>
      </c>
      <c r="V72" s="1439"/>
      <c r="W72" s="1420">
        <v>13.1</v>
      </c>
      <c r="X72" s="1439"/>
      <c r="Y72" s="1420">
        <v>38.1</v>
      </c>
      <c r="Z72" s="1439"/>
      <c r="AA72" s="1420">
        <v>126294365.09999999</v>
      </c>
      <c r="AB72" s="1455"/>
      <c r="AC72" s="1424">
        <v>33412125.620000001</v>
      </c>
      <c r="AD72" s="1420">
        <v>37430942.409999996</v>
      </c>
      <c r="AE72" s="1420">
        <v>4901840.12</v>
      </c>
      <c r="AF72" s="1420">
        <v>2515716.09</v>
      </c>
      <c r="AG72" s="1420">
        <v>49649.71</v>
      </c>
      <c r="AH72" s="1456">
        <v>0</v>
      </c>
      <c r="AI72" s="1428">
        <v>30826448</v>
      </c>
      <c r="AJ72" s="1422">
        <v>32182243</v>
      </c>
      <c r="AK72" s="1422">
        <v>294236</v>
      </c>
      <c r="AL72" s="1422">
        <v>294236</v>
      </c>
      <c r="AM72" s="1422">
        <v>954615</v>
      </c>
      <c r="AN72" s="1422">
        <v>921600</v>
      </c>
      <c r="AO72" s="1422">
        <v>0</v>
      </c>
      <c r="AP72" s="1422">
        <v>0</v>
      </c>
      <c r="AQ72" s="1422">
        <v>0</v>
      </c>
      <c r="AR72" s="1422">
        <v>0</v>
      </c>
      <c r="AS72" s="1422">
        <v>0</v>
      </c>
      <c r="AT72" s="1422">
        <v>0</v>
      </c>
      <c r="AU72" s="1422">
        <v>0</v>
      </c>
      <c r="AV72" s="1422">
        <v>0</v>
      </c>
      <c r="AW72" s="1422">
        <v>0</v>
      </c>
      <c r="AX72" s="1422">
        <v>0</v>
      </c>
      <c r="AY72" s="1420">
        <v>70438914.450000003</v>
      </c>
      <c r="AZ72" s="1420">
        <v>73344737.5</v>
      </c>
      <c r="BA72" s="1420">
        <v>702312.3</v>
      </c>
      <c r="BB72" s="1420">
        <v>689151.51</v>
      </c>
      <c r="BC72" s="1422">
        <v>374468</v>
      </c>
      <c r="BD72" s="1422">
        <v>391417</v>
      </c>
      <c r="BE72" s="1420">
        <v>23310.43</v>
      </c>
      <c r="BF72" s="1420">
        <v>89803.07</v>
      </c>
      <c r="BG72" s="1422">
        <v>20323</v>
      </c>
      <c r="BH72" s="1422">
        <v>0</v>
      </c>
      <c r="BI72" s="1422">
        <v>264745</v>
      </c>
      <c r="BJ72" s="1422">
        <v>262627</v>
      </c>
      <c r="BK72" s="1422">
        <v>98741</v>
      </c>
      <c r="BL72" s="1422">
        <v>98741</v>
      </c>
      <c r="BM72" s="1422">
        <v>1895712</v>
      </c>
      <c r="BN72" s="1422">
        <v>2060938</v>
      </c>
      <c r="BO72" s="1420">
        <v>559059.88</v>
      </c>
      <c r="BP72" s="1422">
        <v>378839</v>
      </c>
      <c r="BQ72" s="1420">
        <v>1790279.31</v>
      </c>
      <c r="BR72" s="1420">
        <v>1759999.66</v>
      </c>
      <c r="BS72" s="1420">
        <v>27606.13</v>
      </c>
      <c r="BT72" s="1422">
        <v>27000</v>
      </c>
      <c r="BU72" s="1422">
        <v>0</v>
      </c>
      <c r="BV72" s="1422">
        <v>0</v>
      </c>
      <c r="BW72" s="1422">
        <v>874800</v>
      </c>
      <c r="BX72" s="1422">
        <v>877240</v>
      </c>
      <c r="BY72" s="1422">
        <v>0</v>
      </c>
      <c r="BZ72" s="1422">
        <v>0</v>
      </c>
      <c r="CA72" s="1422">
        <v>257068</v>
      </c>
      <c r="CB72" s="1420">
        <v>4020974.86</v>
      </c>
      <c r="CC72" s="1420">
        <v>6888425.0499999998</v>
      </c>
      <c r="CD72" s="1420">
        <v>10656731.1</v>
      </c>
      <c r="CE72" s="1420">
        <v>11439931.23</v>
      </c>
      <c r="CF72" s="1420">
        <v>9539935.3599999994</v>
      </c>
      <c r="CG72" s="1420">
        <v>38702405.100000001</v>
      </c>
      <c r="CH72" s="1422">
        <v>10800000</v>
      </c>
      <c r="CI72" s="1422">
        <v>0</v>
      </c>
      <c r="CJ72" s="1422">
        <v>0</v>
      </c>
      <c r="CK72" s="1422">
        <v>102297</v>
      </c>
      <c r="CL72" s="1422">
        <v>75000</v>
      </c>
      <c r="CM72" s="1420">
        <v>827091.85</v>
      </c>
      <c r="CN72" s="1422">
        <v>0</v>
      </c>
      <c r="CO72" s="1420">
        <v>7394.09</v>
      </c>
      <c r="CP72" s="1422">
        <v>0</v>
      </c>
      <c r="CQ72" s="1422">
        <v>0</v>
      </c>
      <c r="CR72" s="1422">
        <v>0</v>
      </c>
      <c r="CS72" s="1420">
        <v>39639188.039999999</v>
      </c>
      <c r="CT72" s="1422">
        <v>10875000</v>
      </c>
      <c r="CU72" s="1420">
        <v>128406458.77</v>
      </c>
      <c r="CV72" s="1420">
        <v>104416403.95999999</v>
      </c>
      <c r="CW72" s="1420">
        <v>30127254.079999998</v>
      </c>
      <c r="CX72" s="1420">
        <v>32715960.149999999</v>
      </c>
      <c r="CY72" s="1420">
        <v>6996573.25</v>
      </c>
      <c r="CZ72" s="1420">
        <v>6994306.0899999999</v>
      </c>
      <c r="DA72" s="1420">
        <v>4076259.78</v>
      </c>
      <c r="DB72" s="1420">
        <v>3410386.82</v>
      </c>
      <c r="DC72" s="1420">
        <v>961911.76</v>
      </c>
      <c r="DD72" s="1420">
        <v>895132.9</v>
      </c>
      <c r="DE72" s="1420">
        <v>2256701.52</v>
      </c>
      <c r="DF72" s="1420">
        <v>2261809.6800000002</v>
      </c>
      <c r="DG72" s="1420">
        <v>4313164.97</v>
      </c>
      <c r="DH72" s="1420">
        <v>4429971.8899999997</v>
      </c>
      <c r="DI72" s="1420">
        <v>48731865.359999999</v>
      </c>
      <c r="DJ72" s="1420">
        <v>50707567.530000001</v>
      </c>
      <c r="DK72" s="1420">
        <v>753586.34</v>
      </c>
      <c r="DL72" s="1420">
        <v>709885.97</v>
      </c>
      <c r="DM72" s="1420">
        <v>1854955.16</v>
      </c>
      <c r="DN72" s="1420">
        <v>1776110.11</v>
      </c>
      <c r="DO72" s="1420">
        <v>8408886.6500000004</v>
      </c>
      <c r="DP72" s="1420">
        <v>8527183.7200000007</v>
      </c>
      <c r="DQ72" s="1420">
        <v>2737717.92</v>
      </c>
      <c r="DR72" s="1420">
        <v>2299555.86</v>
      </c>
      <c r="DS72" s="1420">
        <v>216444.26</v>
      </c>
      <c r="DT72" s="1422">
        <v>141814</v>
      </c>
      <c r="DU72" s="1420">
        <v>13971590.33</v>
      </c>
      <c r="DV72" s="1420">
        <v>13454549.66</v>
      </c>
      <c r="DW72" s="1420">
        <v>4295540.3099999996</v>
      </c>
      <c r="DX72" s="1420">
        <v>4311368.24</v>
      </c>
      <c r="DY72" s="1420">
        <v>5991137.5300000003</v>
      </c>
      <c r="DZ72" s="1420">
        <v>6545542.2599999998</v>
      </c>
      <c r="EA72" s="1420">
        <v>4408926.17</v>
      </c>
      <c r="EB72" s="1420">
        <v>4666896.49</v>
      </c>
      <c r="EC72" s="1420">
        <v>14695604.01</v>
      </c>
      <c r="ED72" s="1420">
        <v>15523806.99</v>
      </c>
      <c r="EE72" s="1420">
        <v>4183577.12</v>
      </c>
      <c r="EF72" s="1420">
        <v>4141513.59</v>
      </c>
      <c r="EG72" s="1420">
        <v>11543.9</v>
      </c>
      <c r="EH72" s="1422">
        <v>0</v>
      </c>
      <c r="EI72" s="1420">
        <v>71495.23</v>
      </c>
      <c r="EJ72" s="1422">
        <v>65882</v>
      </c>
      <c r="EK72" s="1422">
        <v>0</v>
      </c>
      <c r="EL72" s="1422">
        <v>0</v>
      </c>
      <c r="EM72" s="1420">
        <v>4266616.25</v>
      </c>
      <c r="EN72" s="1420">
        <v>4207395.59</v>
      </c>
      <c r="EO72" s="1420">
        <v>5851238.8200000003</v>
      </c>
      <c r="EP72" s="1420">
        <v>48666405.299999997</v>
      </c>
      <c r="EQ72" s="1420">
        <v>6361682.5300000003</v>
      </c>
      <c r="ER72" s="1420">
        <v>8590132.0399999991</v>
      </c>
      <c r="ES72" s="1420">
        <v>36404.68</v>
      </c>
      <c r="ET72" s="1422">
        <v>0</v>
      </c>
      <c r="EU72" s="1420">
        <v>93915001.980000004</v>
      </c>
      <c r="EV72" s="1420">
        <v>141149857.11000001</v>
      </c>
      <c r="EW72" s="1420">
        <v>7249779.3700000001</v>
      </c>
      <c r="EX72" s="1420">
        <v>49335809.719999999</v>
      </c>
      <c r="EY72" s="1420">
        <v>6361682.5300000003</v>
      </c>
      <c r="EZ72" s="1420">
        <v>8590132.0399999991</v>
      </c>
      <c r="FA72" s="1420">
        <v>80303540.079999998</v>
      </c>
      <c r="FB72" s="1420">
        <v>83223915.349999994</v>
      </c>
      <c r="FC72" s="1420">
        <v>5686920.7000000002</v>
      </c>
      <c r="FD72" s="1439"/>
      <c r="FE72" s="1420">
        <v>74616619.379999995</v>
      </c>
      <c r="FF72" s="1439"/>
      <c r="FG72" s="1422">
        <v>8470</v>
      </c>
      <c r="FH72" s="1439"/>
      <c r="FI72" s="1420">
        <v>608.54999999999995</v>
      </c>
      <c r="FJ72" s="1439"/>
      <c r="FK72" s="1422">
        <v>52390</v>
      </c>
      <c r="FL72" s="1439"/>
      <c r="FM72" s="1420">
        <v>651.95000000000005</v>
      </c>
      <c r="FN72" s="1439"/>
      <c r="FO72" s="1422">
        <v>54811</v>
      </c>
      <c r="FP72" s="1439"/>
      <c r="FQ72" s="1422">
        <v>6000000</v>
      </c>
      <c r="FR72" s="1439"/>
      <c r="FS72" s="1420">
        <v>696889.43</v>
      </c>
      <c r="FT72" s="1439"/>
      <c r="FU72" s="1422">
        <v>0</v>
      </c>
      <c r="FV72" s="1439"/>
      <c r="FW72" s="1420">
        <v>5303110.57</v>
      </c>
      <c r="FX72" s="1439"/>
      <c r="FY72" s="1420">
        <v>38038440.840000004</v>
      </c>
      <c r="FZ72" s="1439"/>
      <c r="GA72" s="1422">
        <v>0</v>
      </c>
      <c r="GB72" s="1439"/>
    </row>
    <row r="73" spans="1:184" ht="12.75" customHeight="1" thickBot="1">
      <c r="A73" s="1418" t="s">
        <v>543</v>
      </c>
      <c r="B73" s="1418" t="s">
        <v>544</v>
      </c>
      <c r="C73" s="1420">
        <v>141.11000000000001</v>
      </c>
      <c r="D73" s="1439"/>
      <c r="E73" s="1420">
        <v>2910.82</v>
      </c>
      <c r="F73" s="1439"/>
      <c r="G73" s="1421">
        <v>0.19</v>
      </c>
      <c r="H73" s="1439"/>
      <c r="I73" s="1420">
        <v>3076.17</v>
      </c>
      <c r="J73" s="1439"/>
      <c r="K73" s="1420">
        <v>3044.17</v>
      </c>
      <c r="L73" s="1439"/>
      <c r="M73" s="1422">
        <v>194955687</v>
      </c>
      <c r="N73" s="1439"/>
      <c r="O73" s="1422">
        <v>25</v>
      </c>
      <c r="P73" s="1439"/>
      <c r="Q73" s="1422">
        <v>25</v>
      </c>
      <c r="R73" s="1439"/>
      <c r="S73" s="1422">
        <v>0</v>
      </c>
      <c r="T73" s="1439"/>
      <c r="U73" s="1422">
        <v>0</v>
      </c>
      <c r="V73" s="1439"/>
      <c r="W73" s="1422">
        <v>13</v>
      </c>
      <c r="X73" s="1439"/>
      <c r="Y73" s="1422">
        <v>38</v>
      </c>
      <c r="Z73" s="1439"/>
      <c r="AA73" s="1420">
        <v>28968720.670000002</v>
      </c>
      <c r="AB73" s="1455"/>
      <c r="AC73" s="1424">
        <v>6648823.3700000001</v>
      </c>
      <c r="AD73" s="1420">
        <v>7939131.6600000001</v>
      </c>
      <c r="AE73" s="1420">
        <v>1361332.29</v>
      </c>
      <c r="AF73" s="1420">
        <v>706445.77</v>
      </c>
      <c r="AG73" s="1420">
        <v>16709.240000000002</v>
      </c>
      <c r="AH73" s="1456">
        <v>0</v>
      </c>
      <c r="AI73" s="1428">
        <v>13984742</v>
      </c>
      <c r="AJ73" s="1422">
        <v>14133550</v>
      </c>
      <c r="AK73" s="1422">
        <v>45785</v>
      </c>
      <c r="AL73" s="1422">
        <v>0</v>
      </c>
      <c r="AM73" s="1422">
        <v>192450</v>
      </c>
      <c r="AN73" s="1422">
        <v>307200</v>
      </c>
      <c r="AO73" s="1422">
        <v>0</v>
      </c>
      <c r="AP73" s="1422">
        <v>0</v>
      </c>
      <c r="AQ73" s="1422">
        <v>0</v>
      </c>
      <c r="AR73" s="1422">
        <v>0</v>
      </c>
      <c r="AS73" s="1422">
        <v>0</v>
      </c>
      <c r="AT73" s="1422">
        <v>0</v>
      </c>
      <c r="AU73" s="1422">
        <v>56023</v>
      </c>
      <c r="AV73" s="1422">
        <v>44818</v>
      </c>
      <c r="AW73" s="1422">
        <v>0</v>
      </c>
      <c r="AX73" s="1422">
        <v>0</v>
      </c>
      <c r="AY73" s="1420">
        <v>22305864.899999999</v>
      </c>
      <c r="AZ73" s="1420">
        <v>23131145.43</v>
      </c>
      <c r="BA73" s="1422">
        <v>0</v>
      </c>
      <c r="BB73" s="1422">
        <v>0</v>
      </c>
      <c r="BC73" s="1422">
        <v>125907</v>
      </c>
      <c r="BD73" s="1422">
        <v>130437</v>
      </c>
      <c r="BE73" s="1420">
        <v>6726.62</v>
      </c>
      <c r="BF73" s="1422">
        <v>20600</v>
      </c>
      <c r="BG73" s="1422">
        <v>8672</v>
      </c>
      <c r="BH73" s="1422">
        <v>0</v>
      </c>
      <c r="BI73" s="1422">
        <v>63180</v>
      </c>
      <c r="BJ73" s="1422">
        <v>18528</v>
      </c>
      <c r="BK73" s="1422">
        <v>11134</v>
      </c>
      <c r="BL73" s="1422">
        <v>11134</v>
      </c>
      <c r="BM73" s="1422">
        <v>597290</v>
      </c>
      <c r="BN73" s="1422">
        <v>589490</v>
      </c>
      <c r="BO73" s="1420">
        <v>405050.47</v>
      </c>
      <c r="BP73" s="1422">
        <v>0</v>
      </c>
      <c r="BQ73" s="1420">
        <v>20041.759999999998</v>
      </c>
      <c r="BR73" s="1420">
        <v>44416.78</v>
      </c>
      <c r="BS73" s="1420">
        <v>9927.14</v>
      </c>
      <c r="BT73" s="1422">
        <v>3000</v>
      </c>
      <c r="BU73" s="1422">
        <v>0</v>
      </c>
      <c r="BV73" s="1422">
        <v>0</v>
      </c>
      <c r="BW73" s="1422">
        <v>622350</v>
      </c>
      <c r="BX73" s="1422">
        <v>622350</v>
      </c>
      <c r="BY73" s="1422">
        <v>0</v>
      </c>
      <c r="BZ73" s="1422">
        <v>0</v>
      </c>
      <c r="CA73" s="1420">
        <v>1482835.23</v>
      </c>
      <c r="CB73" s="1420">
        <v>2749296.14</v>
      </c>
      <c r="CC73" s="1420">
        <v>3353114.22</v>
      </c>
      <c r="CD73" s="1420">
        <v>4189251.92</v>
      </c>
      <c r="CE73" s="1420">
        <v>2935281.42</v>
      </c>
      <c r="CF73" s="1420">
        <v>1832208.71</v>
      </c>
      <c r="CG73" s="1420">
        <v>3037200.88</v>
      </c>
      <c r="CH73" s="1420">
        <v>2715714.1</v>
      </c>
      <c r="CI73" s="1422">
        <v>0</v>
      </c>
      <c r="CJ73" s="1422">
        <v>0</v>
      </c>
      <c r="CK73" s="1422">
        <v>0</v>
      </c>
      <c r="CL73" s="1422">
        <v>0</v>
      </c>
      <c r="CM73" s="1422">
        <v>0</v>
      </c>
      <c r="CN73" s="1422">
        <v>0</v>
      </c>
      <c r="CO73" s="1422">
        <v>0</v>
      </c>
      <c r="CP73" s="1422">
        <v>0</v>
      </c>
      <c r="CQ73" s="1422">
        <v>0</v>
      </c>
      <c r="CR73" s="1422">
        <v>0</v>
      </c>
      <c r="CS73" s="1420">
        <v>3037200.88</v>
      </c>
      <c r="CT73" s="1420">
        <v>2715714.1</v>
      </c>
      <c r="CU73" s="1420">
        <v>31631461.420000002</v>
      </c>
      <c r="CV73" s="1420">
        <v>31868320.16</v>
      </c>
      <c r="CW73" s="1420">
        <v>11611302.439999999</v>
      </c>
      <c r="CX73" s="1420">
        <v>10946006.65</v>
      </c>
      <c r="CY73" s="1420">
        <v>2091408.68</v>
      </c>
      <c r="CZ73" s="1420">
        <v>2076998.89</v>
      </c>
      <c r="DA73" s="1420">
        <v>636908.36</v>
      </c>
      <c r="DB73" s="1420">
        <v>620000.62</v>
      </c>
      <c r="DC73" s="1422">
        <v>0</v>
      </c>
      <c r="DD73" s="1422">
        <v>0</v>
      </c>
      <c r="DE73" s="1420">
        <v>175482.53</v>
      </c>
      <c r="DF73" s="1420">
        <v>246618.85</v>
      </c>
      <c r="DG73" s="1420">
        <v>507796.15</v>
      </c>
      <c r="DH73" s="1420">
        <v>497032.37</v>
      </c>
      <c r="DI73" s="1420">
        <v>15022898.16</v>
      </c>
      <c r="DJ73" s="1420">
        <v>14386657.380000001</v>
      </c>
      <c r="DK73" s="1420">
        <v>530305.80000000005</v>
      </c>
      <c r="DL73" s="1420">
        <v>542422.6</v>
      </c>
      <c r="DM73" s="1420">
        <v>503411.49</v>
      </c>
      <c r="DN73" s="1420">
        <v>829558.99</v>
      </c>
      <c r="DO73" s="1420">
        <v>1789539.6</v>
      </c>
      <c r="DP73" s="1420">
        <v>2088331.23</v>
      </c>
      <c r="DQ73" s="1420">
        <v>879673.58</v>
      </c>
      <c r="DR73" s="1420">
        <v>1049401.68</v>
      </c>
      <c r="DS73" s="1420">
        <v>68310.820000000007</v>
      </c>
      <c r="DT73" s="1422">
        <v>27500</v>
      </c>
      <c r="DU73" s="1420">
        <v>3771241.29</v>
      </c>
      <c r="DV73" s="1420">
        <v>4537214.5</v>
      </c>
      <c r="DW73" s="1420">
        <v>1362918.81</v>
      </c>
      <c r="DX73" s="1420">
        <v>1510551.83</v>
      </c>
      <c r="DY73" s="1420">
        <v>1669673.83</v>
      </c>
      <c r="DZ73" s="1420">
        <v>1495386.5</v>
      </c>
      <c r="EA73" s="1420">
        <v>1213754.56</v>
      </c>
      <c r="EB73" s="1420">
        <v>1290672.51</v>
      </c>
      <c r="EC73" s="1420">
        <v>4246347.2</v>
      </c>
      <c r="ED73" s="1420">
        <v>4296610.84</v>
      </c>
      <c r="EE73" s="1420">
        <v>1148356.73</v>
      </c>
      <c r="EF73" s="1420">
        <v>1133268.94</v>
      </c>
      <c r="EG73" s="1422">
        <v>0</v>
      </c>
      <c r="EH73" s="1422">
        <v>0</v>
      </c>
      <c r="EI73" s="1420">
        <v>2790.17</v>
      </c>
      <c r="EJ73" s="1422">
        <v>3750</v>
      </c>
      <c r="EK73" s="1422">
        <v>0</v>
      </c>
      <c r="EL73" s="1422">
        <v>0</v>
      </c>
      <c r="EM73" s="1420">
        <v>1151146.8999999999</v>
      </c>
      <c r="EN73" s="1420">
        <v>1137018.94</v>
      </c>
      <c r="EO73" s="1420">
        <v>4324598.58</v>
      </c>
      <c r="EP73" s="1420">
        <v>8187390.8600000003</v>
      </c>
      <c r="EQ73" s="1420">
        <v>2010770.76</v>
      </c>
      <c r="ER73" s="1420">
        <v>1932158.79</v>
      </c>
      <c r="ES73" s="1422">
        <v>115173</v>
      </c>
      <c r="ET73" s="1422">
        <v>0</v>
      </c>
      <c r="EU73" s="1420">
        <v>30642175.890000001</v>
      </c>
      <c r="EV73" s="1420">
        <v>34477051.310000002</v>
      </c>
      <c r="EW73" s="1420">
        <v>4698294.7300000004</v>
      </c>
      <c r="EX73" s="1420">
        <v>8782348.6600000001</v>
      </c>
      <c r="EY73" s="1420">
        <v>2010770.76</v>
      </c>
      <c r="EZ73" s="1420">
        <v>1932158.79</v>
      </c>
      <c r="FA73" s="1420">
        <v>23933110.399999999</v>
      </c>
      <c r="FB73" s="1420">
        <v>23762543.859999999</v>
      </c>
      <c r="FC73" s="1420">
        <v>1843393.35</v>
      </c>
      <c r="FD73" s="1439"/>
      <c r="FE73" s="1420">
        <v>22089717.050000001</v>
      </c>
      <c r="FF73" s="1439"/>
      <c r="FG73" s="1422">
        <v>7588</v>
      </c>
      <c r="FH73" s="1439"/>
      <c r="FI73" s="1420">
        <v>200.85</v>
      </c>
      <c r="FJ73" s="1439"/>
      <c r="FK73" s="1422">
        <v>49640</v>
      </c>
      <c r="FL73" s="1439"/>
      <c r="FM73" s="1420">
        <v>217.63</v>
      </c>
      <c r="FN73" s="1439"/>
      <c r="FO73" s="1422">
        <v>51830</v>
      </c>
      <c r="FP73" s="1439"/>
      <c r="FQ73" s="1420">
        <v>2844319.25</v>
      </c>
      <c r="FR73" s="1439"/>
      <c r="FS73" s="1420">
        <v>14970.48</v>
      </c>
      <c r="FT73" s="1439"/>
      <c r="FU73" s="1422">
        <v>0</v>
      </c>
      <c r="FV73" s="1439"/>
      <c r="FW73" s="1420">
        <v>2829348.77</v>
      </c>
      <c r="FX73" s="1439"/>
      <c r="FY73" s="1420">
        <v>2706371.78</v>
      </c>
      <c r="FZ73" s="1439"/>
      <c r="GA73" s="1422">
        <v>0</v>
      </c>
      <c r="GB73" s="1439"/>
    </row>
    <row r="74" spans="1:184" ht="12.75" customHeight="1" thickBot="1">
      <c r="A74" s="1418" t="s">
        <v>545</v>
      </c>
      <c r="B74" s="1418" t="s">
        <v>546</v>
      </c>
      <c r="C74" s="1420">
        <v>46.69</v>
      </c>
      <c r="D74" s="1439"/>
      <c r="E74" s="1420">
        <v>403.32</v>
      </c>
      <c r="F74" s="1439"/>
      <c r="G74" s="1421">
        <v>0.01</v>
      </c>
      <c r="H74" s="1439"/>
      <c r="I74" s="1420">
        <v>433.19</v>
      </c>
      <c r="J74" s="1439"/>
      <c r="K74" s="1420">
        <v>458.04</v>
      </c>
      <c r="L74" s="1439"/>
      <c r="M74" s="1422">
        <v>40710769</v>
      </c>
      <c r="N74" s="1439"/>
      <c r="O74" s="1422">
        <v>25</v>
      </c>
      <c r="P74" s="1439"/>
      <c r="Q74" s="1422">
        <v>25</v>
      </c>
      <c r="R74" s="1439"/>
      <c r="S74" s="1422">
        <v>0</v>
      </c>
      <c r="T74" s="1439"/>
      <c r="U74" s="1422">
        <v>0</v>
      </c>
      <c r="V74" s="1439"/>
      <c r="W74" s="1420">
        <v>14.6</v>
      </c>
      <c r="X74" s="1439"/>
      <c r="Y74" s="1420">
        <v>39.6</v>
      </c>
      <c r="Z74" s="1439"/>
      <c r="AA74" s="1422">
        <v>2810000</v>
      </c>
      <c r="AB74" s="1455"/>
      <c r="AC74" s="1424">
        <v>1346168.91</v>
      </c>
      <c r="AD74" s="1420">
        <v>1531830.17</v>
      </c>
      <c r="AE74" s="1420">
        <v>224992.38</v>
      </c>
      <c r="AF74" s="1420">
        <v>125727.62</v>
      </c>
      <c r="AG74" s="1422">
        <v>0</v>
      </c>
      <c r="AH74" s="1456">
        <v>0</v>
      </c>
      <c r="AI74" s="1428">
        <v>1961429</v>
      </c>
      <c r="AJ74" s="1422">
        <v>1682155</v>
      </c>
      <c r="AK74" s="1422">
        <v>4119</v>
      </c>
      <c r="AL74" s="1422">
        <v>0</v>
      </c>
      <c r="AM74" s="1422">
        <v>0</v>
      </c>
      <c r="AN74" s="1422">
        <v>0</v>
      </c>
      <c r="AO74" s="1422">
        <v>0</v>
      </c>
      <c r="AP74" s="1422">
        <v>62976</v>
      </c>
      <c r="AQ74" s="1422">
        <v>0</v>
      </c>
      <c r="AR74" s="1422">
        <v>0</v>
      </c>
      <c r="AS74" s="1422">
        <v>0</v>
      </c>
      <c r="AT74" s="1422">
        <v>0</v>
      </c>
      <c r="AU74" s="1422">
        <v>19205</v>
      </c>
      <c r="AV74" s="1422">
        <v>15364</v>
      </c>
      <c r="AW74" s="1422">
        <v>0</v>
      </c>
      <c r="AX74" s="1422">
        <v>0</v>
      </c>
      <c r="AY74" s="1420">
        <v>3555914.29</v>
      </c>
      <c r="AZ74" s="1420">
        <v>3418052.79</v>
      </c>
      <c r="BA74" s="1422">
        <v>0</v>
      </c>
      <c r="BB74" s="1422">
        <v>0</v>
      </c>
      <c r="BC74" s="1422">
        <v>18945</v>
      </c>
      <c r="BD74" s="1422">
        <v>18543</v>
      </c>
      <c r="BE74" s="1420">
        <v>1126.6199999999999</v>
      </c>
      <c r="BF74" s="1422">
        <v>0</v>
      </c>
      <c r="BG74" s="1422">
        <v>150</v>
      </c>
      <c r="BH74" s="1422">
        <v>0</v>
      </c>
      <c r="BI74" s="1422">
        <v>35592</v>
      </c>
      <c r="BJ74" s="1422">
        <v>25160</v>
      </c>
      <c r="BK74" s="1422">
        <v>0</v>
      </c>
      <c r="BL74" s="1422">
        <v>0</v>
      </c>
      <c r="BM74" s="1422">
        <v>147808</v>
      </c>
      <c r="BN74" s="1422">
        <v>140668</v>
      </c>
      <c r="BO74" s="1420">
        <v>1876.42</v>
      </c>
      <c r="BP74" s="1422">
        <v>0</v>
      </c>
      <c r="BQ74" s="1420">
        <v>9208.56</v>
      </c>
      <c r="BR74" s="1420">
        <v>17063.150000000001</v>
      </c>
      <c r="BS74" s="1420">
        <v>1590.57</v>
      </c>
      <c r="BT74" s="1422">
        <v>0</v>
      </c>
      <c r="BU74" s="1422">
        <v>0</v>
      </c>
      <c r="BV74" s="1422">
        <v>0</v>
      </c>
      <c r="BW74" s="1422">
        <v>72318</v>
      </c>
      <c r="BX74" s="1422">
        <v>72900</v>
      </c>
      <c r="BY74" s="1422">
        <v>0</v>
      </c>
      <c r="BZ74" s="1422">
        <v>0</v>
      </c>
      <c r="CA74" s="1420">
        <v>45864.87</v>
      </c>
      <c r="CB74" s="1420">
        <v>23263.3</v>
      </c>
      <c r="CC74" s="1420">
        <v>334480.03999999998</v>
      </c>
      <c r="CD74" s="1420">
        <v>297597.45</v>
      </c>
      <c r="CE74" s="1420">
        <v>687819.18</v>
      </c>
      <c r="CF74" s="1420">
        <v>487633.27</v>
      </c>
      <c r="CG74" s="1420">
        <v>8298.44</v>
      </c>
      <c r="CH74" s="1422">
        <v>0</v>
      </c>
      <c r="CI74" s="1422">
        <v>0</v>
      </c>
      <c r="CJ74" s="1422">
        <v>0</v>
      </c>
      <c r="CK74" s="1422">
        <v>0</v>
      </c>
      <c r="CL74" s="1422">
        <v>0</v>
      </c>
      <c r="CM74" s="1422">
        <v>2000</v>
      </c>
      <c r="CN74" s="1422">
        <v>0</v>
      </c>
      <c r="CO74" s="1420">
        <v>6748.8</v>
      </c>
      <c r="CP74" s="1422">
        <v>0</v>
      </c>
      <c r="CQ74" s="1422">
        <v>0</v>
      </c>
      <c r="CR74" s="1422">
        <v>24000</v>
      </c>
      <c r="CS74" s="1420">
        <v>17047.240000000002</v>
      </c>
      <c r="CT74" s="1422">
        <v>24000</v>
      </c>
      <c r="CU74" s="1420">
        <v>4595260.75</v>
      </c>
      <c r="CV74" s="1420">
        <v>4227283.51</v>
      </c>
      <c r="CW74" s="1420">
        <v>1920053.04</v>
      </c>
      <c r="CX74" s="1420">
        <v>1712360.24</v>
      </c>
      <c r="CY74" s="1420">
        <v>266790.67</v>
      </c>
      <c r="CZ74" s="1420">
        <v>258375.12</v>
      </c>
      <c r="DA74" s="1420">
        <v>183086.6</v>
      </c>
      <c r="DB74" s="1420">
        <v>186090.11</v>
      </c>
      <c r="DC74" s="1422">
        <v>0</v>
      </c>
      <c r="DD74" s="1422">
        <v>0</v>
      </c>
      <c r="DE74" s="1422">
        <v>34466</v>
      </c>
      <c r="DF74" s="1420">
        <v>81533.100000000006</v>
      </c>
      <c r="DG74" s="1420">
        <v>38637.81</v>
      </c>
      <c r="DH74" s="1422">
        <v>62717</v>
      </c>
      <c r="DI74" s="1420">
        <v>2443034.12</v>
      </c>
      <c r="DJ74" s="1420">
        <v>2301075.5699999998</v>
      </c>
      <c r="DK74" s="1420">
        <v>161666.9</v>
      </c>
      <c r="DL74" s="1420">
        <v>155695.25</v>
      </c>
      <c r="DM74" s="1420">
        <v>81981.490000000005</v>
      </c>
      <c r="DN74" s="1420">
        <v>78265.47</v>
      </c>
      <c r="DO74" s="1420">
        <v>451399.45</v>
      </c>
      <c r="DP74" s="1420">
        <v>447243.38</v>
      </c>
      <c r="DQ74" s="1420">
        <v>182566.59</v>
      </c>
      <c r="DR74" s="1420">
        <v>173655.07</v>
      </c>
      <c r="DS74" s="1420">
        <v>13384.36</v>
      </c>
      <c r="DT74" s="1422">
        <v>4000</v>
      </c>
      <c r="DU74" s="1420">
        <v>890998.79</v>
      </c>
      <c r="DV74" s="1420">
        <v>858859.17</v>
      </c>
      <c r="DW74" s="1420">
        <v>201319.85</v>
      </c>
      <c r="DX74" s="1420">
        <v>194448.99</v>
      </c>
      <c r="DY74" s="1420">
        <v>399803.98</v>
      </c>
      <c r="DZ74" s="1420">
        <v>296868.11</v>
      </c>
      <c r="EA74" s="1420">
        <v>217302.57</v>
      </c>
      <c r="EB74" s="1420">
        <v>151412.57</v>
      </c>
      <c r="EC74" s="1420">
        <v>818426.4</v>
      </c>
      <c r="ED74" s="1420">
        <v>642729.67000000004</v>
      </c>
      <c r="EE74" s="1420">
        <v>226044.63</v>
      </c>
      <c r="EF74" s="1420">
        <v>216596.49</v>
      </c>
      <c r="EG74" s="1422">
        <v>0</v>
      </c>
      <c r="EH74" s="1422">
        <v>0</v>
      </c>
      <c r="EI74" s="1422">
        <v>0</v>
      </c>
      <c r="EJ74" s="1422">
        <v>500</v>
      </c>
      <c r="EK74" s="1422">
        <v>0</v>
      </c>
      <c r="EL74" s="1422">
        <v>0</v>
      </c>
      <c r="EM74" s="1420">
        <v>226044.63</v>
      </c>
      <c r="EN74" s="1420">
        <v>217096.49</v>
      </c>
      <c r="EO74" s="1420">
        <v>58049.26</v>
      </c>
      <c r="EP74" s="1420">
        <v>14576.56</v>
      </c>
      <c r="EQ74" s="1420">
        <v>91989.17</v>
      </c>
      <c r="ER74" s="1422">
        <v>102475</v>
      </c>
      <c r="ES74" s="1422">
        <v>76545</v>
      </c>
      <c r="ET74" s="1422">
        <v>0</v>
      </c>
      <c r="EU74" s="1420">
        <v>4605087.37</v>
      </c>
      <c r="EV74" s="1420">
        <v>4136812.46</v>
      </c>
      <c r="EW74" s="1420">
        <v>110917.12</v>
      </c>
      <c r="EX74" s="1420">
        <v>45112.23</v>
      </c>
      <c r="EY74" s="1420">
        <v>91989.17</v>
      </c>
      <c r="EZ74" s="1422">
        <v>102475</v>
      </c>
      <c r="FA74" s="1420">
        <v>4402181.08</v>
      </c>
      <c r="FB74" s="1420">
        <v>3989225.23</v>
      </c>
      <c r="FC74" s="1420">
        <v>409257.01</v>
      </c>
      <c r="FD74" s="1439"/>
      <c r="FE74" s="1420">
        <v>3992924.07</v>
      </c>
      <c r="FF74" s="1439"/>
      <c r="FG74" s="1422">
        <v>9900</v>
      </c>
      <c r="FH74" s="1439"/>
      <c r="FI74" s="1420">
        <v>37.39</v>
      </c>
      <c r="FJ74" s="1439"/>
      <c r="FK74" s="1422">
        <v>40477</v>
      </c>
      <c r="FL74" s="1439"/>
      <c r="FM74" s="1420">
        <v>39.880000000000003</v>
      </c>
      <c r="FN74" s="1439"/>
      <c r="FO74" s="1422">
        <v>44080</v>
      </c>
      <c r="FP74" s="1439"/>
      <c r="FQ74" s="1420">
        <v>659738.98</v>
      </c>
      <c r="FR74" s="1439"/>
      <c r="FS74" s="1422">
        <v>0</v>
      </c>
      <c r="FT74" s="1439"/>
      <c r="FU74" s="1422">
        <v>0</v>
      </c>
      <c r="FV74" s="1439"/>
      <c r="FW74" s="1420">
        <v>659738.98</v>
      </c>
      <c r="FX74" s="1439"/>
      <c r="FY74" s="1420">
        <v>19327.95</v>
      </c>
      <c r="FZ74" s="1439"/>
      <c r="GA74" s="1422">
        <v>0</v>
      </c>
      <c r="GB74" s="1439"/>
    </row>
    <row r="75" spans="1:184" ht="12.75" customHeight="1" thickBot="1">
      <c r="A75" s="1418" t="s">
        <v>547</v>
      </c>
      <c r="B75" s="1418" t="s">
        <v>548</v>
      </c>
      <c r="C75" s="1420">
        <v>83.87</v>
      </c>
      <c r="D75" s="1439"/>
      <c r="E75" s="1420">
        <v>984.31</v>
      </c>
      <c r="F75" s="1439"/>
      <c r="G75" s="1421">
        <v>0.1</v>
      </c>
      <c r="H75" s="1439"/>
      <c r="I75" s="1420">
        <v>1058.0999999999999</v>
      </c>
      <c r="J75" s="1439"/>
      <c r="K75" s="1420">
        <v>1021.21</v>
      </c>
      <c r="L75" s="1439"/>
      <c r="M75" s="1422">
        <v>66306966</v>
      </c>
      <c r="N75" s="1439"/>
      <c r="O75" s="1422">
        <v>25</v>
      </c>
      <c r="P75" s="1439"/>
      <c r="Q75" s="1422">
        <v>25</v>
      </c>
      <c r="R75" s="1439"/>
      <c r="S75" s="1422">
        <v>0</v>
      </c>
      <c r="T75" s="1439"/>
      <c r="U75" s="1422">
        <v>0</v>
      </c>
      <c r="V75" s="1439"/>
      <c r="W75" s="1420">
        <v>15.5</v>
      </c>
      <c r="X75" s="1439"/>
      <c r="Y75" s="1420">
        <v>40.5</v>
      </c>
      <c r="Z75" s="1439"/>
      <c r="AA75" s="1420">
        <v>10445280.779999999</v>
      </c>
      <c r="AB75" s="1455"/>
      <c r="AC75" s="1424">
        <v>2509643.9900000002</v>
      </c>
      <c r="AD75" s="1422">
        <v>2349000</v>
      </c>
      <c r="AE75" s="1422">
        <v>606391</v>
      </c>
      <c r="AF75" s="1422">
        <v>269260</v>
      </c>
      <c r="AG75" s="1420">
        <v>5768.93</v>
      </c>
      <c r="AH75" s="1456">
        <v>3000</v>
      </c>
      <c r="AI75" s="1428">
        <v>4602791</v>
      </c>
      <c r="AJ75" s="1422">
        <v>4883757</v>
      </c>
      <c r="AK75" s="1422">
        <v>0</v>
      </c>
      <c r="AL75" s="1422">
        <v>0</v>
      </c>
      <c r="AM75" s="1422">
        <v>222008</v>
      </c>
      <c r="AN75" s="1422">
        <v>0</v>
      </c>
      <c r="AO75" s="1422">
        <v>0</v>
      </c>
      <c r="AP75" s="1422">
        <v>0</v>
      </c>
      <c r="AQ75" s="1422">
        <v>0</v>
      </c>
      <c r="AR75" s="1422">
        <v>0</v>
      </c>
      <c r="AS75" s="1422">
        <v>0</v>
      </c>
      <c r="AT75" s="1422">
        <v>0</v>
      </c>
      <c r="AU75" s="1422">
        <v>2069</v>
      </c>
      <c r="AV75" s="1422">
        <v>1655</v>
      </c>
      <c r="AW75" s="1422">
        <v>0</v>
      </c>
      <c r="AX75" s="1422">
        <v>0</v>
      </c>
      <c r="AY75" s="1420">
        <v>7948671.9199999999</v>
      </c>
      <c r="AZ75" s="1422">
        <v>7506672</v>
      </c>
      <c r="BA75" s="1422">
        <v>0</v>
      </c>
      <c r="BB75" s="1422">
        <v>0</v>
      </c>
      <c r="BC75" s="1422">
        <v>42237</v>
      </c>
      <c r="BD75" s="1422">
        <v>44893</v>
      </c>
      <c r="BE75" s="1420">
        <v>9175.3700000000008</v>
      </c>
      <c r="BF75" s="1422">
        <v>5000</v>
      </c>
      <c r="BG75" s="1422">
        <v>785</v>
      </c>
      <c r="BH75" s="1422">
        <v>150</v>
      </c>
      <c r="BI75" s="1422">
        <v>37664</v>
      </c>
      <c r="BJ75" s="1422">
        <v>29264</v>
      </c>
      <c r="BK75" s="1422">
        <v>0</v>
      </c>
      <c r="BL75" s="1422">
        <v>0</v>
      </c>
      <c r="BM75" s="1422">
        <v>269328</v>
      </c>
      <c r="BN75" s="1422">
        <v>287914</v>
      </c>
      <c r="BO75" s="1420">
        <v>89498.12</v>
      </c>
      <c r="BP75" s="1420">
        <v>84418.92</v>
      </c>
      <c r="BQ75" s="1420">
        <v>7041.76</v>
      </c>
      <c r="BR75" s="1420">
        <v>11375.33</v>
      </c>
      <c r="BS75" s="1420">
        <v>3157.59</v>
      </c>
      <c r="BT75" s="1422">
        <v>2500</v>
      </c>
      <c r="BU75" s="1422">
        <v>0</v>
      </c>
      <c r="BV75" s="1422">
        <v>0</v>
      </c>
      <c r="BW75" s="1422">
        <v>145800</v>
      </c>
      <c r="BX75" s="1422">
        <v>145800</v>
      </c>
      <c r="BY75" s="1422">
        <v>0</v>
      </c>
      <c r="BZ75" s="1422">
        <v>0</v>
      </c>
      <c r="CA75" s="1420">
        <v>713286.66</v>
      </c>
      <c r="CB75" s="1420">
        <v>1322244.3400000001</v>
      </c>
      <c r="CC75" s="1420">
        <v>1317973.5</v>
      </c>
      <c r="CD75" s="1420">
        <v>1933559.59</v>
      </c>
      <c r="CE75" s="1420">
        <v>1221331.1399999999</v>
      </c>
      <c r="CF75" s="1420">
        <v>1232715.58</v>
      </c>
      <c r="CG75" s="1420">
        <v>3538552.23</v>
      </c>
      <c r="CH75" s="1422">
        <v>0</v>
      </c>
      <c r="CI75" s="1422">
        <v>0</v>
      </c>
      <c r="CJ75" s="1422">
        <v>0</v>
      </c>
      <c r="CK75" s="1420">
        <v>477.81</v>
      </c>
      <c r="CL75" s="1422">
        <v>500</v>
      </c>
      <c r="CM75" s="1422">
        <v>0</v>
      </c>
      <c r="CN75" s="1422">
        <v>0</v>
      </c>
      <c r="CO75" s="1422">
        <v>0</v>
      </c>
      <c r="CP75" s="1422">
        <v>0</v>
      </c>
      <c r="CQ75" s="1422">
        <v>0</v>
      </c>
      <c r="CR75" s="1422">
        <v>0</v>
      </c>
      <c r="CS75" s="1420">
        <v>3539030.04</v>
      </c>
      <c r="CT75" s="1422">
        <v>500</v>
      </c>
      <c r="CU75" s="1420">
        <v>14027006.6</v>
      </c>
      <c r="CV75" s="1420">
        <v>10673447.17</v>
      </c>
      <c r="CW75" s="1420">
        <v>3648197.28</v>
      </c>
      <c r="CX75" s="1420">
        <v>3885778.45</v>
      </c>
      <c r="CY75" s="1420">
        <v>569873.65</v>
      </c>
      <c r="CZ75" s="1420">
        <v>551194.78</v>
      </c>
      <c r="DA75" s="1420">
        <v>105131.37</v>
      </c>
      <c r="DB75" s="1420">
        <v>113500.29</v>
      </c>
      <c r="DC75" s="1422">
        <v>0</v>
      </c>
      <c r="DD75" s="1422">
        <v>0</v>
      </c>
      <c r="DE75" s="1420">
        <v>257019.07</v>
      </c>
      <c r="DF75" s="1420">
        <v>195747.62</v>
      </c>
      <c r="DG75" s="1420">
        <v>188565.38</v>
      </c>
      <c r="DH75" s="1420">
        <v>203244.11</v>
      </c>
      <c r="DI75" s="1420">
        <v>4768786.75</v>
      </c>
      <c r="DJ75" s="1420">
        <v>4949465.25</v>
      </c>
      <c r="DK75" s="1420">
        <v>225313.97</v>
      </c>
      <c r="DL75" s="1420">
        <v>339823.77</v>
      </c>
      <c r="DM75" s="1420">
        <v>288727.82</v>
      </c>
      <c r="DN75" s="1420">
        <v>305769.76</v>
      </c>
      <c r="DO75" s="1420">
        <v>795962.96</v>
      </c>
      <c r="DP75" s="1420">
        <v>914906.95</v>
      </c>
      <c r="DQ75" s="1420">
        <v>465417.98</v>
      </c>
      <c r="DR75" s="1420">
        <v>575018.81999999995</v>
      </c>
      <c r="DS75" s="1420">
        <v>33408.26</v>
      </c>
      <c r="DT75" s="1422">
        <v>16583</v>
      </c>
      <c r="DU75" s="1420">
        <v>1808830.99</v>
      </c>
      <c r="DV75" s="1420">
        <v>2152102.2999999998</v>
      </c>
      <c r="DW75" s="1420">
        <v>393125.86</v>
      </c>
      <c r="DX75" s="1420">
        <v>492428.48</v>
      </c>
      <c r="DY75" s="1420">
        <v>536982.5</v>
      </c>
      <c r="DZ75" s="1420">
        <v>577309.02</v>
      </c>
      <c r="EA75" s="1420">
        <v>404864.53</v>
      </c>
      <c r="EB75" s="1420">
        <v>707040.45</v>
      </c>
      <c r="EC75" s="1420">
        <v>1334972.8899999999</v>
      </c>
      <c r="ED75" s="1420">
        <v>1776777.95</v>
      </c>
      <c r="EE75" s="1420">
        <v>505672.9</v>
      </c>
      <c r="EF75" s="1420">
        <v>547633.93000000005</v>
      </c>
      <c r="EG75" s="1422">
        <v>0</v>
      </c>
      <c r="EH75" s="1422">
        <v>0</v>
      </c>
      <c r="EI75" s="1422">
        <v>125</v>
      </c>
      <c r="EJ75" s="1422">
        <v>600</v>
      </c>
      <c r="EK75" s="1422">
        <v>0</v>
      </c>
      <c r="EL75" s="1422">
        <v>0</v>
      </c>
      <c r="EM75" s="1420">
        <v>505797.9</v>
      </c>
      <c r="EN75" s="1420">
        <v>548233.93000000005</v>
      </c>
      <c r="EO75" s="1420">
        <v>2841350.03</v>
      </c>
      <c r="EP75" s="1420">
        <v>3684568.34</v>
      </c>
      <c r="EQ75" s="1420">
        <v>374301.69</v>
      </c>
      <c r="ER75" s="1420">
        <v>515972.72</v>
      </c>
      <c r="ES75" s="1420">
        <v>1805.25</v>
      </c>
      <c r="ET75" s="1422">
        <v>0</v>
      </c>
      <c r="EU75" s="1420">
        <v>11635845.5</v>
      </c>
      <c r="EV75" s="1420">
        <v>13627120.49</v>
      </c>
      <c r="EW75" s="1420">
        <v>2985759.11</v>
      </c>
      <c r="EX75" s="1420">
        <v>4170834.18</v>
      </c>
      <c r="EY75" s="1420">
        <v>374301.69</v>
      </c>
      <c r="EZ75" s="1420">
        <v>515972.72</v>
      </c>
      <c r="FA75" s="1420">
        <v>8275784.7000000002</v>
      </c>
      <c r="FB75" s="1420">
        <v>8940313.5899999999</v>
      </c>
      <c r="FC75" s="1420">
        <v>638053.74</v>
      </c>
      <c r="FD75" s="1439"/>
      <c r="FE75" s="1420">
        <v>7637730.96</v>
      </c>
      <c r="FF75" s="1439"/>
      <c r="FG75" s="1422">
        <v>7759</v>
      </c>
      <c r="FH75" s="1439"/>
      <c r="FI75" s="1420">
        <v>76.41</v>
      </c>
      <c r="FJ75" s="1439"/>
      <c r="FK75" s="1422">
        <v>40991</v>
      </c>
      <c r="FL75" s="1439"/>
      <c r="FM75" s="1420">
        <v>81.44</v>
      </c>
      <c r="FN75" s="1439"/>
      <c r="FO75" s="1422">
        <v>42776</v>
      </c>
      <c r="FP75" s="1439"/>
      <c r="FQ75" s="1420">
        <v>2248681.39</v>
      </c>
      <c r="FR75" s="1439"/>
      <c r="FS75" s="1420">
        <v>46780.45</v>
      </c>
      <c r="FT75" s="1439"/>
      <c r="FU75" s="1422">
        <v>0</v>
      </c>
      <c r="FV75" s="1439"/>
      <c r="FW75" s="1420">
        <v>2201900.94</v>
      </c>
      <c r="FX75" s="1439"/>
      <c r="FY75" s="1420">
        <v>1945288.92</v>
      </c>
      <c r="FZ75" s="1439"/>
      <c r="GA75" s="1422">
        <v>0</v>
      </c>
      <c r="GB75" s="1439"/>
    </row>
    <row r="76" spans="1:184" ht="12.75" customHeight="1" thickBot="1">
      <c r="A76" s="1418" t="s">
        <v>549</v>
      </c>
      <c r="B76" s="1418" t="s">
        <v>550</v>
      </c>
      <c r="C76" s="1420">
        <v>106.78</v>
      </c>
      <c r="D76" s="1439"/>
      <c r="E76" s="1420">
        <v>458.77</v>
      </c>
      <c r="F76" s="1439"/>
      <c r="G76" s="1421">
        <v>0.02</v>
      </c>
      <c r="H76" s="1439"/>
      <c r="I76" s="1420">
        <v>478.11</v>
      </c>
      <c r="J76" s="1439"/>
      <c r="K76" s="1420">
        <v>498.87</v>
      </c>
      <c r="L76" s="1439"/>
      <c r="M76" s="1422">
        <v>32880360</v>
      </c>
      <c r="N76" s="1439"/>
      <c r="O76" s="1420">
        <v>25.49</v>
      </c>
      <c r="P76" s="1439"/>
      <c r="Q76" s="1422">
        <v>25</v>
      </c>
      <c r="R76" s="1439"/>
      <c r="S76" s="1420">
        <v>0.49</v>
      </c>
      <c r="T76" s="1439"/>
      <c r="U76" s="1422">
        <v>0</v>
      </c>
      <c r="V76" s="1439"/>
      <c r="W76" s="1420">
        <v>16.010000000000002</v>
      </c>
      <c r="X76" s="1439"/>
      <c r="Y76" s="1420">
        <v>41.5</v>
      </c>
      <c r="Z76" s="1439"/>
      <c r="AA76" s="1422">
        <v>3795000</v>
      </c>
      <c r="AB76" s="1455"/>
      <c r="AC76" s="1424">
        <v>1024510.23</v>
      </c>
      <c r="AD76" s="1422">
        <v>1024300</v>
      </c>
      <c r="AE76" s="1420">
        <v>298334.17</v>
      </c>
      <c r="AF76" s="1422">
        <v>275111</v>
      </c>
      <c r="AG76" s="1420">
        <v>2601.9899999999998</v>
      </c>
      <c r="AH76" s="1456">
        <v>2600</v>
      </c>
      <c r="AI76" s="1428">
        <v>2374762</v>
      </c>
      <c r="AJ76" s="1422">
        <v>2138816</v>
      </c>
      <c r="AK76" s="1422">
        <v>20349</v>
      </c>
      <c r="AL76" s="1422">
        <v>20000</v>
      </c>
      <c r="AM76" s="1422">
        <v>0</v>
      </c>
      <c r="AN76" s="1422">
        <v>0</v>
      </c>
      <c r="AO76" s="1422">
        <v>6987</v>
      </c>
      <c r="AP76" s="1422">
        <v>120606</v>
      </c>
      <c r="AQ76" s="1422">
        <v>0</v>
      </c>
      <c r="AR76" s="1422">
        <v>0</v>
      </c>
      <c r="AS76" s="1422">
        <v>0</v>
      </c>
      <c r="AT76" s="1422">
        <v>0</v>
      </c>
      <c r="AU76" s="1422">
        <v>28416</v>
      </c>
      <c r="AV76" s="1422">
        <v>45466</v>
      </c>
      <c r="AW76" s="1422">
        <v>0</v>
      </c>
      <c r="AX76" s="1422">
        <v>0</v>
      </c>
      <c r="AY76" s="1420">
        <v>3755960.39</v>
      </c>
      <c r="AZ76" s="1422">
        <v>3626899</v>
      </c>
      <c r="BA76" s="1422">
        <v>0</v>
      </c>
      <c r="BB76" s="1422">
        <v>0</v>
      </c>
      <c r="BC76" s="1422">
        <v>20633</v>
      </c>
      <c r="BD76" s="1422">
        <v>20310</v>
      </c>
      <c r="BE76" s="1420">
        <v>4726.62</v>
      </c>
      <c r="BF76" s="1422">
        <v>2350</v>
      </c>
      <c r="BG76" s="1422">
        <v>300</v>
      </c>
      <c r="BH76" s="1422">
        <v>300</v>
      </c>
      <c r="BI76" s="1422">
        <v>46318</v>
      </c>
      <c r="BJ76" s="1422">
        <v>27647</v>
      </c>
      <c r="BK76" s="1422">
        <v>0</v>
      </c>
      <c r="BL76" s="1422">
        <v>0</v>
      </c>
      <c r="BM76" s="1422">
        <v>147808</v>
      </c>
      <c r="BN76" s="1422">
        <v>144716</v>
      </c>
      <c r="BO76" s="1420">
        <v>2043.69</v>
      </c>
      <c r="BP76" s="1422">
        <v>0</v>
      </c>
      <c r="BQ76" s="1420">
        <v>5417.12</v>
      </c>
      <c r="BR76" s="1420">
        <v>1083.55</v>
      </c>
      <c r="BS76" s="1420">
        <v>1926.29</v>
      </c>
      <c r="BT76" s="1422">
        <v>2000</v>
      </c>
      <c r="BU76" s="1422">
        <v>0</v>
      </c>
      <c r="BV76" s="1422">
        <v>0</v>
      </c>
      <c r="BW76" s="1422">
        <v>97200</v>
      </c>
      <c r="BX76" s="1422">
        <v>97200</v>
      </c>
      <c r="BY76" s="1422">
        <v>0</v>
      </c>
      <c r="BZ76" s="1422">
        <v>0</v>
      </c>
      <c r="CA76" s="1422">
        <v>24236</v>
      </c>
      <c r="CB76" s="1422">
        <v>34022</v>
      </c>
      <c r="CC76" s="1420">
        <v>350608.72</v>
      </c>
      <c r="CD76" s="1420">
        <v>329628.55</v>
      </c>
      <c r="CE76" s="1420">
        <v>637506.43000000005</v>
      </c>
      <c r="CF76" s="1420">
        <v>558879.06000000006</v>
      </c>
      <c r="CG76" s="1420">
        <v>100.08</v>
      </c>
      <c r="CH76" s="1422">
        <v>0</v>
      </c>
      <c r="CI76" s="1422">
        <v>0</v>
      </c>
      <c r="CJ76" s="1422">
        <v>0</v>
      </c>
      <c r="CK76" s="1422">
        <v>0</v>
      </c>
      <c r="CL76" s="1422">
        <v>0</v>
      </c>
      <c r="CM76" s="1422">
        <v>0</v>
      </c>
      <c r="CN76" s="1422">
        <v>2700</v>
      </c>
      <c r="CO76" s="1420">
        <v>8742.23</v>
      </c>
      <c r="CP76" s="1422">
        <v>3000</v>
      </c>
      <c r="CQ76" s="1422">
        <v>0</v>
      </c>
      <c r="CR76" s="1422">
        <v>15000</v>
      </c>
      <c r="CS76" s="1420">
        <v>8842.31</v>
      </c>
      <c r="CT76" s="1422">
        <v>20700</v>
      </c>
      <c r="CU76" s="1420">
        <v>4752917.8499999996</v>
      </c>
      <c r="CV76" s="1420">
        <v>4536106.6100000003</v>
      </c>
      <c r="CW76" s="1420">
        <v>1659427.91</v>
      </c>
      <c r="CX76" s="1420">
        <v>1757263.49</v>
      </c>
      <c r="CY76" s="1420">
        <v>199031.25</v>
      </c>
      <c r="CZ76" s="1420">
        <v>194561.19</v>
      </c>
      <c r="DA76" s="1420">
        <v>203687.13</v>
      </c>
      <c r="DB76" s="1420">
        <v>211821.63</v>
      </c>
      <c r="DC76" s="1422">
        <v>0</v>
      </c>
      <c r="DD76" s="1422">
        <v>0</v>
      </c>
      <c r="DE76" s="1420">
        <v>88644.42</v>
      </c>
      <c r="DF76" s="1420">
        <v>128848.68</v>
      </c>
      <c r="DG76" s="1420">
        <v>227081.67</v>
      </c>
      <c r="DH76" s="1420">
        <v>195994.91</v>
      </c>
      <c r="DI76" s="1420">
        <v>2377872.38</v>
      </c>
      <c r="DJ76" s="1420">
        <v>2488489.9</v>
      </c>
      <c r="DK76" s="1420">
        <v>149164.88</v>
      </c>
      <c r="DL76" s="1420">
        <v>153644.76999999999</v>
      </c>
      <c r="DM76" s="1420">
        <v>56010.79</v>
      </c>
      <c r="DN76" s="1420">
        <v>68538.89</v>
      </c>
      <c r="DO76" s="1420">
        <v>504683.54</v>
      </c>
      <c r="DP76" s="1420">
        <v>571724.18000000005</v>
      </c>
      <c r="DQ76" s="1420">
        <v>254611.85</v>
      </c>
      <c r="DR76" s="1420">
        <v>185520.02</v>
      </c>
      <c r="DS76" s="1420">
        <v>17054.66</v>
      </c>
      <c r="DT76" s="1422">
        <v>19013</v>
      </c>
      <c r="DU76" s="1420">
        <v>981525.72</v>
      </c>
      <c r="DV76" s="1420">
        <v>998440.86</v>
      </c>
      <c r="DW76" s="1420">
        <v>134801.71</v>
      </c>
      <c r="DX76" s="1420">
        <v>167478.34</v>
      </c>
      <c r="DY76" s="1420">
        <v>226367.51</v>
      </c>
      <c r="DZ76" s="1420">
        <v>232961.96</v>
      </c>
      <c r="EA76" s="1420">
        <v>237344.68</v>
      </c>
      <c r="EB76" s="1420">
        <v>242233.59</v>
      </c>
      <c r="EC76" s="1420">
        <v>598513.9</v>
      </c>
      <c r="ED76" s="1420">
        <v>642673.89</v>
      </c>
      <c r="EE76" s="1420">
        <v>270582.94</v>
      </c>
      <c r="EF76" s="1420">
        <v>280363.52000000002</v>
      </c>
      <c r="EG76" s="1420">
        <v>63278.14</v>
      </c>
      <c r="EH76" s="1422">
        <v>60450</v>
      </c>
      <c r="EI76" s="1422">
        <v>0</v>
      </c>
      <c r="EJ76" s="1422">
        <v>500</v>
      </c>
      <c r="EK76" s="1422">
        <v>0</v>
      </c>
      <c r="EL76" s="1422">
        <v>0</v>
      </c>
      <c r="EM76" s="1420">
        <v>333861.08</v>
      </c>
      <c r="EN76" s="1420">
        <v>341313.52</v>
      </c>
      <c r="EO76" s="1420">
        <v>1178140.48</v>
      </c>
      <c r="EP76" s="1420">
        <v>25662.95</v>
      </c>
      <c r="EQ76" s="1422">
        <v>244260</v>
      </c>
      <c r="ER76" s="1420">
        <v>242666.26</v>
      </c>
      <c r="ES76" s="1422">
        <v>0</v>
      </c>
      <c r="ET76" s="1422">
        <v>0</v>
      </c>
      <c r="EU76" s="1420">
        <v>5714173.5599999996</v>
      </c>
      <c r="EV76" s="1420">
        <v>4739247.38</v>
      </c>
      <c r="EW76" s="1420">
        <v>1305994.2</v>
      </c>
      <c r="EX76" s="1420">
        <v>76162.95</v>
      </c>
      <c r="EY76" s="1422">
        <v>244260</v>
      </c>
      <c r="EZ76" s="1420">
        <v>242666.26</v>
      </c>
      <c r="FA76" s="1420">
        <v>4163919.36</v>
      </c>
      <c r="FB76" s="1420">
        <v>4420418.17</v>
      </c>
      <c r="FC76" s="1420">
        <v>331205.81</v>
      </c>
      <c r="FD76" s="1439"/>
      <c r="FE76" s="1420">
        <v>3832713.55</v>
      </c>
      <c r="FF76" s="1439"/>
      <c r="FG76" s="1422">
        <v>8354</v>
      </c>
      <c r="FH76" s="1439"/>
      <c r="FI76" s="1420">
        <v>35.6</v>
      </c>
      <c r="FJ76" s="1439"/>
      <c r="FK76" s="1422">
        <v>41822</v>
      </c>
      <c r="FL76" s="1439"/>
      <c r="FM76" s="1420">
        <v>38.74</v>
      </c>
      <c r="FN76" s="1439"/>
      <c r="FO76" s="1422">
        <v>44777</v>
      </c>
      <c r="FP76" s="1439"/>
      <c r="FQ76" s="1420">
        <v>989262.6</v>
      </c>
      <c r="FR76" s="1439"/>
      <c r="FS76" s="1420">
        <v>6546.12</v>
      </c>
      <c r="FT76" s="1439"/>
      <c r="FU76" s="1422">
        <v>0</v>
      </c>
      <c r="FV76" s="1439"/>
      <c r="FW76" s="1420">
        <v>982716.48</v>
      </c>
      <c r="FX76" s="1439"/>
      <c r="FY76" s="1420">
        <v>202192.66</v>
      </c>
      <c r="FZ76" s="1439"/>
      <c r="GA76" s="1422">
        <v>0</v>
      </c>
      <c r="GB76" s="1439"/>
    </row>
    <row r="77" spans="1:184" ht="12.75" customHeight="1" thickBot="1">
      <c r="A77" s="1418" t="s">
        <v>551</v>
      </c>
      <c r="B77" s="1418" t="s">
        <v>552</v>
      </c>
      <c r="C77" s="1420">
        <v>109.07</v>
      </c>
      <c r="D77" s="1439"/>
      <c r="E77" s="1420">
        <v>2903.73</v>
      </c>
      <c r="F77" s="1439"/>
      <c r="G77" s="1421">
        <v>0.1</v>
      </c>
      <c r="H77" s="1439"/>
      <c r="I77" s="1420">
        <v>3062.09</v>
      </c>
      <c r="J77" s="1439"/>
      <c r="K77" s="1420">
        <v>2975.62</v>
      </c>
      <c r="L77" s="1439"/>
      <c r="M77" s="1422">
        <v>148521453</v>
      </c>
      <c r="N77" s="1439"/>
      <c r="O77" s="1422">
        <v>25</v>
      </c>
      <c r="P77" s="1439"/>
      <c r="Q77" s="1422">
        <v>25</v>
      </c>
      <c r="R77" s="1439"/>
      <c r="S77" s="1422">
        <v>0</v>
      </c>
      <c r="T77" s="1439"/>
      <c r="U77" s="1422">
        <v>0</v>
      </c>
      <c r="V77" s="1439"/>
      <c r="W77" s="1420">
        <v>13.9</v>
      </c>
      <c r="X77" s="1439"/>
      <c r="Y77" s="1420">
        <v>38.9</v>
      </c>
      <c r="Z77" s="1439"/>
      <c r="AA77" s="1420">
        <v>15710845.439999999</v>
      </c>
      <c r="AB77" s="1455"/>
      <c r="AC77" s="1424">
        <v>5181811.45</v>
      </c>
      <c r="AD77" s="1422">
        <v>5431276</v>
      </c>
      <c r="AE77" s="1422">
        <v>1933452</v>
      </c>
      <c r="AF77" s="1422">
        <v>1554050</v>
      </c>
      <c r="AG77" s="1420">
        <v>18968.21</v>
      </c>
      <c r="AH77" s="1456">
        <v>17000</v>
      </c>
      <c r="AI77" s="1428">
        <v>14616371</v>
      </c>
      <c r="AJ77" s="1422">
        <v>15164814</v>
      </c>
      <c r="AK77" s="1422">
        <v>38602</v>
      </c>
      <c r="AL77" s="1422">
        <v>0</v>
      </c>
      <c r="AM77" s="1422">
        <v>593961</v>
      </c>
      <c r="AN77" s="1422">
        <v>400000</v>
      </c>
      <c r="AO77" s="1422">
        <v>0</v>
      </c>
      <c r="AP77" s="1422">
        <v>0</v>
      </c>
      <c r="AQ77" s="1422">
        <v>0</v>
      </c>
      <c r="AR77" s="1422">
        <v>0</v>
      </c>
      <c r="AS77" s="1422">
        <v>0</v>
      </c>
      <c r="AT77" s="1422">
        <v>0</v>
      </c>
      <c r="AU77" s="1422">
        <v>173014</v>
      </c>
      <c r="AV77" s="1422">
        <v>138411</v>
      </c>
      <c r="AW77" s="1422">
        <v>0</v>
      </c>
      <c r="AX77" s="1422">
        <v>0</v>
      </c>
      <c r="AY77" s="1420">
        <v>22556179.66</v>
      </c>
      <c r="AZ77" s="1422">
        <v>22705551</v>
      </c>
      <c r="BA77" s="1420">
        <v>37425.01</v>
      </c>
      <c r="BB77" s="1422">
        <v>37000</v>
      </c>
      <c r="BC77" s="1422">
        <v>123072</v>
      </c>
      <c r="BD77" s="1422">
        <v>129703</v>
      </c>
      <c r="BE77" s="1420">
        <v>18130.28</v>
      </c>
      <c r="BF77" s="1422">
        <v>9200</v>
      </c>
      <c r="BG77" s="1422">
        <v>2903</v>
      </c>
      <c r="BH77" s="1422">
        <v>0</v>
      </c>
      <c r="BI77" s="1422">
        <v>89061</v>
      </c>
      <c r="BJ77" s="1422">
        <v>106236</v>
      </c>
      <c r="BK77" s="1422">
        <v>9083</v>
      </c>
      <c r="BL77" s="1422">
        <v>9000</v>
      </c>
      <c r="BM77" s="1422">
        <v>577840</v>
      </c>
      <c r="BN77" s="1422">
        <v>579370</v>
      </c>
      <c r="BO77" s="1420">
        <v>169582.91</v>
      </c>
      <c r="BP77" s="1422">
        <v>107100</v>
      </c>
      <c r="BQ77" s="1420">
        <v>107250.64</v>
      </c>
      <c r="BR77" s="1420">
        <v>122417.1</v>
      </c>
      <c r="BS77" s="1420">
        <v>11581.46</v>
      </c>
      <c r="BT77" s="1422">
        <v>11600</v>
      </c>
      <c r="BU77" s="1422">
        <v>0</v>
      </c>
      <c r="BV77" s="1422">
        <v>0</v>
      </c>
      <c r="BW77" s="1422">
        <v>438600</v>
      </c>
      <c r="BX77" s="1422">
        <v>437400</v>
      </c>
      <c r="BY77" s="1422">
        <v>0</v>
      </c>
      <c r="BZ77" s="1422">
        <v>0</v>
      </c>
      <c r="CA77" s="1422">
        <v>310940</v>
      </c>
      <c r="CB77" s="1422">
        <v>280887</v>
      </c>
      <c r="CC77" s="1420">
        <v>1895469.3</v>
      </c>
      <c r="CD77" s="1420">
        <v>1829913.1</v>
      </c>
      <c r="CE77" s="1420">
        <v>3408340.62</v>
      </c>
      <c r="CF77" s="1420">
        <v>2880918.87</v>
      </c>
      <c r="CG77" s="1422">
        <v>113000</v>
      </c>
      <c r="CH77" s="1420">
        <v>12111.44</v>
      </c>
      <c r="CI77" s="1422">
        <v>0</v>
      </c>
      <c r="CJ77" s="1422">
        <v>0</v>
      </c>
      <c r="CK77" s="1422">
        <v>0</v>
      </c>
      <c r="CL77" s="1422">
        <v>0</v>
      </c>
      <c r="CM77" s="1422">
        <v>0</v>
      </c>
      <c r="CN77" s="1422">
        <v>0</v>
      </c>
      <c r="CO77" s="1420">
        <v>31766.74</v>
      </c>
      <c r="CP77" s="1422">
        <v>0</v>
      </c>
      <c r="CQ77" s="1422">
        <v>0</v>
      </c>
      <c r="CR77" s="1422">
        <v>0</v>
      </c>
      <c r="CS77" s="1420">
        <v>144766.74</v>
      </c>
      <c r="CT77" s="1420">
        <v>12111.44</v>
      </c>
      <c r="CU77" s="1420">
        <v>28004756.32</v>
      </c>
      <c r="CV77" s="1420">
        <v>27428494.41</v>
      </c>
      <c r="CW77" s="1420">
        <v>10084642.42</v>
      </c>
      <c r="CX77" s="1420">
        <v>9959008.4299999997</v>
      </c>
      <c r="CY77" s="1420">
        <v>1914205.29</v>
      </c>
      <c r="CZ77" s="1420">
        <v>1960190.5</v>
      </c>
      <c r="DA77" s="1420">
        <v>887489.58</v>
      </c>
      <c r="DB77" s="1422">
        <v>911707</v>
      </c>
      <c r="DC77" s="1422">
        <v>0</v>
      </c>
      <c r="DD77" s="1422">
        <v>0</v>
      </c>
      <c r="DE77" s="1420">
        <v>366826.98</v>
      </c>
      <c r="DF77" s="1420">
        <v>447161.62</v>
      </c>
      <c r="DG77" s="1420">
        <v>991604.56</v>
      </c>
      <c r="DH77" s="1420">
        <v>1004354.59</v>
      </c>
      <c r="DI77" s="1420">
        <v>14244768.83</v>
      </c>
      <c r="DJ77" s="1420">
        <v>14282422.140000001</v>
      </c>
      <c r="DK77" s="1420">
        <v>496640.68</v>
      </c>
      <c r="DL77" s="1420">
        <v>705151.63</v>
      </c>
      <c r="DM77" s="1420">
        <v>503380.27</v>
      </c>
      <c r="DN77" s="1420">
        <v>591587.35</v>
      </c>
      <c r="DO77" s="1420">
        <v>2207125.86</v>
      </c>
      <c r="DP77" s="1420">
        <v>2266846.38</v>
      </c>
      <c r="DQ77" s="1420">
        <v>1098038.57</v>
      </c>
      <c r="DR77" s="1420">
        <v>1114844.76</v>
      </c>
      <c r="DS77" s="1420">
        <v>179152.45</v>
      </c>
      <c r="DT77" s="1422">
        <v>208300</v>
      </c>
      <c r="DU77" s="1420">
        <v>4484337.83</v>
      </c>
      <c r="DV77" s="1420">
        <v>4886730.12</v>
      </c>
      <c r="DW77" s="1420">
        <v>1455787.97</v>
      </c>
      <c r="DX77" s="1420">
        <v>1374778.01</v>
      </c>
      <c r="DY77" s="1420">
        <v>1594463.78</v>
      </c>
      <c r="DZ77" s="1420">
        <v>1730621.81</v>
      </c>
      <c r="EA77" s="1420">
        <v>1295523.97</v>
      </c>
      <c r="EB77" s="1420">
        <v>1336092.3799999999</v>
      </c>
      <c r="EC77" s="1420">
        <v>4345775.72</v>
      </c>
      <c r="ED77" s="1420">
        <v>4441492.2</v>
      </c>
      <c r="EE77" s="1420">
        <v>1572429.23</v>
      </c>
      <c r="EF77" s="1422">
        <v>1621860</v>
      </c>
      <c r="EG77" s="1420">
        <v>38678.49</v>
      </c>
      <c r="EH77" s="1420">
        <v>65000.04</v>
      </c>
      <c r="EI77" s="1420">
        <v>484277.77</v>
      </c>
      <c r="EJ77" s="1420">
        <v>514035.57</v>
      </c>
      <c r="EK77" s="1422">
        <v>0</v>
      </c>
      <c r="EL77" s="1422">
        <v>0</v>
      </c>
      <c r="EM77" s="1420">
        <v>2095385.49</v>
      </c>
      <c r="EN77" s="1420">
        <v>2200895.61</v>
      </c>
      <c r="EO77" s="1420">
        <v>148558.95000000001</v>
      </c>
      <c r="EP77" s="1420">
        <v>261435.37</v>
      </c>
      <c r="EQ77" s="1420">
        <v>770653.69</v>
      </c>
      <c r="ER77" s="1420">
        <v>794776.74</v>
      </c>
      <c r="ES77" s="1420">
        <v>4759.6899999999996</v>
      </c>
      <c r="ET77" s="1420">
        <v>16234.3</v>
      </c>
      <c r="EU77" s="1420">
        <v>26094240.199999999</v>
      </c>
      <c r="EV77" s="1420">
        <v>26883986.48</v>
      </c>
      <c r="EW77" s="1420">
        <v>790650.28</v>
      </c>
      <c r="EX77" s="1420">
        <v>652240.73</v>
      </c>
      <c r="EY77" s="1420">
        <v>770653.69</v>
      </c>
      <c r="EZ77" s="1420">
        <v>794776.74</v>
      </c>
      <c r="FA77" s="1420">
        <v>24532936.23</v>
      </c>
      <c r="FB77" s="1420">
        <v>25436969.010000002</v>
      </c>
      <c r="FC77" s="1420">
        <v>2276524.94</v>
      </c>
      <c r="FD77" s="1439"/>
      <c r="FE77" s="1420">
        <v>22256411.289999999</v>
      </c>
      <c r="FF77" s="1439"/>
      <c r="FG77" s="1422">
        <v>7664</v>
      </c>
      <c r="FH77" s="1439"/>
      <c r="FI77" s="1420">
        <v>197.34</v>
      </c>
      <c r="FJ77" s="1439"/>
      <c r="FK77" s="1422">
        <v>48644</v>
      </c>
      <c r="FL77" s="1439"/>
      <c r="FM77" s="1420">
        <v>213.81</v>
      </c>
      <c r="FN77" s="1439"/>
      <c r="FO77" s="1422">
        <v>50668</v>
      </c>
      <c r="FP77" s="1439"/>
      <c r="FQ77" s="1420">
        <v>4275927.8</v>
      </c>
      <c r="FR77" s="1439"/>
      <c r="FS77" s="1420">
        <v>18284.29</v>
      </c>
      <c r="FT77" s="1439"/>
      <c r="FU77" s="1422">
        <v>0</v>
      </c>
      <c r="FV77" s="1439"/>
      <c r="FW77" s="1420">
        <v>4257643.51</v>
      </c>
      <c r="FX77" s="1439"/>
      <c r="FY77" s="1420">
        <v>747800.6</v>
      </c>
      <c r="FZ77" s="1439"/>
      <c r="GA77" s="1422">
        <v>0</v>
      </c>
      <c r="GB77" s="1439"/>
    </row>
    <row r="78" spans="1:184" ht="12.75" customHeight="1" thickBot="1">
      <c r="A78" s="1418" t="s">
        <v>553</v>
      </c>
      <c r="B78" s="1418" t="s">
        <v>554</v>
      </c>
      <c r="C78" s="1420">
        <v>109.79</v>
      </c>
      <c r="D78" s="1439"/>
      <c r="E78" s="1420">
        <v>845.71</v>
      </c>
      <c r="F78" s="1439"/>
      <c r="G78" s="1421">
        <v>-0.02</v>
      </c>
      <c r="H78" s="1439"/>
      <c r="I78" s="1420">
        <v>871.66</v>
      </c>
      <c r="J78" s="1439"/>
      <c r="K78" s="1420">
        <v>866.21</v>
      </c>
      <c r="L78" s="1439"/>
      <c r="M78" s="1422">
        <v>49795284</v>
      </c>
      <c r="N78" s="1439"/>
      <c r="O78" s="1422">
        <v>25</v>
      </c>
      <c r="P78" s="1439"/>
      <c r="Q78" s="1422">
        <v>25</v>
      </c>
      <c r="R78" s="1439"/>
      <c r="S78" s="1422">
        <v>0</v>
      </c>
      <c r="T78" s="1439"/>
      <c r="U78" s="1422">
        <v>0</v>
      </c>
      <c r="V78" s="1439"/>
      <c r="W78" s="1420">
        <v>12.5</v>
      </c>
      <c r="X78" s="1439"/>
      <c r="Y78" s="1420">
        <v>37.5</v>
      </c>
      <c r="Z78" s="1439"/>
      <c r="AA78" s="1422">
        <v>7605000</v>
      </c>
      <c r="AB78" s="1455"/>
      <c r="AC78" s="1424">
        <v>1748000.75</v>
      </c>
      <c r="AD78" s="1422">
        <v>1760244</v>
      </c>
      <c r="AE78" s="1420">
        <v>347108.29</v>
      </c>
      <c r="AF78" s="1420">
        <v>310733.67</v>
      </c>
      <c r="AG78" s="1422">
        <v>0</v>
      </c>
      <c r="AH78" s="1456">
        <v>0</v>
      </c>
      <c r="AI78" s="1428">
        <v>3968584</v>
      </c>
      <c r="AJ78" s="1422">
        <v>4113619</v>
      </c>
      <c r="AK78" s="1422">
        <v>40603</v>
      </c>
      <c r="AL78" s="1422">
        <v>40000</v>
      </c>
      <c r="AM78" s="1422">
        <v>0</v>
      </c>
      <c r="AN78" s="1422">
        <v>0</v>
      </c>
      <c r="AO78" s="1422">
        <v>89743</v>
      </c>
      <c r="AP78" s="1422">
        <v>0</v>
      </c>
      <c r="AQ78" s="1422">
        <v>0</v>
      </c>
      <c r="AR78" s="1422">
        <v>0</v>
      </c>
      <c r="AS78" s="1422">
        <v>0</v>
      </c>
      <c r="AT78" s="1422">
        <v>0</v>
      </c>
      <c r="AU78" s="1422">
        <v>0</v>
      </c>
      <c r="AV78" s="1422">
        <v>0</v>
      </c>
      <c r="AW78" s="1422">
        <v>0</v>
      </c>
      <c r="AX78" s="1422">
        <v>0</v>
      </c>
      <c r="AY78" s="1420">
        <v>6194039.04</v>
      </c>
      <c r="AZ78" s="1420">
        <v>6224596.6699999999</v>
      </c>
      <c r="BA78" s="1422">
        <v>0</v>
      </c>
      <c r="BB78" s="1422">
        <v>0</v>
      </c>
      <c r="BC78" s="1422">
        <v>35826</v>
      </c>
      <c r="BD78" s="1422">
        <v>37037</v>
      </c>
      <c r="BE78" s="1420">
        <v>1376.71</v>
      </c>
      <c r="BF78" s="1422">
        <v>1400</v>
      </c>
      <c r="BG78" s="1422">
        <v>250</v>
      </c>
      <c r="BH78" s="1422">
        <v>250</v>
      </c>
      <c r="BI78" s="1422">
        <v>8857</v>
      </c>
      <c r="BJ78" s="1422">
        <v>539</v>
      </c>
      <c r="BK78" s="1422">
        <v>0</v>
      </c>
      <c r="BL78" s="1422">
        <v>0</v>
      </c>
      <c r="BM78" s="1422">
        <v>166656</v>
      </c>
      <c r="BN78" s="1422">
        <v>181654</v>
      </c>
      <c r="BO78" s="1420">
        <v>3548.55</v>
      </c>
      <c r="BP78" s="1422">
        <v>0</v>
      </c>
      <c r="BQ78" s="1422">
        <v>142425</v>
      </c>
      <c r="BR78" s="1422">
        <v>8125</v>
      </c>
      <c r="BS78" s="1420">
        <v>2927.56</v>
      </c>
      <c r="BT78" s="1422">
        <v>0</v>
      </c>
      <c r="BU78" s="1422">
        <v>0</v>
      </c>
      <c r="BV78" s="1422">
        <v>0</v>
      </c>
      <c r="BW78" s="1422">
        <v>97200</v>
      </c>
      <c r="BX78" s="1422">
        <v>97200</v>
      </c>
      <c r="BY78" s="1422">
        <v>0</v>
      </c>
      <c r="BZ78" s="1422">
        <v>0</v>
      </c>
      <c r="CA78" s="1420">
        <v>515606.91</v>
      </c>
      <c r="CB78" s="1422">
        <v>425128</v>
      </c>
      <c r="CC78" s="1420">
        <v>974673.73</v>
      </c>
      <c r="CD78" s="1422">
        <v>751333</v>
      </c>
      <c r="CE78" s="1420">
        <v>927967.33</v>
      </c>
      <c r="CF78" s="1420">
        <v>627833.99</v>
      </c>
      <c r="CG78" s="1420">
        <v>4118.42</v>
      </c>
      <c r="CH78" s="1422">
        <v>0</v>
      </c>
      <c r="CI78" s="1422">
        <v>0</v>
      </c>
      <c r="CJ78" s="1422">
        <v>0</v>
      </c>
      <c r="CK78" s="1422">
        <v>0</v>
      </c>
      <c r="CL78" s="1422">
        <v>0</v>
      </c>
      <c r="CM78" s="1422">
        <v>0</v>
      </c>
      <c r="CN78" s="1422">
        <v>0</v>
      </c>
      <c r="CO78" s="1422">
        <v>0</v>
      </c>
      <c r="CP78" s="1422">
        <v>0</v>
      </c>
      <c r="CQ78" s="1420">
        <v>191237.21</v>
      </c>
      <c r="CR78" s="1422">
        <v>1628</v>
      </c>
      <c r="CS78" s="1420">
        <v>195355.63</v>
      </c>
      <c r="CT78" s="1422">
        <v>1628</v>
      </c>
      <c r="CU78" s="1420">
        <v>8292035.7300000004</v>
      </c>
      <c r="CV78" s="1420">
        <v>7605391.6600000001</v>
      </c>
      <c r="CW78" s="1420">
        <v>3457397.88</v>
      </c>
      <c r="CX78" s="1420">
        <v>3284148.46</v>
      </c>
      <c r="CY78" s="1420">
        <v>301757.96999999997</v>
      </c>
      <c r="CZ78" s="1420">
        <v>358526.37</v>
      </c>
      <c r="DA78" s="1420">
        <v>370107.95</v>
      </c>
      <c r="DB78" s="1420">
        <v>240326.78</v>
      </c>
      <c r="DC78" s="1422">
        <v>0</v>
      </c>
      <c r="DD78" s="1422">
        <v>0</v>
      </c>
      <c r="DE78" s="1420">
        <v>164505.51999999999</v>
      </c>
      <c r="DF78" s="1420">
        <v>137578.66</v>
      </c>
      <c r="DG78" s="1420">
        <v>78580.3</v>
      </c>
      <c r="DH78" s="1420">
        <v>92210.1</v>
      </c>
      <c r="DI78" s="1420">
        <v>4372349.62</v>
      </c>
      <c r="DJ78" s="1420">
        <v>4112790.37</v>
      </c>
      <c r="DK78" s="1420">
        <v>199580.1</v>
      </c>
      <c r="DL78" s="1420">
        <v>205466.28</v>
      </c>
      <c r="DM78" s="1420">
        <v>99417.01</v>
      </c>
      <c r="DN78" s="1420">
        <v>98837.5</v>
      </c>
      <c r="DO78" s="1420">
        <v>775489.76</v>
      </c>
      <c r="DP78" s="1420">
        <v>670881.15</v>
      </c>
      <c r="DQ78" s="1420">
        <v>236844.41</v>
      </c>
      <c r="DR78" s="1422">
        <v>257781</v>
      </c>
      <c r="DS78" s="1420">
        <v>23717.77</v>
      </c>
      <c r="DT78" s="1422">
        <v>31002</v>
      </c>
      <c r="DU78" s="1420">
        <v>1335049.05</v>
      </c>
      <c r="DV78" s="1420">
        <v>1263967.93</v>
      </c>
      <c r="DW78" s="1420">
        <v>393464.12</v>
      </c>
      <c r="DX78" s="1420">
        <v>451263.27</v>
      </c>
      <c r="DY78" s="1420">
        <v>420794.37</v>
      </c>
      <c r="DZ78" s="1420">
        <v>397753.14</v>
      </c>
      <c r="EA78" s="1420">
        <v>402057.68</v>
      </c>
      <c r="EB78" s="1420">
        <v>396129.85</v>
      </c>
      <c r="EC78" s="1420">
        <v>1216316.17</v>
      </c>
      <c r="ED78" s="1420">
        <v>1245146.26</v>
      </c>
      <c r="EE78" s="1420">
        <v>302372.06</v>
      </c>
      <c r="EF78" s="1422">
        <v>301685</v>
      </c>
      <c r="EG78" s="1420">
        <v>17647.89</v>
      </c>
      <c r="EH78" s="1422">
        <v>13650</v>
      </c>
      <c r="EI78" s="1420">
        <v>230.9</v>
      </c>
      <c r="EJ78" s="1422">
        <v>1500</v>
      </c>
      <c r="EK78" s="1422">
        <v>0</v>
      </c>
      <c r="EL78" s="1422">
        <v>0</v>
      </c>
      <c r="EM78" s="1420">
        <v>320250.84999999998</v>
      </c>
      <c r="EN78" s="1422">
        <v>316835</v>
      </c>
      <c r="EO78" s="1420">
        <v>945600.83</v>
      </c>
      <c r="EP78" s="1422">
        <v>632563</v>
      </c>
      <c r="EQ78" s="1420">
        <v>222773.31</v>
      </c>
      <c r="ER78" s="1422">
        <v>327986</v>
      </c>
      <c r="ES78" s="1422">
        <v>0</v>
      </c>
      <c r="ET78" s="1422">
        <v>0</v>
      </c>
      <c r="EU78" s="1420">
        <v>8412339.8300000001</v>
      </c>
      <c r="EV78" s="1420">
        <v>7899288.5599999996</v>
      </c>
      <c r="EW78" s="1420">
        <v>1182956.07</v>
      </c>
      <c r="EX78" s="1422">
        <v>754233</v>
      </c>
      <c r="EY78" s="1420">
        <v>222773.31</v>
      </c>
      <c r="EZ78" s="1422">
        <v>327986</v>
      </c>
      <c r="FA78" s="1420">
        <v>7006610.4500000002</v>
      </c>
      <c r="FB78" s="1420">
        <v>6817069.5599999996</v>
      </c>
      <c r="FC78" s="1420">
        <v>385176.95</v>
      </c>
      <c r="FD78" s="1439"/>
      <c r="FE78" s="1420">
        <v>6621433.5</v>
      </c>
      <c r="FF78" s="1439"/>
      <c r="FG78" s="1422">
        <v>7829</v>
      </c>
      <c r="FH78" s="1439"/>
      <c r="FI78" s="1420">
        <v>57.09</v>
      </c>
      <c r="FJ78" s="1439"/>
      <c r="FK78" s="1422">
        <v>50007</v>
      </c>
      <c r="FL78" s="1439"/>
      <c r="FM78" s="1420">
        <v>61.89</v>
      </c>
      <c r="FN78" s="1439"/>
      <c r="FO78" s="1422">
        <v>52488</v>
      </c>
      <c r="FP78" s="1439"/>
      <c r="FQ78" s="1420">
        <v>1501922.58</v>
      </c>
      <c r="FR78" s="1439"/>
      <c r="FS78" s="1420">
        <v>7173.55</v>
      </c>
      <c r="FT78" s="1439"/>
      <c r="FU78" s="1422">
        <v>0</v>
      </c>
      <c r="FV78" s="1439"/>
      <c r="FW78" s="1420">
        <v>1494749.03</v>
      </c>
      <c r="FX78" s="1439"/>
      <c r="FY78" s="1420">
        <v>941520.81</v>
      </c>
      <c r="FZ78" s="1439"/>
      <c r="GA78" s="1422">
        <v>0</v>
      </c>
      <c r="GB78" s="1439"/>
    </row>
    <row r="79" spans="1:184" ht="12.75" customHeight="1" thickBot="1">
      <c r="A79" s="1418" t="s">
        <v>555</v>
      </c>
      <c r="B79" s="1418" t="s">
        <v>556</v>
      </c>
      <c r="C79" s="1420">
        <v>143.62</v>
      </c>
      <c r="D79" s="1439"/>
      <c r="E79" s="1420">
        <v>445.45</v>
      </c>
      <c r="F79" s="1439"/>
      <c r="G79" s="1421">
        <v>-0.14000000000000001</v>
      </c>
      <c r="H79" s="1439"/>
      <c r="I79" s="1420">
        <v>473.41</v>
      </c>
      <c r="J79" s="1439"/>
      <c r="K79" s="1420">
        <v>499.22</v>
      </c>
      <c r="L79" s="1439"/>
      <c r="M79" s="1422">
        <v>45808844</v>
      </c>
      <c r="N79" s="1439"/>
      <c r="O79" s="1422">
        <v>25</v>
      </c>
      <c r="P79" s="1439"/>
      <c r="Q79" s="1422">
        <v>25</v>
      </c>
      <c r="R79" s="1439"/>
      <c r="S79" s="1422">
        <v>0</v>
      </c>
      <c r="T79" s="1439"/>
      <c r="U79" s="1422">
        <v>0</v>
      </c>
      <c r="V79" s="1439"/>
      <c r="W79" s="1420">
        <v>11.1</v>
      </c>
      <c r="X79" s="1439"/>
      <c r="Y79" s="1420">
        <v>36.1</v>
      </c>
      <c r="Z79" s="1439"/>
      <c r="AA79" s="1422">
        <v>4685000</v>
      </c>
      <c r="AB79" s="1455"/>
      <c r="AC79" s="1424">
        <v>1719386.88</v>
      </c>
      <c r="AD79" s="1422">
        <v>1570985</v>
      </c>
      <c r="AE79" s="1420">
        <v>168789.4</v>
      </c>
      <c r="AF79" s="1422">
        <v>124592</v>
      </c>
      <c r="AG79" s="1422">
        <v>0</v>
      </c>
      <c r="AH79" s="1456">
        <v>0</v>
      </c>
      <c r="AI79" s="1428">
        <v>1737225</v>
      </c>
      <c r="AJ79" s="1420">
        <v>1783354.36</v>
      </c>
      <c r="AK79" s="1422">
        <v>44393</v>
      </c>
      <c r="AL79" s="1422">
        <v>0</v>
      </c>
      <c r="AM79" s="1422">
        <v>0</v>
      </c>
      <c r="AN79" s="1422">
        <v>0</v>
      </c>
      <c r="AO79" s="1422">
        <v>97512</v>
      </c>
      <c r="AP79" s="1422">
        <v>79288</v>
      </c>
      <c r="AQ79" s="1422">
        <v>0</v>
      </c>
      <c r="AR79" s="1422">
        <v>0</v>
      </c>
      <c r="AS79" s="1422">
        <v>0</v>
      </c>
      <c r="AT79" s="1422">
        <v>0</v>
      </c>
      <c r="AU79" s="1422">
        <v>0</v>
      </c>
      <c r="AV79" s="1422">
        <v>0</v>
      </c>
      <c r="AW79" s="1422">
        <v>0</v>
      </c>
      <c r="AX79" s="1422">
        <v>0</v>
      </c>
      <c r="AY79" s="1420">
        <v>3767306.28</v>
      </c>
      <c r="AZ79" s="1420">
        <v>3558219.36</v>
      </c>
      <c r="BA79" s="1422">
        <v>0</v>
      </c>
      <c r="BB79" s="1422">
        <v>0</v>
      </c>
      <c r="BC79" s="1422">
        <v>20648</v>
      </c>
      <c r="BD79" s="1422">
        <v>20063</v>
      </c>
      <c r="BE79" s="1420">
        <v>3956.06</v>
      </c>
      <c r="BF79" s="1422">
        <v>2800</v>
      </c>
      <c r="BG79" s="1422">
        <v>1350</v>
      </c>
      <c r="BH79" s="1422">
        <v>500</v>
      </c>
      <c r="BI79" s="1422">
        <v>10117</v>
      </c>
      <c r="BJ79" s="1422">
        <v>6798</v>
      </c>
      <c r="BK79" s="1422">
        <v>2344</v>
      </c>
      <c r="BL79" s="1422">
        <v>2392</v>
      </c>
      <c r="BM79" s="1422">
        <v>134416</v>
      </c>
      <c r="BN79" s="1422">
        <v>138644</v>
      </c>
      <c r="BO79" s="1420">
        <v>7471.68</v>
      </c>
      <c r="BP79" s="1422">
        <v>7000</v>
      </c>
      <c r="BQ79" s="1422">
        <v>6500</v>
      </c>
      <c r="BR79" s="1422">
        <v>13000</v>
      </c>
      <c r="BS79" s="1420">
        <v>1990.17</v>
      </c>
      <c r="BT79" s="1422">
        <v>1900</v>
      </c>
      <c r="BU79" s="1422">
        <v>0</v>
      </c>
      <c r="BV79" s="1422">
        <v>0</v>
      </c>
      <c r="BW79" s="1420">
        <v>94867.199999999997</v>
      </c>
      <c r="BX79" s="1422">
        <v>97200</v>
      </c>
      <c r="BY79" s="1422">
        <v>0</v>
      </c>
      <c r="BZ79" s="1422">
        <v>0</v>
      </c>
      <c r="CA79" s="1420">
        <v>23124.39</v>
      </c>
      <c r="CB79" s="1420">
        <v>226236.61</v>
      </c>
      <c r="CC79" s="1420">
        <v>306784.5</v>
      </c>
      <c r="CD79" s="1420">
        <v>516533.61</v>
      </c>
      <c r="CE79" s="1420">
        <v>1188999.3799999999</v>
      </c>
      <c r="CF79" s="1420">
        <v>628694.56999999995</v>
      </c>
      <c r="CG79" s="1420">
        <v>516029.89</v>
      </c>
      <c r="CH79" s="1422">
        <v>0</v>
      </c>
      <c r="CI79" s="1422">
        <v>0</v>
      </c>
      <c r="CJ79" s="1422">
        <v>0</v>
      </c>
      <c r="CK79" s="1422">
        <v>0</v>
      </c>
      <c r="CL79" s="1422">
        <v>2523</v>
      </c>
      <c r="CM79" s="1422">
        <v>0</v>
      </c>
      <c r="CN79" s="1422">
        <v>400</v>
      </c>
      <c r="CO79" s="1422">
        <v>0</v>
      </c>
      <c r="CP79" s="1422">
        <v>0</v>
      </c>
      <c r="CQ79" s="1422">
        <v>0</v>
      </c>
      <c r="CR79" s="1422">
        <v>0</v>
      </c>
      <c r="CS79" s="1420">
        <v>516029.89</v>
      </c>
      <c r="CT79" s="1422">
        <v>2923</v>
      </c>
      <c r="CU79" s="1420">
        <v>5779120.0499999998</v>
      </c>
      <c r="CV79" s="1420">
        <v>4706370.54</v>
      </c>
      <c r="CW79" s="1420">
        <v>1892058.67</v>
      </c>
      <c r="CX79" s="1420">
        <v>1919687.19</v>
      </c>
      <c r="CY79" s="1420">
        <v>203488.86</v>
      </c>
      <c r="CZ79" s="1420">
        <v>190893.74</v>
      </c>
      <c r="DA79" s="1420">
        <v>157139.26</v>
      </c>
      <c r="DB79" s="1420">
        <v>138681.81</v>
      </c>
      <c r="DC79" s="1422">
        <v>0</v>
      </c>
      <c r="DD79" s="1422">
        <v>0</v>
      </c>
      <c r="DE79" s="1420">
        <v>222907.93</v>
      </c>
      <c r="DF79" s="1420">
        <v>215146.8</v>
      </c>
      <c r="DG79" s="1420">
        <v>48402.23</v>
      </c>
      <c r="DH79" s="1420">
        <v>55452.37</v>
      </c>
      <c r="DI79" s="1420">
        <v>2523996.9500000002</v>
      </c>
      <c r="DJ79" s="1420">
        <v>2519861.91</v>
      </c>
      <c r="DK79" s="1420">
        <v>176896.36</v>
      </c>
      <c r="DL79" s="1420">
        <v>258936.67</v>
      </c>
      <c r="DM79" s="1420">
        <v>57599.839999999997</v>
      </c>
      <c r="DN79" s="1420">
        <v>59241.7</v>
      </c>
      <c r="DO79" s="1420">
        <v>355890.15</v>
      </c>
      <c r="DP79" s="1420">
        <v>356403.20000000001</v>
      </c>
      <c r="DQ79" s="1420">
        <v>263756.37</v>
      </c>
      <c r="DR79" s="1420">
        <v>221807.84</v>
      </c>
      <c r="DS79" s="1420">
        <v>8725.64</v>
      </c>
      <c r="DT79" s="1422">
        <v>12523</v>
      </c>
      <c r="DU79" s="1420">
        <v>862868.36</v>
      </c>
      <c r="DV79" s="1420">
        <v>908912.41</v>
      </c>
      <c r="DW79" s="1420">
        <v>230584.21</v>
      </c>
      <c r="DX79" s="1420">
        <v>236933.92</v>
      </c>
      <c r="DY79" s="1420">
        <v>235790.52</v>
      </c>
      <c r="DZ79" s="1420">
        <v>231738.8</v>
      </c>
      <c r="EA79" s="1420">
        <v>229747.23</v>
      </c>
      <c r="EB79" s="1420">
        <v>230186.95</v>
      </c>
      <c r="EC79" s="1420">
        <v>696121.96</v>
      </c>
      <c r="ED79" s="1420">
        <v>698859.67</v>
      </c>
      <c r="EE79" s="1420">
        <v>252970.3</v>
      </c>
      <c r="EF79" s="1420">
        <v>242497.28</v>
      </c>
      <c r="EG79" s="1422">
        <v>0</v>
      </c>
      <c r="EH79" s="1422">
        <v>0</v>
      </c>
      <c r="EI79" s="1422">
        <v>0</v>
      </c>
      <c r="EJ79" s="1422">
        <v>500</v>
      </c>
      <c r="EK79" s="1422">
        <v>0</v>
      </c>
      <c r="EL79" s="1422">
        <v>0</v>
      </c>
      <c r="EM79" s="1420">
        <v>252970.3</v>
      </c>
      <c r="EN79" s="1420">
        <v>242997.28</v>
      </c>
      <c r="EO79" s="1420">
        <v>498307.99</v>
      </c>
      <c r="EP79" s="1420">
        <v>522037.14</v>
      </c>
      <c r="EQ79" s="1420">
        <v>381984.87</v>
      </c>
      <c r="ER79" s="1420">
        <v>249507.89</v>
      </c>
      <c r="ES79" s="1420">
        <v>44448.52</v>
      </c>
      <c r="ET79" s="1420">
        <v>5548.16</v>
      </c>
      <c r="EU79" s="1420">
        <v>5260698.95</v>
      </c>
      <c r="EV79" s="1420">
        <v>5147724.46</v>
      </c>
      <c r="EW79" s="1420">
        <v>602268.54</v>
      </c>
      <c r="EX79" s="1420">
        <v>538037.14</v>
      </c>
      <c r="EY79" s="1420">
        <v>381984.87</v>
      </c>
      <c r="EZ79" s="1420">
        <v>249507.89</v>
      </c>
      <c r="FA79" s="1420">
        <v>4276445.54</v>
      </c>
      <c r="FB79" s="1420">
        <v>4360179.43</v>
      </c>
      <c r="FC79" s="1420">
        <v>255100.83</v>
      </c>
      <c r="FD79" s="1439"/>
      <c r="FE79" s="1420">
        <v>4021344.71</v>
      </c>
      <c r="FF79" s="1439"/>
      <c r="FG79" s="1422">
        <v>9027</v>
      </c>
      <c r="FH79" s="1439"/>
      <c r="FI79" s="1420">
        <v>36.36</v>
      </c>
      <c r="FJ79" s="1439"/>
      <c r="FK79" s="1422">
        <v>42168</v>
      </c>
      <c r="FL79" s="1439"/>
      <c r="FM79" s="1420">
        <v>39.79</v>
      </c>
      <c r="FN79" s="1439"/>
      <c r="FO79" s="1422">
        <v>44900</v>
      </c>
      <c r="FP79" s="1439"/>
      <c r="FQ79" s="1420">
        <v>1265254.1000000001</v>
      </c>
      <c r="FR79" s="1439"/>
      <c r="FS79" s="1422">
        <v>8497</v>
      </c>
      <c r="FT79" s="1439"/>
      <c r="FU79" s="1422">
        <v>0</v>
      </c>
      <c r="FV79" s="1439"/>
      <c r="FW79" s="1420">
        <v>1256757.1000000001</v>
      </c>
      <c r="FX79" s="1439"/>
      <c r="FY79" s="1420">
        <v>879577.68</v>
      </c>
      <c r="FZ79" s="1439"/>
      <c r="GA79" s="1422">
        <v>0</v>
      </c>
      <c r="GB79" s="1439"/>
    </row>
    <row r="80" spans="1:184" ht="12.75" customHeight="1" thickBot="1">
      <c r="A80" s="1418" t="s">
        <v>557</v>
      </c>
      <c r="B80" s="1418" t="s">
        <v>558</v>
      </c>
      <c r="C80" s="1420">
        <v>329.58</v>
      </c>
      <c r="D80" s="1439"/>
      <c r="E80" s="1420">
        <v>1698.91</v>
      </c>
      <c r="F80" s="1439"/>
      <c r="G80" s="1421">
        <v>-0.02</v>
      </c>
      <c r="H80" s="1439"/>
      <c r="I80" s="1420">
        <v>1810.05</v>
      </c>
      <c r="J80" s="1439"/>
      <c r="K80" s="1420">
        <v>1843.92</v>
      </c>
      <c r="L80" s="1439"/>
      <c r="M80" s="1422">
        <v>146498193</v>
      </c>
      <c r="N80" s="1439"/>
      <c r="O80" s="1422">
        <v>25</v>
      </c>
      <c r="P80" s="1439"/>
      <c r="Q80" s="1422">
        <v>25</v>
      </c>
      <c r="R80" s="1439"/>
      <c r="S80" s="1422">
        <v>0</v>
      </c>
      <c r="T80" s="1439"/>
      <c r="U80" s="1422">
        <v>0</v>
      </c>
      <c r="V80" s="1439"/>
      <c r="W80" s="1422">
        <v>8</v>
      </c>
      <c r="X80" s="1439"/>
      <c r="Y80" s="1422">
        <v>33</v>
      </c>
      <c r="Z80" s="1439"/>
      <c r="AA80" s="1420">
        <v>5924275.5499999998</v>
      </c>
      <c r="AB80" s="1455"/>
      <c r="AC80" s="1424">
        <v>4666293.83</v>
      </c>
      <c r="AD80" s="1422">
        <v>4852447</v>
      </c>
      <c r="AE80" s="1420">
        <v>670216.67000000004</v>
      </c>
      <c r="AF80" s="1422">
        <v>332185</v>
      </c>
      <c r="AG80" s="1422">
        <v>0</v>
      </c>
      <c r="AH80" s="1456">
        <v>0</v>
      </c>
      <c r="AI80" s="1428">
        <v>7289667</v>
      </c>
      <c r="AJ80" s="1422">
        <v>7403079</v>
      </c>
      <c r="AK80" s="1422">
        <v>121016</v>
      </c>
      <c r="AL80" s="1422">
        <v>64000</v>
      </c>
      <c r="AM80" s="1422">
        <v>0</v>
      </c>
      <c r="AN80" s="1422">
        <v>0</v>
      </c>
      <c r="AO80" s="1422">
        <v>8854</v>
      </c>
      <c r="AP80" s="1422">
        <v>92467</v>
      </c>
      <c r="AQ80" s="1422">
        <v>0</v>
      </c>
      <c r="AR80" s="1422">
        <v>0</v>
      </c>
      <c r="AS80" s="1422">
        <v>0</v>
      </c>
      <c r="AT80" s="1422">
        <v>0</v>
      </c>
      <c r="AU80" s="1422">
        <v>0</v>
      </c>
      <c r="AV80" s="1422">
        <v>0</v>
      </c>
      <c r="AW80" s="1422">
        <v>174693</v>
      </c>
      <c r="AX80" s="1422">
        <v>175000</v>
      </c>
      <c r="AY80" s="1420">
        <v>12930740.5</v>
      </c>
      <c r="AZ80" s="1422">
        <v>12919178</v>
      </c>
      <c r="BA80" s="1422">
        <v>0</v>
      </c>
      <c r="BB80" s="1422">
        <v>0</v>
      </c>
      <c r="BC80" s="1422">
        <v>76265</v>
      </c>
      <c r="BD80" s="1422">
        <v>76870</v>
      </c>
      <c r="BE80" s="1420">
        <v>6363.46</v>
      </c>
      <c r="BF80" s="1422">
        <v>2000</v>
      </c>
      <c r="BG80" s="1422">
        <v>400</v>
      </c>
      <c r="BH80" s="1422">
        <v>200</v>
      </c>
      <c r="BI80" s="1422">
        <v>195837</v>
      </c>
      <c r="BJ80" s="1422">
        <v>187395</v>
      </c>
      <c r="BK80" s="1422">
        <v>0</v>
      </c>
      <c r="BL80" s="1422">
        <v>1000</v>
      </c>
      <c r="BM80" s="1422">
        <v>485584</v>
      </c>
      <c r="BN80" s="1422">
        <v>503470</v>
      </c>
      <c r="BO80" s="1420">
        <v>7553.86</v>
      </c>
      <c r="BP80" s="1422">
        <v>0</v>
      </c>
      <c r="BQ80" s="1422">
        <v>16250</v>
      </c>
      <c r="BR80" s="1422">
        <v>15438</v>
      </c>
      <c r="BS80" s="1420">
        <v>6299.23</v>
      </c>
      <c r="BT80" s="1422">
        <v>6500</v>
      </c>
      <c r="BU80" s="1422">
        <v>0</v>
      </c>
      <c r="BV80" s="1422">
        <v>0</v>
      </c>
      <c r="BW80" s="1422">
        <v>0</v>
      </c>
      <c r="BX80" s="1422">
        <v>0</v>
      </c>
      <c r="BY80" s="1422">
        <v>0</v>
      </c>
      <c r="BZ80" s="1422">
        <v>0</v>
      </c>
      <c r="CA80" s="1420">
        <v>217195.51999999999</v>
      </c>
      <c r="CB80" s="1422">
        <v>1124851</v>
      </c>
      <c r="CC80" s="1420">
        <v>1011748.07</v>
      </c>
      <c r="CD80" s="1422">
        <v>1917724</v>
      </c>
      <c r="CE80" s="1420">
        <v>3370144.55</v>
      </c>
      <c r="CF80" s="1422">
        <v>2174035</v>
      </c>
      <c r="CG80" s="1420">
        <v>461.21</v>
      </c>
      <c r="CH80" s="1422">
        <v>500</v>
      </c>
      <c r="CI80" s="1422">
        <v>0</v>
      </c>
      <c r="CJ80" s="1422">
        <v>0</v>
      </c>
      <c r="CK80" s="1420">
        <v>69421.03</v>
      </c>
      <c r="CL80" s="1420">
        <v>67836.399999999994</v>
      </c>
      <c r="CM80" s="1420">
        <v>2664.5</v>
      </c>
      <c r="CN80" s="1422">
        <v>5000</v>
      </c>
      <c r="CO80" s="1420">
        <v>6243.75</v>
      </c>
      <c r="CP80" s="1422">
        <v>0</v>
      </c>
      <c r="CQ80" s="1422">
        <v>0</v>
      </c>
      <c r="CR80" s="1422">
        <v>5000</v>
      </c>
      <c r="CS80" s="1420">
        <v>78790.490000000005</v>
      </c>
      <c r="CT80" s="1420">
        <v>78336.399999999994</v>
      </c>
      <c r="CU80" s="1420">
        <v>17391423.609999999</v>
      </c>
      <c r="CV80" s="1420">
        <v>17089273.399999999</v>
      </c>
      <c r="CW80" s="1420">
        <v>6487561.7400000002</v>
      </c>
      <c r="CX80" s="1420">
        <v>6134471.4299999997</v>
      </c>
      <c r="CY80" s="1420">
        <v>836386.77</v>
      </c>
      <c r="CZ80" s="1422">
        <v>805637</v>
      </c>
      <c r="DA80" s="1420">
        <v>435546.16</v>
      </c>
      <c r="DB80" s="1422">
        <v>364047</v>
      </c>
      <c r="DC80" s="1422">
        <v>0</v>
      </c>
      <c r="DD80" s="1422">
        <v>0</v>
      </c>
      <c r="DE80" s="1420">
        <v>779188.19</v>
      </c>
      <c r="DF80" s="1420">
        <v>836495.2</v>
      </c>
      <c r="DG80" s="1420">
        <v>344329.64</v>
      </c>
      <c r="DH80" s="1420">
        <v>311809.95</v>
      </c>
      <c r="DI80" s="1420">
        <v>8883012.5</v>
      </c>
      <c r="DJ80" s="1420">
        <v>8452460.5800000001</v>
      </c>
      <c r="DK80" s="1420">
        <v>316940.58</v>
      </c>
      <c r="DL80" s="1422">
        <v>355033</v>
      </c>
      <c r="DM80" s="1420">
        <v>191490.53</v>
      </c>
      <c r="DN80" s="1422">
        <v>161057</v>
      </c>
      <c r="DO80" s="1420">
        <v>1566321.74</v>
      </c>
      <c r="DP80" s="1422">
        <v>1621281</v>
      </c>
      <c r="DQ80" s="1420">
        <v>860292.76</v>
      </c>
      <c r="DR80" s="1422">
        <v>817467</v>
      </c>
      <c r="DS80" s="1420">
        <v>93065.3</v>
      </c>
      <c r="DT80" s="1420">
        <v>92836.4</v>
      </c>
      <c r="DU80" s="1420">
        <v>3028110.91</v>
      </c>
      <c r="DV80" s="1420">
        <v>3047674.4</v>
      </c>
      <c r="DW80" s="1420">
        <v>852936.29</v>
      </c>
      <c r="DX80" s="1420">
        <v>809465.86</v>
      </c>
      <c r="DY80" s="1420">
        <v>1996308.99</v>
      </c>
      <c r="DZ80" s="1420">
        <v>1370930.4</v>
      </c>
      <c r="EA80" s="1420">
        <v>804706.79</v>
      </c>
      <c r="EB80" s="1422">
        <v>726204</v>
      </c>
      <c r="EC80" s="1420">
        <v>3653952.07</v>
      </c>
      <c r="ED80" s="1420">
        <v>2906600.26</v>
      </c>
      <c r="EE80" s="1420">
        <v>779213.05</v>
      </c>
      <c r="EF80" s="1422">
        <v>762241</v>
      </c>
      <c r="EG80" s="1420">
        <v>181.59</v>
      </c>
      <c r="EH80" s="1422">
        <v>0</v>
      </c>
      <c r="EI80" s="1420">
        <v>65.239999999999995</v>
      </c>
      <c r="EJ80" s="1422">
        <v>4000</v>
      </c>
      <c r="EK80" s="1422">
        <v>0</v>
      </c>
      <c r="EL80" s="1422">
        <v>0</v>
      </c>
      <c r="EM80" s="1420">
        <v>779459.88</v>
      </c>
      <c r="EN80" s="1422">
        <v>766241</v>
      </c>
      <c r="EO80" s="1420">
        <v>287332.52</v>
      </c>
      <c r="EP80" s="1422">
        <v>1043954</v>
      </c>
      <c r="EQ80" s="1420">
        <v>823341.63</v>
      </c>
      <c r="ER80" s="1422">
        <v>927190</v>
      </c>
      <c r="ES80" s="1420">
        <v>9639.5499999999993</v>
      </c>
      <c r="ET80" s="1422">
        <v>0</v>
      </c>
      <c r="EU80" s="1420">
        <v>17464849.059999999</v>
      </c>
      <c r="EV80" s="1420">
        <v>17144120.239999998</v>
      </c>
      <c r="EW80" s="1420">
        <v>904252.88</v>
      </c>
      <c r="EX80" s="1422">
        <v>1326779</v>
      </c>
      <c r="EY80" s="1420">
        <v>823341.63</v>
      </c>
      <c r="EZ80" s="1422">
        <v>927190</v>
      </c>
      <c r="FA80" s="1420">
        <v>15737254.550000001</v>
      </c>
      <c r="FB80" s="1420">
        <v>14890151.24</v>
      </c>
      <c r="FC80" s="1420">
        <v>516093.06</v>
      </c>
      <c r="FD80" s="1439"/>
      <c r="FE80" s="1420">
        <v>15221161.49</v>
      </c>
      <c r="FF80" s="1439"/>
      <c r="FG80" s="1422">
        <v>8959</v>
      </c>
      <c r="FH80" s="1439"/>
      <c r="FI80" s="1420">
        <v>131.26</v>
      </c>
      <c r="FJ80" s="1439"/>
      <c r="FK80" s="1422">
        <v>46247</v>
      </c>
      <c r="FL80" s="1439"/>
      <c r="FM80" s="1420">
        <v>140.86000000000001</v>
      </c>
      <c r="FN80" s="1439"/>
      <c r="FO80" s="1422">
        <v>48241</v>
      </c>
      <c r="FP80" s="1439"/>
      <c r="FQ80" s="1420">
        <v>2786952.25</v>
      </c>
      <c r="FR80" s="1439"/>
      <c r="FS80" s="1420">
        <v>107086.19</v>
      </c>
      <c r="FT80" s="1439"/>
      <c r="FU80" s="1422">
        <v>0</v>
      </c>
      <c r="FV80" s="1439"/>
      <c r="FW80" s="1420">
        <v>2679866.06</v>
      </c>
      <c r="FX80" s="1439"/>
      <c r="FY80" s="1422">
        <v>0</v>
      </c>
      <c r="FZ80" s="1439"/>
      <c r="GA80" s="1422">
        <v>0</v>
      </c>
      <c r="GB80" s="1439"/>
    </row>
    <row r="81" spans="1:184" ht="12.75" customHeight="1" thickBot="1">
      <c r="A81" s="1418" t="s">
        <v>559</v>
      </c>
      <c r="B81" s="1418" t="s">
        <v>560</v>
      </c>
      <c r="C81" s="1420">
        <v>226.52</v>
      </c>
      <c r="D81" s="1439"/>
      <c r="E81" s="1420">
        <v>444.49</v>
      </c>
      <c r="F81" s="1439"/>
      <c r="G81" s="1421">
        <v>0.02</v>
      </c>
      <c r="H81" s="1439"/>
      <c r="I81" s="1420">
        <v>469.53</v>
      </c>
      <c r="J81" s="1439"/>
      <c r="K81" s="1420">
        <v>396.29</v>
      </c>
      <c r="L81" s="1439"/>
      <c r="M81" s="1422">
        <v>34275570</v>
      </c>
      <c r="N81" s="1439"/>
      <c r="O81" s="1422">
        <v>30</v>
      </c>
      <c r="P81" s="1439"/>
      <c r="Q81" s="1422">
        <v>25</v>
      </c>
      <c r="R81" s="1439"/>
      <c r="S81" s="1422">
        <v>5</v>
      </c>
      <c r="T81" s="1439"/>
      <c r="U81" s="1422">
        <v>0</v>
      </c>
      <c r="V81" s="1439"/>
      <c r="W81" s="1422">
        <v>5</v>
      </c>
      <c r="X81" s="1439"/>
      <c r="Y81" s="1422">
        <v>35</v>
      </c>
      <c r="Z81" s="1439"/>
      <c r="AA81" s="1420">
        <v>997516.80000000005</v>
      </c>
      <c r="AB81" s="1455"/>
      <c r="AC81" s="1424">
        <v>964930.81</v>
      </c>
      <c r="AD81" s="1422">
        <v>1176680</v>
      </c>
      <c r="AE81" s="1420">
        <v>231959.19</v>
      </c>
      <c r="AF81" s="1422">
        <v>79700</v>
      </c>
      <c r="AG81" s="1420">
        <v>12.02</v>
      </c>
      <c r="AH81" s="1456">
        <v>0</v>
      </c>
      <c r="AI81" s="1428">
        <v>2078225</v>
      </c>
      <c r="AJ81" s="1422">
        <v>2040567</v>
      </c>
      <c r="AK81" s="1422">
        <v>41278</v>
      </c>
      <c r="AL81" s="1422">
        <v>0</v>
      </c>
      <c r="AM81" s="1422">
        <v>74618</v>
      </c>
      <c r="AN81" s="1422">
        <v>0</v>
      </c>
      <c r="AO81" s="1422">
        <v>0</v>
      </c>
      <c r="AP81" s="1422">
        <v>0</v>
      </c>
      <c r="AQ81" s="1422">
        <v>341846</v>
      </c>
      <c r="AR81" s="1422">
        <v>0</v>
      </c>
      <c r="AS81" s="1422">
        <v>28050</v>
      </c>
      <c r="AT81" s="1422">
        <v>0</v>
      </c>
      <c r="AU81" s="1422">
        <v>0</v>
      </c>
      <c r="AV81" s="1422">
        <v>0</v>
      </c>
      <c r="AW81" s="1422">
        <v>4876</v>
      </c>
      <c r="AX81" s="1422">
        <v>0</v>
      </c>
      <c r="AY81" s="1420">
        <v>3765795.02</v>
      </c>
      <c r="AZ81" s="1422">
        <v>3296947</v>
      </c>
      <c r="BA81" s="1422">
        <v>0</v>
      </c>
      <c r="BB81" s="1422">
        <v>0</v>
      </c>
      <c r="BC81" s="1422">
        <v>18912</v>
      </c>
      <c r="BD81" s="1422">
        <v>19874</v>
      </c>
      <c r="BE81" s="1422">
        <v>0</v>
      </c>
      <c r="BF81" s="1422">
        <v>0</v>
      </c>
      <c r="BG81" s="1422">
        <v>200</v>
      </c>
      <c r="BH81" s="1422">
        <v>0</v>
      </c>
      <c r="BI81" s="1422">
        <v>27296</v>
      </c>
      <c r="BJ81" s="1422">
        <v>26984</v>
      </c>
      <c r="BK81" s="1422">
        <v>0</v>
      </c>
      <c r="BL81" s="1422">
        <v>0</v>
      </c>
      <c r="BM81" s="1422">
        <v>147875</v>
      </c>
      <c r="BN81" s="1422">
        <v>151294</v>
      </c>
      <c r="BO81" s="1420">
        <v>76971.399999999994</v>
      </c>
      <c r="BP81" s="1422">
        <v>0</v>
      </c>
      <c r="BQ81" s="1422">
        <v>0</v>
      </c>
      <c r="BR81" s="1422">
        <v>0</v>
      </c>
      <c r="BS81" s="1420">
        <v>1733.23</v>
      </c>
      <c r="BT81" s="1422">
        <v>1500</v>
      </c>
      <c r="BU81" s="1422">
        <v>0</v>
      </c>
      <c r="BV81" s="1422">
        <v>0</v>
      </c>
      <c r="BW81" s="1422">
        <v>127736</v>
      </c>
      <c r="BX81" s="1422">
        <v>126360</v>
      </c>
      <c r="BY81" s="1422">
        <v>0</v>
      </c>
      <c r="BZ81" s="1422">
        <v>0</v>
      </c>
      <c r="CA81" s="1422">
        <v>32300</v>
      </c>
      <c r="CB81" s="1422">
        <v>10322</v>
      </c>
      <c r="CC81" s="1420">
        <v>433023.63</v>
      </c>
      <c r="CD81" s="1422">
        <v>336334</v>
      </c>
      <c r="CE81" s="1420">
        <v>839382.83</v>
      </c>
      <c r="CF81" s="1422">
        <v>718204</v>
      </c>
      <c r="CG81" s="1422">
        <v>0</v>
      </c>
      <c r="CH81" s="1422">
        <v>0</v>
      </c>
      <c r="CI81" s="1422">
        <v>0</v>
      </c>
      <c r="CJ81" s="1422">
        <v>0</v>
      </c>
      <c r="CK81" s="1422">
        <v>0</v>
      </c>
      <c r="CL81" s="1422">
        <v>0</v>
      </c>
      <c r="CM81" s="1422">
        <v>0</v>
      </c>
      <c r="CN81" s="1422">
        <v>0</v>
      </c>
      <c r="CO81" s="1422">
        <v>0</v>
      </c>
      <c r="CP81" s="1422">
        <v>0</v>
      </c>
      <c r="CQ81" s="1422">
        <v>0</v>
      </c>
      <c r="CR81" s="1422">
        <v>0</v>
      </c>
      <c r="CS81" s="1422">
        <v>0</v>
      </c>
      <c r="CT81" s="1422">
        <v>0</v>
      </c>
      <c r="CU81" s="1420">
        <v>5038201.4800000004</v>
      </c>
      <c r="CV81" s="1422">
        <v>4351485</v>
      </c>
      <c r="CW81" s="1420">
        <v>1860037.16</v>
      </c>
      <c r="CX81" s="1420">
        <v>1750323.87</v>
      </c>
      <c r="CY81" s="1420">
        <v>324610.40999999997</v>
      </c>
      <c r="CZ81" s="1420">
        <v>298181.34000000003</v>
      </c>
      <c r="DA81" s="1420">
        <v>186055.35</v>
      </c>
      <c r="DB81" s="1420">
        <v>172755.5</v>
      </c>
      <c r="DC81" s="1422">
        <v>0</v>
      </c>
      <c r="DD81" s="1422">
        <v>0</v>
      </c>
      <c r="DE81" s="1420">
        <v>232511.64</v>
      </c>
      <c r="DF81" s="1420">
        <v>301632.18</v>
      </c>
      <c r="DG81" s="1420">
        <v>79617.350000000006</v>
      </c>
      <c r="DH81" s="1420">
        <v>130572.33</v>
      </c>
      <c r="DI81" s="1420">
        <v>2682831.91</v>
      </c>
      <c r="DJ81" s="1420">
        <v>2653465.2200000002</v>
      </c>
      <c r="DK81" s="1420">
        <v>176271.6</v>
      </c>
      <c r="DL81" s="1420">
        <v>179747.64</v>
      </c>
      <c r="DM81" s="1420">
        <v>6118.64</v>
      </c>
      <c r="DN81" s="1422">
        <v>1200</v>
      </c>
      <c r="DO81" s="1420">
        <v>318348.09999999998</v>
      </c>
      <c r="DP81" s="1420">
        <v>311938.23</v>
      </c>
      <c r="DQ81" s="1420">
        <v>275300.74</v>
      </c>
      <c r="DR81" s="1420">
        <v>382091.64</v>
      </c>
      <c r="DS81" s="1420">
        <v>14533.58</v>
      </c>
      <c r="DT81" s="1422">
        <v>5000</v>
      </c>
      <c r="DU81" s="1420">
        <v>790572.66</v>
      </c>
      <c r="DV81" s="1420">
        <v>879977.51</v>
      </c>
      <c r="DW81" s="1420">
        <v>150206.72</v>
      </c>
      <c r="DX81" s="1420">
        <v>151942.82999999999</v>
      </c>
      <c r="DY81" s="1420">
        <v>132185.14000000001</v>
      </c>
      <c r="DZ81" s="1420">
        <v>129826.81</v>
      </c>
      <c r="EA81" s="1420">
        <v>204829.86</v>
      </c>
      <c r="EB81" s="1420">
        <v>196614.94</v>
      </c>
      <c r="EC81" s="1420">
        <v>487221.72</v>
      </c>
      <c r="ED81" s="1420">
        <v>478384.58</v>
      </c>
      <c r="EE81" s="1420">
        <v>250045.85</v>
      </c>
      <c r="EF81" s="1420">
        <v>206452.9</v>
      </c>
      <c r="EG81" s="1422">
        <v>0</v>
      </c>
      <c r="EH81" s="1422">
        <v>0</v>
      </c>
      <c r="EI81" s="1420">
        <v>287.68</v>
      </c>
      <c r="EJ81" s="1422">
        <v>0</v>
      </c>
      <c r="EK81" s="1422">
        <v>0</v>
      </c>
      <c r="EL81" s="1422">
        <v>0</v>
      </c>
      <c r="EM81" s="1420">
        <v>250333.53</v>
      </c>
      <c r="EN81" s="1420">
        <v>206452.9</v>
      </c>
      <c r="EO81" s="1422">
        <v>0</v>
      </c>
      <c r="EP81" s="1422">
        <v>0</v>
      </c>
      <c r="EQ81" s="1420">
        <v>96406.73</v>
      </c>
      <c r="ER81" s="1422">
        <v>73729</v>
      </c>
      <c r="ES81" s="1422">
        <v>0</v>
      </c>
      <c r="ET81" s="1422">
        <v>0</v>
      </c>
      <c r="EU81" s="1420">
        <v>4307366.55</v>
      </c>
      <c r="EV81" s="1420">
        <v>4292009.21</v>
      </c>
      <c r="EW81" s="1420">
        <v>104276.23</v>
      </c>
      <c r="EX81" s="1422">
        <v>141900</v>
      </c>
      <c r="EY81" s="1420">
        <v>96406.73</v>
      </c>
      <c r="EZ81" s="1422">
        <v>73729</v>
      </c>
      <c r="FA81" s="1420">
        <v>4106683.59</v>
      </c>
      <c r="FB81" s="1420">
        <v>4076380.21</v>
      </c>
      <c r="FC81" s="1420">
        <v>458327.21</v>
      </c>
      <c r="FD81" s="1439"/>
      <c r="FE81" s="1420">
        <v>3648356.38</v>
      </c>
      <c r="FF81" s="1439"/>
      <c r="FG81" s="1422">
        <v>8207</v>
      </c>
      <c r="FH81" s="1439"/>
      <c r="FI81" s="1420">
        <v>43.77</v>
      </c>
      <c r="FJ81" s="1439"/>
      <c r="FK81" s="1422">
        <v>29757</v>
      </c>
      <c r="FL81" s="1439"/>
      <c r="FM81" s="1420">
        <v>46.77</v>
      </c>
      <c r="FN81" s="1439"/>
      <c r="FO81" s="1422">
        <v>32107</v>
      </c>
      <c r="FP81" s="1439"/>
      <c r="FQ81" s="1420">
        <v>569310.56999999995</v>
      </c>
      <c r="FR81" s="1439"/>
      <c r="FS81" s="1420">
        <v>54678.22</v>
      </c>
      <c r="FT81" s="1439"/>
      <c r="FU81" s="1422">
        <v>0</v>
      </c>
      <c r="FV81" s="1439"/>
      <c r="FW81" s="1420">
        <v>514632.35</v>
      </c>
      <c r="FX81" s="1439"/>
      <c r="FY81" s="1420">
        <v>794689.04</v>
      </c>
      <c r="FZ81" s="1439"/>
      <c r="GA81" s="1422">
        <v>0</v>
      </c>
      <c r="GB81" s="1439"/>
    </row>
    <row r="82" spans="1:184" ht="12.75" customHeight="1" thickBot="1">
      <c r="A82" s="1418" t="s">
        <v>561</v>
      </c>
      <c r="B82" s="1418" t="s">
        <v>562</v>
      </c>
      <c r="C82" s="1420">
        <v>226.86</v>
      </c>
      <c r="D82" s="1439"/>
      <c r="E82" s="1420">
        <v>694.79</v>
      </c>
      <c r="F82" s="1439"/>
      <c r="G82" s="1421">
        <v>-0.01</v>
      </c>
      <c r="H82" s="1439"/>
      <c r="I82" s="1420">
        <v>728.42</v>
      </c>
      <c r="J82" s="1439"/>
      <c r="K82" s="1420">
        <v>737.22</v>
      </c>
      <c r="L82" s="1439"/>
      <c r="M82" s="1422">
        <v>41747303</v>
      </c>
      <c r="N82" s="1439"/>
      <c r="O82" s="1422">
        <v>25</v>
      </c>
      <c r="P82" s="1439"/>
      <c r="Q82" s="1422">
        <v>25</v>
      </c>
      <c r="R82" s="1439"/>
      <c r="S82" s="1422">
        <v>0</v>
      </c>
      <c r="T82" s="1439"/>
      <c r="U82" s="1422">
        <v>0</v>
      </c>
      <c r="V82" s="1439"/>
      <c r="W82" s="1420">
        <v>6.5</v>
      </c>
      <c r="X82" s="1439"/>
      <c r="Y82" s="1420">
        <v>31.5</v>
      </c>
      <c r="Z82" s="1439"/>
      <c r="AA82" s="1422">
        <v>630000</v>
      </c>
      <c r="AB82" s="1455"/>
      <c r="AC82" s="1424">
        <v>1216904.42</v>
      </c>
      <c r="AD82" s="1422">
        <v>1262000</v>
      </c>
      <c r="AE82" s="1420">
        <v>362918.76</v>
      </c>
      <c r="AF82" s="1422">
        <v>125500</v>
      </c>
      <c r="AG82" s="1420">
        <v>15.54</v>
      </c>
      <c r="AH82" s="1456">
        <v>3000</v>
      </c>
      <c r="AI82" s="1428">
        <v>3436983</v>
      </c>
      <c r="AJ82" s="1422">
        <v>3444104</v>
      </c>
      <c r="AK82" s="1422">
        <v>42721</v>
      </c>
      <c r="AL82" s="1422">
        <v>45000</v>
      </c>
      <c r="AM82" s="1422">
        <v>0</v>
      </c>
      <c r="AN82" s="1422">
        <v>0</v>
      </c>
      <c r="AO82" s="1422">
        <v>0</v>
      </c>
      <c r="AP82" s="1422">
        <v>29184</v>
      </c>
      <c r="AQ82" s="1422">
        <v>0</v>
      </c>
      <c r="AR82" s="1422">
        <v>0</v>
      </c>
      <c r="AS82" s="1422">
        <v>0</v>
      </c>
      <c r="AT82" s="1422">
        <v>0</v>
      </c>
      <c r="AU82" s="1422">
        <v>1670</v>
      </c>
      <c r="AV82" s="1422">
        <v>1336</v>
      </c>
      <c r="AW82" s="1422">
        <v>0</v>
      </c>
      <c r="AX82" s="1422">
        <v>0</v>
      </c>
      <c r="AY82" s="1420">
        <v>5061212.72</v>
      </c>
      <c r="AZ82" s="1422">
        <v>4910124</v>
      </c>
      <c r="BA82" s="1422">
        <v>0</v>
      </c>
      <c r="BB82" s="1422">
        <v>0</v>
      </c>
      <c r="BC82" s="1422">
        <v>30491</v>
      </c>
      <c r="BD82" s="1422">
        <v>30841</v>
      </c>
      <c r="BE82" s="1420">
        <v>7134.29</v>
      </c>
      <c r="BF82" s="1422">
        <v>2500</v>
      </c>
      <c r="BG82" s="1422">
        <v>150</v>
      </c>
      <c r="BH82" s="1422">
        <v>100</v>
      </c>
      <c r="BI82" s="1422">
        <v>17471</v>
      </c>
      <c r="BJ82" s="1422">
        <v>28642</v>
      </c>
      <c r="BK82" s="1422">
        <v>0</v>
      </c>
      <c r="BL82" s="1422">
        <v>0</v>
      </c>
      <c r="BM82" s="1422">
        <v>227664</v>
      </c>
      <c r="BN82" s="1422">
        <v>229724</v>
      </c>
      <c r="BO82" s="1420">
        <v>31369.79</v>
      </c>
      <c r="BP82" s="1422">
        <v>28500</v>
      </c>
      <c r="BQ82" s="1422">
        <v>0</v>
      </c>
      <c r="BR82" s="1422">
        <v>0</v>
      </c>
      <c r="BS82" s="1420">
        <v>3145.07</v>
      </c>
      <c r="BT82" s="1422">
        <v>3000</v>
      </c>
      <c r="BU82" s="1422">
        <v>0</v>
      </c>
      <c r="BV82" s="1422">
        <v>0</v>
      </c>
      <c r="BW82" s="1422">
        <v>0</v>
      </c>
      <c r="BX82" s="1422">
        <v>0</v>
      </c>
      <c r="BY82" s="1422">
        <v>0</v>
      </c>
      <c r="BZ82" s="1422">
        <v>0</v>
      </c>
      <c r="CA82" s="1422">
        <v>45962</v>
      </c>
      <c r="CB82" s="1422">
        <v>146965</v>
      </c>
      <c r="CC82" s="1420">
        <v>363387.15</v>
      </c>
      <c r="CD82" s="1422">
        <v>470272</v>
      </c>
      <c r="CE82" s="1420">
        <v>1049726.21</v>
      </c>
      <c r="CF82" s="1420">
        <v>917503.92</v>
      </c>
      <c r="CG82" s="1420">
        <v>1618.48</v>
      </c>
      <c r="CH82" s="1422">
        <v>0</v>
      </c>
      <c r="CI82" s="1422">
        <v>0</v>
      </c>
      <c r="CJ82" s="1422">
        <v>0</v>
      </c>
      <c r="CK82" s="1422">
        <v>0</v>
      </c>
      <c r="CL82" s="1422">
        <v>0</v>
      </c>
      <c r="CM82" s="1420">
        <v>2481.5</v>
      </c>
      <c r="CN82" s="1422">
        <v>0</v>
      </c>
      <c r="CO82" s="1420">
        <v>2191.2800000000002</v>
      </c>
      <c r="CP82" s="1422">
        <v>0</v>
      </c>
      <c r="CQ82" s="1422">
        <v>0</v>
      </c>
      <c r="CR82" s="1422">
        <v>0</v>
      </c>
      <c r="CS82" s="1420">
        <v>6291.26</v>
      </c>
      <c r="CT82" s="1422">
        <v>0</v>
      </c>
      <c r="CU82" s="1420">
        <v>6480617.3399999999</v>
      </c>
      <c r="CV82" s="1420">
        <v>6297899.9199999999</v>
      </c>
      <c r="CW82" s="1420">
        <v>2644320.7200000002</v>
      </c>
      <c r="CX82" s="1420">
        <v>2604365.06</v>
      </c>
      <c r="CY82" s="1420">
        <v>454068.55</v>
      </c>
      <c r="CZ82" s="1420">
        <v>429853.72</v>
      </c>
      <c r="DA82" s="1420">
        <v>219978.11</v>
      </c>
      <c r="DB82" s="1420">
        <v>222082.97</v>
      </c>
      <c r="DC82" s="1422">
        <v>0</v>
      </c>
      <c r="DD82" s="1422">
        <v>0</v>
      </c>
      <c r="DE82" s="1420">
        <v>208127.64</v>
      </c>
      <c r="DF82" s="1420">
        <v>215438.85</v>
      </c>
      <c r="DG82" s="1420">
        <v>245788.39</v>
      </c>
      <c r="DH82" s="1420">
        <v>266911.07</v>
      </c>
      <c r="DI82" s="1420">
        <v>3772283.41</v>
      </c>
      <c r="DJ82" s="1420">
        <v>3738651.67</v>
      </c>
      <c r="DK82" s="1420">
        <v>207978.75</v>
      </c>
      <c r="DL82" s="1420">
        <v>192668.74</v>
      </c>
      <c r="DM82" s="1420">
        <v>77815.149999999994</v>
      </c>
      <c r="DN82" s="1420">
        <v>81392.83</v>
      </c>
      <c r="DO82" s="1420">
        <v>540966.57999999996</v>
      </c>
      <c r="DP82" s="1420">
        <v>488879.97</v>
      </c>
      <c r="DQ82" s="1420">
        <v>372122.57</v>
      </c>
      <c r="DR82" s="1420">
        <v>391504.97</v>
      </c>
      <c r="DS82" s="1420">
        <v>12343.97</v>
      </c>
      <c r="DT82" s="1422">
        <v>6000</v>
      </c>
      <c r="DU82" s="1420">
        <v>1211227.02</v>
      </c>
      <c r="DV82" s="1420">
        <v>1160446.51</v>
      </c>
      <c r="DW82" s="1420">
        <v>219737.99</v>
      </c>
      <c r="DX82" s="1420">
        <v>241038.27</v>
      </c>
      <c r="DY82" s="1420">
        <v>305675.03000000003</v>
      </c>
      <c r="DZ82" s="1420">
        <v>267131.27</v>
      </c>
      <c r="EA82" s="1420">
        <v>215118.32</v>
      </c>
      <c r="EB82" s="1420">
        <v>216836.54</v>
      </c>
      <c r="EC82" s="1420">
        <v>740531.34</v>
      </c>
      <c r="ED82" s="1420">
        <v>725006.08</v>
      </c>
      <c r="EE82" s="1420">
        <v>408573.6</v>
      </c>
      <c r="EF82" s="1422">
        <v>425825</v>
      </c>
      <c r="EG82" s="1420">
        <v>53167.040000000001</v>
      </c>
      <c r="EH82" s="1422">
        <v>0</v>
      </c>
      <c r="EI82" s="1420">
        <v>361.22</v>
      </c>
      <c r="EJ82" s="1420">
        <v>3002.45</v>
      </c>
      <c r="EK82" s="1422">
        <v>0</v>
      </c>
      <c r="EL82" s="1422">
        <v>0</v>
      </c>
      <c r="EM82" s="1420">
        <v>462101.86</v>
      </c>
      <c r="EN82" s="1420">
        <v>428827.45</v>
      </c>
      <c r="EO82" s="1420">
        <v>386842.7</v>
      </c>
      <c r="EP82" s="1422">
        <v>172414</v>
      </c>
      <c r="EQ82" s="1420">
        <v>175127.5</v>
      </c>
      <c r="ER82" s="1422">
        <v>181570</v>
      </c>
      <c r="ES82" s="1422">
        <v>0</v>
      </c>
      <c r="ET82" s="1422">
        <v>0</v>
      </c>
      <c r="EU82" s="1420">
        <v>6748113.8300000001</v>
      </c>
      <c r="EV82" s="1420">
        <v>6406915.71</v>
      </c>
      <c r="EW82" s="1420">
        <v>636775.80000000005</v>
      </c>
      <c r="EX82" s="1422">
        <v>309134</v>
      </c>
      <c r="EY82" s="1420">
        <v>175127.5</v>
      </c>
      <c r="EZ82" s="1422">
        <v>181570</v>
      </c>
      <c r="FA82" s="1420">
        <v>5936210.5300000003</v>
      </c>
      <c r="FB82" s="1420">
        <v>5916211.71</v>
      </c>
      <c r="FC82" s="1420">
        <v>271668.19</v>
      </c>
      <c r="FD82" s="1439"/>
      <c r="FE82" s="1420">
        <v>5664542.3399999999</v>
      </c>
      <c r="FF82" s="1439"/>
      <c r="FG82" s="1422">
        <v>8152</v>
      </c>
      <c r="FH82" s="1439"/>
      <c r="FI82" s="1420">
        <v>54.96</v>
      </c>
      <c r="FJ82" s="1439"/>
      <c r="FK82" s="1422">
        <v>43713</v>
      </c>
      <c r="FL82" s="1439"/>
      <c r="FM82" s="1420">
        <v>57.8</v>
      </c>
      <c r="FN82" s="1439"/>
      <c r="FO82" s="1422">
        <v>45293</v>
      </c>
      <c r="FP82" s="1439"/>
      <c r="FQ82" s="1420">
        <v>1448322.12</v>
      </c>
      <c r="FR82" s="1439"/>
      <c r="FS82" s="1420">
        <v>17431.96</v>
      </c>
      <c r="FT82" s="1439"/>
      <c r="FU82" s="1422">
        <v>0</v>
      </c>
      <c r="FV82" s="1439"/>
      <c r="FW82" s="1420">
        <v>1430890.16</v>
      </c>
      <c r="FX82" s="1439"/>
      <c r="FY82" s="1420">
        <v>1347464.32</v>
      </c>
      <c r="FZ82" s="1439"/>
      <c r="GA82" s="1422">
        <v>0</v>
      </c>
      <c r="GB82" s="1439"/>
    </row>
    <row r="83" spans="1:184" ht="12.75" customHeight="1" thickBot="1">
      <c r="A83" s="1418" t="s">
        <v>563</v>
      </c>
      <c r="B83" s="1418" t="s">
        <v>564</v>
      </c>
      <c r="C83" s="1420">
        <v>236.37</v>
      </c>
      <c r="D83" s="1439"/>
      <c r="E83" s="1420">
        <v>391.76</v>
      </c>
      <c r="F83" s="1439"/>
      <c r="G83" s="1421">
        <v>0.01</v>
      </c>
      <c r="H83" s="1439"/>
      <c r="I83" s="1420">
        <v>410.1</v>
      </c>
      <c r="J83" s="1439"/>
      <c r="K83" s="1420">
        <v>414.54</v>
      </c>
      <c r="L83" s="1439"/>
      <c r="M83" s="1422">
        <v>34590129</v>
      </c>
      <c r="N83" s="1439"/>
      <c r="O83" s="1422">
        <v>25</v>
      </c>
      <c r="P83" s="1439"/>
      <c r="Q83" s="1422">
        <v>25</v>
      </c>
      <c r="R83" s="1439"/>
      <c r="S83" s="1422">
        <v>0</v>
      </c>
      <c r="T83" s="1439"/>
      <c r="U83" s="1422">
        <v>0</v>
      </c>
      <c r="V83" s="1439"/>
      <c r="W83" s="1420">
        <v>15.62</v>
      </c>
      <c r="X83" s="1439"/>
      <c r="Y83" s="1420">
        <v>40.619999999999997</v>
      </c>
      <c r="Z83" s="1439"/>
      <c r="AA83" s="1422">
        <v>4045000</v>
      </c>
      <c r="AB83" s="1455"/>
      <c r="AC83" s="1424">
        <v>1269364.1299999999</v>
      </c>
      <c r="AD83" s="1420">
        <v>1301722.49</v>
      </c>
      <c r="AE83" s="1420">
        <v>219954.48</v>
      </c>
      <c r="AF83" s="1422">
        <v>100000</v>
      </c>
      <c r="AG83" s="1420">
        <v>12.01</v>
      </c>
      <c r="AH83" s="1456">
        <v>0</v>
      </c>
      <c r="AI83" s="1428">
        <v>1678355</v>
      </c>
      <c r="AJ83" s="1422">
        <v>1668323</v>
      </c>
      <c r="AK83" s="1422">
        <v>45507</v>
      </c>
      <c r="AL83" s="1422">
        <v>0</v>
      </c>
      <c r="AM83" s="1422">
        <v>68306</v>
      </c>
      <c r="AN83" s="1422">
        <v>0</v>
      </c>
      <c r="AO83" s="1422">
        <v>0</v>
      </c>
      <c r="AP83" s="1422">
        <v>12595</v>
      </c>
      <c r="AQ83" s="1422">
        <v>0</v>
      </c>
      <c r="AR83" s="1422">
        <v>0</v>
      </c>
      <c r="AS83" s="1422">
        <v>0</v>
      </c>
      <c r="AT83" s="1422">
        <v>125000</v>
      </c>
      <c r="AU83" s="1422">
        <v>0</v>
      </c>
      <c r="AV83" s="1422">
        <v>0</v>
      </c>
      <c r="AW83" s="1422">
        <v>11198</v>
      </c>
      <c r="AX83" s="1422">
        <v>0</v>
      </c>
      <c r="AY83" s="1420">
        <v>3292696.62</v>
      </c>
      <c r="AZ83" s="1420">
        <v>3207640.49</v>
      </c>
      <c r="BA83" s="1422">
        <v>0</v>
      </c>
      <c r="BB83" s="1422">
        <v>0</v>
      </c>
      <c r="BC83" s="1422">
        <v>17145</v>
      </c>
      <c r="BD83" s="1422">
        <v>17394</v>
      </c>
      <c r="BE83" s="1420">
        <v>129973.6</v>
      </c>
      <c r="BF83" s="1422">
        <v>6400</v>
      </c>
      <c r="BG83" s="1422">
        <v>150</v>
      </c>
      <c r="BH83" s="1422">
        <v>0</v>
      </c>
      <c r="BI83" s="1422">
        <v>15521</v>
      </c>
      <c r="BJ83" s="1422">
        <v>15088</v>
      </c>
      <c r="BK83" s="1422">
        <v>879</v>
      </c>
      <c r="BL83" s="1422">
        <v>0</v>
      </c>
      <c r="BM83" s="1422">
        <v>115568</v>
      </c>
      <c r="BN83" s="1422">
        <v>128018</v>
      </c>
      <c r="BO83" s="1420">
        <v>1920.2</v>
      </c>
      <c r="BP83" s="1422">
        <v>0</v>
      </c>
      <c r="BQ83" s="1422">
        <v>0</v>
      </c>
      <c r="BR83" s="1422">
        <v>0</v>
      </c>
      <c r="BS83" s="1420">
        <v>1668.78</v>
      </c>
      <c r="BT83" s="1422">
        <v>1500</v>
      </c>
      <c r="BU83" s="1422">
        <v>0</v>
      </c>
      <c r="BV83" s="1422">
        <v>0</v>
      </c>
      <c r="BW83" s="1422">
        <v>0</v>
      </c>
      <c r="BX83" s="1422">
        <v>0</v>
      </c>
      <c r="BY83" s="1422">
        <v>0</v>
      </c>
      <c r="BZ83" s="1422">
        <v>0</v>
      </c>
      <c r="CA83" s="1420">
        <v>729389.26</v>
      </c>
      <c r="CB83" s="1422">
        <v>591645</v>
      </c>
      <c r="CC83" s="1420">
        <v>1012214.84</v>
      </c>
      <c r="CD83" s="1422">
        <v>760045</v>
      </c>
      <c r="CE83" s="1420">
        <v>640146.59</v>
      </c>
      <c r="CF83" s="1420">
        <v>1090329.5</v>
      </c>
      <c r="CG83" s="1420">
        <v>1148.5</v>
      </c>
      <c r="CH83" s="1422">
        <v>0</v>
      </c>
      <c r="CI83" s="1422">
        <v>0</v>
      </c>
      <c r="CJ83" s="1422">
        <v>0</v>
      </c>
      <c r="CK83" s="1422">
        <v>0</v>
      </c>
      <c r="CL83" s="1422">
        <v>0</v>
      </c>
      <c r="CM83" s="1422">
        <v>2195</v>
      </c>
      <c r="CN83" s="1422">
        <v>0</v>
      </c>
      <c r="CO83" s="1420">
        <v>1394.19</v>
      </c>
      <c r="CP83" s="1422">
        <v>0</v>
      </c>
      <c r="CQ83" s="1422">
        <v>0</v>
      </c>
      <c r="CR83" s="1422">
        <v>0</v>
      </c>
      <c r="CS83" s="1420">
        <v>4737.6899999999996</v>
      </c>
      <c r="CT83" s="1422">
        <v>0</v>
      </c>
      <c r="CU83" s="1420">
        <v>4949795.74</v>
      </c>
      <c r="CV83" s="1420">
        <v>5058014.99</v>
      </c>
      <c r="CW83" s="1420">
        <v>1585366.85</v>
      </c>
      <c r="CX83" s="1420">
        <v>1477559.4</v>
      </c>
      <c r="CY83" s="1420">
        <v>191301.56</v>
      </c>
      <c r="CZ83" s="1420">
        <v>213659.56</v>
      </c>
      <c r="DA83" s="1420">
        <v>192464.47</v>
      </c>
      <c r="DB83" s="1420">
        <v>185313.32</v>
      </c>
      <c r="DC83" s="1422">
        <v>0</v>
      </c>
      <c r="DD83" s="1422">
        <v>0</v>
      </c>
      <c r="DE83" s="1420">
        <v>105248.61</v>
      </c>
      <c r="DF83" s="1420">
        <v>132341.1</v>
      </c>
      <c r="DG83" s="1420">
        <v>135917.06</v>
      </c>
      <c r="DH83" s="1420">
        <v>129159.43</v>
      </c>
      <c r="DI83" s="1420">
        <v>2210298.5499999998</v>
      </c>
      <c r="DJ83" s="1420">
        <v>2138032.81</v>
      </c>
      <c r="DK83" s="1420">
        <v>146255.70000000001</v>
      </c>
      <c r="DL83" s="1420">
        <v>139376.12</v>
      </c>
      <c r="DM83" s="1420">
        <v>46784.94</v>
      </c>
      <c r="DN83" s="1420">
        <v>48604.67</v>
      </c>
      <c r="DO83" s="1420">
        <v>438942.77</v>
      </c>
      <c r="DP83" s="1420">
        <v>386040.31</v>
      </c>
      <c r="DQ83" s="1420">
        <v>245942.48</v>
      </c>
      <c r="DR83" s="1420">
        <v>240814.54</v>
      </c>
      <c r="DS83" s="1420">
        <v>12950.57</v>
      </c>
      <c r="DT83" s="1422">
        <v>5000</v>
      </c>
      <c r="DU83" s="1420">
        <v>890876.46</v>
      </c>
      <c r="DV83" s="1420">
        <v>819835.64</v>
      </c>
      <c r="DW83" s="1420">
        <v>147768.82999999999</v>
      </c>
      <c r="DX83" s="1420">
        <v>166654.75</v>
      </c>
      <c r="DY83" s="1420">
        <v>106775.27</v>
      </c>
      <c r="DZ83" s="1420">
        <v>121189.13</v>
      </c>
      <c r="EA83" s="1420">
        <v>185525.12</v>
      </c>
      <c r="EB83" s="1420">
        <v>204179.45</v>
      </c>
      <c r="EC83" s="1420">
        <v>440069.22</v>
      </c>
      <c r="ED83" s="1420">
        <v>492023.33</v>
      </c>
      <c r="EE83" s="1420">
        <v>252861.76</v>
      </c>
      <c r="EF83" s="1420">
        <v>241844.29</v>
      </c>
      <c r="EG83" s="1422">
        <v>0</v>
      </c>
      <c r="EH83" s="1422">
        <v>0</v>
      </c>
      <c r="EI83" s="1422">
        <v>0</v>
      </c>
      <c r="EJ83" s="1422">
        <v>2000</v>
      </c>
      <c r="EK83" s="1422">
        <v>0</v>
      </c>
      <c r="EL83" s="1422">
        <v>0</v>
      </c>
      <c r="EM83" s="1420">
        <v>252861.76</v>
      </c>
      <c r="EN83" s="1420">
        <v>243844.29</v>
      </c>
      <c r="EO83" s="1420">
        <v>2181179.84</v>
      </c>
      <c r="EP83" s="1422">
        <v>1285161</v>
      </c>
      <c r="EQ83" s="1420">
        <v>287146.83</v>
      </c>
      <c r="ER83" s="1422">
        <v>268180</v>
      </c>
      <c r="ES83" s="1422">
        <v>0</v>
      </c>
      <c r="ET83" s="1422">
        <v>0</v>
      </c>
      <c r="EU83" s="1420">
        <v>6262432.6600000001</v>
      </c>
      <c r="EV83" s="1420">
        <v>5247077.07</v>
      </c>
      <c r="EW83" s="1420">
        <v>2212016.5699999998</v>
      </c>
      <c r="EX83" s="1422">
        <v>1301161</v>
      </c>
      <c r="EY83" s="1420">
        <v>287146.83</v>
      </c>
      <c r="EZ83" s="1422">
        <v>268180</v>
      </c>
      <c r="FA83" s="1420">
        <v>3763269.26</v>
      </c>
      <c r="FB83" s="1420">
        <v>3677736.07</v>
      </c>
      <c r="FC83" s="1420">
        <v>185694.42</v>
      </c>
      <c r="FD83" s="1439"/>
      <c r="FE83" s="1420">
        <v>3577574.84</v>
      </c>
      <c r="FF83" s="1439"/>
      <c r="FG83" s="1422">
        <v>9132</v>
      </c>
      <c r="FH83" s="1439"/>
      <c r="FI83" s="1420">
        <v>27.99</v>
      </c>
      <c r="FJ83" s="1439"/>
      <c r="FK83" s="1422">
        <v>42345</v>
      </c>
      <c r="FL83" s="1439"/>
      <c r="FM83" s="1420">
        <v>30.6</v>
      </c>
      <c r="FN83" s="1439"/>
      <c r="FO83" s="1422">
        <v>44831</v>
      </c>
      <c r="FP83" s="1439"/>
      <c r="FQ83" s="1420">
        <v>733105.38</v>
      </c>
      <c r="FR83" s="1439"/>
      <c r="FS83" s="1420">
        <v>53277.27</v>
      </c>
      <c r="FT83" s="1439"/>
      <c r="FU83" s="1422">
        <v>0</v>
      </c>
      <c r="FV83" s="1439"/>
      <c r="FW83" s="1420">
        <v>679828.11</v>
      </c>
      <c r="FX83" s="1439"/>
      <c r="FY83" s="1420">
        <v>328301.98</v>
      </c>
      <c r="FZ83" s="1439"/>
      <c r="GA83" s="1422">
        <v>0</v>
      </c>
      <c r="GB83" s="1439"/>
    </row>
    <row r="84" spans="1:184" ht="12.75" customHeight="1" thickBot="1">
      <c r="A84" s="1418" t="s">
        <v>565</v>
      </c>
      <c r="B84" s="1418" t="s">
        <v>566</v>
      </c>
      <c r="C84" s="1420">
        <v>31.58</v>
      </c>
      <c r="D84" s="1439"/>
      <c r="E84" s="1420">
        <v>600.9</v>
      </c>
      <c r="F84" s="1439"/>
      <c r="G84" s="1421">
        <v>-0.08</v>
      </c>
      <c r="H84" s="1439"/>
      <c r="I84" s="1420">
        <v>622.15</v>
      </c>
      <c r="J84" s="1439"/>
      <c r="K84" s="1420">
        <v>676.04</v>
      </c>
      <c r="L84" s="1439"/>
      <c r="M84" s="1422">
        <v>38902378</v>
      </c>
      <c r="N84" s="1439"/>
      <c r="O84" s="1422">
        <v>25</v>
      </c>
      <c r="P84" s="1439"/>
      <c r="Q84" s="1422">
        <v>25</v>
      </c>
      <c r="R84" s="1439"/>
      <c r="S84" s="1422">
        <v>0</v>
      </c>
      <c r="T84" s="1439"/>
      <c r="U84" s="1422">
        <v>0</v>
      </c>
      <c r="V84" s="1439"/>
      <c r="W84" s="1420">
        <v>14.5</v>
      </c>
      <c r="X84" s="1439"/>
      <c r="Y84" s="1420">
        <v>39.5</v>
      </c>
      <c r="Z84" s="1439"/>
      <c r="AA84" s="1420">
        <v>5522256.8099999996</v>
      </c>
      <c r="AB84" s="1455"/>
      <c r="AC84" s="1424">
        <v>1364581.32</v>
      </c>
      <c r="AD84" s="1422">
        <v>1215000</v>
      </c>
      <c r="AE84" s="1420">
        <v>304773.58</v>
      </c>
      <c r="AF84" s="1422">
        <v>68100</v>
      </c>
      <c r="AG84" s="1420">
        <v>72.459999999999994</v>
      </c>
      <c r="AH84" s="1456">
        <v>0</v>
      </c>
      <c r="AI84" s="1428">
        <v>3127513</v>
      </c>
      <c r="AJ84" s="1422">
        <v>2890821</v>
      </c>
      <c r="AK84" s="1422">
        <v>66139</v>
      </c>
      <c r="AL84" s="1422">
        <v>0</v>
      </c>
      <c r="AM84" s="1422">
        <v>0</v>
      </c>
      <c r="AN84" s="1422">
        <v>0</v>
      </c>
      <c r="AO84" s="1422">
        <v>0</v>
      </c>
      <c r="AP84" s="1422">
        <v>154798</v>
      </c>
      <c r="AQ84" s="1422">
        <v>0</v>
      </c>
      <c r="AR84" s="1422">
        <v>0</v>
      </c>
      <c r="AS84" s="1422">
        <v>0</v>
      </c>
      <c r="AT84" s="1422">
        <v>0</v>
      </c>
      <c r="AU84" s="1422">
        <v>21238</v>
      </c>
      <c r="AV84" s="1422">
        <v>16991</v>
      </c>
      <c r="AW84" s="1422">
        <v>1147</v>
      </c>
      <c r="AX84" s="1422">
        <v>0</v>
      </c>
      <c r="AY84" s="1420">
        <v>4885464.3600000003</v>
      </c>
      <c r="AZ84" s="1422">
        <v>4345710</v>
      </c>
      <c r="BA84" s="1422">
        <v>0</v>
      </c>
      <c r="BB84" s="1422">
        <v>0</v>
      </c>
      <c r="BC84" s="1422">
        <v>27961</v>
      </c>
      <c r="BD84" s="1420">
        <v>34965.32</v>
      </c>
      <c r="BE84" s="1420">
        <v>7560.11</v>
      </c>
      <c r="BF84" s="1422">
        <v>0</v>
      </c>
      <c r="BG84" s="1422">
        <v>982</v>
      </c>
      <c r="BH84" s="1422">
        <v>0</v>
      </c>
      <c r="BI84" s="1422">
        <v>0</v>
      </c>
      <c r="BJ84" s="1422">
        <v>0</v>
      </c>
      <c r="BK84" s="1422">
        <v>1465</v>
      </c>
      <c r="BL84" s="1422">
        <v>0</v>
      </c>
      <c r="BM84" s="1422">
        <v>213280</v>
      </c>
      <c r="BN84" s="1420">
        <v>204400.08</v>
      </c>
      <c r="BO84" s="1420">
        <v>2769.53</v>
      </c>
      <c r="BP84" s="1422">
        <v>0</v>
      </c>
      <c r="BQ84" s="1420">
        <v>24556.62</v>
      </c>
      <c r="BR84" s="1422">
        <v>24375</v>
      </c>
      <c r="BS84" s="1420">
        <v>2528.11</v>
      </c>
      <c r="BT84" s="1422">
        <v>2500</v>
      </c>
      <c r="BU84" s="1422">
        <v>0</v>
      </c>
      <c r="BV84" s="1422">
        <v>0</v>
      </c>
      <c r="BW84" s="1422">
        <v>0</v>
      </c>
      <c r="BX84" s="1422">
        <v>0</v>
      </c>
      <c r="BY84" s="1422">
        <v>0</v>
      </c>
      <c r="BZ84" s="1422">
        <v>0</v>
      </c>
      <c r="CA84" s="1420">
        <v>163063.10999999999</v>
      </c>
      <c r="CB84" s="1422">
        <v>46518</v>
      </c>
      <c r="CC84" s="1420">
        <v>444165.48</v>
      </c>
      <c r="CD84" s="1420">
        <v>312758.40000000002</v>
      </c>
      <c r="CE84" s="1420">
        <v>1037290.44</v>
      </c>
      <c r="CF84" s="1420">
        <v>701355.2</v>
      </c>
      <c r="CG84" s="1422">
        <v>200900</v>
      </c>
      <c r="CH84" s="1422">
        <v>0</v>
      </c>
      <c r="CI84" s="1422">
        <v>0</v>
      </c>
      <c r="CJ84" s="1422">
        <v>0</v>
      </c>
      <c r="CK84" s="1422">
        <v>0</v>
      </c>
      <c r="CL84" s="1422">
        <v>0</v>
      </c>
      <c r="CM84" s="1422">
        <v>0</v>
      </c>
      <c r="CN84" s="1422">
        <v>0</v>
      </c>
      <c r="CO84" s="1422">
        <v>0</v>
      </c>
      <c r="CP84" s="1422">
        <v>0</v>
      </c>
      <c r="CQ84" s="1420">
        <v>517.07000000000005</v>
      </c>
      <c r="CR84" s="1422">
        <v>0</v>
      </c>
      <c r="CS84" s="1420">
        <v>201417.07</v>
      </c>
      <c r="CT84" s="1422">
        <v>0</v>
      </c>
      <c r="CU84" s="1420">
        <v>6568337.3499999996</v>
      </c>
      <c r="CV84" s="1420">
        <v>5359823.5999999996</v>
      </c>
      <c r="CW84" s="1420">
        <v>2492788.9300000002</v>
      </c>
      <c r="CX84" s="1420">
        <v>2156440.0099999998</v>
      </c>
      <c r="CY84" s="1420">
        <v>425014.5</v>
      </c>
      <c r="CZ84" s="1420">
        <v>317539.37</v>
      </c>
      <c r="DA84" s="1420">
        <v>167092.5</v>
      </c>
      <c r="DB84" s="1420">
        <v>161757.63</v>
      </c>
      <c r="DC84" s="1422">
        <v>0</v>
      </c>
      <c r="DD84" s="1422">
        <v>0</v>
      </c>
      <c r="DE84" s="1420">
        <v>157784.09</v>
      </c>
      <c r="DF84" s="1420">
        <v>178357.56</v>
      </c>
      <c r="DG84" s="1422">
        <v>210371</v>
      </c>
      <c r="DH84" s="1420">
        <v>165950.97</v>
      </c>
      <c r="DI84" s="1420">
        <v>3453051.02</v>
      </c>
      <c r="DJ84" s="1420">
        <v>2980045.54</v>
      </c>
      <c r="DK84" s="1420">
        <v>316909.58</v>
      </c>
      <c r="DL84" s="1420">
        <v>238013.61</v>
      </c>
      <c r="DM84" s="1420">
        <v>154324.35</v>
      </c>
      <c r="DN84" s="1422">
        <v>144723</v>
      </c>
      <c r="DO84" s="1420">
        <v>503795.61</v>
      </c>
      <c r="DP84" s="1420">
        <v>397002.02</v>
      </c>
      <c r="DQ84" s="1420">
        <v>140164.82999999999</v>
      </c>
      <c r="DR84" s="1420">
        <v>137393.95000000001</v>
      </c>
      <c r="DS84" s="1420">
        <v>11024.17</v>
      </c>
      <c r="DT84" s="1422">
        <v>12000</v>
      </c>
      <c r="DU84" s="1420">
        <v>1126218.54</v>
      </c>
      <c r="DV84" s="1420">
        <v>929132.58</v>
      </c>
      <c r="DW84" s="1420">
        <v>334203.90000000002</v>
      </c>
      <c r="DX84" s="1420">
        <v>322011.78999999998</v>
      </c>
      <c r="DY84" s="1420">
        <v>446514.84</v>
      </c>
      <c r="DZ84" s="1420">
        <v>388014.23</v>
      </c>
      <c r="EA84" s="1420">
        <v>269440.12</v>
      </c>
      <c r="EB84" s="1420">
        <v>291786.08</v>
      </c>
      <c r="EC84" s="1420">
        <v>1050158.8600000001</v>
      </c>
      <c r="ED84" s="1420">
        <v>1001812.1</v>
      </c>
      <c r="EE84" s="1420">
        <v>280068.84000000003</v>
      </c>
      <c r="EF84" s="1420">
        <v>254636.23</v>
      </c>
      <c r="EG84" s="1422">
        <v>0</v>
      </c>
      <c r="EH84" s="1422">
        <v>0</v>
      </c>
      <c r="EI84" s="1422">
        <v>0</v>
      </c>
      <c r="EJ84" s="1422">
        <v>600</v>
      </c>
      <c r="EK84" s="1422">
        <v>0</v>
      </c>
      <c r="EL84" s="1422">
        <v>0</v>
      </c>
      <c r="EM84" s="1420">
        <v>280068.84000000003</v>
      </c>
      <c r="EN84" s="1420">
        <v>255236.23</v>
      </c>
      <c r="EO84" s="1420">
        <v>626650.76</v>
      </c>
      <c r="EP84" s="1422">
        <v>32997</v>
      </c>
      <c r="EQ84" s="1420">
        <v>417118.32</v>
      </c>
      <c r="ER84" s="1422">
        <v>413400</v>
      </c>
      <c r="ES84" s="1422">
        <v>0</v>
      </c>
      <c r="ET84" s="1422">
        <v>0</v>
      </c>
      <c r="EU84" s="1420">
        <v>6953266.3399999999</v>
      </c>
      <c r="EV84" s="1420">
        <v>5612623.4500000002</v>
      </c>
      <c r="EW84" s="1420">
        <v>720065.88</v>
      </c>
      <c r="EX84" s="1422">
        <v>54231</v>
      </c>
      <c r="EY84" s="1420">
        <v>417118.32</v>
      </c>
      <c r="EZ84" s="1422">
        <v>413400</v>
      </c>
      <c r="FA84" s="1420">
        <v>5816082.1399999997</v>
      </c>
      <c r="FB84" s="1420">
        <v>5144992.45</v>
      </c>
      <c r="FC84" s="1420">
        <v>338760.66</v>
      </c>
      <c r="FD84" s="1439"/>
      <c r="FE84" s="1420">
        <v>5477321.4800000004</v>
      </c>
      <c r="FF84" s="1439"/>
      <c r="FG84" s="1422">
        <v>9115</v>
      </c>
      <c r="FH84" s="1439"/>
      <c r="FI84" s="1420">
        <v>59.81</v>
      </c>
      <c r="FJ84" s="1439"/>
      <c r="FK84" s="1422">
        <v>39205</v>
      </c>
      <c r="FL84" s="1439"/>
      <c r="FM84" s="1420">
        <v>64.88</v>
      </c>
      <c r="FN84" s="1439"/>
      <c r="FO84" s="1422">
        <v>41557</v>
      </c>
      <c r="FP84" s="1439"/>
      <c r="FQ84" s="1420">
        <v>248395.74</v>
      </c>
      <c r="FR84" s="1439"/>
      <c r="FS84" s="1420">
        <v>21078.400000000001</v>
      </c>
      <c r="FT84" s="1439"/>
      <c r="FU84" s="1422">
        <v>0</v>
      </c>
      <c r="FV84" s="1439"/>
      <c r="FW84" s="1420">
        <v>227317.34</v>
      </c>
      <c r="FX84" s="1439"/>
      <c r="FY84" s="1422">
        <v>0</v>
      </c>
      <c r="FZ84" s="1439"/>
      <c r="GA84" s="1422">
        <v>0</v>
      </c>
      <c r="GB84" s="1439"/>
    </row>
    <row r="85" spans="1:184" ht="12.75" customHeight="1" thickBot="1">
      <c r="A85" s="1418" t="s">
        <v>567</v>
      </c>
      <c r="B85" s="1418" t="s">
        <v>395</v>
      </c>
      <c r="C85" s="1420">
        <v>185.29</v>
      </c>
      <c r="D85" s="1439"/>
      <c r="E85" s="1420">
        <v>1134.43</v>
      </c>
      <c r="F85" s="1439"/>
      <c r="G85" s="1421">
        <v>0.08</v>
      </c>
      <c r="H85" s="1439"/>
      <c r="I85" s="1420">
        <v>1211.83</v>
      </c>
      <c r="J85" s="1439"/>
      <c r="K85" s="1420">
        <v>1219.8499999999999</v>
      </c>
      <c r="L85" s="1439"/>
      <c r="M85" s="1422">
        <v>366418778</v>
      </c>
      <c r="N85" s="1439"/>
      <c r="O85" s="1420">
        <v>27.05</v>
      </c>
      <c r="P85" s="1439"/>
      <c r="Q85" s="1422">
        <v>25</v>
      </c>
      <c r="R85" s="1439"/>
      <c r="S85" s="1420">
        <v>2.0499999999999998</v>
      </c>
      <c r="T85" s="1439"/>
      <c r="U85" s="1422">
        <v>0</v>
      </c>
      <c r="V85" s="1439"/>
      <c r="W85" s="1420">
        <v>7.75</v>
      </c>
      <c r="X85" s="1439"/>
      <c r="Y85" s="1420">
        <v>34.799999999999997</v>
      </c>
      <c r="Z85" s="1439"/>
      <c r="AA85" s="1422">
        <v>13495000</v>
      </c>
      <c r="AB85" s="1455"/>
      <c r="AC85" s="1424">
        <v>11493587.619999999</v>
      </c>
      <c r="AD85" s="1422">
        <v>13096338</v>
      </c>
      <c r="AE85" s="1420">
        <v>478940.21</v>
      </c>
      <c r="AF85" s="1422">
        <v>967500</v>
      </c>
      <c r="AG85" s="1420">
        <v>129.69999999999999</v>
      </c>
      <c r="AH85" s="1456">
        <v>200</v>
      </c>
      <c r="AI85" s="1428">
        <v>0</v>
      </c>
      <c r="AJ85" s="1422">
        <v>0</v>
      </c>
      <c r="AK85" s="1422">
        <v>0</v>
      </c>
      <c r="AL85" s="1422">
        <v>0</v>
      </c>
      <c r="AM85" s="1422">
        <v>19260</v>
      </c>
      <c r="AN85" s="1422">
        <v>0</v>
      </c>
      <c r="AO85" s="1422">
        <v>0</v>
      </c>
      <c r="AP85" s="1422">
        <v>0</v>
      </c>
      <c r="AQ85" s="1422">
        <v>0</v>
      </c>
      <c r="AR85" s="1422">
        <v>0</v>
      </c>
      <c r="AS85" s="1422">
        <v>0</v>
      </c>
      <c r="AT85" s="1422">
        <v>0</v>
      </c>
      <c r="AU85" s="1422">
        <v>0</v>
      </c>
      <c r="AV85" s="1422">
        <v>0</v>
      </c>
      <c r="AW85" s="1422">
        <v>0</v>
      </c>
      <c r="AX85" s="1422">
        <v>0</v>
      </c>
      <c r="AY85" s="1420">
        <v>11991917.529999999</v>
      </c>
      <c r="AZ85" s="1422">
        <v>14064038</v>
      </c>
      <c r="BA85" s="1422">
        <v>0</v>
      </c>
      <c r="BB85" s="1422">
        <v>0</v>
      </c>
      <c r="BC85" s="1422">
        <v>50453</v>
      </c>
      <c r="BD85" s="1422">
        <v>51617</v>
      </c>
      <c r="BE85" s="1420">
        <v>4787.8500000000004</v>
      </c>
      <c r="BF85" s="1422">
        <v>1000</v>
      </c>
      <c r="BG85" s="1422">
        <v>300</v>
      </c>
      <c r="BH85" s="1422">
        <v>0</v>
      </c>
      <c r="BI85" s="1422">
        <v>76831</v>
      </c>
      <c r="BJ85" s="1422">
        <v>51315</v>
      </c>
      <c r="BK85" s="1422">
        <v>11134</v>
      </c>
      <c r="BL85" s="1422">
        <v>0</v>
      </c>
      <c r="BM85" s="1420">
        <v>287555.71000000002</v>
      </c>
      <c r="BN85" s="1420">
        <v>329576.55</v>
      </c>
      <c r="BO85" s="1420">
        <v>79317.240000000005</v>
      </c>
      <c r="BP85" s="1422">
        <v>51733</v>
      </c>
      <c r="BQ85" s="1420">
        <v>29791.759999999998</v>
      </c>
      <c r="BR85" s="1420">
        <v>16791.78</v>
      </c>
      <c r="BS85" s="1420">
        <v>3658.57</v>
      </c>
      <c r="BT85" s="1422">
        <v>3700</v>
      </c>
      <c r="BU85" s="1422">
        <v>0</v>
      </c>
      <c r="BV85" s="1422">
        <v>0</v>
      </c>
      <c r="BW85" s="1422">
        <v>0</v>
      </c>
      <c r="BX85" s="1422">
        <v>0</v>
      </c>
      <c r="BY85" s="1422">
        <v>0</v>
      </c>
      <c r="BZ85" s="1422">
        <v>0</v>
      </c>
      <c r="CA85" s="1422">
        <v>0</v>
      </c>
      <c r="CB85" s="1422">
        <v>0</v>
      </c>
      <c r="CC85" s="1420">
        <v>543829.13</v>
      </c>
      <c r="CD85" s="1420">
        <v>505733.33</v>
      </c>
      <c r="CE85" s="1420">
        <v>2634924.02</v>
      </c>
      <c r="CF85" s="1420">
        <v>2348648.5699999998</v>
      </c>
      <c r="CG85" s="1420">
        <v>1765921.81</v>
      </c>
      <c r="CH85" s="1422">
        <v>0</v>
      </c>
      <c r="CI85" s="1422">
        <v>0</v>
      </c>
      <c r="CJ85" s="1422">
        <v>0</v>
      </c>
      <c r="CK85" s="1422">
        <v>0</v>
      </c>
      <c r="CL85" s="1422">
        <v>0</v>
      </c>
      <c r="CM85" s="1422">
        <v>0</v>
      </c>
      <c r="CN85" s="1422">
        <v>0</v>
      </c>
      <c r="CO85" s="1422">
        <v>0</v>
      </c>
      <c r="CP85" s="1422">
        <v>0</v>
      </c>
      <c r="CQ85" s="1422">
        <v>0</v>
      </c>
      <c r="CR85" s="1422">
        <v>0</v>
      </c>
      <c r="CS85" s="1420">
        <v>1765921.81</v>
      </c>
      <c r="CT85" s="1422">
        <v>0</v>
      </c>
      <c r="CU85" s="1420">
        <v>16936592.489999998</v>
      </c>
      <c r="CV85" s="1420">
        <v>16918419.899999999</v>
      </c>
      <c r="CW85" s="1420">
        <v>4729482.01</v>
      </c>
      <c r="CX85" s="1420">
        <v>5182172.26</v>
      </c>
      <c r="CY85" s="1420">
        <v>735528.49</v>
      </c>
      <c r="CZ85" s="1422">
        <v>753762</v>
      </c>
      <c r="DA85" s="1420">
        <v>268840.95</v>
      </c>
      <c r="DB85" s="1422">
        <v>139181</v>
      </c>
      <c r="DC85" s="1422">
        <v>0</v>
      </c>
      <c r="DD85" s="1422">
        <v>0</v>
      </c>
      <c r="DE85" s="1420">
        <v>595295.97</v>
      </c>
      <c r="DF85" s="1420">
        <v>572512.15</v>
      </c>
      <c r="DG85" s="1420">
        <v>505843.28</v>
      </c>
      <c r="DH85" s="1420">
        <v>556028.65</v>
      </c>
      <c r="DI85" s="1420">
        <v>6834990.7000000002</v>
      </c>
      <c r="DJ85" s="1420">
        <v>7203656.0599999996</v>
      </c>
      <c r="DK85" s="1420">
        <v>330060.13</v>
      </c>
      <c r="DL85" s="1420">
        <v>456191.55</v>
      </c>
      <c r="DM85" s="1420">
        <v>192832.98</v>
      </c>
      <c r="DN85" s="1422">
        <v>153373</v>
      </c>
      <c r="DO85" s="1420">
        <v>1524286.49</v>
      </c>
      <c r="DP85" s="1422">
        <v>2895024</v>
      </c>
      <c r="DQ85" s="1420">
        <v>612577.86</v>
      </c>
      <c r="DR85" s="1422">
        <v>662879</v>
      </c>
      <c r="DS85" s="1420">
        <v>38558.82</v>
      </c>
      <c r="DT85" s="1422">
        <v>27433</v>
      </c>
      <c r="DU85" s="1420">
        <v>2698316.28</v>
      </c>
      <c r="DV85" s="1420">
        <v>4194900.55</v>
      </c>
      <c r="DW85" s="1420">
        <v>730743.14</v>
      </c>
      <c r="DX85" s="1420">
        <v>780570.14</v>
      </c>
      <c r="DY85" s="1420">
        <v>1889751.68</v>
      </c>
      <c r="DZ85" s="1420">
        <v>1722416.72</v>
      </c>
      <c r="EA85" s="1420">
        <v>679250.52</v>
      </c>
      <c r="EB85" s="1422">
        <v>772869</v>
      </c>
      <c r="EC85" s="1420">
        <v>3299745.34</v>
      </c>
      <c r="ED85" s="1420">
        <v>3275855.86</v>
      </c>
      <c r="EE85" s="1420">
        <v>504275.49</v>
      </c>
      <c r="EF85" s="1422">
        <v>612963</v>
      </c>
      <c r="EG85" s="1422">
        <v>0</v>
      </c>
      <c r="EH85" s="1422">
        <v>0</v>
      </c>
      <c r="EI85" s="1420">
        <v>2100.67</v>
      </c>
      <c r="EJ85" s="1422">
        <v>1500</v>
      </c>
      <c r="EK85" s="1422">
        <v>0</v>
      </c>
      <c r="EL85" s="1422">
        <v>0</v>
      </c>
      <c r="EM85" s="1420">
        <v>506376.16</v>
      </c>
      <c r="EN85" s="1422">
        <v>614463</v>
      </c>
      <c r="EO85" s="1420">
        <v>4136523.46</v>
      </c>
      <c r="EP85" s="1420">
        <v>4778945.9800000004</v>
      </c>
      <c r="EQ85" s="1420">
        <v>843894.22</v>
      </c>
      <c r="ER85" s="1422">
        <v>877070</v>
      </c>
      <c r="ES85" s="1422">
        <v>0</v>
      </c>
      <c r="ET85" s="1422">
        <v>0</v>
      </c>
      <c r="EU85" s="1420">
        <v>18319846.16</v>
      </c>
      <c r="EV85" s="1420">
        <v>20944891.449999999</v>
      </c>
      <c r="EW85" s="1420">
        <v>4757483.38</v>
      </c>
      <c r="EX85" s="1420">
        <v>5334395.9800000004</v>
      </c>
      <c r="EY85" s="1420">
        <v>843894.22</v>
      </c>
      <c r="EZ85" s="1422">
        <v>877070</v>
      </c>
      <c r="FA85" s="1420">
        <v>12718468.560000001</v>
      </c>
      <c r="FB85" s="1420">
        <v>14733425.470000001</v>
      </c>
      <c r="FC85" s="1420">
        <v>331262.51</v>
      </c>
      <c r="FD85" s="1439"/>
      <c r="FE85" s="1420">
        <v>12387206.050000001</v>
      </c>
      <c r="FF85" s="1439"/>
      <c r="FG85" s="1422">
        <v>10919</v>
      </c>
      <c r="FH85" s="1439"/>
      <c r="FI85" s="1420">
        <v>91.51</v>
      </c>
      <c r="FJ85" s="1439"/>
      <c r="FK85" s="1422">
        <v>48312</v>
      </c>
      <c r="FL85" s="1439"/>
      <c r="FM85" s="1420">
        <v>101.51</v>
      </c>
      <c r="FN85" s="1439"/>
      <c r="FO85" s="1422">
        <v>50385</v>
      </c>
      <c r="FP85" s="1439"/>
      <c r="FQ85" s="1420">
        <v>1942555.86</v>
      </c>
      <c r="FR85" s="1439"/>
      <c r="FS85" s="1422">
        <v>51883</v>
      </c>
      <c r="FT85" s="1439"/>
      <c r="FU85" s="1422">
        <v>0</v>
      </c>
      <c r="FV85" s="1439"/>
      <c r="FW85" s="1420">
        <v>1890672.86</v>
      </c>
      <c r="FX85" s="1439"/>
      <c r="FY85" s="1420">
        <v>4625540.18</v>
      </c>
      <c r="FZ85" s="1439"/>
      <c r="GA85" s="1420">
        <v>39421.550000000003</v>
      </c>
      <c r="GB85" s="1439"/>
    </row>
    <row r="86" spans="1:184" ht="12.75" customHeight="1" thickBot="1">
      <c r="A86" s="1418" t="s">
        <v>396</v>
      </c>
      <c r="B86" s="1418" t="s">
        <v>397</v>
      </c>
      <c r="C86" s="1420">
        <v>34.92</v>
      </c>
      <c r="D86" s="1439"/>
      <c r="E86" s="1420">
        <v>3437.6</v>
      </c>
      <c r="F86" s="1439"/>
      <c r="G86" s="1421">
        <v>0</v>
      </c>
      <c r="H86" s="1439"/>
      <c r="I86" s="1420">
        <v>3632.89</v>
      </c>
      <c r="J86" s="1439"/>
      <c r="K86" s="1420">
        <v>3535.57</v>
      </c>
      <c r="L86" s="1439"/>
      <c r="M86" s="1422">
        <v>538380820</v>
      </c>
      <c r="N86" s="1439"/>
      <c r="O86" s="1422">
        <v>25</v>
      </c>
      <c r="P86" s="1439"/>
      <c r="Q86" s="1422">
        <v>25</v>
      </c>
      <c r="R86" s="1439"/>
      <c r="S86" s="1422">
        <v>0</v>
      </c>
      <c r="T86" s="1439"/>
      <c r="U86" s="1420">
        <v>1.9</v>
      </c>
      <c r="V86" s="1439"/>
      <c r="W86" s="1420">
        <v>10.8</v>
      </c>
      <c r="X86" s="1439"/>
      <c r="Y86" s="1420">
        <v>37.700000000000003</v>
      </c>
      <c r="Z86" s="1439"/>
      <c r="AA86" s="1422">
        <v>23360000</v>
      </c>
      <c r="AB86" s="1455"/>
      <c r="AC86" s="1424">
        <v>18670572.989999998</v>
      </c>
      <c r="AD86" s="1422">
        <v>18200004</v>
      </c>
      <c r="AE86" s="1420">
        <v>2239994.48</v>
      </c>
      <c r="AF86" s="1422">
        <v>1378000</v>
      </c>
      <c r="AG86" s="1420">
        <v>495.41</v>
      </c>
      <c r="AH86" s="1456">
        <v>0</v>
      </c>
      <c r="AI86" s="1428">
        <v>8866636</v>
      </c>
      <c r="AJ86" s="1422">
        <v>9151311</v>
      </c>
      <c r="AK86" s="1422">
        <v>392763</v>
      </c>
      <c r="AL86" s="1422">
        <v>0</v>
      </c>
      <c r="AM86" s="1422">
        <v>589908</v>
      </c>
      <c r="AN86" s="1422">
        <v>0</v>
      </c>
      <c r="AO86" s="1422">
        <v>0</v>
      </c>
      <c r="AP86" s="1422">
        <v>0</v>
      </c>
      <c r="AQ86" s="1422">
        <v>0</v>
      </c>
      <c r="AR86" s="1422">
        <v>0</v>
      </c>
      <c r="AS86" s="1422">
        <v>0</v>
      </c>
      <c r="AT86" s="1422">
        <v>0</v>
      </c>
      <c r="AU86" s="1422">
        <v>0</v>
      </c>
      <c r="AV86" s="1422">
        <v>0</v>
      </c>
      <c r="AW86" s="1422">
        <v>0</v>
      </c>
      <c r="AX86" s="1422">
        <v>0</v>
      </c>
      <c r="AY86" s="1420">
        <v>30760369.879999999</v>
      </c>
      <c r="AZ86" s="1422">
        <v>28729315</v>
      </c>
      <c r="BA86" s="1422">
        <v>0</v>
      </c>
      <c r="BB86" s="1422">
        <v>0</v>
      </c>
      <c r="BC86" s="1422">
        <v>146231</v>
      </c>
      <c r="BD86" s="1422">
        <v>0</v>
      </c>
      <c r="BE86" s="1420">
        <v>56808.83</v>
      </c>
      <c r="BF86" s="1422">
        <v>0</v>
      </c>
      <c r="BG86" s="1422">
        <v>2262</v>
      </c>
      <c r="BH86" s="1422">
        <v>0</v>
      </c>
      <c r="BI86" s="1422">
        <v>697211</v>
      </c>
      <c r="BJ86" s="1422">
        <v>0</v>
      </c>
      <c r="BK86" s="1422">
        <v>79989</v>
      </c>
      <c r="BL86" s="1422">
        <v>0</v>
      </c>
      <c r="BM86" s="1422">
        <v>2760736</v>
      </c>
      <c r="BN86" s="1422">
        <v>2872056</v>
      </c>
      <c r="BO86" s="1420">
        <v>278444.93</v>
      </c>
      <c r="BP86" s="1422">
        <v>100000</v>
      </c>
      <c r="BQ86" s="1420">
        <v>142463.57</v>
      </c>
      <c r="BR86" s="1422">
        <v>0</v>
      </c>
      <c r="BS86" s="1420">
        <v>14062.16</v>
      </c>
      <c r="BT86" s="1422">
        <v>0</v>
      </c>
      <c r="BU86" s="1422">
        <v>0</v>
      </c>
      <c r="BV86" s="1422">
        <v>0</v>
      </c>
      <c r="BW86" s="1422">
        <v>290890</v>
      </c>
      <c r="BX86" s="1422">
        <v>0</v>
      </c>
      <c r="BY86" s="1422">
        <v>0</v>
      </c>
      <c r="BZ86" s="1422">
        <v>0</v>
      </c>
      <c r="CA86" s="1420">
        <v>61782.8</v>
      </c>
      <c r="CB86" s="1422">
        <v>50000</v>
      </c>
      <c r="CC86" s="1420">
        <v>4530881.29</v>
      </c>
      <c r="CD86" s="1422">
        <v>3022056</v>
      </c>
      <c r="CE86" s="1420">
        <v>11783703.73</v>
      </c>
      <c r="CF86" s="1422">
        <v>5688900</v>
      </c>
      <c r="CG86" s="1422">
        <v>0</v>
      </c>
      <c r="CH86" s="1422">
        <v>0</v>
      </c>
      <c r="CI86" s="1422">
        <v>0</v>
      </c>
      <c r="CJ86" s="1422">
        <v>0</v>
      </c>
      <c r="CK86" s="1422">
        <v>0</v>
      </c>
      <c r="CL86" s="1422">
        <v>50000</v>
      </c>
      <c r="CM86" s="1422">
        <v>0</v>
      </c>
      <c r="CN86" s="1422">
        <v>0</v>
      </c>
      <c r="CO86" s="1420">
        <v>232940.16</v>
      </c>
      <c r="CP86" s="1422">
        <v>0</v>
      </c>
      <c r="CQ86" s="1422">
        <v>0</v>
      </c>
      <c r="CR86" s="1422">
        <v>0</v>
      </c>
      <c r="CS86" s="1420">
        <v>232940.16</v>
      </c>
      <c r="CT86" s="1422">
        <v>50000</v>
      </c>
      <c r="CU86" s="1420">
        <v>47307895.060000002</v>
      </c>
      <c r="CV86" s="1422">
        <v>37490271</v>
      </c>
      <c r="CW86" s="1420">
        <v>16435337.029999999</v>
      </c>
      <c r="CX86" s="1420">
        <v>13398409.92</v>
      </c>
      <c r="CY86" s="1420">
        <v>2946278.33</v>
      </c>
      <c r="CZ86" s="1420">
        <v>2823964.11</v>
      </c>
      <c r="DA86" s="1420">
        <v>500682.06</v>
      </c>
      <c r="DB86" s="1420">
        <v>334840.76</v>
      </c>
      <c r="DC86" s="1422">
        <v>0</v>
      </c>
      <c r="DD86" s="1422">
        <v>0</v>
      </c>
      <c r="DE86" s="1420">
        <v>3522810.64</v>
      </c>
      <c r="DF86" s="1420">
        <v>1405456.35</v>
      </c>
      <c r="DG86" s="1422">
        <v>1878996</v>
      </c>
      <c r="DH86" s="1420">
        <v>1753637.5</v>
      </c>
      <c r="DI86" s="1420">
        <v>25284104.059999999</v>
      </c>
      <c r="DJ86" s="1420">
        <v>19716308.640000001</v>
      </c>
      <c r="DK86" s="1420">
        <v>1377050.94</v>
      </c>
      <c r="DL86" s="1420">
        <v>1418567.01</v>
      </c>
      <c r="DM86" s="1420">
        <v>1368894.29</v>
      </c>
      <c r="DN86" s="1420">
        <v>1178727.8</v>
      </c>
      <c r="DO86" s="1420">
        <v>7048481.54</v>
      </c>
      <c r="DP86" s="1420">
        <v>3615279.97</v>
      </c>
      <c r="DQ86" s="1420">
        <v>984582.12</v>
      </c>
      <c r="DR86" s="1420">
        <v>798576.84</v>
      </c>
      <c r="DS86" s="1420">
        <v>43980.41</v>
      </c>
      <c r="DT86" s="1422">
        <v>46000</v>
      </c>
      <c r="DU86" s="1420">
        <v>10822989.300000001</v>
      </c>
      <c r="DV86" s="1420">
        <v>7057151.6200000001</v>
      </c>
      <c r="DW86" s="1420">
        <v>1916975.37</v>
      </c>
      <c r="DX86" s="1420">
        <v>1869901.34</v>
      </c>
      <c r="DY86" s="1420">
        <v>3732795.95</v>
      </c>
      <c r="DZ86" s="1420">
        <v>2595992.09</v>
      </c>
      <c r="EA86" s="1420">
        <v>2077056.54</v>
      </c>
      <c r="EB86" s="1420">
        <v>2016977.88</v>
      </c>
      <c r="EC86" s="1420">
        <v>7726827.8600000003</v>
      </c>
      <c r="ED86" s="1420">
        <v>6482871.3099999996</v>
      </c>
      <c r="EE86" s="1420">
        <v>2237331.44</v>
      </c>
      <c r="EF86" s="1420">
        <v>867570.73</v>
      </c>
      <c r="EG86" s="1422">
        <v>0</v>
      </c>
      <c r="EH86" s="1422">
        <v>0</v>
      </c>
      <c r="EI86" s="1420">
        <v>895210.31</v>
      </c>
      <c r="EJ86" s="1420">
        <v>1144281.78</v>
      </c>
      <c r="EK86" s="1422">
        <v>0</v>
      </c>
      <c r="EL86" s="1422">
        <v>0</v>
      </c>
      <c r="EM86" s="1420">
        <v>3132541.75</v>
      </c>
      <c r="EN86" s="1420">
        <v>2011852.51</v>
      </c>
      <c r="EO86" s="1420">
        <v>62563.199999999997</v>
      </c>
      <c r="EP86" s="1422">
        <v>0</v>
      </c>
      <c r="EQ86" s="1420">
        <v>1828068.26</v>
      </c>
      <c r="ER86" s="1422">
        <v>1775500</v>
      </c>
      <c r="ES86" s="1420">
        <v>19016.349999999999</v>
      </c>
      <c r="ET86" s="1422">
        <v>0</v>
      </c>
      <c r="EU86" s="1420">
        <v>48876110.780000001</v>
      </c>
      <c r="EV86" s="1420">
        <v>37043684.079999998</v>
      </c>
      <c r="EW86" s="1420">
        <v>1039546.1</v>
      </c>
      <c r="EX86" s="1422">
        <v>0</v>
      </c>
      <c r="EY86" s="1420">
        <v>1828068.26</v>
      </c>
      <c r="EZ86" s="1422">
        <v>1775500</v>
      </c>
      <c r="FA86" s="1420">
        <v>46008496.420000002</v>
      </c>
      <c r="FB86" s="1420">
        <v>35268184.079999998</v>
      </c>
      <c r="FC86" s="1420">
        <v>1875911.26</v>
      </c>
      <c r="FD86" s="1439"/>
      <c r="FE86" s="1420">
        <v>44132585.159999996</v>
      </c>
      <c r="FF86" s="1439"/>
      <c r="FG86" s="1422">
        <v>12838</v>
      </c>
      <c r="FH86" s="1439"/>
      <c r="FI86" s="1420">
        <v>286.22000000000003</v>
      </c>
      <c r="FJ86" s="1439"/>
      <c r="FK86" s="1422">
        <v>45860</v>
      </c>
      <c r="FL86" s="1439"/>
      <c r="FM86" s="1420">
        <v>328.59</v>
      </c>
      <c r="FN86" s="1439"/>
      <c r="FO86" s="1422">
        <v>48524</v>
      </c>
      <c r="FP86" s="1439"/>
      <c r="FQ86" s="1420">
        <v>6099228.4500000002</v>
      </c>
      <c r="FR86" s="1439"/>
      <c r="FS86" s="1420">
        <v>46143.68</v>
      </c>
      <c r="FT86" s="1439"/>
      <c r="FU86" s="1422">
        <v>0</v>
      </c>
      <c r="FV86" s="1439"/>
      <c r="FW86" s="1420">
        <v>6053084.7699999996</v>
      </c>
      <c r="FX86" s="1439"/>
      <c r="FY86" s="1422">
        <v>4658</v>
      </c>
      <c r="FZ86" s="1439"/>
      <c r="GA86" s="1420">
        <v>712766.87</v>
      </c>
      <c r="GB86" s="1439"/>
    </row>
    <row r="87" spans="1:184" ht="12.75" customHeight="1" thickBot="1">
      <c r="A87" s="1418" t="s">
        <v>398</v>
      </c>
      <c r="B87" s="1418" t="s">
        <v>399</v>
      </c>
      <c r="C87" s="1420">
        <v>201.53</v>
      </c>
      <c r="D87" s="1439"/>
      <c r="E87" s="1420">
        <v>861.25</v>
      </c>
      <c r="F87" s="1439"/>
      <c r="G87" s="1421">
        <v>0.05</v>
      </c>
      <c r="H87" s="1439"/>
      <c r="I87" s="1420">
        <v>884.11</v>
      </c>
      <c r="J87" s="1439"/>
      <c r="K87" s="1420">
        <v>917.97</v>
      </c>
      <c r="L87" s="1439"/>
      <c r="M87" s="1422">
        <v>127860947</v>
      </c>
      <c r="N87" s="1439"/>
      <c r="O87" s="1420">
        <v>29.7</v>
      </c>
      <c r="P87" s="1439"/>
      <c r="Q87" s="1422">
        <v>25</v>
      </c>
      <c r="R87" s="1439"/>
      <c r="S87" s="1420">
        <v>4.7</v>
      </c>
      <c r="T87" s="1439"/>
      <c r="U87" s="1422">
        <v>0</v>
      </c>
      <c r="V87" s="1439"/>
      <c r="W87" s="1422">
        <v>9</v>
      </c>
      <c r="X87" s="1439"/>
      <c r="Y87" s="1420">
        <v>38.700000000000003</v>
      </c>
      <c r="Z87" s="1439"/>
      <c r="AA87" s="1420">
        <v>15189328.119999999</v>
      </c>
      <c r="AB87" s="1455"/>
      <c r="AC87" s="1424">
        <v>4326652.47</v>
      </c>
      <c r="AD87" s="1422">
        <v>4651581</v>
      </c>
      <c r="AE87" s="1420">
        <v>428575.75</v>
      </c>
      <c r="AF87" s="1422">
        <v>229000</v>
      </c>
      <c r="AG87" s="1420">
        <v>95.08</v>
      </c>
      <c r="AH87" s="1456">
        <v>0</v>
      </c>
      <c r="AI87" s="1428">
        <v>2330330</v>
      </c>
      <c r="AJ87" s="1422">
        <v>2237683</v>
      </c>
      <c r="AK87" s="1422">
        <v>107590</v>
      </c>
      <c r="AL87" s="1422">
        <v>0</v>
      </c>
      <c r="AM87" s="1422">
        <v>0</v>
      </c>
      <c r="AN87" s="1422">
        <v>0</v>
      </c>
      <c r="AO87" s="1422">
        <v>0</v>
      </c>
      <c r="AP87" s="1422">
        <v>79104</v>
      </c>
      <c r="AQ87" s="1422">
        <v>0</v>
      </c>
      <c r="AR87" s="1422">
        <v>0</v>
      </c>
      <c r="AS87" s="1422">
        <v>0</v>
      </c>
      <c r="AT87" s="1422">
        <v>0</v>
      </c>
      <c r="AU87" s="1422">
        <v>0</v>
      </c>
      <c r="AV87" s="1422">
        <v>0</v>
      </c>
      <c r="AW87" s="1422">
        <v>0</v>
      </c>
      <c r="AX87" s="1422">
        <v>0</v>
      </c>
      <c r="AY87" s="1420">
        <v>7193243.2999999998</v>
      </c>
      <c r="AZ87" s="1422">
        <v>7197368</v>
      </c>
      <c r="BA87" s="1422">
        <v>0</v>
      </c>
      <c r="BB87" s="1422">
        <v>0</v>
      </c>
      <c r="BC87" s="1422">
        <v>37967</v>
      </c>
      <c r="BD87" s="1422">
        <v>37812</v>
      </c>
      <c r="BE87" s="1420">
        <v>4459.17</v>
      </c>
      <c r="BF87" s="1422">
        <v>2500</v>
      </c>
      <c r="BG87" s="1422">
        <v>400</v>
      </c>
      <c r="BH87" s="1422">
        <v>0</v>
      </c>
      <c r="BI87" s="1422">
        <v>70737</v>
      </c>
      <c r="BJ87" s="1422">
        <v>56123</v>
      </c>
      <c r="BK87" s="1422">
        <v>0</v>
      </c>
      <c r="BL87" s="1422">
        <v>0</v>
      </c>
      <c r="BM87" s="1422">
        <v>276272</v>
      </c>
      <c r="BN87" s="1422">
        <v>268686</v>
      </c>
      <c r="BO87" s="1420">
        <v>3760.59</v>
      </c>
      <c r="BP87" s="1422">
        <v>0</v>
      </c>
      <c r="BQ87" s="1420">
        <v>21125.32</v>
      </c>
      <c r="BR87" s="1420">
        <v>14625.16</v>
      </c>
      <c r="BS87" s="1420">
        <v>3248.15</v>
      </c>
      <c r="BT87" s="1422">
        <v>3000</v>
      </c>
      <c r="BU87" s="1422">
        <v>0</v>
      </c>
      <c r="BV87" s="1422">
        <v>0</v>
      </c>
      <c r="BW87" s="1422">
        <v>0</v>
      </c>
      <c r="BX87" s="1422">
        <v>0</v>
      </c>
      <c r="BY87" s="1422">
        <v>0</v>
      </c>
      <c r="BZ87" s="1422">
        <v>0</v>
      </c>
      <c r="CA87" s="1422">
        <v>0</v>
      </c>
      <c r="CB87" s="1422">
        <v>0</v>
      </c>
      <c r="CC87" s="1420">
        <v>417969.23</v>
      </c>
      <c r="CD87" s="1420">
        <v>382746.16</v>
      </c>
      <c r="CE87" s="1420">
        <v>1614760.71</v>
      </c>
      <c r="CF87" s="1420">
        <v>1275857.81</v>
      </c>
      <c r="CG87" s="1422">
        <v>5096000</v>
      </c>
      <c r="CH87" s="1422">
        <v>0</v>
      </c>
      <c r="CI87" s="1422">
        <v>0</v>
      </c>
      <c r="CJ87" s="1422">
        <v>0</v>
      </c>
      <c r="CK87" s="1422">
        <v>0</v>
      </c>
      <c r="CL87" s="1422">
        <v>0</v>
      </c>
      <c r="CM87" s="1422">
        <v>0</v>
      </c>
      <c r="CN87" s="1422">
        <v>0</v>
      </c>
      <c r="CO87" s="1420">
        <v>15385.96</v>
      </c>
      <c r="CP87" s="1422">
        <v>0</v>
      </c>
      <c r="CQ87" s="1422">
        <v>0</v>
      </c>
      <c r="CR87" s="1422">
        <v>0</v>
      </c>
      <c r="CS87" s="1420">
        <v>5111385.96</v>
      </c>
      <c r="CT87" s="1422">
        <v>0</v>
      </c>
      <c r="CU87" s="1420">
        <v>14337359.199999999</v>
      </c>
      <c r="CV87" s="1420">
        <v>8855971.9700000007</v>
      </c>
      <c r="CW87" s="1420">
        <v>3855127.08</v>
      </c>
      <c r="CX87" s="1420">
        <v>3471382.1</v>
      </c>
      <c r="CY87" s="1420">
        <v>474300.07</v>
      </c>
      <c r="CZ87" s="1420">
        <v>448590.64</v>
      </c>
      <c r="DA87" s="1420">
        <v>71050.649999999994</v>
      </c>
      <c r="DB87" s="1420">
        <v>106432.35</v>
      </c>
      <c r="DC87" s="1422">
        <v>0</v>
      </c>
      <c r="DD87" s="1422">
        <v>0</v>
      </c>
      <c r="DE87" s="1420">
        <v>136092.44</v>
      </c>
      <c r="DF87" s="1420">
        <v>67258.03</v>
      </c>
      <c r="DG87" s="1420">
        <v>170655.15</v>
      </c>
      <c r="DH87" s="1420">
        <v>250929.64</v>
      </c>
      <c r="DI87" s="1420">
        <v>4707225.3899999997</v>
      </c>
      <c r="DJ87" s="1420">
        <v>4344592.76</v>
      </c>
      <c r="DK87" s="1420">
        <v>253006.28</v>
      </c>
      <c r="DL87" s="1420">
        <v>140135.48000000001</v>
      </c>
      <c r="DM87" s="1420">
        <v>263418.34000000003</v>
      </c>
      <c r="DN87" s="1420">
        <v>213011.38</v>
      </c>
      <c r="DO87" s="1420">
        <v>1006677.35</v>
      </c>
      <c r="DP87" s="1420">
        <v>761799.15</v>
      </c>
      <c r="DQ87" s="1420">
        <v>431237.54</v>
      </c>
      <c r="DR87" s="1420">
        <v>587740.17000000004</v>
      </c>
      <c r="DS87" s="1420">
        <v>37531.71</v>
      </c>
      <c r="DT87" s="1422">
        <v>14510</v>
      </c>
      <c r="DU87" s="1420">
        <v>1991871.22</v>
      </c>
      <c r="DV87" s="1420">
        <v>1717196.18</v>
      </c>
      <c r="DW87" s="1420">
        <v>396628.02</v>
      </c>
      <c r="DX87" s="1420">
        <v>385400.17</v>
      </c>
      <c r="DY87" s="1420">
        <v>516535.29</v>
      </c>
      <c r="DZ87" s="1420">
        <v>570901.23</v>
      </c>
      <c r="EA87" s="1420">
        <v>318035.78000000003</v>
      </c>
      <c r="EB87" s="1420">
        <v>309327.45</v>
      </c>
      <c r="EC87" s="1420">
        <v>1231199.0900000001</v>
      </c>
      <c r="ED87" s="1420">
        <v>1265628.8500000001</v>
      </c>
      <c r="EE87" s="1420">
        <v>432794.75</v>
      </c>
      <c r="EF87" s="1420">
        <v>414721.9</v>
      </c>
      <c r="EG87" s="1422">
        <v>0</v>
      </c>
      <c r="EH87" s="1422">
        <v>0</v>
      </c>
      <c r="EI87" s="1422">
        <v>0</v>
      </c>
      <c r="EJ87" s="1420">
        <v>1319.18</v>
      </c>
      <c r="EK87" s="1422">
        <v>0</v>
      </c>
      <c r="EL87" s="1422">
        <v>0</v>
      </c>
      <c r="EM87" s="1420">
        <v>432794.75</v>
      </c>
      <c r="EN87" s="1420">
        <v>416041.08</v>
      </c>
      <c r="EO87" s="1420">
        <v>129151.16</v>
      </c>
      <c r="EP87" s="1422">
        <v>325000</v>
      </c>
      <c r="EQ87" s="1420">
        <v>679500.26</v>
      </c>
      <c r="ER87" s="1420">
        <v>1068510.3899999999</v>
      </c>
      <c r="ES87" s="1422">
        <v>109275</v>
      </c>
      <c r="ET87" s="1422">
        <v>0</v>
      </c>
      <c r="EU87" s="1420">
        <v>9281016.8699999992</v>
      </c>
      <c r="EV87" s="1420">
        <v>9136969.2599999998</v>
      </c>
      <c r="EW87" s="1420">
        <v>292845.59000000003</v>
      </c>
      <c r="EX87" s="1420">
        <v>538802.07999999996</v>
      </c>
      <c r="EY87" s="1420">
        <v>679500.26</v>
      </c>
      <c r="EZ87" s="1420">
        <v>1068510.3899999999</v>
      </c>
      <c r="FA87" s="1420">
        <v>8308671.0199999996</v>
      </c>
      <c r="FB87" s="1420">
        <v>7529656.79</v>
      </c>
      <c r="FC87" s="1420">
        <v>514761.67</v>
      </c>
      <c r="FD87" s="1439"/>
      <c r="FE87" s="1420">
        <v>7793909.3499999996</v>
      </c>
      <c r="FF87" s="1439"/>
      <c r="FG87" s="1422">
        <v>9049</v>
      </c>
      <c r="FH87" s="1439"/>
      <c r="FI87" s="1420">
        <v>64.22</v>
      </c>
      <c r="FJ87" s="1439"/>
      <c r="FK87" s="1422">
        <v>44012</v>
      </c>
      <c r="FL87" s="1439"/>
      <c r="FM87" s="1420">
        <v>69.22</v>
      </c>
      <c r="FN87" s="1439"/>
      <c r="FO87" s="1422">
        <v>45505</v>
      </c>
      <c r="FP87" s="1439"/>
      <c r="FQ87" s="1420">
        <v>753217.73</v>
      </c>
      <c r="FR87" s="1439"/>
      <c r="FS87" s="1420">
        <v>37446.629999999997</v>
      </c>
      <c r="FT87" s="1439"/>
      <c r="FU87" s="1422">
        <v>-196000</v>
      </c>
      <c r="FV87" s="1439"/>
      <c r="FW87" s="1420">
        <v>911771.1</v>
      </c>
      <c r="FX87" s="1439"/>
      <c r="FY87" s="1420">
        <v>5477181.8899999997</v>
      </c>
      <c r="FZ87" s="1439"/>
      <c r="GA87" s="1422">
        <v>0</v>
      </c>
      <c r="GB87" s="1439"/>
    </row>
    <row r="88" spans="1:184" ht="12.75" customHeight="1" thickBot="1">
      <c r="A88" s="1418" t="s">
        <v>400</v>
      </c>
      <c r="B88" s="1418" t="s">
        <v>401</v>
      </c>
      <c r="C88" s="1420">
        <v>168.3</v>
      </c>
      <c r="D88" s="1439"/>
      <c r="E88" s="1420">
        <v>3906.09</v>
      </c>
      <c r="F88" s="1439"/>
      <c r="G88" s="1421">
        <v>0.08</v>
      </c>
      <c r="H88" s="1439"/>
      <c r="I88" s="1420">
        <v>4136.92</v>
      </c>
      <c r="J88" s="1439"/>
      <c r="K88" s="1420">
        <v>3980.24</v>
      </c>
      <c r="L88" s="1439"/>
      <c r="M88" s="1422">
        <v>356300954</v>
      </c>
      <c r="N88" s="1439"/>
      <c r="O88" s="1422">
        <v>25</v>
      </c>
      <c r="P88" s="1439"/>
      <c r="Q88" s="1422">
        <v>25</v>
      </c>
      <c r="R88" s="1439"/>
      <c r="S88" s="1422">
        <v>0</v>
      </c>
      <c r="T88" s="1439"/>
      <c r="U88" s="1422">
        <v>0</v>
      </c>
      <c r="V88" s="1439"/>
      <c r="W88" s="1420">
        <v>11.7</v>
      </c>
      <c r="X88" s="1439"/>
      <c r="Y88" s="1420">
        <v>36.700000000000003</v>
      </c>
      <c r="Z88" s="1439"/>
      <c r="AA88" s="1422">
        <v>28990000</v>
      </c>
      <c r="AB88" s="1455"/>
      <c r="AC88" s="1424">
        <v>11182421.98</v>
      </c>
      <c r="AD88" s="1422">
        <v>11473611</v>
      </c>
      <c r="AE88" s="1420">
        <v>1996156.84</v>
      </c>
      <c r="AF88" s="1422">
        <v>980817</v>
      </c>
      <c r="AG88" s="1420">
        <v>422.53</v>
      </c>
      <c r="AH88" s="1456">
        <v>0</v>
      </c>
      <c r="AI88" s="1428">
        <v>15549190</v>
      </c>
      <c r="AJ88" s="1422">
        <v>16626163</v>
      </c>
      <c r="AK88" s="1422">
        <v>336325</v>
      </c>
      <c r="AL88" s="1422">
        <v>0</v>
      </c>
      <c r="AM88" s="1422">
        <v>1100471</v>
      </c>
      <c r="AN88" s="1422">
        <v>0</v>
      </c>
      <c r="AO88" s="1422">
        <v>0</v>
      </c>
      <c r="AP88" s="1422">
        <v>0</v>
      </c>
      <c r="AQ88" s="1422">
        <v>0</v>
      </c>
      <c r="AR88" s="1422">
        <v>0</v>
      </c>
      <c r="AS88" s="1422">
        <v>0</v>
      </c>
      <c r="AT88" s="1422">
        <v>0</v>
      </c>
      <c r="AU88" s="1422">
        <v>0</v>
      </c>
      <c r="AV88" s="1422">
        <v>0</v>
      </c>
      <c r="AW88" s="1422">
        <v>0</v>
      </c>
      <c r="AX88" s="1422">
        <v>0</v>
      </c>
      <c r="AY88" s="1420">
        <v>30164987.350000001</v>
      </c>
      <c r="AZ88" s="1422">
        <v>29080591</v>
      </c>
      <c r="BA88" s="1422">
        <v>0</v>
      </c>
      <c r="BB88" s="1422">
        <v>0</v>
      </c>
      <c r="BC88" s="1422">
        <v>164623</v>
      </c>
      <c r="BD88" s="1422">
        <v>175421</v>
      </c>
      <c r="BE88" s="1420">
        <v>2808.29</v>
      </c>
      <c r="BF88" s="1422">
        <v>3000</v>
      </c>
      <c r="BG88" s="1422">
        <v>6750</v>
      </c>
      <c r="BH88" s="1422">
        <v>5000</v>
      </c>
      <c r="BI88" s="1422">
        <v>0</v>
      </c>
      <c r="BJ88" s="1422">
        <v>0</v>
      </c>
      <c r="BK88" s="1422">
        <v>60944</v>
      </c>
      <c r="BL88" s="1422">
        <v>68830</v>
      </c>
      <c r="BM88" s="1422">
        <v>1046560</v>
      </c>
      <c r="BN88" s="1422">
        <v>1160258</v>
      </c>
      <c r="BO88" s="1420">
        <v>24448.63</v>
      </c>
      <c r="BP88" s="1422">
        <v>23000</v>
      </c>
      <c r="BQ88" s="1420">
        <v>133557.20000000001</v>
      </c>
      <c r="BR88" s="1422">
        <v>94250</v>
      </c>
      <c r="BS88" s="1420">
        <v>14829.38</v>
      </c>
      <c r="BT88" s="1422">
        <v>16000</v>
      </c>
      <c r="BU88" s="1422">
        <v>0</v>
      </c>
      <c r="BV88" s="1422">
        <v>0</v>
      </c>
      <c r="BW88" s="1422">
        <v>0</v>
      </c>
      <c r="BX88" s="1422">
        <v>0</v>
      </c>
      <c r="BY88" s="1422">
        <v>0</v>
      </c>
      <c r="BZ88" s="1422">
        <v>0</v>
      </c>
      <c r="CA88" s="1420">
        <v>581147.03</v>
      </c>
      <c r="CB88" s="1422">
        <v>1039487</v>
      </c>
      <c r="CC88" s="1420">
        <v>2035667.53</v>
      </c>
      <c r="CD88" s="1422">
        <v>2585246</v>
      </c>
      <c r="CE88" s="1420">
        <v>4938837.16</v>
      </c>
      <c r="CF88" s="1420">
        <v>3454435.79</v>
      </c>
      <c r="CG88" s="1422">
        <v>1151500</v>
      </c>
      <c r="CH88" s="1422">
        <v>0</v>
      </c>
      <c r="CI88" s="1422">
        <v>0</v>
      </c>
      <c r="CJ88" s="1422">
        <v>0</v>
      </c>
      <c r="CK88" s="1422">
        <v>0</v>
      </c>
      <c r="CL88" s="1422">
        <v>0</v>
      </c>
      <c r="CM88" s="1422">
        <v>0</v>
      </c>
      <c r="CN88" s="1422">
        <v>0</v>
      </c>
      <c r="CO88" s="1420">
        <v>42165.19</v>
      </c>
      <c r="CP88" s="1422">
        <v>58000</v>
      </c>
      <c r="CQ88" s="1422">
        <v>0</v>
      </c>
      <c r="CR88" s="1422">
        <v>0</v>
      </c>
      <c r="CS88" s="1420">
        <v>1193665.19</v>
      </c>
      <c r="CT88" s="1422">
        <v>58000</v>
      </c>
      <c r="CU88" s="1420">
        <v>38333157.229999997</v>
      </c>
      <c r="CV88" s="1420">
        <v>35178272.789999999</v>
      </c>
      <c r="CW88" s="1420">
        <v>13900190.050000001</v>
      </c>
      <c r="CX88" s="1420">
        <v>12811447.779999999</v>
      </c>
      <c r="CY88" s="1420">
        <v>2873815.53</v>
      </c>
      <c r="CZ88" s="1420">
        <v>2691142.22</v>
      </c>
      <c r="DA88" s="1420">
        <v>666197.1</v>
      </c>
      <c r="DB88" s="1420">
        <v>673814.8</v>
      </c>
      <c r="DC88" s="1422">
        <v>0</v>
      </c>
      <c r="DD88" s="1422">
        <v>0</v>
      </c>
      <c r="DE88" s="1420">
        <v>1090617.83</v>
      </c>
      <c r="DF88" s="1420">
        <v>981038.58</v>
      </c>
      <c r="DG88" s="1420">
        <v>622079.09</v>
      </c>
      <c r="DH88" s="1420">
        <v>600560.97</v>
      </c>
      <c r="DI88" s="1420">
        <v>19152899.600000001</v>
      </c>
      <c r="DJ88" s="1420">
        <v>17758004.350000001</v>
      </c>
      <c r="DK88" s="1420">
        <v>1013554.96</v>
      </c>
      <c r="DL88" s="1420">
        <v>1058423.2</v>
      </c>
      <c r="DM88" s="1420">
        <v>1292755.98</v>
      </c>
      <c r="DN88" s="1420">
        <v>1094003.8999999999</v>
      </c>
      <c r="DO88" s="1420">
        <v>2756279.34</v>
      </c>
      <c r="DP88" s="1420">
        <v>2944086.05</v>
      </c>
      <c r="DQ88" s="1420">
        <v>1954855.32</v>
      </c>
      <c r="DR88" s="1420">
        <v>2285065.44</v>
      </c>
      <c r="DS88" s="1420">
        <v>63993.35</v>
      </c>
      <c r="DT88" s="1422">
        <v>51500</v>
      </c>
      <c r="DU88" s="1420">
        <v>7081438.9500000002</v>
      </c>
      <c r="DV88" s="1420">
        <v>7433078.5899999999</v>
      </c>
      <c r="DW88" s="1420">
        <v>1720071.69</v>
      </c>
      <c r="DX88" s="1420">
        <v>1543647.72</v>
      </c>
      <c r="DY88" s="1420">
        <v>2149286.14</v>
      </c>
      <c r="DZ88" s="1420">
        <v>1484779.85</v>
      </c>
      <c r="EA88" s="1420">
        <v>1844928.39</v>
      </c>
      <c r="EB88" s="1420">
        <v>1821207.74</v>
      </c>
      <c r="EC88" s="1420">
        <v>5714286.2199999997</v>
      </c>
      <c r="ED88" s="1420">
        <v>4849635.3099999996</v>
      </c>
      <c r="EE88" s="1420">
        <v>2423073.4700000002</v>
      </c>
      <c r="EF88" s="1420">
        <v>2276066.04</v>
      </c>
      <c r="EG88" s="1422">
        <v>0</v>
      </c>
      <c r="EH88" s="1422">
        <v>0</v>
      </c>
      <c r="EI88" s="1420">
        <v>2194.92</v>
      </c>
      <c r="EJ88" s="1422">
        <v>0</v>
      </c>
      <c r="EK88" s="1422">
        <v>0</v>
      </c>
      <c r="EL88" s="1422">
        <v>0</v>
      </c>
      <c r="EM88" s="1420">
        <v>2425268.39</v>
      </c>
      <c r="EN88" s="1420">
        <v>2276066.04</v>
      </c>
      <c r="EO88" s="1420">
        <v>1642874.36</v>
      </c>
      <c r="EP88" s="1422">
        <v>0</v>
      </c>
      <c r="EQ88" s="1420">
        <v>2153258.02</v>
      </c>
      <c r="ER88" s="1420">
        <v>2299514.19</v>
      </c>
      <c r="ES88" s="1422">
        <v>0</v>
      </c>
      <c r="ET88" s="1422">
        <v>0</v>
      </c>
      <c r="EU88" s="1420">
        <v>38170025.539999999</v>
      </c>
      <c r="EV88" s="1420">
        <v>34616298.479999997</v>
      </c>
      <c r="EW88" s="1420">
        <v>2686804.19</v>
      </c>
      <c r="EX88" s="1422">
        <v>938025</v>
      </c>
      <c r="EY88" s="1420">
        <v>2153258.02</v>
      </c>
      <c r="EZ88" s="1420">
        <v>2299514.19</v>
      </c>
      <c r="FA88" s="1420">
        <v>33329963.329999998</v>
      </c>
      <c r="FB88" s="1420">
        <v>31378759.289999999</v>
      </c>
      <c r="FC88" s="1420">
        <v>1656754.84</v>
      </c>
      <c r="FD88" s="1439"/>
      <c r="FE88" s="1420">
        <v>31673208.489999998</v>
      </c>
      <c r="FF88" s="1439"/>
      <c r="FG88" s="1422">
        <v>8108</v>
      </c>
      <c r="FH88" s="1439"/>
      <c r="FI88" s="1420">
        <v>240.53</v>
      </c>
      <c r="FJ88" s="1439"/>
      <c r="FK88" s="1422">
        <v>50662</v>
      </c>
      <c r="FL88" s="1439"/>
      <c r="FM88" s="1420">
        <v>261.38</v>
      </c>
      <c r="FN88" s="1439"/>
      <c r="FO88" s="1422">
        <v>53501</v>
      </c>
      <c r="FP88" s="1439"/>
      <c r="FQ88" s="1420">
        <v>5365727.9000000004</v>
      </c>
      <c r="FR88" s="1439"/>
      <c r="FS88" s="1420">
        <v>417281.37</v>
      </c>
      <c r="FT88" s="1439"/>
      <c r="FU88" s="1422">
        <v>0</v>
      </c>
      <c r="FV88" s="1439"/>
      <c r="FW88" s="1420">
        <v>4948446.53</v>
      </c>
      <c r="FX88" s="1439"/>
      <c r="FY88" s="1420">
        <v>2368877.33</v>
      </c>
      <c r="FZ88" s="1439"/>
      <c r="GA88" s="1422">
        <v>0</v>
      </c>
      <c r="GB88" s="1439"/>
    </row>
    <row r="89" spans="1:184" ht="12.75" customHeight="1" thickBot="1">
      <c r="A89" s="1418" t="s">
        <v>402</v>
      </c>
      <c r="B89" s="1418" t="s">
        <v>403</v>
      </c>
      <c r="C89" s="1420">
        <v>62.23</v>
      </c>
      <c r="D89" s="1439"/>
      <c r="E89" s="1420">
        <v>2839.73</v>
      </c>
      <c r="F89" s="1439"/>
      <c r="G89" s="1421">
        <v>0.13</v>
      </c>
      <c r="H89" s="1439"/>
      <c r="I89" s="1420">
        <v>2996.76</v>
      </c>
      <c r="J89" s="1439"/>
      <c r="K89" s="1420">
        <v>3004.79</v>
      </c>
      <c r="L89" s="1439"/>
      <c r="M89" s="1422">
        <v>389554640</v>
      </c>
      <c r="N89" s="1439"/>
      <c r="O89" s="1422">
        <v>25</v>
      </c>
      <c r="P89" s="1439"/>
      <c r="Q89" s="1422">
        <v>25</v>
      </c>
      <c r="R89" s="1439"/>
      <c r="S89" s="1422">
        <v>0</v>
      </c>
      <c r="T89" s="1439"/>
      <c r="U89" s="1422">
        <v>0</v>
      </c>
      <c r="V89" s="1439"/>
      <c r="W89" s="1420">
        <v>12.7</v>
      </c>
      <c r="X89" s="1439"/>
      <c r="Y89" s="1420">
        <v>37.700000000000003</v>
      </c>
      <c r="Z89" s="1439"/>
      <c r="AA89" s="1422">
        <v>26040000</v>
      </c>
      <c r="AB89" s="1455"/>
      <c r="AC89" s="1424">
        <v>13020745.41</v>
      </c>
      <c r="AD89" s="1422">
        <v>13996699</v>
      </c>
      <c r="AE89" s="1420">
        <v>1428293.34</v>
      </c>
      <c r="AF89" s="1420">
        <v>1497888.89</v>
      </c>
      <c r="AG89" s="1420">
        <v>314.54000000000002</v>
      </c>
      <c r="AH89" s="1456">
        <v>0</v>
      </c>
      <c r="AI89" s="1428">
        <v>8935168</v>
      </c>
      <c r="AJ89" s="1422">
        <v>8980016</v>
      </c>
      <c r="AK89" s="1422">
        <v>284494</v>
      </c>
      <c r="AL89" s="1422">
        <v>0</v>
      </c>
      <c r="AM89" s="1422">
        <v>89426</v>
      </c>
      <c r="AN89" s="1422">
        <v>0</v>
      </c>
      <c r="AO89" s="1422">
        <v>0</v>
      </c>
      <c r="AP89" s="1422">
        <v>0</v>
      </c>
      <c r="AQ89" s="1422">
        <v>0</v>
      </c>
      <c r="AR89" s="1422">
        <v>0</v>
      </c>
      <c r="AS89" s="1422">
        <v>0</v>
      </c>
      <c r="AT89" s="1422">
        <v>0</v>
      </c>
      <c r="AU89" s="1422">
        <v>0</v>
      </c>
      <c r="AV89" s="1422">
        <v>0</v>
      </c>
      <c r="AW89" s="1422">
        <v>0</v>
      </c>
      <c r="AX89" s="1422">
        <v>0</v>
      </c>
      <c r="AY89" s="1420">
        <v>23758441.289999999</v>
      </c>
      <c r="AZ89" s="1420">
        <v>24474603.890000001</v>
      </c>
      <c r="BA89" s="1422">
        <v>0</v>
      </c>
      <c r="BB89" s="1422">
        <v>0</v>
      </c>
      <c r="BC89" s="1422">
        <v>124278</v>
      </c>
      <c r="BD89" s="1422">
        <v>127777</v>
      </c>
      <c r="BE89" s="1420">
        <v>1941.04</v>
      </c>
      <c r="BF89" s="1422">
        <v>0</v>
      </c>
      <c r="BG89" s="1422">
        <v>2000</v>
      </c>
      <c r="BH89" s="1422">
        <v>0</v>
      </c>
      <c r="BI89" s="1422">
        <v>140783</v>
      </c>
      <c r="BJ89" s="1422">
        <v>123894</v>
      </c>
      <c r="BK89" s="1422">
        <v>31644</v>
      </c>
      <c r="BL89" s="1422">
        <v>31644</v>
      </c>
      <c r="BM89" s="1422">
        <v>582529</v>
      </c>
      <c r="BN89" s="1422">
        <v>604164</v>
      </c>
      <c r="BO89" s="1422">
        <v>12654</v>
      </c>
      <c r="BP89" s="1422">
        <v>0</v>
      </c>
      <c r="BQ89" s="1420">
        <v>211412.43</v>
      </c>
      <c r="BR89" s="1422">
        <v>0</v>
      </c>
      <c r="BS89" s="1420">
        <v>8148.72</v>
      </c>
      <c r="BT89" s="1422">
        <v>0</v>
      </c>
      <c r="BU89" s="1422">
        <v>0</v>
      </c>
      <c r="BV89" s="1422">
        <v>0</v>
      </c>
      <c r="BW89" s="1422">
        <v>310846</v>
      </c>
      <c r="BX89" s="1422">
        <v>354000</v>
      </c>
      <c r="BY89" s="1422">
        <v>0</v>
      </c>
      <c r="BZ89" s="1422">
        <v>0</v>
      </c>
      <c r="CA89" s="1422">
        <v>17370</v>
      </c>
      <c r="CB89" s="1422">
        <v>13896</v>
      </c>
      <c r="CC89" s="1420">
        <v>1443606.19</v>
      </c>
      <c r="CD89" s="1422">
        <v>1255375</v>
      </c>
      <c r="CE89" s="1420">
        <v>3007554.73</v>
      </c>
      <c r="CF89" s="1422">
        <v>1130113</v>
      </c>
      <c r="CG89" s="1420">
        <v>11532287.6</v>
      </c>
      <c r="CH89" s="1422">
        <v>0</v>
      </c>
      <c r="CI89" s="1422">
        <v>0</v>
      </c>
      <c r="CJ89" s="1422">
        <v>0</v>
      </c>
      <c r="CK89" s="1422">
        <v>0</v>
      </c>
      <c r="CL89" s="1422">
        <v>0</v>
      </c>
      <c r="CM89" s="1422">
        <v>0</v>
      </c>
      <c r="CN89" s="1422">
        <v>0</v>
      </c>
      <c r="CO89" s="1422">
        <v>0</v>
      </c>
      <c r="CP89" s="1422">
        <v>0</v>
      </c>
      <c r="CQ89" s="1422">
        <v>0</v>
      </c>
      <c r="CR89" s="1422">
        <v>0</v>
      </c>
      <c r="CS89" s="1420">
        <v>11532287.6</v>
      </c>
      <c r="CT89" s="1422">
        <v>0</v>
      </c>
      <c r="CU89" s="1420">
        <v>39741889.810000002</v>
      </c>
      <c r="CV89" s="1420">
        <v>26860091.890000001</v>
      </c>
      <c r="CW89" s="1420">
        <v>12024119.08</v>
      </c>
      <c r="CX89" s="1420">
        <v>11122551.5</v>
      </c>
      <c r="CY89" s="1420">
        <v>2005039.44</v>
      </c>
      <c r="CZ89" s="1420">
        <v>1476151.91</v>
      </c>
      <c r="DA89" s="1420">
        <v>523832.78</v>
      </c>
      <c r="DB89" s="1420">
        <v>528660.97</v>
      </c>
      <c r="DC89" s="1422">
        <v>0</v>
      </c>
      <c r="DD89" s="1422">
        <v>0</v>
      </c>
      <c r="DE89" s="1420">
        <v>391866.16</v>
      </c>
      <c r="DF89" s="1420">
        <v>309884.06</v>
      </c>
      <c r="DG89" s="1420">
        <v>428276.09</v>
      </c>
      <c r="DH89" s="1420">
        <v>474340.69</v>
      </c>
      <c r="DI89" s="1420">
        <v>15373133.550000001</v>
      </c>
      <c r="DJ89" s="1420">
        <v>13911589.130000001</v>
      </c>
      <c r="DK89" s="1420">
        <v>781147.9</v>
      </c>
      <c r="DL89" s="1420">
        <v>780135.02</v>
      </c>
      <c r="DM89" s="1420">
        <v>938122.4</v>
      </c>
      <c r="DN89" s="1420">
        <v>819935.32</v>
      </c>
      <c r="DO89" s="1420">
        <v>2457956.5499999998</v>
      </c>
      <c r="DP89" s="1420">
        <v>2451439.9300000002</v>
      </c>
      <c r="DQ89" s="1420">
        <v>1139755.6000000001</v>
      </c>
      <c r="DR89" s="1420">
        <v>1193523.54</v>
      </c>
      <c r="DS89" s="1420">
        <v>43504.33</v>
      </c>
      <c r="DT89" s="1422">
        <v>0</v>
      </c>
      <c r="DU89" s="1420">
        <v>5360486.78</v>
      </c>
      <c r="DV89" s="1420">
        <v>5245033.8099999996</v>
      </c>
      <c r="DW89" s="1420">
        <v>1184463.3799999999</v>
      </c>
      <c r="DX89" s="1420">
        <v>1187881.8600000001</v>
      </c>
      <c r="DY89" s="1420">
        <v>1580426.43</v>
      </c>
      <c r="DZ89" s="1420">
        <v>1311584.71</v>
      </c>
      <c r="EA89" s="1420">
        <v>1337028.72</v>
      </c>
      <c r="EB89" s="1420">
        <v>1379586.46</v>
      </c>
      <c r="EC89" s="1420">
        <v>4101918.53</v>
      </c>
      <c r="ED89" s="1420">
        <v>3879053.03</v>
      </c>
      <c r="EE89" s="1420">
        <v>1080891.4099999999</v>
      </c>
      <c r="EF89" s="1422">
        <v>1000000</v>
      </c>
      <c r="EG89" s="1422">
        <v>0</v>
      </c>
      <c r="EH89" s="1422">
        <v>0</v>
      </c>
      <c r="EI89" s="1420">
        <v>22452.17</v>
      </c>
      <c r="EJ89" s="1420">
        <v>800.96</v>
      </c>
      <c r="EK89" s="1422">
        <v>0</v>
      </c>
      <c r="EL89" s="1422">
        <v>0</v>
      </c>
      <c r="EM89" s="1420">
        <v>1103343.58</v>
      </c>
      <c r="EN89" s="1420">
        <v>1000800.96</v>
      </c>
      <c r="EO89" s="1420">
        <v>1247780.46</v>
      </c>
      <c r="EP89" s="1422">
        <v>11900000</v>
      </c>
      <c r="EQ89" s="1420">
        <v>967115.44</v>
      </c>
      <c r="ER89" s="1422">
        <v>1104000</v>
      </c>
      <c r="ES89" s="1422">
        <v>48563</v>
      </c>
      <c r="ET89" s="1422">
        <v>0</v>
      </c>
      <c r="EU89" s="1420">
        <v>28202341.34</v>
      </c>
      <c r="EV89" s="1420">
        <v>37040476.93</v>
      </c>
      <c r="EW89" s="1420">
        <v>1922912.39</v>
      </c>
      <c r="EX89" s="1422">
        <v>12415000</v>
      </c>
      <c r="EY89" s="1420">
        <v>967115.44</v>
      </c>
      <c r="EZ89" s="1422">
        <v>1104000</v>
      </c>
      <c r="FA89" s="1420">
        <v>25312313.510000002</v>
      </c>
      <c r="FB89" s="1420">
        <v>23521476.93</v>
      </c>
      <c r="FC89" s="1420">
        <v>1305317.1200000001</v>
      </c>
      <c r="FD89" s="1439"/>
      <c r="FE89" s="1420">
        <v>24006996.390000001</v>
      </c>
      <c r="FF89" s="1439"/>
      <c r="FG89" s="1422">
        <v>8453</v>
      </c>
      <c r="FH89" s="1439"/>
      <c r="FI89" s="1420">
        <v>190.44</v>
      </c>
      <c r="FJ89" s="1439"/>
      <c r="FK89" s="1422">
        <v>50230</v>
      </c>
      <c r="FL89" s="1439"/>
      <c r="FM89" s="1420">
        <v>206.66</v>
      </c>
      <c r="FN89" s="1439"/>
      <c r="FO89" s="1422">
        <v>53041</v>
      </c>
      <c r="FP89" s="1439"/>
      <c r="FQ89" s="1420">
        <v>3099899.53</v>
      </c>
      <c r="FR89" s="1439"/>
      <c r="FS89" s="1420">
        <v>78010.77</v>
      </c>
      <c r="FT89" s="1439"/>
      <c r="FU89" s="1422">
        <v>0</v>
      </c>
      <c r="FV89" s="1439"/>
      <c r="FW89" s="1420">
        <v>3021888.76</v>
      </c>
      <c r="FX89" s="1439"/>
      <c r="FY89" s="1420">
        <v>11469175.92</v>
      </c>
      <c r="FZ89" s="1439"/>
      <c r="GA89" s="1422">
        <v>0</v>
      </c>
      <c r="GB89" s="1439"/>
    </row>
    <row r="90" spans="1:184" ht="12.75" customHeight="1" thickBot="1">
      <c r="A90" s="1418" t="s">
        <v>404</v>
      </c>
      <c r="B90" s="1418" t="s">
        <v>405</v>
      </c>
      <c r="C90" s="1420">
        <v>103.76</v>
      </c>
      <c r="D90" s="1439"/>
      <c r="E90" s="1420">
        <v>558.53</v>
      </c>
      <c r="F90" s="1439"/>
      <c r="G90" s="1421">
        <v>-0.05</v>
      </c>
      <c r="H90" s="1439"/>
      <c r="I90" s="1420">
        <v>596.76</v>
      </c>
      <c r="J90" s="1439"/>
      <c r="K90" s="1420">
        <v>609.1</v>
      </c>
      <c r="L90" s="1439"/>
      <c r="M90" s="1422">
        <v>47456537</v>
      </c>
      <c r="N90" s="1439"/>
      <c r="O90" s="1422">
        <v>25</v>
      </c>
      <c r="P90" s="1439"/>
      <c r="Q90" s="1422">
        <v>25</v>
      </c>
      <c r="R90" s="1439"/>
      <c r="S90" s="1422">
        <v>0</v>
      </c>
      <c r="T90" s="1439"/>
      <c r="U90" s="1422">
        <v>0</v>
      </c>
      <c r="V90" s="1439"/>
      <c r="W90" s="1420">
        <v>12.9</v>
      </c>
      <c r="X90" s="1439"/>
      <c r="Y90" s="1420">
        <v>37.9</v>
      </c>
      <c r="Z90" s="1439"/>
      <c r="AA90" s="1420">
        <v>3997316.33</v>
      </c>
      <c r="AB90" s="1455"/>
      <c r="AC90" s="1424">
        <v>1606148.08</v>
      </c>
      <c r="AD90" s="1420">
        <v>1716045.82</v>
      </c>
      <c r="AE90" s="1420">
        <v>183198.09</v>
      </c>
      <c r="AF90" s="1422">
        <v>62700</v>
      </c>
      <c r="AG90" s="1420">
        <v>64.08</v>
      </c>
      <c r="AH90" s="1456">
        <v>0</v>
      </c>
      <c r="AI90" s="1428">
        <v>2549717</v>
      </c>
      <c r="AJ90" s="1422">
        <v>2484961</v>
      </c>
      <c r="AK90" s="1422">
        <v>37323</v>
      </c>
      <c r="AL90" s="1422">
        <v>0</v>
      </c>
      <c r="AM90" s="1422">
        <v>23206</v>
      </c>
      <c r="AN90" s="1422">
        <v>0</v>
      </c>
      <c r="AO90" s="1422">
        <v>0</v>
      </c>
      <c r="AP90" s="1422">
        <v>25897</v>
      </c>
      <c r="AQ90" s="1422">
        <v>0</v>
      </c>
      <c r="AR90" s="1422">
        <v>0</v>
      </c>
      <c r="AS90" s="1422">
        <v>0</v>
      </c>
      <c r="AT90" s="1422">
        <v>0</v>
      </c>
      <c r="AU90" s="1422">
        <v>0</v>
      </c>
      <c r="AV90" s="1422">
        <v>0</v>
      </c>
      <c r="AW90" s="1422">
        <v>0</v>
      </c>
      <c r="AX90" s="1422">
        <v>0</v>
      </c>
      <c r="AY90" s="1420">
        <v>4399656.25</v>
      </c>
      <c r="AZ90" s="1420">
        <v>4289603.82</v>
      </c>
      <c r="BA90" s="1422">
        <v>0</v>
      </c>
      <c r="BB90" s="1422">
        <v>0</v>
      </c>
      <c r="BC90" s="1422">
        <v>25192</v>
      </c>
      <c r="BD90" s="1422">
        <v>25456</v>
      </c>
      <c r="BE90" s="1420">
        <v>1384.16</v>
      </c>
      <c r="BF90" s="1422">
        <v>800</v>
      </c>
      <c r="BG90" s="1422">
        <v>0</v>
      </c>
      <c r="BH90" s="1422">
        <v>0</v>
      </c>
      <c r="BI90" s="1422">
        <v>0</v>
      </c>
      <c r="BJ90" s="1422">
        <v>0</v>
      </c>
      <c r="BK90" s="1422">
        <v>0</v>
      </c>
      <c r="BL90" s="1422">
        <v>0</v>
      </c>
      <c r="BM90" s="1422">
        <v>466240</v>
      </c>
      <c r="BN90" s="1422">
        <v>466532</v>
      </c>
      <c r="BO90" s="1420">
        <v>2495.27</v>
      </c>
      <c r="BP90" s="1422">
        <v>0</v>
      </c>
      <c r="BQ90" s="1420">
        <v>18958.560000000001</v>
      </c>
      <c r="BR90" s="1422">
        <v>0</v>
      </c>
      <c r="BS90" s="1420">
        <v>2354.4499999999998</v>
      </c>
      <c r="BT90" s="1422">
        <v>0</v>
      </c>
      <c r="BU90" s="1422">
        <v>0</v>
      </c>
      <c r="BV90" s="1422">
        <v>0</v>
      </c>
      <c r="BW90" s="1422">
        <v>0</v>
      </c>
      <c r="BX90" s="1422">
        <v>0</v>
      </c>
      <c r="BY90" s="1422">
        <v>0</v>
      </c>
      <c r="BZ90" s="1422">
        <v>0</v>
      </c>
      <c r="CA90" s="1420">
        <v>73415.08</v>
      </c>
      <c r="CB90" s="1422">
        <v>26102</v>
      </c>
      <c r="CC90" s="1420">
        <v>590039.52</v>
      </c>
      <c r="CD90" s="1422">
        <v>518890</v>
      </c>
      <c r="CE90" s="1420">
        <v>988414.95</v>
      </c>
      <c r="CF90" s="1420">
        <v>792197.68</v>
      </c>
      <c r="CG90" s="1422">
        <v>14800</v>
      </c>
      <c r="CH90" s="1422">
        <v>0</v>
      </c>
      <c r="CI90" s="1422">
        <v>0</v>
      </c>
      <c r="CJ90" s="1422">
        <v>0</v>
      </c>
      <c r="CK90" s="1422">
        <v>0</v>
      </c>
      <c r="CL90" s="1422">
        <v>0</v>
      </c>
      <c r="CM90" s="1422">
        <v>0</v>
      </c>
      <c r="CN90" s="1422">
        <v>0</v>
      </c>
      <c r="CO90" s="1422">
        <v>25500</v>
      </c>
      <c r="CP90" s="1422">
        <v>0</v>
      </c>
      <c r="CQ90" s="1422">
        <v>0</v>
      </c>
      <c r="CR90" s="1422">
        <v>0</v>
      </c>
      <c r="CS90" s="1422">
        <v>40300</v>
      </c>
      <c r="CT90" s="1422">
        <v>0</v>
      </c>
      <c r="CU90" s="1420">
        <v>6018410.7199999997</v>
      </c>
      <c r="CV90" s="1420">
        <v>5600691.5</v>
      </c>
      <c r="CW90" s="1420">
        <v>2217844.8199999998</v>
      </c>
      <c r="CX90" s="1420">
        <v>2175142.13</v>
      </c>
      <c r="CY90" s="1420">
        <v>272608.49</v>
      </c>
      <c r="CZ90" s="1420">
        <v>279280.33</v>
      </c>
      <c r="DA90" s="1420">
        <v>105363.19</v>
      </c>
      <c r="DB90" s="1420">
        <v>108301.79</v>
      </c>
      <c r="DC90" s="1422">
        <v>0</v>
      </c>
      <c r="DD90" s="1422">
        <v>0</v>
      </c>
      <c r="DE90" s="1420">
        <v>110346.23</v>
      </c>
      <c r="DF90" s="1420">
        <v>191151.54</v>
      </c>
      <c r="DG90" s="1420">
        <v>99992.74</v>
      </c>
      <c r="DH90" s="1420">
        <v>119427.91</v>
      </c>
      <c r="DI90" s="1420">
        <v>2806155.47</v>
      </c>
      <c r="DJ90" s="1420">
        <v>2873303.7</v>
      </c>
      <c r="DK90" s="1420">
        <v>216854.75</v>
      </c>
      <c r="DL90" s="1420">
        <v>183362.29</v>
      </c>
      <c r="DM90" s="1420">
        <v>124933.92</v>
      </c>
      <c r="DN90" s="1420">
        <v>127373.1</v>
      </c>
      <c r="DO90" s="1420">
        <v>617465.81999999995</v>
      </c>
      <c r="DP90" s="1420">
        <v>526873.54</v>
      </c>
      <c r="DQ90" s="1420">
        <v>425038.95</v>
      </c>
      <c r="DR90" s="1420">
        <v>184282.14</v>
      </c>
      <c r="DS90" s="1420">
        <v>6314.64</v>
      </c>
      <c r="DT90" s="1422">
        <v>500</v>
      </c>
      <c r="DU90" s="1420">
        <v>1390608.08</v>
      </c>
      <c r="DV90" s="1420">
        <v>1022391.07</v>
      </c>
      <c r="DW90" s="1420">
        <v>272858.71000000002</v>
      </c>
      <c r="DX90" s="1420">
        <v>294384.05</v>
      </c>
      <c r="DY90" s="1420">
        <v>609388.74</v>
      </c>
      <c r="DZ90" s="1420">
        <v>661858.91</v>
      </c>
      <c r="EA90" s="1420">
        <v>261538.79</v>
      </c>
      <c r="EB90" s="1420">
        <v>248844.75</v>
      </c>
      <c r="EC90" s="1420">
        <v>1143786.24</v>
      </c>
      <c r="ED90" s="1420">
        <v>1205087.71</v>
      </c>
      <c r="EE90" s="1420">
        <v>304272.65000000002</v>
      </c>
      <c r="EF90" s="1420">
        <v>300181.96999999997</v>
      </c>
      <c r="EG90" s="1422">
        <v>0</v>
      </c>
      <c r="EH90" s="1422">
        <v>0</v>
      </c>
      <c r="EI90" s="1422">
        <v>0</v>
      </c>
      <c r="EJ90" s="1422">
        <v>0</v>
      </c>
      <c r="EK90" s="1422">
        <v>0</v>
      </c>
      <c r="EL90" s="1422">
        <v>0</v>
      </c>
      <c r="EM90" s="1420">
        <v>304272.65000000002</v>
      </c>
      <c r="EN90" s="1420">
        <v>300181.96999999997</v>
      </c>
      <c r="EO90" s="1420">
        <v>105218.87</v>
      </c>
      <c r="EP90" s="1422">
        <v>0</v>
      </c>
      <c r="EQ90" s="1420">
        <v>279167.21999999997</v>
      </c>
      <c r="ER90" s="1420">
        <v>340533.7</v>
      </c>
      <c r="ES90" s="1420">
        <v>201.46</v>
      </c>
      <c r="ET90" s="1422">
        <v>0</v>
      </c>
      <c r="EU90" s="1420">
        <v>6029409.9900000002</v>
      </c>
      <c r="EV90" s="1420">
        <v>5741498.1500000004</v>
      </c>
      <c r="EW90" s="1420">
        <v>430007.51</v>
      </c>
      <c r="EX90" s="1420">
        <v>47352.4</v>
      </c>
      <c r="EY90" s="1420">
        <v>279167.21999999997</v>
      </c>
      <c r="EZ90" s="1420">
        <v>340533.7</v>
      </c>
      <c r="FA90" s="1420">
        <v>5320235.26</v>
      </c>
      <c r="FB90" s="1420">
        <v>5353612.05</v>
      </c>
      <c r="FC90" s="1420">
        <v>182217.44</v>
      </c>
      <c r="FD90" s="1439"/>
      <c r="FE90" s="1420">
        <v>5138017.82</v>
      </c>
      <c r="FF90" s="1439"/>
      <c r="FG90" s="1422">
        <v>9199</v>
      </c>
      <c r="FH90" s="1439"/>
      <c r="FI90" s="1420">
        <v>50.15</v>
      </c>
      <c r="FJ90" s="1439"/>
      <c r="FK90" s="1422">
        <v>38172</v>
      </c>
      <c r="FL90" s="1439"/>
      <c r="FM90" s="1420">
        <v>56.35</v>
      </c>
      <c r="FN90" s="1439"/>
      <c r="FO90" s="1422">
        <v>40237</v>
      </c>
      <c r="FP90" s="1439"/>
      <c r="FQ90" s="1420">
        <v>671829.04</v>
      </c>
      <c r="FR90" s="1439"/>
      <c r="FS90" s="1420">
        <v>71712.69</v>
      </c>
      <c r="FT90" s="1439"/>
      <c r="FU90" s="1422">
        <v>0</v>
      </c>
      <c r="FV90" s="1439"/>
      <c r="FW90" s="1420">
        <v>600116.35</v>
      </c>
      <c r="FX90" s="1439"/>
      <c r="FY90" s="1422">
        <v>14800</v>
      </c>
      <c r="FZ90" s="1439"/>
      <c r="GA90" s="1422">
        <v>0</v>
      </c>
      <c r="GB90" s="1439"/>
    </row>
    <row r="91" spans="1:184" ht="12.75" customHeight="1" thickBot="1">
      <c r="A91" s="1418" t="s">
        <v>406</v>
      </c>
      <c r="B91" s="1418" t="s">
        <v>407</v>
      </c>
      <c r="C91" s="1420">
        <v>56.32</v>
      </c>
      <c r="D91" s="1439"/>
      <c r="E91" s="1420">
        <v>503.82</v>
      </c>
      <c r="F91" s="1439"/>
      <c r="G91" s="1421">
        <v>0</v>
      </c>
      <c r="H91" s="1439"/>
      <c r="I91" s="1420">
        <v>531.66999999999996</v>
      </c>
      <c r="J91" s="1439"/>
      <c r="K91" s="1420">
        <v>538.45000000000005</v>
      </c>
      <c r="L91" s="1439"/>
      <c r="M91" s="1422">
        <v>11391000</v>
      </c>
      <c r="N91" s="1439"/>
      <c r="O91" s="1422">
        <v>25</v>
      </c>
      <c r="P91" s="1439"/>
      <c r="Q91" s="1422">
        <v>25</v>
      </c>
      <c r="R91" s="1439"/>
      <c r="S91" s="1422">
        <v>0</v>
      </c>
      <c r="T91" s="1439"/>
      <c r="U91" s="1422">
        <v>0</v>
      </c>
      <c r="V91" s="1439"/>
      <c r="W91" s="1420">
        <v>21.7</v>
      </c>
      <c r="X91" s="1439"/>
      <c r="Y91" s="1420">
        <v>46.7</v>
      </c>
      <c r="Z91" s="1439"/>
      <c r="AA91" s="1422">
        <v>2758320</v>
      </c>
      <c r="AB91" s="1455"/>
      <c r="AC91" s="1424">
        <v>490116.19</v>
      </c>
      <c r="AD91" s="1422">
        <v>530000</v>
      </c>
      <c r="AE91" s="1420">
        <v>387071.37</v>
      </c>
      <c r="AF91" s="1422">
        <v>154750</v>
      </c>
      <c r="AG91" s="1420">
        <v>40.25</v>
      </c>
      <c r="AH91" s="1456">
        <v>0</v>
      </c>
      <c r="AI91" s="1428">
        <v>2971805</v>
      </c>
      <c r="AJ91" s="1422">
        <v>2997689</v>
      </c>
      <c r="AK91" s="1422">
        <v>5508</v>
      </c>
      <c r="AL91" s="1422">
        <v>0</v>
      </c>
      <c r="AM91" s="1422">
        <v>0</v>
      </c>
      <c r="AN91" s="1422">
        <v>0</v>
      </c>
      <c r="AO91" s="1422">
        <v>77125</v>
      </c>
      <c r="AP91" s="1422">
        <v>15729</v>
      </c>
      <c r="AQ91" s="1422">
        <v>0</v>
      </c>
      <c r="AR91" s="1422">
        <v>0</v>
      </c>
      <c r="AS91" s="1422">
        <v>0</v>
      </c>
      <c r="AT91" s="1422">
        <v>0</v>
      </c>
      <c r="AU91" s="1422">
        <v>0</v>
      </c>
      <c r="AV91" s="1422">
        <v>0</v>
      </c>
      <c r="AW91" s="1422">
        <v>0</v>
      </c>
      <c r="AX91" s="1422">
        <v>0</v>
      </c>
      <c r="AY91" s="1420">
        <v>3931665.81</v>
      </c>
      <c r="AZ91" s="1422">
        <v>3698168</v>
      </c>
      <c r="BA91" s="1422">
        <v>0</v>
      </c>
      <c r="BB91" s="1422">
        <v>0</v>
      </c>
      <c r="BC91" s="1422">
        <v>22270</v>
      </c>
      <c r="BD91" s="1422">
        <v>22603</v>
      </c>
      <c r="BE91" s="1422">
        <v>1600</v>
      </c>
      <c r="BF91" s="1422">
        <v>1600</v>
      </c>
      <c r="BG91" s="1422">
        <v>1000</v>
      </c>
      <c r="BH91" s="1422">
        <v>0</v>
      </c>
      <c r="BI91" s="1422">
        <v>2560</v>
      </c>
      <c r="BJ91" s="1422">
        <v>12228</v>
      </c>
      <c r="BK91" s="1422">
        <v>0</v>
      </c>
      <c r="BL91" s="1422">
        <v>0</v>
      </c>
      <c r="BM91" s="1422">
        <v>160704</v>
      </c>
      <c r="BN91" s="1422">
        <v>158378</v>
      </c>
      <c r="BO91" s="1420">
        <v>2205.84</v>
      </c>
      <c r="BP91" s="1422">
        <v>2000</v>
      </c>
      <c r="BQ91" s="1420">
        <v>22984.74</v>
      </c>
      <c r="BR91" s="1420">
        <v>76493.75</v>
      </c>
      <c r="BS91" s="1420">
        <v>1873.3</v>
      </c>
      <c r="BT91" s="1422">
        <v>1000</v>
      </c>
      <c r="BU91" s="1422">
        <v>0</v>
      </c>
      <c r="BV91" s="1422">
        <v>0</v>
      </c>
      <c r="BW91" s="1422">
        <v>0</v>
      </c>
      <c r="BX91" s="1422">
        <v>0</v>
      </c>
      <c r="BY91" s="1422">
        <v>0</v>
      </c>
      <c r="BZ91" s="1422">
        <v>0</v>
      </c>
      <c r="CA91" s="1420">
        <v>173617.96</v>
      </c>
      <c r="CB91" s="1422">
        <v>90328</v>
      </c>
      <c r="CC91" s="1420">
        <v>388815.84</v>
      </c>
      <c r="CD91" s="1420">
        <v>364630.75</v>
      </c>
      <c r="CE91" s="1420">
        <v>447874.96</v>
      </c>
      <c r="CF91" s="1420">
        <v>363821.71</v>
      </c>
      <c r="CG91" s="1420">
        <v>7076.35</v>
      </c>
      <c r="CH91" s="1422">
        <v>0</v>
      </c>
      <c r="CI91" s="1422">
        <v>0</v>
      </c>
      <c r="CJ91" s="1422">
        <v>0</v>
      </c>
      <c r="CK91" s="1422">
        <v>0</v>
      </c>
      <c r="CL91" s="1422">
        <v>0</v>
      </c>
      <c r="CM91" s="1422">
        <v>0</v>
      </c>
      <c r="CN91" s="1422">
        <v>0</v>
      </c>
      <c r="CO91" s="1422">
        <v>0</v>
      </c>
      <c r="CP91" s="1422">
        <v>0</v>
      </c>
      <c r="CQ91" s="1422">
        <v>0</v>
      </c>
      <c r="CR91" s="1422">
        <v>0</v>
      </c>
      <c r="CS91" s="1420">
        <v>7076.35</v>
      </c>
      <c r="CT91" s="1422">
        <v>0</v>
      </c>
      <c r="CU91" s="1420">
        <v>4775432.96</v>
      </c>
      <c r="CV91" s="1420">
        <v>4426620.46</v>
      </c>
      <c r="CW91" s="1420">
        <v>1985028.5</v>
      </c>
      <c r="CX91" s="1420">
        <v>2040914.16</v>
      </c>
      <c r="CY91" s="1420">
        <v>317248.90000000002</v>
      </c>
      <c r="CZ91" s="1420">
        <v>294580.49</v>
      </c>
      <c r="DA91" s="1422">
        <v>16250</v>
      </c>
      <c r="DB91" s="1420">
        <v>26000.86</v>
      </c>
      <c r="DC91" s="1422">
        <v>0</v>
      </c>
      <c r="DD91" s="1422">
        <v>0</v>
      </c>
      <c r="DE91" s="1420">
        <v>98999.4</v>
      </c>
      <c r="DF91" s="1420">
        <v>103838.58</v>
      </c>
      <c r="DG91" s="1420">
        <v>85906.02</v>
      </c>
      <c r="DH91" s="1420">
        <v>99923.55</v>
      </c>
      <c r="DI91" s="1420">
        <v>2503432.8199999998</v>
      </c>
      <c r="DJ91" s="1420">
        <v>2565257.64</v>
      </c>
      <c r="DK91" s="1420">
        <v>179804.5</v>
      </c>
      <c r="DL91" s="1420">
        <v>205904.31</v>
      </c>
      <c r="DM91" s="1420">
        <v>102759.72</v>
      </c>
      <c r="DN91" s="1422">
        <v>140447</v>
      </c>
      <c r="DO91" s="1420">
        <v>349247.39</v>
      </c>
      <c r="DP91" s="1420">
        <v>557309.73</v>
      </c>
      <c r="DQ91" s="1420">
        <v>139179.64000000001</v>
      </c>
      <c r="DR91" s="1422">
        <v>192233</v>
      </c>
      <c r="DS91" s="1420">
        <v>19376.88</v>
      </c>
      <c r="DT91" s="1422">
        <v>10000</v>
      </c>
      <c r="DU91" s="1420">
        <v>790368.13</v>
      </c>
      <c r="DV91" s="1420">
        <v>1105894.04</v>
      </c>
      <c r="DW91" s="1420">
        <v>130895.98</v>
      </c>
      <c r="DX91" s="1420">
        <v>152132.4</v>
      </c>
      <c r="DY91" s="1420">
        <v>325368.93</v>
      </c>
      <c r="DZ91" s="1420">
        <v>389625.92</v>
      </c>
      <c r="EA91" s="1420">
        <v>295205.19</v>
      </c>
      <c r="EB91" s="1422">
        <v>292312</v>
      </c>
      <c r="EC91" s="1420">
        <v>751470.1</v>
      </c>
      <c r="ED91" s="1420">
        <v>834070.32</v>
      </c>
      <c r="EE91" s="1420">
        <v>268348.56</v>
      </c>
      <c r="EF91" s="1420">
        <v>274241.28999999998</v>
      </c>
      <c r="EG91" s="1420">
        <v>33614.35</v>
      </c>
      <c r="EH91" s="1422">
        <v>0</v>
      </c>
      <c r="EI91" s="1422">
        <v>0</v>
      </c>
      <c r="EJ91" s="1422">
        <v>250</v>
      </c>
      <c r="EK91" s="1422">
        <v>0</v>
      </c>
      <c r="EL91" s="1422">
        <v>0</v>
      </c>
      <c r="EM91" s="1420">
        <v>301962.90999999997</v>
      </c>
      <c r="EN91" s="1420">
        <v>274491.28999999998</v>
      </c>
      <c r="EO91" s="1420">
        <v>119878.69</v>
      </c>
      <c r="EP91" s="1420">
        <v>22918.92</v>
      </c>
      <c r="EQ91" s="1420">
        <v>118299.24</v>
      </c>
      <c r="ER91" s="1420">
        <v>182060.74</v>
      </c>
      <c r="ES91" s="1422">
        <v>0</v>
      </c>
      <c r="ET91" s="1422">
        <v>0</v>
      </c>
      <c r="EU91" s="1420">
        <v>4585411.8899999997</v>
      </c>
      <c r="EV91" s="1420">
        <v>4984692.95</v>
      </c>
      <c r="EW91" s="1420">
        <v>183951.97</v>
      </c>
      <c r="EX91" s="1420">
        <v>187639.18</v>
      </c>
      <c r="EY91" s="1420">
        <v>118299.24</v>
      </c>
      <c r="EZ91" s="1420">
        <v>182060.74</v>
      </c>
      <c r="FA91" s="1420">
        <v>4283160.68</v>
      </c>
      <c r="FB91" s="1420">
        <v>4614993.03</v>
      </c>
      <c r="FC91" s="1420">
        <v>237406.39</v>
      </c>
      <c r="FD91" s="1439"/>
      <c r="FE91" s="1420">
        <v>4045754.29</v>
      </c>
      <c r="FF91" s="1439"/>
      <c r="FG91" s="1422">
        <v>8030</v>
      </c>
      <c r="FH91" s="1439"/>
      <c r="FI91" s="1420">
        <v>35.9</v>
      </c>
      <c r="FJ91" s="1439"/>
      <c r="FK91" s="1422">
        <v>46693</v>
      </c>
      <c r="FL91" s="1439"/>
      <c r="FM91" s="1420">
        <v>40.97</v>
      </c>
      <c r="FN91" s="1439"/>
      <c r="FO91" s="1422">
        <v>49631</v>
      </c>
      <c r="FP91" s="1439"/>
      <c r="FQ91" s="1420">
        <v>2190711.9500000002</v>
      </c>
      <c r="FR91" s="1439"/>
      <c r="FS91" s="1420">
        <v>14588.77</v>
      </c>
      <c r="FT91" s="1439"/>
      <c r="FU91" s="1422">
        <v>0</v>
      </c>
      <c r="FV91" s="1439"/>
      <c r="FW91" s="1420">
        <v>2176123.1800000002</v>
      </c>
      <c r="FX91" s="1439"/>
      <c r="FY91" s="1420">
        <v>361522.46</v>
      </c>
      <c r="FZ91" s="1439"/>
      <c r="GA91" s="1422">
        <v>0</v>
      </c>
      <c r="GB91" s="1439"/>
    </row>
    <row r="92" spans="1:184" ht="12.75" customHeight="1" thickBot="1">
      <c r="A92" s="1418" t="s">
        <v>408</v>
      </c>
      <c r="B92" s="1418" t="s">
        <v>409</v>
      </c>
      <c r="C92" s="1420">
        <v>626.1</v>
      </c>
      <c r="D92" s="1439"/>
      <c r="E92" s="1420">
        <v>3900.16</v>
      </c>
      <c r="F92" s="1439"/>
      <c r="G92" s="1421">
        <v>-0.04</v>
      </c>
      <c r="H92" s="1439"/>
      <c r="I92" s="1420">
        <v>4134.9399999999996</v>
      </c>
      <c r="J92" s="1439"/>
      <c r="K92" s="1420">
        <v>4106.34</v>
      </c>
      <c r="L92" s="1439"/>
      <c r="M92" s="1422">
        <v>266192603</v>
      </c>
      <c r="N92" s="1439"/>
      <c r="O92" s="1422">
        <v>25</v>
      </c>
      <c r="P92" s="1439"/>
      <c r="Q92" s="1422">
        <v>25</v>
      </c>
      <c r="R92" s="1439"/>
      <c r="S92" s="1422">
        <v>0</v>
      </c>
      <c r="T92" s="1439"/>
      <c r="U92" s="1422">
        <v>0</v>
      </c>
      <c r="V92" s="1439"/>
      <c r="W92" s="1420">
        <v>7.2</v>
      </c>
      <c r="X92" s="1439"/>
      <c r="Y92" s="1420">
        <v>32.200000000000003</v>
      </c>
      <c r="Z92" s="1439"/>
      <c r="AA92" s="1420">
        <v>21873670.91</v>
      </c>
      <c r="AB92" s="1455"/>
      <c r="AC92" s="1424">
        <v>8449159.1899999995</v>
      </c>
      <c r="AD92" s="1422">
        <v>8057117</v>
      </c>
      <c r="AE92" s="1420">
        <v>1524798.86</v>
      </c>
      <c r="AF92" s="1422">
        <v>714000</v>
      </c>
      <c r="AG92" s="1422">
        <v>0</v>
      </c>
      <c r="AH92" s="1456">
        <v>0</v>
      </c>
      <c r="AI92" s="1428">
        <v>18453726</v>
      </c>
      <c r="AJ92" s="1422">
        <v>18949401</v>
      </c>
      <c r="AK92" s="1422">
        <v>179037</v>
      </c>
      <c r="AL92" s="1422">
        <v>0</v>
      </c>
      <c r="AM92" s="1422">
        <v>177754</v>
      </c>
      <c r="AN92" s="1422">
        <v>0</v>
      </c>
      <c r="AO92" s="1422">
        <v>0</v>
      </c>
      <c r="AP92" s="1422">
        <v>0</v>
      </c>
      <c r="AQ92" s="1422">
        <v>0</v>
      </c>
      <c r="AR92" s="1422">
        <v>0</v>
      </c>
      <c r="AS92" s="1422">
        <v>0</v>
      </c>
      <c r="AT92" s="1422">
        <v>0</v>
      </c>
      <c r="AU92" s="1422">
        <v>1626</v>
      </c>
      <c r="AV92" s="1422">
        <v>1301</v>
      </c>
      <c r="AW92" s="1422">
        <v>0</v>
      </c>
      <c r="AX92" s="1422">
        <v>0</v>
      </c>
      <c r="AY92" s="1420">
        <v>28786101.050000001</v>
      </c>
      <c r="AZ92" s="1422">
        <v>27721819</v>
      </c>
      <c r="BA92" s="1422">
        <v>0</v>
      </c>
      <c r="BB92" s="1422">
        <v>0</v>
      </c>
      <c r="BC92" s="1422">
        <v>169838</v>
      </c>
      <c r="BD92" s="1422">
        <v>175694</v>
      </c>
      <c r="BE92" s="1420">
        <v>16138.92</v>
      </c>
      <c r="BF92" s="1422">
        <v>27076</v>
      </c>
      <c r="BG92" s="1420">
        <v>5094.12</v>
      </c>
      <c r="BH92" s="1422">
        <v>5000</v>
      </c>
      <c r="BI92" s="1422">
        <v>219118</v>
      </c>
      <c r="BJ92" s="1422">
        <v>202898</v>
      </c>
      <c r="BK92" s="1422">
        <v>29593</v>
      </c>
      <c r="BL92" s="1422">
        <v>32292</v>
      </c>
      <c r="BM92" s="1422">
        <v>891808</v>
      </c>
      <c r="BN92" s="1422">
        <v>953304</v>
      </c>
      <c r="BO92" s="1420">
        <v>35450.050000000003</v>
      </c>
      <c r="BP92" s="1422">
        <v>25000</v>
      </c>
      <c r="BQ92" s="1420">
        <v>33122.720000000001</v>
      </c>
      <c r="BR92" s="1422">
        <v>30000</v>
      </c>
      <c r="BS92" s="1420">
        <v>14268.48</v>
      </c>
      <c r="BT92" s="1422">
        <v>14000</v>
      </c>
      <c r="BU92" s="1422">
        <v>0</v>
      </c>
      <c r="BV92" s="1422">
        <v>0</v>
      </c>
      <c r="BW92" s="1422">
        <v>389600</v>
      </c>
      <c r="BX92" s="1422">
        <v>389600</v>
      </c>
      <c r="BY92" s="1422">
        <v>0</v>
      </c>
      <c r="BZ92" s="1422">
        <v>0</v>
      </c>
      <c r="CA92" s="1420">
        <v>2054680.71</v>
      </c>
      <c r="CB92" s="1422">
        <v>241981</v>
      </c>
      <c r="CC92" s="1422">
        <v>3858712</v>
      </c>
      <c r="CD92" s="1422">
        <v>2096845</v>
      </c>
      <c r="CE92" s="1420">
        <v>5133555.54</v>
      </c>
      <c r="CF92" s="1420">
        <v>3650396.45</v>
      </c>
      <c r="CG92" s="1422">
        <v>5000000</v>
      </c>
      <c r="CH92" s="1422">
        <v>0</v>
      </c>
      <c r="CI92" s="1422">
        <v>0</v>
      </c>
      <c r="CJ92" s="1422">
        <v>0</v>
      </c>
      <c r="CK92" s="1420">
        <v>18898.509999999998</v>
      </c>
      <c r="CL92" s="1422">
        <v>15000</v>
      </c>
      <c r="CM92" s="1422">
        <v>0</v>
      </c>
      <c r="CN92" s="1422">
        <v>0</v>
      </c>
      <c r="CO92" s="1420">
        <v>16583.75</v>
      </c>
      <c r="CP92" s="1422">
        <v>24000</v>
      </c>
      <c r="CQ92" s="1422">
        <v>0</v>
      </c>
      <c r="CR92" s="1422">
        <v>0</v>
      </c>
      <c r="CS92" s="1420">
        <v>5035482.26</v>
      </c>
      <c r="CT92" s="1422">
        <v>39000</v>
      </c>
      <c r="CU92" s="1420">
        <v>42813850.850000001</v>
      </c>
      <c r="CV92" s="1420">
        <v>33508060.449999999</v>
      </c>
      <c r="CW92" s="1420">
        <v>13546151.74</v>
      </c>
      <c r="CX92" s="1420">
        <v>13397295.039999999</v>
      </c>
      <c r="CY92" s="1420">
        <v>2174523.89</v>
      </c>
      <c r="CZ92" s="1420">
        <v>2201907.79</v>
      </c>
      <c r="DA92" s="1420">
        <v>806650.91</v>
      </c>
      <c r="DB92" s="1420">
        <v>805093.18</v>
      </c>
      <c r="DC92" s="1422">
        <v>0</v>
      </c>
      <c r="DD92" s="1420">
        <v>724.35</v>
      </c>
      <c r="DE92" s="1420">
        <v>720719.08</v>
      </c>
      <c r="DF92" s="1420">
        <v>828354.51</v>
      </c>
      <c r="DG92" s="1420">
        <v>1061193.29</v>
      </c>
      <c r="DH92" s="1420">
        <v>1179492.1000000001</v>
      </c>
      <c r="DI92" s="1420">
        <v>18309238.91</v>
      </c>
      <c r="DJ92" s="1420">
        <v>18412866.969999999</v>
      </c>
      <c r="DK92" s="1420">
        <v>664493.07999999996</v>
      </c>
      <c r="DL92" s="1420">
        <v>627593.71</v>
      </c>
      <c r="DM92" s="1420">
        <v>1298197.05</v>
      </c>
      <c r="DN92" s="1420">
        <v>1397102.89</v>
      </c>
      <c r="DO92" s="1420">
        <v>3222886.41</v>
      </c>
      <c r="DP92" s="1420">
        <v>4042344.27</v>
      </c>
      <c r="DQ92" s="1420">
        <v>1435652.38</v>
      </c>
      <c r="DR92" s="1420">
        <v>1762847.39</v>
      </c>
      <c r="DS92" s="1420">
        <v>72405.09</v>
      </c>
      <c r="DT92" s="1422">
        <v>23905</v>
      </c>
      <c r="DU92" s="1420">
        <v>6693634.0099999998</v>
      </c>
      <c r="DV92" s="1420">
        <v>7853793.2599999998</v>
      </c>
      <c r="DW92" s="1420">
        <v>1308237.97</v>
      </c>
      <c r="DX92" s="1420">
        <v>1333101.8899999999</v>
      </c>
      <c r="DY92" s="1420">
        <v>1886723.65</v>
      </c>
      <c r="DZ92" s="1420">
        <v>2000811.31</v>
      </c>
      <c r="EA92" s="1420">
        <v>1634185.48</v>
      </c>
      <c r="EB92" s="1420">
        <v>1639488.78</v>
      </c>
      <c r="EC92" s="1420">
        <v>4829147.0999999996</v>
      </c>
      <c r="ED92" s="1420">
        <v>4973401.9800000004</v>
      </c>
      <c r="EE92" s="1420">
        <v>1998455.21</v>
      </c>
      <c r="EF92" s="1420">
        <v>1978125.11</v>
      </c>
      <c r="EG92" s="1422">
        <v>0</v>
      </c>
      <c r="EH92" s="1422">
        <v>0</v>
      </c>
      <c r="EI92" s="1420">
        <v>4358.45</v>
      </c>
      <c r="EJ92" s="1422">
        <v>3000</v>
      </c>
      <c r="EK92" s="1422">
        <v>0</v>
      </c>
      <c r="EL92" s="1422">
        <v>0</v>
      </c>
      <c r="EM92" s="1420">
        <v>2002813.66</v>
      </c>
      <c r="EN92" s="1420">
        <v>1981125.11</v>
      </c>
      <c r="EO92" s="1420">
        <v>4182079.89</v>
      </c>
      <c r="EP92" s="1420">
        <v>2319928.2999999998</v>
      </c>
      <c r="EQ92" s="1420">
        <v>1386362.9</v>
      </c>
      <c r="ER92" s="1420">
        <v>1329936.07</v>
      </c>
      <c r="ES92" s="1420">
        <v>11176.18</v>
      </c>
      <c r="ET92" s="1422">
        <v>0</v>
      </c>
      <c r="EU92" s="1420">
        <v>37414452.649999999</v>
      </c>
      <c r="EV92" s="1420">
        <v>36871051.689999998</v>
      </c>
      <c r="EW92" s="1420">
        <v>4342352.8099999996</v>
      </c>
      <c r="EX92" s="1420">
        <v>3119529.8</v>
      </c>
      <c r="EY92" s="1420">
        <v>1386362.9</v>
      </c>
      <c r="EZ92" s="1420">
        <v>1329936.07</v>
      </c>
      <c r="FA92" s="1420">
        <v>31685736.940000001</v>
      </c>
      <c r="FB92" s="1420">
        <v>32421585.82</v>
      </c>
      <c r="FC92" s="1420">
        <v>1689171.63</v>
      </c>
      <c r="FD92" s="1439"/>
      <c r="FE92" s="1420">
        <v>29996565.309999999</v>
      </c>
      <c r="FF92" s="1439"/>
      <c r="FG92" s="1422">
        <v>7691</v>
      </c>
      <c r="FH92" s="1439"/>
      <c r="FI92" s="1420">
        <v>263.55</v>
      </c>
      <c r="FJ92" s="1439"/>
      <c r="FK92" s="1422">
        <v>44739</v>
      </c>
      <c r="FL92" s="1439"/>
      <c r="FM92" s="1420">
        <v>288.14999999999998</v>
      </c>
      <c r="FN92" s="1439"/>
      <c r="FO92" s="1422">
        <v>46645</v>
      </c>
      <c r="FP92" s="1439"/>
      <c r="FQ92" s="1420">
        <v>2968302.52</v>
      </c>
      <c r="FR92" s="1439"/>
      <c r="FS92" s="1420">
        <v>96175.76</v>
      </c>
      <c r="FT92" s="1439"/>
      <c r="FU92" s="1422">
        <v>0</v>
      </c>
      <c r="FV92" s="1439"/>
      <c r="FW92" s="1420">
        <v>2872126.76</v>
      </c>
      <c r="FX92" s="1439"/>
      <c r="FY92" s="1420">
        <v>10027464.5</v>
      </c>
      <c r="FZ92" s="1439"/>
      <c r="GA92" s="1422">
        <v>0</v>
      </c>
      <c r="GB92" s="1439"/>
    </row>
    <row r="93" spans="1:184" ht="12.75" customHeight="1" thickBot="1">
      <c r="A93" s="1418" t="s">
        <v>410</v>
      </c>
      <c r="B93" s="1418" t="s">
        <v>411</v>
      </c>
      <c r="C93" s="1420">
        <v>122.13</v>
      </c>
      <c r="D93" s="1439"/>
      <c r="E93" s="1420">
        <v>679.88</v>
      </c>
      <c r="F93" s="1439"/>
      <c r="G93" s="1421">
        <v>-0.05</v>
      </c>
      <c r="H93" s="1439"/>
      <c r="I93" s="1420">
        <v>724.84</v>
      </c>
      <c r="J93" s="1439"/>
      <c r="K93" s="1420">
        <v>723.96</v>
      </c>
      <c r="L93" s="1439"/>
      <c r="M93" s="1422">
        <v>41628385</v>
      </c>
      <c r="N93" s="1439"/>
      <c r="O93" s="1422">
        <v>25</v>
      </c>
      <c r="P93" s="1439"/>
      <c r="Q93" s="1422">
        <v>25</v>
      </c>
      <c r="R93" s="1439"/>
      <c r="S93" s="1422">
        <v>0</v>
      </c>
      <c r="T93" s="1439"/>
      <c r="U93" s="1422">
        <v>0</v>
      </c>
      <c r="V93" s="1439"/>
      <c r="W93" s="1420">
        <v>4.0999999999999996</v>
      </c>
      <c r="X93" s="1439"/>
      <c r="Y93" s="1420">
        <v>29.1</v>
      </c>
      <c r="Z93" s="1439"/>
      <c r="AA93" s="1420">
        <v>1438070.2</v>
      </c>
      <c r="AB93" s="1455"/>
      <c r="AC93" s="1424">
        <v>1200822.8999999999</v>
      </c>
      <c r="AD93" s="1420">
        <v>1094895.43</v>
      </c>
      <c r="AE93" s="1420">
        <v>513370.89</v>
      </c>
      <c r="AF93" s="1422">
        <v>208600</v>
      </c>
      <c r="AG93" s="1420">
        <v>101.28</v>
      </c>
      <c r="AH93" s="1456">
        <v>0</v>
      </c>
      <c r="AI93" s="1428">
        <v>3302255</v>
      </c>
      <c r="AJ93" s="1422">
        <v>3423886</v>
      </c>
      <c r="AK93" s="1422">
        <v>22816</v>
      </c>
      <c r="AL93" s="1422">
        <v>0</v>
      </c>
      <c r="AM93" s="1422">
        <v>13657</v>
      </c>
      <c r="AN93" s="1422">
        <v>0</v>
      </c>
      <c r="AO93" s="1422">
        <v>0</v>
      </c>
      <c r="AP93" s="1422">
        <v>0</v>
      </c>
      <c r="AQ93" s="1422">
        <v>0</v>
      </c>
      <c r="AR93" s="1422">
        <v>0</v>
      </c>
      <c r="AS93" s="1422">
        <v>0</v>
      </c>
      <c r="AT93" s="1422">
        <v>0</v>
      </c>
      <c r="AU93" s="1422">
        <v>3899</v>
      </c>
      <c r="AV93" s="1422">
        <v>3119</v>
      </c>
      <c r="AW93" s="1422">
        <v>0</v>
      </c>
      <c r="AX93" s="1422">
        <v>0</v>
      </c>
      <c r="AY93" s="1420">
        <v>5056922.07</v>
      </c>
      <c r="AZ93" s="1420">
        <v>4730500.43</v>
      </c>
      <c r="BA93" s="1422">
        <v>0</v>
      </c>
      <c r="BB93" s="1422">
        <v>0</v>
      </c>
      <c r="BC93" s="1422">
        <v>29943</v>
      </c>
      <c r="BD93" s="1422">
        <v>30734</v>
      </c>
      <c r="BE93" s="1422">
        <v>4000</v>
      </c>
      <c r="BF93" s="1422">
        <v>5200</v>
      </c>
      <c r="BG93" s="1422">
        <v>300</v>
      </c>
      <c r="BH93" s="1422">
        <v>300</v>
      </c>
      <c r="BI93" s="1422">
        <v>15521</v>
      </c>
      <c r="BJ93" s="1422">
        <v>27813</v>
      </c>
      <c r="BK93" s="1422">
        <v>0</v>
      </c>
      <c r="BL93" s="1422">
        <v>0</v>
      </c>
      <c r="BM93" s="1422">
        <v>233120</v>
      </c>
      <c r="BN93" s="1422">
        <v>230736</v>
      </c>
      <c r="BO93" s="1420">
        <v>2965.82</v>
      </c>
      <c r="BP93" s="1422">
        <v>0</v>
      </c>
      <c r="BQ93" s="1422">
        <v>0</v>
      </c>
      <c r="BR93" s="1422">
        <v>0</v>
      </c>
      <c r="BS93" s="1420">
        <v>3159.75</v>
      </c>
      <c r="BT93" s="1422">
        <v>3100</v>
      </c>
      <c r="BU93" s="1422">
        <v>0</v>
      </c>
      <c r="BV93" s="1422">
        <v>0</v>
      </c>
      <c r="BW93" s="1422">
        <v>139580</v>
      </c>
      <c r="BX93" s="1422">
        <v>139580</v>
      </c>
      <c r="BY93" s="1422">
        <v>0</v>
      </c>
      <c r="BZ93" s="1422">
        <v>0</v>
      </c>
      <c r="CA93" s="1420">
        <v>16301.18</v>
      </c>
      <c r="CB93" s="1422">
        <v>10442</v>
      </c>
      <c r="CC93" s="1420">
        <v>444890.75</v>
      </c>
      <c r="CD93" s="1422">
        <v>447905</v>
      </c>
      <c r="CE93" s="1420">
        <v>1995836.06</v>
      </c>
      <c r="CF93" s="1420">
        <v>1002738.94</v>
      </c>
      <c r="CG93" s="1422">
        <v>0</v>
      </c>
      <c r="CH93" s="1422">
        <v>0</v>
      </c>
      <c r="CI93" s="1422">
        <v>0</v>
      </c>
      <c r="CJ93" s="1422">
        <v>0</v>
      </c>
      <c r="CK93" s="1422">
        <v>0</v>
      </c>
      <c r="CL93" s="1422">
        <v>0</v>
      </c>
      <c r="CM93" s="1420">
        <v>1787.8</v>
      </c>
      <c r="CN93" s="1422">
        <v>0</v>
      </c>
      <c r="CO93" s="1422">
        <v>0</v>
      </c>
      <c r="CP93" s="1422">
        <v>0</v>
      </c>
      <c r="CQ93" s="1422">
        <v>0</v>
      </c>
      <c r="CR93" s="1422">
        <v>0</v>
      </c>
      <c r="CS93" s="1420">
        <v>1787.8</v>
      </c>
      <c r="CT93" s="1422">
        <v>0</v>
      </c>
      <c r="CU93" s="1420">
        <v>7499436.6799999997</v>
      </c>
      <c r="CV93" s="1420">
        <v>6181144.3700000001</v>
      </c>
      <c r="CW93" s="1420">
        <v>2720292.77</v>
      </c>
      <c r="CX93" s="1420">
        <v>2347325.52</v>
      </c>
      <c r="CY93" s="1420">
        <v>354801.95</v>
      </c>
      <c r="CZ93" s="1420">
        <v>356216.84</v>
      </c>
      <c r="DA93" s="1420">
        <v>185974.55</v>
      </c>
      <c r="DB93" s="1420">
        <v>203892.46</v>
      </c>
      <c r="DC93" s="1422">
        <v>0</v>
      </c>
      <c r="DD93" s="1422">
        <v>0</v>
      </c>
      <c r="DE93" s="1420">
        <v>78091.850000000006</v>
      </c>
      <c r="DF93" s="1420">
        <v>76713.929999999993</v>
      </c>
      <c r="DG93" s="1420">
        <v>311230.38</v>
      </c>
      <c r="DH93" s="1420">
        <v>328012.92</v>
      </c>
      <c r="DI93" s="1420">
        <v>3650391.5</v>
      </c>
      <c r="DJ93" s="1420">
        <v>3312161.67</v>
      </c>
      <c r="DK93" s="1420">
        <v>216788.73</v>
      </c>
      <c r="DL93" s="1420">
        <v>224717.3</v>
      </c>
      <c r="DM93" s="1420">
        <v>93194.66</v>
      </c>
      <c r="DN93" s="1420">
        <v>96651.45</v>
      </c>
      <c r="DO93" s="1420">
        <v>563455.27</v>
      </c>
      <c r="DP93" s="1420">
        <v>573576.94999999995</v>
      </c>
      <c r="DQ93" s="1420">
        <v>323338.06</v>
      </c>
      <c r="DR93" s="1420">
        <v>324973.78000000003</v>
      </c>
      <c r="DS93" s="1420">
        <v>19688.650000000001</v>
      </c>
      <c r="DT93" s="1420">
        <v>7506.03</v>
      </c>
      <c r="DU93" s="1420">
        <v>1216465.3700000001</v>
      </c>
      <c r="DV93" s="1420">
        <v>1227425.51</v>
      </c>
      <c r="DW93" s="1420">
        <v>305853.44</v>
      </c>
      <c r="DX93" s="1420">
        <v>320442.33</v>
      </c>
      <c r="DY93" s="1420">
        <v>1035265.56</v>
      </c>
      <c r="DZ93" s="1420">
        <v>552001.56999999995</v>
      </c>
      <c r="EA93" s="1420">
        <v>224436.82</v>
      </c>
      <c r="EB93" s="1420">
        <v>215083.77</v>
      </c>
      <c r="EC93" s="1420">
        <v>1565555.82</v>
      </c>
      <c r="ED93" s="1420">
        <v>1087527.67</v>
      </c>
      <c r="EE93" s="1420">
        <v>524632.77</v>
      </c>
      <c r="EF93" s="1420">
        <v>401357.21</v>
      </c>
      <c r="EG93" s="1422">
        <v>0</v>
      </c>
      <c r="EH93" s="1422">
        <v>0</v>
      </c>
      <c r="EI93" s="1420">
        <v>79735.210000000006</v>
      </c>
      <c r="EJ93" s="1420">
        <v>83473.95</v>
      </c>
      <c r="EK93" s="1422">
        <v>0</v>
      </c>
      <c r="EL93" s="1422">
        <v>0</v>
      </c>
      <c r="EM93" s="1420">
        <v>604367.98</v>
      </c>
      <c r="EN93" s="1420">
        <v>484831.16</v>
      </c>
      <c r="EO93" s="1420">
        <v>269133.68</v>
      </c>
      <c r="EP93" s="1420">
        <v>97586.17</v>
      </c>
      <c r="EQ93" s="1420">
        <v>94992.26</v>
      </c>
      <c r="ER93" s="1422">
        <v>93744</v>
      </c>
      <c r="ES93" s="1420">
        <v>55904.36</v>
      </c>
      <c r="ET93" s="1422">
        <v>0</v>
      </c>
      <c r="EU93" s="1420">
        <v>7456810.9699999997</v>
      </c>
      <c r="EV93" s="1420">
        <v>6303276.1799999997</v>
      </c>
      <c r="EW93" s="1420">
        <v>590556.31000000006</v>
      </c>
      <c r="EX93" s="1420">
        <v>133585.94</v>
      </c>
      <c r="EY93" s="1420">
        <v>94992.26</v>
      </c>
      <c r="EZ93" s="1422">
        <v>93744</v>
      </c>
      <c r="FA93" s="1420">
        <v>6771262.4000000004</v>
      </c>
      <c r="FB93" s="1420">
        <v>6075946.2400000002</v>
      </c>
      <c r="FC93" s="1420">
        <v>776574.42</v>
      </c>
      <c r="FD93" s="1439"/>
      <c r="FE93" s="1420">
        <v>5994687.9800000004</v>
      </c>
      <c r="FF93" s="1439"/>
      <c r="FG93" s="1422">
        <v>8817</v>
      </c>
      <c r="FH93" s="1439"/>
      <c r="FI93" s="1420">
        <v>53.45</v>
      </c>
      <c r="FJ93" s="1439"/>
      <c r="FK93" s="1422">
        <v>42478</v>
      </c>
      <c r="FL93" s="1439"/>
      <c r="FM93" s="1420">
        <v>57.61</v>
      </c>
      <c r="FN93" s="1439"/>
      <c r="FO93" s="1422">
        <v>44436</v>
      </c>
      <c r="FP93" s="1439"/>
      <c r="FQ93" s="1420">
        <v>2178509.7799999998</v>
      </c>
      <c r="FR93" s="1439"/>
      <c r="FS93" s="1420">
        <v>29840.49</v>
      </c>
      <c r="FT93" s="1439"/>
      <c r="FU93" s="1422">
        <v>0</v>
      </c>
      <c r="FV93" s="1439"/>
      <c r="FW93" s="1420">
        <v>2148669.29</v>
      </c>
      <c r="FX93" s="1439"/>
      <c r="FY93" s="1422">
        <v>0</v>
      </c>
      <c r="FZ93" s="1439"/>
      <c r="GA93" s="1422">
        <v>0</v>
      </c>
      <c r="GB93" s="1439"/>
    </row>
    <row r="94" spans="1:184" ht="12.75" customHeight="1" thickBot="1">
      <c r="A94" s="1418" t="s">
        <v>412</v>
      </c>
      <c r="B94" s="1418" t="s">
        <v>413</v>
      </c>
      <c r="C94" s="1420">
        <v>346.14</v>
      </c>
      <c r="D94" s="1439"/>
      <c r="E94" s="1420">
        <v>3228.72</v>
      </c>
      <c r="F94" s="1439"/>
      <c r="G94" s="1421">
        <v>0</v>
      </c>
      <c r="H94" s="1439"/>
      <c r="I94" s="1420">
        <v>3415.69</v>
      </c>
      <c r="J94" s="1439"/>
      <c r="K94" s="1420">
        <v>3343.93</v>
      </c>
      <c r="L94" s="1439"/>
      <c r="M94" s="1422">
        <v>234706623</v>
      </c>
      <c r="N94" s="1439"/>
      <c r="O94" s="1422">
        <v>25</v>
      </c>
      <c r="P94" s="1439"/>
      <c r="Q94" s="1422">
        <v>25</v>
      </c>
      <c r="R94" s="1439"/>
      <c r="S94" s="1422">
        <v>0</v>
      </c>
      <c r="T94" s="1439"/>
      <c r="U94" s="1422">
        <v>0</v>
      </c>
      <c r="V94" s="1439"/>
      <c r="W94" s="1420">
        <v>12.49</v>
      </c>
      <c r="X94" s="1439"/>
      <c r="Y94" s="1420">
        <v>37.49</v>
      </c>
      <c r="Z94" s="1439"/>
      <c r="AA94" s="1422">
        <v>34091600</v>
      </c>
      <c r="AB94" s="1455"/>
      <c r="AC94" s="1424">
        <v>7763870.2000000002</v>
      </c>
      <c r="AD94" s="1420">
        <v>8697111.8900000006</v>
      </c>
      <c r="AE94" s="1420">
        <v>1651839.32</v>
      </c>
      <c r="AF94" s="1420">
        <v>1064946.1100000001</v>
      </c>
      <c r="AG94" s="1420">
        <v>473.17</v>
      </c>
      <c r="AH94" s="1456">
        <v>0</v>
      </c>
      <c r="AI94" s="1428">
        <v>14863154</v>
      </c>
      <c r="AJ94" s="1422">
        <v>15255490</v>
      </c>
      <c r="AK94" s="1422">
        <v>196213</v>
      </c>
      <c r="AL94" s="1422">
        <v>152800</v>
      </c>
      <c r="AM94" s="1422">
        <v>562217</v>
      </c>
      <c r="AN94" s="1422">
        <v>0</v>
      </c>
      <c r="AO94" s="1422">
        <v>0</v>
      </c>
      <c r="AP94" s="1422">
        <v>0</v>
      </c>
      <c r="AQ94" s="1422">
        <v>0</v>
      </c>
      <c r="AR94" s="1422">
        <v>0</v>
      </c>
      <c r="AS94" s="1422">
        <v>0</v>
      </c>
      <c r="AT94" s="1422">
        <v>0</v>
      </c>
      <c r="AU94" s="1422">
        <v>15945</v>
      </c>
      <c r="AV94" s="1422">
        <v>12756</v>
      </c>
      <c r="AW94" s="1422">
        <v>40908</v>
      </c>
      <c r="AX94" s="1422">
        <v>0</v>
      </c>
      <c r="AY94" s="1420">
        <v>25094619.690000001</v>
      </c>
      <c r="AZ94" s="1422">
        <v>25183104</v>
      </c>
      <c r="BA94" s="1422">
        <v>0</v>
      </c>
      <c r="BB94" s="1422">
        <v>0</v>
      </c>
      <c r="BC94" s="1422">
        <v>138305</v>
      </c>
      <c r="BD94" s="1422">
        <v>144895</v>
      </c>
      <c r="BE94" s="1420">
        <v>12571.59</v>
      </c>
      <c r="BF94" s="1422">
        <v>13900</v>
      </c>
      <c r="BG94" s="1422">
        <v>6300</v>
      </c>
      <c r="BH94" s="1422">
        <v>2500</v>
      </c>
      <c r="BI94" s="1422">
        <v>99340</v>
      </c>
      <c r="BJ94" s="1422">
        <v>110340</v>
      </c>
      <c r="BK94" s="1422">
        <v>11427</v>
      </c>
      <c r="BL94" s="1422">
        <v>0</v>
      </c>
      <c r="BM94" s="1422">
        <v>857088</v>
      </c>
      <c r="BN94" s="1422">
        <v>913330</v>
      </c>
      <c r="BO94" s="1420">
        <v>246763.63</v>
      </c>
      <c r="BP94" s="1422">
        <v>184036</v>
      </c>
      <c r="BQ94" s="1422">
        <v>30875</v>
      </c>
      <c r="BR94" s="1420">
        <v>39812.5</v>
      </c>
      <c r="BS94" s="1420">
        <v>12280.14</v>
      </c>
      <c r="BT94" s="1422">
        <v>12000</v>
      </c>
      <c r="BU94" s="1422">
        <v>0</v>
      </c>
      <c r="BV94" s="1422">
        <v>0</v>
      </c>
      <c r="BW94" s="1422">
        <v>680400</v>
      </c>
      <c r="BX94" s="1422">
        <v>680400</v>
      </c>
      <c r="BY94" s="1422">
        <v>0</v>
      </c>
      <c r="BZ94" s="1422">
        <v>0</v>
      </c>
      <c r="CA94" s="1420">
        <v>6102753.7699999996</v>
      </c>
      <c r="CB94" s="1420">
        <v>3220343.38</v>
      </c>
      <c r="CC94" s="1420">
        <v>8198104.1299999999</v>
      </c>
      <c r="CD94" s="1420">
        <v>5321556.88</v>
      </c>
      <c r="CE94" s="1420">
        <v>4611202.5999999996</v>
      </c>
      <c r="CF94" s="1420">
        <v>4228630.76</v>
      </c>
      <c r="CG94" s="1420">
        <v>5273986.93</v>
      </c>
      <c r="CH94" s="1420">
        <v>96.26</v>
      </c>
      <c r="CI94" s="1422">
        <v>0</v>
      </c>
      <c r="CJ94" s="1422">
        <v>0</v>
      </c>
      <c r="CK94" s="1422">
        <v>0</v>
      </c>
      <c r="CL94" s="1422">
        <v>0</v>
      </c>
      <c r="CM94" s="1420">
        <v>128080.25</v>
      </c>
      <c r="CN94" s="1422">
        <v>0</v>
      </c>
      <c r="CO94" s="1420">
        <v>254537.27</v>
      </c>
      <c r="CP94" s="1422">
        <v>146816</v>
      </c>
      <c r="CQ94" s="1422">
        <v>0</v>
      </c>
      <c r="CR94" s="1422">
        <v>0</v>
      </c>
      <c r="CS94" s="1420">
        <v>5656604.4500000002</v>
      </c>
      <c r="CT94" s="1420">
        <v>146912.26</v>
      </c>
      <c r="CU94" s="1420">
        <v>43560530.869999997</v>
      </c>
      <c r="CV94" s="1420">
        <v>34880203.899999999</v>
      </c>
      <c r="CW94" s="1420">
        <v>11694885.439999999</v>
      </c>
      <c r="CX94" s="1420">
        <v>12713916.48</v>
      </c>
      <c r="CY94" s="1420">
        <v>2640711.0699999998</v>
      </c>
      <c r="CZ94" s="1420">
        <v>2667602.5299999998</v>
      </c>
      <c r="DA94" s="1420">
        <v>686976.89</v>
      </c>
      <c r="DB94" s="1420">
        <v>757725.1</v>
      </c>
      <c r="DC94" s="1422">
        <v>0</v>
      </c>
      <c r="DD94" s="1422">
        <v>0</v>
      </c>
      <c r="DE94" s="1420">
        <v>572152.30000000005</v>
      </c>
      <c r="DF94" s="1420">
        <v>644192.84</v>
      </c>
      <c r="DG94" s="1420">
        <v>896554.07</v>
      </c>
      <c r="DH94" s="1420">
        <v>987185.98</v>
      </c>
      <c r="DI94" s="1420">
        <v>16491279.77</v>
      </c>
      <c r="DJ94" s="1420">
        <v>17770622.93</v>
      </c>
      <c r="DK94" s="1420">
        <v>601472.19999999995</v>
      </c>
      <c r="DL94" s="1420">
        <v>669268.42000000004</v>
      </c>
      <c r="DM94" s="1420">
        <v>1082698.5</v>
      </c>
      <c r="DN94" s="1420">
        <v>940123.99</v>
      </c>
      <c r="DO94" s="1420">
        <v>3147224.86</v>
      </c>
      <c r="DP94" s="1420">
        <v>2922988.2</v>
      </c>
      <c r="DQ94" s="1420">
        <v>1466236.22</v>
      </c>
      <c r="DR94" s="1420">
        <v>1679694.29</v>
      </c>
      <c r="DS94" s="1420">
        <v>100548.31</v>
      </c>
      <c r="DT94" s="1420">
        <v>106284.87</v>
      </c>
      <c r="DU94" s="1420">
        <v>6398180.0899999999</v>
      </c>
      <c r="DV94" s="1420">
        <v>6318359.7699999996</v>
      </c>
      <c r="DW94" s="1420">
        <v>1591349.75</v>
      </c>
      <c r="DX94" s="1420">
        <v>1662638.56</v>
      </c>
      <c r="DY94" s="1420">
        <v>1593245.1</v>
      </c>
      <c r="DZ94" s="1420">
        <v>1910859.97</v>
      </c>
      <c r="EA94" s="1420">
        <v>1574863.04</v>
      </c>
      <c r="EB94" s="1420">
        <v>1574461.77</v>
      </c>
      <c r="EC94" s="1420">
        <v>4759457.8899999997</v>
      </c>
      <c r="ED94" s="1420">
        <v>5147960.3</v>
      </c>
      <c r="EE94" s="1420">
        <v>1646667.96</v>
      </c>
      <c r="EF94" s="1420">
        <v>1595782.18</v>
      </c>
      <c r="EG94" s="1422">
        <v>0</v>
      </c>
      <c r="EH94" s="1420">
        <v>29792.01</v>
      </c>
      <c r="EI94" s="1420">
        <v>118246.39</v>
      </c>
      <c r="EJ94" s="1420">
        <v>154418.93</v>
      </c>
      <c r="EK94" s="1422">
        <v>0</v>
      </c>
      <c r="EL94" s="1422">
        <v>0</v>
      </c>
      <c r="EM94" s="1420">
        <v>1764914.35</v>
      </c>
      <c r="EN94" s="1420">
        <v>1779993.12</v>
      </c>
      <c r="EO94" s="1420">
        <v>17364090.210000001</v>
      </c>
      <c r="EP94" s="1420">
        <v>11909531.25</v>
      </c>
      <c r="EQ94" s="1420">
        <v>1999956.93</v>
      </c>
      <c r="ER94" s="1420">
        <v>2247279.44</v>
      </c>
      <c r="ES94" s="1420">
        <v>2151.85</v>
      </c>
      <c r="ET94" s="1422">
        <v>0</v>
      </c>
      <c r="EU94" s="1420">
        <v>48780031.090000004</v>
      </c>
      <c r="EV94" s="1420">
        <v>45173746.810000002</v>
      </c>
      <c r="EW94" s="1420">
        <v>18008634.629999999</v>
      </c>
      <c r="EX94" s="1420">
        <v>12707554.07</v>
      </c>
      <c r="EY94" s="1420">
        <v>1999956.93</v>
      </c>
      <c r="EZ94" s="1420">
        <v>2247279.44</v>
      </c>
      <c r="FA94" s="1420">
        <v>28771439.530000001</v>
      </c>
      <c r="FB94" s="1420">
        <v>30218913.300000001</v>
      </c>
      <c r="FC94" s="1420">
        <v>2338592.5499999998</v>
      </c>
      <c r="FD94" s="1439"/>
      <c r="FE94" s="1420">
        <v>26432846.98</v>
      </c>
      <c r="FF94" s="1439"/>
      <c r="FG94" s="1422">
        <v>8186</v>
      </c>
      <c r="FH94" s="1439"/>
      <c r="FI94" s="1420">
        <v>226.86</v>
      </c>
      <c r="FJ94" s="1439"/>
      <c r="FK94" s="1422">
        <v>43236</v>
      </c>
      <c r="FL94" s="1439"/>
      <c r="FM94" s="1420">
        <v>245.4</v>
      </c>
      <c r="FN94" s="1439"/>
      <c r="FO94" s="1422">
        <v>45588</v>
      </c>
      <c r="FP94" s="1439"/>
      <c r="FQ94" s="1420">
        <v>6700780.2400000002</v>
      </c>
      <c r="FR94" s="1439"/>
      <c r="FS94" s="1420">
        <v>113983.95</v>
      </c>
      <c r="FT94" s="1439"/>
      <c r="FU94" s="1422">
        <v>0</v>
      </c>
      <c r="FV94" s="1439"/>
      <c r="FW94" s="1420">
        <v>6586796.29</v>
      </c>
      <c r="FX94" s="1439"/>
      <c r="FY94" s="1420">
        <v>7367560.4000000004</v>
      </c>
      <c r="FZ94" s="1439"/>
      <c r="GA94" s="1422">
        <v>0</v>
      </c>
      <c r="GB94" s="1439"/>
    </row>
    <row r="95" spans="1:184" ht="12.75" customHeight="1" thickBot="1">
      <c r="A95" s="1418" t="s">
        <v>414</v>
      </c>
      <c r="B95" s="1418" t="s">
        <v>415</v>
      </c>
      <c r="C95" s="1420">
        <v>120.18</v>
      </c>
      <c r="D95" s="1439"/>
      <c r="E95" s="1420">
        <v>2697.55</v>
      </c>
      <c r="F95" s="1439"/>
      <c r="G95" s="1421">
        <v>0.04</v>
      </c>
      <c r="H95" s="1439"/>
      <c r="I95" s="1420">
        <v>2882.52</v>
      </c>
      <c r="J95" s="1439"/>
      <c r="K95" s="1420">
        <v>2829.49</v>
      </c>
      <c r="L95" s="1439"/>
      <c r="M95" s="1422">
        <v>213350590</v>
      </c>
      <c r="N95" s="1439"/>
      <c r="O95" s="1422">
        <v>25</v>
      </c>
      <c r="P95" s="1439"/>
      <c r="Q95" s="1422">
        <v>25</v>
      </c>
      <c r="R95" s="1439"/>
      <c r="S95" s="1422">
        <v>0</v>
      </c>
      <c r="T95" s="1439"/>
      <c r="U95" s="1422">
        <v>0</v>
      </c>
      <c r="V95" s="1439"/>
      <c r="W95" s="1420">
        <v>7.67</v>
      </c>
      <c r="X95" s="1439"/>
      <c r="Y95" s="1420">
        <v>32.67</v>
      </c>
      <c r="Z95" s="1439"/>
      <c r="AA95" s="1422">
        <v>29591500</v>
      </c>
      <c r="AB95" s="1455"/>
      <c r="AC95" s="1424">
        <v>6504849.5199999996</v>
      </c>
      <c r="AD95" s="1422">
        <v>6830761</v>
      </c>
      <c r="AE95" s="1420">
        <v>1031946.49</v>
      </c>
      <c r="AF95" s="1422">
        <v>704816</v>
      </c>
      <c r="AG95" s="1420">
        <v>400.35</v>
      </c>
      <c r="AH95" s="1456">
        <v>0</v>
      </c>
      <c r="AI95" s="1428">
        <v>12003146</v>
      </c>
      <c r="AJ95" s="1422">
        <v>12536690</v>
      </c>
      <c r="AK95" s="1422">
        <v>151143</v>
      </c>
      <c r="AL95" s="1422">
        <v>0</v>
      </c>
      <c r="AM95" s="1422">
        <v>330874</v>
      </c>
      <c r="AN95" s="1422">
        <v>0</v>
      </c>
      <c r="AO95" s="1422">
        <v>0</v>
      </c>
      <c r="AP95" s="1422">
        <v>0</v>
      </c>
      <c r="AQ95" s="1422">
        <v>0</v>
      </c>
      <c r="AR95" s="1422">
        <v>0</v>
      </c>
      <c r="AS95" s="1422">
        <v>0</v>
      </c>
      <c r="AT95" s="1422">
        <v>0</v>
      </c>
      <c r="AU95" s="1422">
        <v>0</v>
      </c>
      <c r="AV95" s="1422">
        <v>0</v>
      </c>
      <c r="AW95" s="1422">
        <v>58141</v>
      </c>
      <c r="AX95" s="1422">
        <v>0</v>
      </c>
      <c r="AY95" s="1420">
        <v>20080500.359999999</v>
      </c>
      <c r="AZ95" s="1422">
        <v>20072267</v>
      </c>
      <c r="BA95" s="1422">
        <v>0</v>
      </c>
      <c r="BB95" s="1422">
        <v>0</v>
      </c>
      <c r="BC95" s="1422">
        <v>117028</v>
      </c>
      <c r="BD95" s="1422">
        <v>122619</v>
      </c>
      <c r="BE95" s="1420">
        <v>35815.68</v>
      </c>
      <c r="BF95" s="1422">
        <v>0</v>
      </c>
      <c r="BG95" s="1422">
        <v>1450</v>
      </c>
      <c r="BH95" s="1422">
        <v>0</v>
      </c>
      <c r="BI95" s="1422">
        <v>13286</v>
      </c>
      <c r="BJ95" s="1422">
        <v>41947</v>
      </c>
      <c r="BK95" s="1422">
        <v>16408</v>
      </c>
      <c r="BL95" s="1420">
        <v>3330.74</v>
      </c>
      <c r="BM95" s="1422">
        <v>893296</v>
      </c>
      <c r="BN95" s="1422">
        <v>941160</v>
      </c>
      <c r="BO95" s="1420">
        <v>96048.4</v>
      </c>
      <c r="BP95" s="1422">
        <v>71411</v>
      </c>
      <c r="BQ95" s="1420">
        <v>70607.839999999997</v>
      </c>
      <c r="BR95" s="1422">
        <v>40625</v>
      </c>
      <c r="BS95" s="1420">
        <v>11427.49</v>
      </c>
      <c r="BT95" s="1422">
        <v>0</v>
      </c>
      <c r="BU95" s="1422">
        <v>0</v>
      </c>
      <c r="BV95" s="1422">
        <v>0</v>
      </c>
      <c r="BW95" s="1420">
        <v>679528.13</v>
      </c>
      <c r="BX95" s="1422">
        <v>660660</v>
      </c>
      <c r="BY95" s="1422">
        <v>0</v>
      </c>
      <c r="BZ95" s="1422">
        <v>0</v>
      </c>
      <c r="CA95" s="1420">
        <v>304622.40999999997</v>
      </c>
      <c r="CB95" s="1422">
        <v>299801</v>
      </c>
      <c r="CC95" s="1420">
        <v>2239517.9500000002</v>
      </c>
      <c r="CD95" s="1420">
        <v>2181553.7400000002</v>
      </c>
      <c r="CE95" s="1420">
        <v>5958189.4500000002</v>
      </c>
      <c r="CF95" s="1420">
        <v>3353625.03</v>
      </c>
      <c r="CG95" s="1420">
        <v>13931504.6</v>
      </c>
      <c r="CH95" s="1422">
        <v>220565</v>
      </c>
      <c r="CI95" s="1422">
        <v>0</v>
      </c>
      <c r="CJ95" s="1422">
        <v>0</v>
      </c>
      <c r="CK95" s="1420">
        <v>37431.86</v>
      </c>
      <c r="CL95" s="1422">
        <v>0</v>
      </c>
      <c r="CM95" s="1420">
        <v>7189.28</v>
      </c>
      <c r="CN95" s="1422">
        <v>0</v>
      </c>
      <c r="CO95" s="1422">
        <v>0</v>
      </c>
      <c r="CP95" s="1422">
        <v>0</v>
      </c>
      <c r="CQ95" s="1422">
        <v>0</v>
      </c>
      <c r="CR95" s="1422">
        <v>0</v>
      </c>
      <c r="CS95" s="1420">
        <v>13976125.74</v>
      </c>
      <c r="CT95" s="1422">
        <v>220565</v>
      </c>
      <c r="CU95" s="1420">
        <v>42254333.5</v>
      </c>
      <c r="CV95" s="1420">
        <v>25828010.77</v>
      </c>
      <c r="CW95" s="1420">
        <v>10828957.039999999</v>
      </c>
      <c r="CX95" s="1420">
        <v>9723444.1899999995</v>
      </c>
      <c r="CY95" s="1420">
        <v>1997887.12</v>
      </c>
      <c r="CZ95" s="1420">
        <v>1986840.73</v>
      </c>
      <c r="DA95" s="1420">
        <v>562443.73</v>
      </c>
      <c r="DB95" s="1420">
        <v>476506.91</v>
      </c>
      <c r="DC95" s="1422">
        <v>0</v>
      </c>
      <c r="DD95" s="1422">
        <v>0</v>
      </c>
      <c r="DE95" s="1420">
        <v>698141.95</v>
      </c>
      <c r="DF95" s="1420">
        <v>684831.76</v>
      </c>
      <c r="DG95" s="1420">
        <v>1056924.93</v>
      </c>
      <c r="DH95" s="1420">
        <v>1005691.66</v>
      </c>
      <c r="DI95" s="1420">
        <v>15144354.77</v>
      </c>
      <c r="DJ95" s="1420">
        <v>13877315.25</v>
      </c>
      <c r="DK95" s="1420">
        <v>595143.18999999994</v>
      </c>
      <c r="DL95" s="1420">
        <v>616150.52</v>
      </c>
      <c r="DM95" s="1420">
        <v>324327.23</v>
      </c>
      <c r="DN95" s="1420">
        <v>235274.17</v>
      </c>
      <c r="DO95" s="1420">
        <v>2321980.85</v>
      </c>
      <c r="DP95" s="1420">
        <v>2147200.9</v>
      </c>
      <c r="DQ95" s="1420">
        <v>921389.75</v>
      </c>
      <c r="DR95" s="1420">
        <v>648445.09</v>
      </c>
      <c r="DS95" s="1420">
        <v>104553.17</v>
      </c>
      <c r="DT95" s="1420">
        <v>11069.09</v>
      </c>
      <c r="DU95" s="1420">
        <v>4267394.1900000004</v>
      </c>
      <c r="DV95" s="1420">
        <v>3658139.77</v>
      </c>
      <c r="DW95" s="1420">
        <v>1228125.1100000001</v>
      </c>
      <c r="DX95" s="1420">
        <v>1401696.85</v>
      </c>
      <c r="DY95" s="1420">
        <v>2125434.7999999998</v>
      </c>
      <c r="DZ95" s="1420">
        <v>2766559.75</v>
      </c>
      <c r="EA95" s="1420">
        <v>1316968.96</v>
      </c>
      <c r="EB95" s="1420">
        <v>1252684.4099999999</v>
      </c>
      <c r="EC95" s="1420">
        <v>4670528.87</v>
      </c>
      <c r="ED95" s="1420">
        <v>5420941.0099999998</v>
      </c>
      <c r="EE95" s="1420">
        <v>1367760.31</v>
      </c>
      <c r="EF95" s="1420">
        <v>1254370.77</v>
      </c>
      <c r="EG95" s="1420">
        <v>73614.2</v>
      </c>
      <c r="EH95" s="1422">
        <v>0</v>
      </c>
      <c r="EI95" s="1420">
        <v>66913.47</v>
      </c>
      <c r="EJ95" s="1420">
        <v>46229.279999999999</v>
      </c>
      <c r="EK95" s="1422">
        <v>0</v>
      </c>
      <c r="EL95" s="1422">
        <v>0</v>
      </c>
      <c r="EM95" s="1420">
        <v>1508287.98</v>
      </c>
      <c r="EN95" s="1420">
        <v>1300600.05</v>
      </c>
      <c r="EO95" s="1420">
        <v>2079164.92</v>
      </c>
      <c r="EP95" s="1422">
        <v>6900300</v>
      </c>
      <c r="EQ95" s="1420">
        <v>1248574.02</v>
      </c>
      <c r="ER95" s="1420">
        <v>1386105.56</v>
      </c>
      <c r="ES95" s="1420">
        <v>96428.96</v>
      </c>
      <c r="ET95" s="1422">
        <v>0</v>
      </c>
      <c r="EU95" s="1420">
        <v>29014733.710000001</v>
      </c>
      <c r="EV95" s="1420">
        <v>32543401.640000001</v>
      </c>
      <c r="EW95" s="1420">
        <v>2614429.04</v>
      </c>
      <c r="EX95" s="1420">
        <v>7457997.0599999996</v>
      </c>
      <c r="EY95" s="1420">
        <v>1248574.02</v>
      </c>
      <c r="EZ95" s="1420">
        <v>1386105.56</v>
      </c>
      <c r="FA95" s="1420">
        <v>25151730.649999999</v>
      </c>
      <c r="FB95" s="1420">
        <v>23699299.02</v>
      </c>
      <c r="FC95" s="1420">
        <v>2295297.46</v>
      </c>
      <c r="FD95" s="1439"/>
      <c r="FE95" s="1420">
        <v>22856433.190000001</v>
      </c>
      <c r="FF95" s="1439"/>
      <c r="FG95" s="1422">
        <v>8473</v>
      </c>
      <c r="FH95" s="1439"/>
      <c r="FI95" s="1420">
        <v>198.7</v>
      </c>
      <c r="FJ95" s="1439"/>
      <c r="FK95" s="1422">
        <v>43188</v>
      </c>
      <c r="FL95" s="1439"/>
      <c r="FM95" s="1420">
        <v>218.07</v>
      </c>
      <c r="FN95" s="1439"/>
      <c r="FO95" s="1422">
        <v>46159</v>
      </c>
      <c r="FP95" s="1439"/>
      <c r="FQ95" s="1420">
        <v>1702147.54</v>
      </c>
      <c r="FR95" s="1439"/>
      <c r="FS95" s="1420">
        <v>742114.36</v>
      </c>
      <c r="FT95" s="1439"/>
      <c r="FU95" s="1422">
        <v>0</v>
      </c>
      <c r="FV95" s="1439"/>
      <c r="FW95" s="1420">
        <v>960033.18</v>
      </c>
      <c r="FX95" s="1439"/>
      <c r="FY95" s="1420">
        <v>13446992.109999999</v>
      </c>
      <c r="FZ95" s="1439"/>
      <c r="GA95" s="1422">
        <v>0</v>
      </c>
      <c r="GB95" s="1439"/>
    </row>
    <row r="96" spans="1:184" ht="12.75" customHeight="1" thickBot="1">
      <c r="A96" s="1418" t="s">
        <v>416</v>
      </c>
      <c r="B96" s="1418" t="s">
        <v>417</v>
      </c>
      <c r="C96" s="1420">
        <v>232.27</v>
      </c>
      <c r="D96" s="1439"/>
      <c r="E96" s="1420">
        <v>515.61</v>
      </c>
      <c r="F96" s="1439"/>
      <c r="G96" s="1421">
        <v>-0.26</v>
      </c>
      <c r="H96" s="1439"/>
      <c r="I96" s="1420">
        <v>552.66999999999996</v>
      </c>
      <c r="J96" s="1439"/>
      <c r="K96" s="1420">
        <v>623.29999999999995</v>
      </c>
      <c r="L96" s="1439"/>
      <c r="M96" s="1422">
        <v>28632375</v>
      </c>
      <c r="N96" s="1439"/>
      <c r="O96" s="1422">
        <v>25</v>
      </c>
      <c r="P96" s="1439"/>
      <c r="Q96" s="1422">
        <v>25</v>
      </c>
      <c r="R96" s="1439"/>
      <c r="S96" s="1422">
        <v>0</v>
      </c>
      <c r="T96" s="1439"/>
      <c r="U96" s="1422">
        <v>0</v>
      </c>
      <c r="V96" s="1439"/>
      <c r="W96" s="1420">
        <v>6.3</v>
      </c>
      <c r="X96" s="1439"/>
      <c r="Y96" s="1420">
        <v>31.3</v>
      </c>
      <c r="Z96" s="1439"/>
      <c r="AA96" s="1420">
        <v>1183807.42</v>
      </c>
      <c r="AB96" s="1455"/>
      <c r="AC96" s="1424">
        <v>841897.83</v>
      </c>
      <c r="AD96" s="1422">
        <v>828000</v>
      </c>
      <c r="AE96" s="1420">
        <v>284998.53000000003</v>
      </c>
      <c r="AF96" s="1422">
        <v>100125</v>
      </c>
      <c r="AG96" s="1422">
        <v>0</v>
      </c>
      <c r="AH96" s="1456">
        <v>0</v>
      </c>
      <c r="AI96" s="1428">
        <v>3072955</v>
      </c>
      <c r="AJ96" s="1422">
        <v>2713035</v>
      </c>
      <c r="AK96" s="1422">
        <v>11943</v>
      </c>
      <c r="AL96" s="1422">
        <v>0</v>
      </c>
      <c r="AM96" s="1422">
        <v>0</v>
      </c>
      <c r="AN96" s="1422">
        <v>0</v>
      </c>
      <c r="AO96" s="1422">
        <v>53273</v>
      </c>
      <c r="AP96" s="1422">
        <v>207514</v>
      </c>
      <c r="AQ96" s="1422">
        <v>0</v>
      </c>
      <c r="AR96" s="1422">
        <v>0</v>
      </c>
      <c r="AS96" s="1422">
        <v>64320</v>
      </c>
      <c r="AT96" s="1422">
        <v>0</v>
      </c>
      <c r="AU96" s="1422">
        <v>4181</v>
      </c>
      <c r="AV96" s="1422">
        <v>3345</v>
      </c>
      <c r="AW96" s="1422">
        <v>0</v>
      </c>
      <c r="AX96" s="1422">
        <v>0</v>
      </c>
      <c r="AY96" s="1420">
        <v>4333568.3600000003</v>
      </c>
      <c r="AZ96" s="1422">
        <v>3852019</v>
      </c>
      <c r="BA96" s="1422">
        <v>0</v>
      </c>
      <c r="BB96" s="1422">
        <v>0</v>
      </c>
      <c r="BC96" s="1422">
        <v>25780</v>
      </c>
      <c r="BD96" s="1422">
        <v>23553</v>
      </c>
      <c r="BE96" s="1420">
        <v>116102.66</v>
      </c>
      <c r="BF96" s="1422">
        <v>0</v>
      </c>
      <c r="BG96" s="1422">
        <v>0</v>
      </c>
      <c r="BH96" s="1422">
        <v>0</v>
      </c>
      <c r="BI96" s="1422">
        <v>0</v>
      </c>
      <c r="BJ96" s="1422">
        <v>0</v>
      </c>
      <c r="BK96" s="1422">
        <v>16701</v>
      </c>
      <c r="BL96" s="1420">
        <v>11287.21</v>
      </c>
      <c r="BM96" s="1422">
        <v>506912</v>
      </c>
      <c r="BN96" s="1422">
        <v>476652</v>
      </c>
      <c r="BO96" s="1420">
        <v>18398.580000000002</v>
      </c>
      <c r="BP96" s="1422">
        <v>0</v>
      </c>
      <c r="BQ96" s="1422">
        <v>0</v>
      </c>
      <c r="BR96" s="1422">
        <v>0</v>
      </c>
      <c r="BS96" s="1420">
        <v>2161.58</v>
      </c>
      <c r="BT96" s="1422">
        <v>1500</v>
      </c>
      <c r="BU96" s="1422">
        <v>0</v>
      </c>
      <c r="BV96" s="1422">
        <v>0</v>
      </c>
      <c r="BW96" s="1422">
        <v>70178</v>
      </c>
      <c r="BX96" s="1422">
        <v>72900</v>
      </c>
      <c r="BY96" s="1422">
        <v>0</v>
      </c>
      <c r="BZ96" s="1422">
        <v>0</v>
      </c>
      <c r="CA96" s="1420">
        <v>49001.05</v>
      </c>
      <c r="CB96" s="1422">
        <v>29660</v>
      </c>
      <c r="CC96" s="1420">
        <v>805234.87</v>
      </c>
      <c r="CD96" s="1420">
        <v>615552.21</v>
      </c>
      <c r="CE96" s="1420">
        <v>913615.55</v>
      </c>
      <c r="CF96" s="1422">
        <v>764186</v>
      </c>
      <c r="CG96" s="1422">
        <v>0</v>
      </c>
      <c r="CH96" s="1422">
        <v>0</v>
      </c>
      <c r="CI96" s="1422">
        <v>0</v>
      </c>
      <c r="CJ96" s="1422">
        <v>0</v>
      </c>
      <c r="CK96" s="1422">
        <v>0</v>
      </c>
      <c r="CL96" s="1422">
        <v>0</v>
      </c>
      <c r="CM96" s="1422">
        <v>0</v>
      </c>
      <c r="CN96" s="1422">
        <v>0</v>
      </c>
      <c r="CO96" s="1422">
        <v>0</v>
      </c>
      <c r="CP96" s="1422">
        <v>0</v>
      </c>
      <c r="CQ96" s="1422">
        <v>0</v>
      </c>
      <c r="CR96" s="1422">
        <v>0</v>
      </c>
      <c r="CS96" s="1422">
        <v>0</v>
      </c>
      <c r="CT96" s="1422">
        <v>0</v>
      </c>
      <c r="CU96" s="1420">
        <v>6052418.7800000003</v>
      </c>
      <c r="CV96" s="1420">
        <v>5231757.21</v>
      </c>
      <c r="CW96" s="1420">
        <v>2088556.98</v>
      </c>
      <c r="CX96" s="1420">
        <v>1840665.56</v>
      </c>
      <c r="CY96" s="1420">
        <v>380901.49</v>
      </c>
      <c r="CZ96" s="1420">
        <v>368916.3</v>
      </c>
      <c r="DA96" s="1420">
        <v>185261.56</v>
      </c>
      <c r="DB96" s="1420">
        <v>188285.29</v>
      </c>
      <c r="DC96" s="1422">
        <v>0</v>
      </c>
      <c r="DD96" s="1422">
        <v>0</v>
      </c>
      <c r="DE96" s="1420">
        <v>253340.13</v>
      </c>
      <c r="DF96" s="1420">
        <v>151580.06</v>
      </c>
      <c r="DG96" s="1420">
        <v>96328.04</v>
      </c>
      <c r="DH96" s="1420">
        <v>72064.149999999994</v>
      </c>
      <c r="DI96" s="1420">
        <v>3004388.2</v>
      </c>
      <c r="DJ96" s="1420">
        <v>2621511.36</v>
      </c>
      <c r="DK96" s="1420">
        <v>163644.57</v>
      </c>
      <c r="DL96" s="1420">
        <v>156885.66</v>
      </c>
      <c r="DM96" s="1420">
        <v>58266.57</v>
      </c>
      <c r="DN96" s="1420">
        <v>54718.400000000001</v>
      </c>
      <c r="DO96" s="1420">
        <v>559180.41</v>
      </c>
      <c r="DP96" s="1420">
        <v>610689.02</v>
      </c>
      <c r="DQ96" s="1420">
        <v>361790.3</v>
      </c>
      <c r="DR96" s="1420">
        <v>282078.25</v>
      </c>
      <c r="DS96" s="1420">
        <v>4387.9799999999996</v>
      </c>
      <c r="DT96" s="1422">
        <v>0</v>
      </c>
      <c r="DU96" s="1420">
        <v>1147269.83</v>
      </c>
      <c r="DV96" s="1420">
        <v>1104371.33</v>
      </c>
      <c r="DW96" s="1420">
        <v>254135.11</v>
      </c>
      <c r="DX96" s="1420">
        <v>293145.23</v>
      </c>
      <c r="DY96" s="1420">
        <v>615580.4</v>
      </c>
      <c r="DZ96" s="1420">
        <v>680822.77</v>
      </c>
      <c r="EA96" s="1420">
        <v>156458.64000000001</v>
      </c>
      <c r="EB96" s="1420">
        <v>173630.02</v>
      </c>
      <c r="EC96" s="1420">
        <v>1026174.15</v>
      </c>
      <c r="ED96" s="1420">
        <v>1147598.02</v>
      </c>
      <c r="EE96" s="1420">
        <v>300446.96999999997</v>
      </c>
      <c r="EF96" s="1420">
        <v>267927.23</v>
      </c>
      <c r="EG96" s="1422">
        <v>0</v>
      </c>
      <c r="EH96" s="1422">
        <v>0</v>
      </c>
      <c r="EI96" s="1422">
        <v>250</v>
      </c>
      <c r="EJ96" s="1422">
        <v>500</v>
      </c>
      <c r="EK96" s="1422">
        <v>0</v>
      </c>
      <c r="EL96" s="1422">
        <v>0</v>
      </c>
      <c r="EM96" s="1420">
        <v>300696.96999999997</v>
      </c>
      <c r="EN96" s="1420">
        <v>268427.23</v>
      </c>
      <c r="EO96" s="1420">
        <v>310079.69</v>
      </c>
      <c r="EP96" s="1422">
        <v>120000</v>
      </c>
      <c r="EQ96" s="1420">
        <v>125519.31</v>
      </c>
      <c r="ER96" s="1420">
        <v>120400.08</v>
      </c>
      <c r="ES96" s="1422">
        <v>0</v>
      </c>
      <c r="ET96" s="1422">
        <v>0</v>
      </c>
      <c r="EU96" s="1420">
        <v>5914128.1500000004</v>
      </c>
      <c r="EV96" s="1420">
        <v>5382308.0199999996</v>
      </c>
      <c r="EW96" s="1420">
        <v>416461.11</v>
      </c>
      <c r="EX96" s="1422">
        <v>120000</v>
      </c>
      <c r="EY96" s="1420">
        <v>125519.31</v>
      </c>
      <c r="EZ96" s="1420">
        <v>120400.08</v>
      </c>
      <c r="FA96" s="1420">
        <v>5372147.7300000004</v>
      </c>
      <c r="FB96" s="1420">
        <v>5141907.9400000004</v>
      </c>
      <c r="FC96" s="1420">
        <v>258321.86</v>
      </c>
      <c r="FD96" s="1439"/>
      <c r="FE96" s="1420">
        <v>5113825.87</v>
      </c>
      <c r="FF96" s="1439"/>
      <c r="FG96" s="1422">
        <v>9918</v>
      </c>
      <c r="FH96" s="1439"/>
      <c r="FI96" s="1420">
        <v>41.08</v>
      </c>
      <c r="FJ96" s="1439"/>
      <c r="FK96" s="1422">
        <v>42891</v>
      </c>
      <c r="FL96" s="1439"/>
      <c r="FM96" s="1420">
        <v>50.52</v>
      </c>
      <c r="FN96" s="1439"/>
      <c r="FO96" s="1422">
        <v>44646</v>
      </c>
      <c r="FP96" s="1439"/>
      <c r="FQ96" s="1420">
        <v>1220288.23</v>
      </c>
      <c r="FR96" s="1439"/>
      <c r="FS96" s="1420">
        <v>39802.370000000003</v>
      </c>
      <c r="FT96" s="1439"/>
      <c r="FU96" s="1422">
        <v>0</v>
      </c>
      <c r="FV96" s="1439"/>
      <c r="FW96" s="1420">
        <v>1180485.8600000001</v>
      </c>
      <c r="FX96" s="1439"/>
      <c r="FY96" s="1420">
        <v>295936.34999999998</v>
      </c>
      <c r="FZ96" s="1439"/>
      <c r="GA96" s="1422">
        <v>0</v>
      </c>
      <c r="GB96" s="1439"/>
    </row>
    <row r="97" spans="1:184" ht="12.75" customHeight="1" thickBot="1">
      <c r="A97" s="1418" t="s">
        <v>418</v>
      </c>
      <c r="B97" s="1418" t="s">
        <v>419</v>
      </c>
      <c r="C97" s="1420">
        <v>284.60000000000002</v>
      </c>
      <c r="D97" s="1439"/>
      <c r="E97" s="1420">
        <v>2465.79</v>
      </c>
      <c r="F97" s="1439"/>
      <c r="G97" s="1421">
        <v>-0.04</v>
      </c>
      <c r="H97" s="1439"/>
      <c r="I97" s="1420">
        <v>2486.4</v>
      </c>
      <c r="J97" s="1439"/>
      <c r="K97" s="1420">
        <v>2540.37</v>
      </c>
      <c r="L97" s="1439"/>
      <c r="M97" s="1422">
        <v>171840821</v>
      </c>
      <c r="N97" s="1439"/>
      <c r="O97" s="1422">
        <v>25</v>
      </c>
      <c r="P97" s="1439"/>
      <c r="Q97" s="1422">
        <v>25</v>
      </c>
      <c r="R97" s="1439"/>
      <c r="S97" s="1422">
        <v>0</v>
      </c>
      <c r="T97" s="1439"/>
      <c r="U97" s="1422">
        <v>0</v>
      </c>
      <c r="V97" s="1439"/>
      <c r="W97" s="1420">
        <v>9.6999999999999993</v>
      </c>
      <c r="X97" s="1439"/>
      <c r="Y97" s="1420">
        <v>34.700000000000003</v>
      </c>
      <c r="Z97" s="1439"/>
      <c r="AA97" s="1422">
        <v>11330000</v>
      </c>
      <c r="AB97" s="1455"/>
      <c r="AC97" s="1424">
        <v>5651390.3600000003</v>
      </c>
      <c r="AD97" s="1422">
        <v>5396000</v>
      </c>
      <c r="AE97" s="1420">
        <v>1121747.76</v>
      </c>
      <c r="AF97" s="1422">
        <v>570150</v>
      </c>
      <c r="AG97" s="1422">
        <v>0</v>
      </c>
      <c r="AH97" s="1456">
        <v>0</v>
      </c>
      <c r="AI97" s="1428">
        <v>10867748</v>
      </c>
      <c r="AJ97" s="1422">
        <v>10918915</v>
      </c>
      <c r="AK97" s="1422">
        <v>135923</v>
      </c>
      <c r="AL97" s="1422">
        <v>0</v>
      </c>
      <c r="AM97" s="1422">
        <v>0</v>
      </c>
      <c r="AN97" s="1422">
        <v>0</v>
      </c>
      <c r="AO97" s="1422">
        <v>0</v>
      </c>
      <c r="AP97" s="1422">
        <v>141128</v>
      </c>
      <c r="AQ97" s="1422">
        <v>0</v>
      </c>
      <c r="AR97" s="1422">
        <v>0</v>
      </c>
      <c r="AS97" s="1422">
        <v>0</v>
      </c>
      <c r="AT97" s="1422">
        <v>0</v>
      </c>
      <c r="AU97" s="1422">
        <v>0</v>
      </c>
      <c r="AV97" s="1422">
        <v>0</v>
      </c>
      <c r="AW97" s="1422">
        <v>0</v>
      </c>
      <c r="AX97" s="1422">
        <v>0</v>
      </c>
      <c r="AY97" s="1420">
        <v>17776809.120000001</v>
      </c>
      <c r="AZ97" s="1422">
        <v>17026193</v>
      </c>
      <c r="BA97" s="1420">
        <v>183762.75</v>
      </c>
      <c r="BB97" s="1422">
        <v>181200</v>
      </c>
      <c r="BC97" s="1422">
        <v>105070</v>
      </c>
      <c r="BD97" s="1422">
        <v>105714</v>
      </c>
      <c r="BE97" s="1420">
        <v>18966.810000000001</v>
      </c>
      <c r="BF97" s="1422">
        <v>0</v>
      </c>
      <c r="BG97" s="1422">
        <v>300</v>
      </c>
      <c r="BH97" s="1422">
        <v>0</v>
      </c>
      <c r="BI97" s="1422">
        <v>83901</v>
      </c>
      <c r="BJ97" s="1422">
        <v>93636</v>
      </c>
      <c r="BK97" s="1422">
        <v>111926</v>
      </c>
      <c r="BL97" s="1422">
        <v>0</v>
      </c>
      <c r="BM97" s="1422">
        <v>1966144</v>
      </c>
      <c r="BN97" s="1422">
        <v>2015904</v>
      </c>
      <c r="BO97" s="1420">
        <v>63364.75</v>
      </c>
      <c r="BP97" s="1422">
        <v>0</v>
      </c>
      <c r="BQ97" s="1422">
        <v>0</v>
      </c>
      <c r="BR97" s="1422">
        <v>0</v>
      </c>
      <c r="BS97" s="1420">
        <v>9739.26</v>
      </c>
      <c r="BT97" s="1422">
        <v>0</v>
      </c>
      <c r="BU97" s="1422">
        <v>0</v>
      </c>
      <c r="BV97" s="1422">
        <v>0</v>
      </c>
      <c r="BW97" s="1422">
        <v>680400</v>
      </c>
      <c r="BX97" s="1422">
        <v>680400</v>
      </c>
      <c r="BY97" s="1422">
        <v>0</v>
      </c>
      <c r="BZ97" s="1422">
        <v>0</v>
      </c>
      <c r="CA97" s="1420">
        <v>202028.93</v>
      </c>
      <c r="CB97" s="1422">
        <v>177571</v>
      </c>
      <c r="CC97" s="1420">
        <v>3425603.5</v>
      </c>
      <c r="CD97" s="1422">
        <v>3254425</v>
      </c>
      <c r="CE97" s="1420">
        <v>5525230.5800000001</v>
      </c>
      <c r="CF97" s="1420">
        <v>3278472.91</v>
      </c>
      <c r="CG97" s="1422">
        <v>0</v>
      </c>
      <c r="CH97" s="1420">
        <v>415800.77</v>
      </c>
      <c r="CI97" s="1422">
        <v>0</v>
      </c>
      <c r="CJ97" s="1422">
        <v>0</v>
      </c>
      <c r="CK97" s="1420">
        <v>51647.24</v>
      </c>
      <c r="CL97" s="1422">
        <v>0</v>
      </c>
      <c r="CM97" s="1420">
        <v>956.4</v>
      </c>
      <c r="CN97" s="1422">
        <v>0</v>
      </c>
      <c r="CO97" s="1420">
        <v>55730.13</v>
      </c>
      <c r="CP97" s="1422">
        <v>0</v>
      </c>
      <c r="CQ97" s="1422">
        <v>0</v>
      </c>
      <c r="CR97" s="1422">
        <v>0</v>
      </c>
      <c r="CS97" s="1420">
        <v>108333.77</v>
      </c>
      <c r="CT97" s="1420">
        <v>415800.77</v>
      </c>
      <c r="CU97" s="1420">
        <v>26835976.969999999</v>
      </c>
      <c r="CV97" s="1420">
        <v>23974891.68</v>
      </c>
      <c r="CW97" s="1420">
        <v>9460076.7599999998</v>
      </c>
      <c r="CX97" s="1420">
        <v>9132775.6999999993</v>
      </c>
      <c r="CY97" s="1420">
        <v>1009684.24</v>
      </c>
      <c r="CZ97" s="1422">
        <v>1090174</v>
      </c>
      <c r="DA97" s="1420">
        <v>935755.97</v>
      </c>
      <c r="DB97" s="1422">
        <v>758149</v>
      </c>
      <c r="DC97" s="1420">
        <v>278645.68</v>
      </c>
      <c r="DD97" s="1420">
        <v>275323.74</v>
      </c>
      <c r="DE97" s="1420">
        <v>2210913.31</v>
      </c>
      <c r="DF97" s="1420">
        <v>1972719.94</v>
      </c>
      <c r="DG97" s="1420">
        <v>828199.88</v>
      </c>
      <c r="DH97" s="1420">
        <v>788066.32</v>
      </c>
      <c r="DI97" s="1420">
        <v>14723275.84</v>
      </c>
      <c r="DJ97" s="1420">
        <v>14017208.699999999</v>
      </c>
      <c r="DK97" s="1420">
        <v>514426.25</v>
      </c>
      <c r="DL97" s="1422">
        <v>479498</v>
      </c>
      <c r="DM97" s="1420">
        <v>480024.1</v>
      </c>
      <c r="DN97" s="1422">
        <v>486630</v>
      </c>
      <c r="DO97" s="1420">
        <v>2409254.0299999998</v>
      </c>
      <c r="DP97" s="1420">
        <v>2277807.9700000002</v>
      </c>
      <c r="DQ97" s="1422">
        <v>1066120</v>
      </c>
      <c r="DR97" s="1422">
        <v>802025</v>
      </c>
      <c r="DS97" s="1420">
        <v>57643.82</v>
      </c>
      <c r="DT97" s="1422">
        <v>6000</v>
      </c>
      <c r="DU97" s="1420">
        <v>4527468.2</v>
      </c>
      <c r="DV97" s="1420">
        <v>4051960.97</v>
      </c>
      <c r="DW97" s="1420">
        <v>915930.59</v>
      </c>
      <c r="DX97" s="1420">
        <v>924595.3</v>
      </c>
      <c r="DY97" s="1420">
        <v>2462061.83</v>
      </c>
      <c r="DZ97" s="1422">
        <v>2431942</v>
      </c>
      <c r="EA97" s="1420">
        <v>1024402.99</v>
      </c>
      <c r="EB97" s="1422">
        <v>1091918</v>
      </c>
      <c r="EC97" s="1420">
        <v>4402395.41</v>
      </c>
      <c r="ED97" s="1420">
        <v>4448455.3</v>
      </c>
      <c r="EE97" s="1420">
        <v>1544754.94</v>
      </c>
      <c r="EF97" s="1420">
        <v>300713.21999999997</v>
      </c>
      <c r="EG97" s="1420">
        <v>27586.32</v>
      </c>
      <c r="EH97" s="1422">
        <v>0</v>
      </c>
      <c r="EI97" s="1420">
        <v>114205.56</v>
      </c>
      <c r="EJ97" s="1422">
        <v>88331</v>
      </c>
      <c r="EK97" s="1422">
        <v>0</v>
      </c>
      <c r="EL97" s="1422">
        <v>0</v>
      </c>
      <c r="EM97" s="1420">
        <v>1686546.82</v>
      </c>
      <c r="EN97" s="1420">
        <v>389044.22</v>
      </c>
      <c r="EO97" s="1420">
        <v>720339.09</v>
      </c>
      <c r="EP97" s="1422">
        <v>0</v>
      </c>
      <c r="EQ97" s="1420">
        <v>1270776.26</v>
      </c>
      <c r="ER97" s="1420">
        <v>883445.5</v>
      </c>
      <c r="ES97" s="1420">
        <v>30595.74</v>
      </c>
      <c r="ET97" s="1422">
        <v>0</v>
      </c>
      <c r="EU97" s="1420">
        <v>27361397.359999999</v>
      </c>
      <c r="EV97" s="1420">
        <v>23790114.690000001</v>
      </c>
      <c r="EW97" s="1420">
        <v>1190858.57</v>
      </c>
      <c r="EX97" s="1422">
        <v>32020</v>
      </c>
      <c r="EY97" s="1420">
        <v>1270776.26</v>
      </c>
      <c r="EZ97" s="1420">
        <v>883445.5</v>
      </c>
      <c r="FA97" s="1420">
        <v>24899762.530000001</v>
      </c>
      <c r="FB97" s="1420">
        <v>22874649.190000001</v>
      </c>
      <c r="FC97" s="1420">
        <v>1734981.96</v>
      </c>
      <c r="FD97" s="1439"/>
      <c r="FE97" s="1420">
        <v>23164780.57</v>
      </c>
      <c r="FF97" s="1439"/>
      <c r="FG97" s="1422">
        <v>9394</v>
      </c>
      <c r="FH97" s="1439"/>
      <c r="FI97" s="1420">
        <v>198.94</v>
      </c>
      <c r="FJ97" s="1439"/>
      <c r="FK97" s="1422">
        <v>40992</v>
      </c>
      <c r="FL97" s="1439"/>
      <c r="FM97" s="1420">
        <v>224.04</v>
      </c>
      <c r="FN97" s="1439"/>
      <c r="FO97" s="1422">
        <v>42591</v>
      </c>
      <c r="FP97" s="1439"/>
      <c r="FQ97" s="1420">
        <v>3276062.45</v>
      </c>
      <c r="FR97" s="1439"/>
      <c r="FS97" s="1420">
        <v>60048.02</v>
      </c>
      <c r="FT97" s="1439"/>
      <c r="FU97" s="1422">
        <v>0</v>
      </c>
      <c r="FV97" s="1439"/>
      <c r="FW97" s="1420">
        <v>3216014.43</v>
      </c>
      <c r="FX97" s="1439"/>
      <c r="FY97" s="1422">
        <v>0</v>
      </c>
      <c r="FZ97" s="1439"/>
      <c r="GA97" s="1422">
        <v>0</v>
      </c>
      <c r="GB97" s="1439"/>
    </row>
    <row r="98" spans="1:184" ht="12.75" customHeight="1" thickBot="1">
      <c r="A98" s="1418" t="s">
        <v>420</v>
      </c>
      <c r="B98" s="1418" t="s">
        <v>421</v>
      </c>
      <c r="C98" s="1420">
        <v>71.66</v>
      </c>
      <c r="D98" s="1439"/>
      <c r="E98" s="1420">
        <v>491.59</v>
      </c>
      <c r="F98" s="1439"/>
      <c r="G98" s="1421">
        <v>-0.02</v>
      </c>
      <c r="H98" s="1439"/>
      <c r="I98" s="1420">
        <v>507.12</v>
      </c>
      <c r="J98" s="1439"/>
      <c r="K98" s="1420">
        <v>469.34</v>
      </c>
      <c r="L98" s="1439"/>
      <c r="M98" s="1422">
        <v>12581385</v>
      </c>
      <c r="N98" s="1439"/>
      <c r="O98" s="1422">
        <v>25</v>
      </c>
      <c r="P98" s="1439"/>
      <c r="Q98" s="1422">
        <v>25</v>
      </c>
      <c r="R98" s="1439"/>
      <c r="S98" s="1422">
        <v>0</v>
      </c>
      <c r="T98" s="1439"/>
      <c r="U98" s="1422">
        <v>0</v>
      </c>
      <c r="V98" s="1439"/>
      <c r="W98" s="1420">
        <v>16.8</v>
      </c>
      <c r="X98" s="1439"/>
      <c r="Y98" s="1420">
        <v>41.8</v>
      </c>
      <c r="Z98" s="1439"/>
      <c r="AA98" s="1420">
        <v>3529366.99</v>
      </c>
      <c r="AB98" s="1455"/>
      <c r="AC98" s="1424">
        <v>543975.27</v>
      </c>
      <c r="AD98" s="1422">
        <v>480244</v>
      </c>
      <c r="AE98" s="1420">
        <v>287867.40999999997</v>
      </c>
      <c r="AF98" s="1422">
        <v>64000</v>
      </c>
      <c r="AG98" s="1422">
        <v>0</v>
      </c>
      <c r="AH98" s="1456">
        <v>0</v>
      </c>
      <c r="AI98" s="1428">
        <v>2523647</v>
      </c>
      <c r="AJ98" s="1422">
        <v>2798470</v>
      </c>
      <c r="AK98" s="1422">
        <v>8451</v>
      </c>
      <c r="AL98" s="1422">
        <v>0</v>
      </c>
      <c r="AM98" s="1422">
        <v>226465</v>
      </c>
      <c r="AN98" s="1422">
        <v>0</v>
      </c>
      <c r="AO98" s="1422">
        <v>0</v>
      </c>
      <c r="AP98" s="1422">
        <v>0</v>
      </c>
      <c r="AQ98" s="1422">
        <v>0</v>
      </c>
      <c r="AR98" s="1422">
        <v>0</v>
      </c>
      <c r="AS98" s="1422">
        <v>0</v>
      </c>
      <c r="AT98" s="1422">
        <v>0</v>
      </c>
      <c r="AU98" s="1422">
        <v>26736</v>
      </c>
      <c r="AV98" s="1422">
        <v>21389</v>
      </c>
      <c r="AW98" s="1422">
        <v>0</v>
      </c>
      <c r="AX98" s="1422">
        <v>0</v>
      </c>
      <c r="AY98" s="1420">
        <v>3617141.68</v>
      </c>
      <c r="AZ98" s="1422">
        <v>3364103</v>
      </c>
      <c r="BA98" s="1422">
        <v>0</v>
      </c>
      <c r="BB98" s="1422">
        <v>0</v>
      </c>
      <c r="BC98" s="1422">
        <v>19412</v>
      </c>
      <c r="BD98" s="1422">
        <v>21429</v>
      </c>
      <c r="BE98" s="1420">
        <v>8291.61</v>
      </c>
      <c r="BF98" s="1422">
        <v>0</v>
      </c>
      <c r="BG98" s="1422">
        <v>100</v>
      </c>
      <c r="BH98" s="1422">
        <v>0</v>
      </c>
      <c r="BI98" s="1422">
        <v>0</v>
      </c>
      <c r="BJ98" s="1422">
        <v>0</v>
      </c>
      <c r="BK98" s="1422">
        <v>2051</v>
      </c>
      <c r="BL98" s="1422">
        <v>0</v>
      </c>
      <c r="BM98" s="1422">
        <v>119040</v>
      </c>
      <c r="BN98" s="1422">
        <v>125994</v>
      </c>
      <c r="BO98" s="1420">
        <v>1922.73</v>
      </c>
      <c r="BP98" s="1422">
        <v>0</v>
      </c>
      <c r="BQ98" s="1422">
        <v>0</v>
      </c>
      <c r="BR98" s="1422">
        <v>0</v>
      </c>
      <c r="BS98" s="1420">
        <v>1720.5</v>
      </c>
      <c r="BT98" s="1422">
        <v>0</v>
      </c>
      <c r="BU98" s="1422">
        <v>0</v>
      </c>
      <c r="BV98" s="1422">
        <v>0</v>
      </c>
      <c r="BW98" s="1422">
        <v>0</v>
      </c>
      <c r="BX98" s="1422">
        <v>0</v>
      </c>
      <c r="BY98" s="1422">
        <v>0</v>
      </c>
      <c r="BZ98" s="1422">
        <v>0</v>
      </c>
      <c r="CA98" s="1420">
        <v>754908.02</v>
      </c>
      <c r="CB98" s="1422">
        <v>242312</v>
      </c>
      <c r="CC98" s="1420">
        <v>907445.86</v>
      </c>
      <c r="CD98" s="1422">
        <v>389735</v>
      </c>
      <c r="CE98" s="1420">
        <v>572165.72</v>
      </c>
      <c r="CF98" s="1422">
        <v>411862</v>
      </c>
      <c r="CG98" s="1420">
        <v>9802.48</v>
      </c>
      <c r="CH98" s="1422">
        <v>0</v>
      </c>
      <c r="CI98" s="1422">
        <v>0</v>
      </c>
      <c r="CJ98" s="1422">
        <v>0</v>
      </c>
      <c r="CK98" s="1422">
        <v>0</v>
      </c>
      <c r="CL98" s="1422">
        <v>0</v>
      </c>
      <c r="CM98" s="1422">
        <v>0</v>
      </c>
      <c r="CN98" s="1422">
        <v>0</v>
      </c>
      <c r="CO98" s="1422">
        <v>0</v>
      </c>
      <c r="CP98" s="1422">
        <v>0</v>
      </c>
      <c r="CQ98" s="1422">
        <v>0</v>
      </c>
      <c r="CR98" s="1422">
        <v>0</v>
      </c>
      <c r="CS98" s="1420">
        <v>9802.48</v>
      </c>
      <c r="CT98" s="1422">
        <v>0</v>
      </c>
      <c r="CU98" s="1420">
        <v>5106555.74</v>
      </c>
      <c r="CV98" s="1422">
        <v>4165700</v>
      </c>
      <c r="CW98" s="1420">
        <v>2040568.61</v>
      </c>
      <c r="CX98" s="1420">
        <v>1797388.15</v>
      </c>
      <c r="CY98" s="1420">
        <v>175326.49</v>
      </c>
      <c r="CZ98" s="1420">
        <v>181517.53</v>
      </c>
      <c r="DA98" s="1420">
        <v>221473.39</v>
      </c>
      <c r="DB98" s="1420">
        <v>226632.88</v>
      </c>
      <c r="DC98" s="1422">
        <v>0</v>
      </c>
      <c r="DD98" s="1422">
        <v>0</v>
      </c>
      <c r="DE98" s="1420">
        <v>43167.839999999997</v>
      </c>
      <c r="DF98" s="1420">
        <v>34159.68</v>
      </c>
      <c r="DG98" s="1420">
        <v>82812.92</v>
      </c>
      <c r="DH98" s="1420">
        <v>92454.45</v>
      </c>
      <c r="DI98" s="1420">
        <v>2563349.25</v>
      </c>
      <c r="DJ98" s="1420">
        <v>2332152.69</v>
      </c>
      <c r="DK98" s="1420">
        <v>159638.41</v>
      </c>
      <c r="DL98" s="1420">
        <v>166666.26</v>
      </c>
      <c r="DM98" s="1420">
        <v>121668.46</v>
      </c>
      <c r="DN98" s="1420">
        <v>124027.99</v>
      </c>
      <c r="DO98" s="1420">
        <v>300047.53000000003</v>
      </c>
      <c r="DP98" s="1420">
        <v>322904.11</v>
      </c>
      <c r="DQ98" s="1420">
        <v>93958.8</v>
      </c>
      <c r="DR98" s="1420">
        <v>109831.98</v>
      </c>
      <c r="DS98" s="1422">
        <v>0</v>
      </c>
      <c r="DT98" s="1422">
        <v>0</v>
      </c>
      <c r="DU98" s="1420">
        <v>675313.2</v>
      </c>
      <c r="DV98" s="1420">
        <v>723430.34</v>
      </c>
      <c r="DW98" s="1420">
        <v>145668.07</v>
      </c>
      <c r="DX98" s="1420">
        <v>173361.79</v>
      </c>
      <c r="DY98" s="1420">
        <v>258756.97</v>
      </c>
      <c r="DZ98" s="1420">
        <v>279925.39</v>
      </c>
      <c r="EA98" s="1420">
        <v>179473.79</v>
      </c>
      <c r="EB98" s="1420">
        <v>179134.25</v>
      </c>
      <c r="EC98" s="1420">
        <v>583898.82999999996</v>
      </c>
      <c r="ED98" s="1420">
        <v>632421.43000000005</v>
      </c>
      <c r="EE98" s="1420">
        <v>194237.38</v>
      </c>
      <c r="EF98" s="1420">
        <v>181780.44</v>
      </c>
      <c r="EG98" s="1422">
        <v>0</v>
      </c>
      <c r="EH98" s="1422">
        <v>0</v>
      </c>
      <c r="EI98" s="1422">
        <v>0</v>
      </c>
      <c r="EJ98" s="1422">
        <v>2000</v>
      </c>
      <c r="EK98" s="1422">
        <v>0</v>
      </c>
      <c r="EL98" s="1422">
        <v>0</v>
      </c>
      <c r="EM98" s="1420">
        <v>194237.38</v>
      </c>
      <c r="EN98" s="1420">
        <v>183780.44</v>
      </c>
      <c r="EO98" s="1420">
        <v>871303.36</v>
      </c>
      <c r="EP98" s="1422">
        <v>175000</v>
      </c>
      <c r="EQ98" s="1420">
        <v>179592.22</v>
      </c>
      <c r="ER98" s="1422">
        <v>266563</v>
      </c>
      <c r="ES98" s="1422">
        <v>0</v>
      </c>
      <c r="ET98" s="1422">
        <v>0</v>
      </c>
      <c r="EU98" s="1420">
        <v>5067694.24</v>
      </c>
      <c r="EV98" s="1420">
        <v>4313347.9000000004</v>
      </c>
      <c r="EW98" s="1420">
        <v>953832.68</v>
      </c>
      <c r="EX98" s="1420">
        <v>207378.65</v>
      </c>
      <c r="EY98" s="1420">
        <v>179592.22</v>
      </c>
      <c r="EZ98" s="1422">
        <v>266563</v>
      </c>
      <c r="FA98" s="1420">
        <v>3934269.34</v>
      </c>
      <c r="FB98" s="1420">
        <v>3839406.25</v>
      </c>
      <c r="FC98" s="1420">
        <v>267359.58</v>
      </c>
      <c r="FD98" s="1439"/>
      <c r="FE98" s="1420">
        <v>3666909.76</v>
      </c>
      <c r="FF98" s="1439"/>
      <c r="FG98" s="1422">
        <v>7459</v>
      </c>
      <c r="FH98" s="1439"/>
      <c r="FI98" s="1420">
        <v>34.340000000000003</v>
      </c>
      <c r="FJ98" s="1439"/>
      <c r="FK98" s="1422">
        <v>46248</v>
      </c>
      <c r="FL98" s="1439"/>
      <c r="FM98" s="1420">
        <v>38.340000000000003</v>
      </c>
      <c r="FN98" s="1439"/>
      <c r="FO98" s="1422">
        <v>48154</v>
      </c>
      <c r="FP98" s="1439"/>
      <c r="FQ98" s="1420">
        <v>507968.67</v>
      </c>
      <c r="FR98" s="1439"/>
      <c r="FS98" s="1420">
        <v>25783.59</v>
      </c>
      <c r="FT98" s="1439"/>
      <c r="FU98" s="1422">
        <v>0</v>
      </c>
      <c r="FV98" s="1439"/>
      <c r="FW98" s="1420">
        <v>482185.08</v>
      </c>
      <c r="FX98" s="1439"/>
      <c r="FY98" s="1420">
        <v>128482.77</v>
      </c>
      <c r="FZ98" s="1439"/>
      <c r="GA98" s="1422">
        <v>0</v>
      </c>
      <c r="GB98" s="1439"/>
    </row>
    <row r="99" spans="1:184" ht="12.75" customHeight="1" thickBot="1">
      <c r="A99" s="1418" t="s">
        <v>422</v>
      </c>
      <c r="B99" s="1418" t="s">
        <v>423</v>
      </c>
      <c r="C99" s="1420">
        <v>178.97</v>
      </c>
      <c r="D99" s="1439"/>
      <c r="E99" s="1420">
        <v>925.36</v>
      </c>
      <c r="F99" s="1439"/>
      <c r="G99" s="1421">
        <v>-0.05</v>
      </c>
      <c r="H99" s="1439"/>
      <c r="I99" s="1420">
        <v>977.81</v>
      </c>
      <c r="J99" s="1439"/>
      <c r="K99" s="1420">
        <v>978.31</v>
      </c>
      <c r="L99" s="1439"/>
      <c r="M99" s="1422">
        <v>55487791</v>
      </c>
      <c r="N99" s="1439"/>
      <c r="O99" s="1422">
        <v>25</v>
      </c>
      <c r="P99" s="1439"/>
      <c r="Q99" s="1422">
        <v>25</v>
      </c>
      <c r="R99" s="1439"/>
      <c r="S99" s="1422">
        <v>0</v>
      </c>
      <c r="T99" s="1439"/>
      <c r="U99" s="1422">
        <v>0</v>
      </c>
      <c r="V99" s="1439"/>
      <c r="W99" s="1422">
        <v>16</v>
      </c>
      <c r="X99" s="1439"/>
      <c r="Y99" s="1422">
        <v>41</v>
      </c>
      <c r="Z99" s="1439"/>
      <c r="AA99" s="1422">
        <v>8010000</v>
      </c>
      <c r="AB99" s="1455"/>
      <c r="AC99" s="1424">
        <v>2143320.56</v>
      </c>
      <c r="AD99" s="1420">
        <v>2644421.73</v>
      </c>
      <c r="AE99" s="1420">
        <v>460416.68</v>
      </c>
      <c r="AF99" s="1422">
        <v>200530</v>
      </c>
      <c r="AG99" s="1420">
        <v>4066.75</v>
      </c>
      <c r="AH99" s="1456">
        <v>3000</v>
      </c>
      <c r="AI99" s="1428">
        <v>4590846</v>
      </c>
      <c r="AJ99" s="1422">
        <v>4624427</v>
      </c>
      <c r="AK99" s="1422">
        <v>17164</v>
      </c>
      <c r="AL99" s="1422">
        <v>759451</v>
      </c>
      <c r="AM99" s="1422">
        <v>21014</v>
      </c>
      <c r="AN99" s="1422">
        <v>0</v>
      </c>
      <c r="AO99" s="1422">
        <v>0</v>
      </c>
      <c r="AP99" s="1422">
        <v>12534</v>
      </c>
      <c r="AQ99" s="1422">
        <v>0</v>
      </c>
      <c r="AR99" s="1422">
        <v>0</v>
      </c>
      <c r="AS99" s="1422">
        <v>0</v>
      </c>
      <c r="AT99" s="1422">
        <v>0</v>
      </c>
      <c r="AU99" s="1422">
        <v>8793</v>
      </c>
      <c r="AV99" s="1422">
        <v>7034</v>
      </c>
      <c r="AW99" s="1422">
        <v>0</v>
      </c>
      <c r="AX99" s="1422">
        <v>0</v>
      </c>
      <c r="AY99" s="1420">
        <v>7245620.9900000002</v>
      </c>
      <c r="AZ99" s="1420">
        <v>8251397.7300000004</v>
      </c>
      <c r="BA99" s="1422">
        <v>0</v>
      </c>
      <c r="BB99" s="1422">
        <v>0</v>
      </c>
      <c r="BC99" s="1422">
        <v>40463</v>
      </c>
      <c r="BD99" s="1422">
        <v>41288</v>
      </c>
      <c r="BE99" s="1420">
        <v>1437.23</v>
      </c>
      <c r="BF99" s="1422">
        <v>2800</v>
      </c>
      <c r="BG99" s="1422">
        <v>400</v>
      </c>
      <c r="BH99" s="1422">
        <v>0</v>
      </c>
      <c r="BI99" s="1422">
        <v>38273</v>
      </c>
      <c r="BJ99" s="1422">
        <v>36103</v>
      </c>
      <c r="BK99" s="1422">
        <v>10255</v>
      </c>
      <c r="BL99" s="1422">
        <v>0</v>
      </c>
      <c r="BM99" s="1422">
        <v>293632</v>
      </c>
      <c r="BN99" s="1422">
        <v>292974</v>
      </c>
      <c r="BO99" s="1420">
        <v>28968.15</v>
      </c>
      <c r="BP99" s="1422">
        <v>0</v>
      </c>
      <c r="BQ99" s="1420">
        <v>17333.560000000001</v>
      </c>
      <c r="BR99" s="1420">
        <v>24916.61</v>
      </c>
      <c r="BS99" s="1420">
        <v>3822.76</v>
      </c>
      <c r="BT99" s="1422">
        <v>2485</v>
      </c>
      <c r="BU99" s="1422">
        <v>0</v>
      </c>
      <c r="BV99" s="1422">
        <v>0</v>
      </c>
      <c r="BW99" s="1422">
        <v>0</v>
      </c>
      <c r="BX99" s="1422">
        <v>0</v>
      </c>
      <c r="BY99" s="1422">
        <v>0</v>
      </c>
      <c r="BZ99" s="1422">
        <v>0</v>
      </c>
      <c r="CA99" s="1420">
        <v>590597.13</v>
      </c>
      <c r="CB99" s="1420">
        <v>60438.559999999998</v>
      </c>
      <c r="CC99" s="1420">
        <v>1025181.83</v>
      </c>
      <c r="CD99" s="1420">
        <v>461005.17</v>
      </c>
      <c r="CE99" s="1420">
        <v>1595972.53</v>
      </c>
      <c r="CF99" s="1420">
        <v>1182218.8400000001</v>
      </c>
      <c r="CG99" s="1420">
        <v>4492.33</v>
      </c>
      <c r="CH99" s="1422">
        <v>0</v>
      </c>
      <c r="CI99" s="1422">
        <v>0</v>
      </c>
      <c r="CJ99" s="1422">
        <v>0</v>
      </c>
      <c r="CK99" s="1422">
        <v>0</v>
      </c>
      <c r="CL99" s="1422">
        <v>0</v>
      </c>
      <c r="CM99" s="1422">
        <v>0</v>
      </c>
      <c r="CN99" s="1422">
        <v>0</v>
      </c>
      <c r="CO99" s="1422">
        <v>0</v>
      </c>
      <c r="CP99" s="1422">
        <v>0</v>
      </c>
      <c r="CQ99" s="1422">
        <v>0</v>
      </c>
      <c r="CR99" s="1422">
        <v>0</v>
      </c>
      <c r="CS99" s="1420">
        <v>4492.33</v>
      </c>
      <c r="CT99" s="1422">
        <v>0</v>
      </c>
      <c r="CU99" s="1420">
        <v>9871267.6799999997</v>
      </c>
      <c r="CV99" s="1420">
        <v>9894621.7400000002</v>
      </c>
      <c r="CW99" s="1420">
        <v>3999068.63</v>
      </c>
      <c r="CX99" s="1420">
        <v>3591453.98</v>
      </c>
      <c r="CY99" s="1420">
        <v>647754.06000000006</v>
      </c>
      <c r="CZ99" s="1420">
        <v>568346.53</v>
      </c>
      <c r="DA99" s="1420">
        <v>245389.66</v>
      </c>
      <c r="DB99" s="1420">
        <v>245100.53</v>
      </c>
      <c r="DC99" s="1422">
        <v>0</v>
      </c>
      <c r="DD99" s="1422">
        <v>0</v>
      </c>
      <c r="DE99" s="1420">
        <v>146457.70000000001</v>
      </c>
      <c r="DF99" s="1420">
        <v>137079.01999999999</v>
      </c>
      <c r="DG99" s="1420">
        <v>124449.89</v>
      </c>
      <c r="DH99" s="1420">
        <v>100218.28</v>
      </c>
      <c r="DI99" s="1420">
        <v>5163119.9400000004</v>
      </c>
      <c r="DJ99" s="1420">
        <v>4642198.34</v>
      </c>
      <c r="DK99" s="1420">
        <v>363128.4</v>
      </c>
      <c r="DL99" s="1420">
        <v>355669.36</v>
      </c>
      <c r="DM99" s="1420">
        <v>350057.42</v>
      </c>
      <c r="DN99" s="1420">
        <v>131058.19</v>
      </c>
      <c r="DO99" s="1420">
        <v>1057110.07</v>
      </c>
      <c r="DP99" s="1422">
        <v>743390</v>
      </c>
      <c r="DQ99" s="1420">
        <v>465117.44</v>
      </c>
      <c r="DR99" s="1420">
        <v>483799.06</v>
      </c>
      <c r="DS99" s="1420">
        <v>27501.66</v>
      </c>
      <c r="DT99" s="1422">
        <v>0</v>
      </c>
      <c r="DU99" s="1420">
        <v>2262914.9900000002</v>
      </c>
      <c r="DV99" s="1420">
        <v>1713916.61</v>
      </c>
      <c r="DW99" s="1420">
        <v>347552.42</v>
      </c>
      <c r="DX99" s="1420">
        <v>327398.84999999998</v>
      </c>
      <c r="DY99" s="1420">
        <v>530990.1</v>
      </c>
      <c r="DZ99" s="1420">
        <v>788774.97</v>
      </c>
      <c r="EA99" s="1420">
        <v>301983.38</v>
      </c>
      <c r="EB99" s="1420">
        <v>290970.71999999997</v>
      </c>
      <c r="EC99" s="1420">
        <v>1180525.8999999999</v>
      </c>
      <c r="ED99" s="1420">
        <v>1407144.54</v>
      </c>
      <c r="EE99" s="1420">
        <v>525608.99</v>
      </c>
      <c r="EF99" s="1420">
        <v>559951.23</v>
      </c>
      <c r="EG99" s="1422">
        <v>0</v>
      </c>
      <c r="EH99" s="1422">
        <v>0</v>
      </c>
      <c r="EI99" s="1420">
        <v>603.66</v>
      </c>
      <c r="EJ99" s="1422">
        <v>1500</v>
      </c>
      <c r="EK99" s="1422">
        <v>0</v>
      </c>
      <c r="EL99" s="1422">
        <v>0</v>
      </c>
      <c r="EM99" s="1420">
        <v>526212.65</v>
      </c>
      <c r="EN99" s="1420">
        <v>561451.23</v>
      </c>
      <c r="EO99" s="1420">
        <v>981590.74</v>
      </c>
      <c r="EP99" s="1420">
        <v>89075.56</v>
      </c>
      <c r="EQ99" s="1420">
        <v>407737.97</v>
      </c>
      <c r="ER99" s="1422">
        <v>652953</v>
      </c>
      <c r="ES99" s="1422">
        <v>0</v>
      </c>
      <c r="ET99" s="1422">
        <v>0</v>
      </c>
      <c r="EU99" s="1420">
        <v>10522102.189999999</v>
      </c>
      <c r="EV99" s="1420">
        <v>9066739.2799999993</v>
      </c>
      <c r="EW99" s="1420">
        <v>1071676.28</v>
      </c>
      <c r="EX99" s="1420">
        <v>189686.56</v>
      </c>
      <c r="EY99" s="1420">
        <v>407737.97</v>
      </c>
      <c r="EZ99" s="1422">
        <v>652953</v>
      </c>
      <c r="FA99" s="1420">
        <v>9042687.9399999995</v>
      </c>
      <c r="FB99" s="1420">
        <v>8224099.7199999997</v>
      </c>
      <c r="FC99" s="1420">
        <v>439593.6</v>
      </c>
      <c r="FD99" s="1439"/>
      <c r="FE99" s="1420">
        <v>8603094.3399999999</v>
      </c>
      <c r="FF99" s="1439"/>
      <c r="FG99" s="1422">
        <v>9297</v>
      </c>
      <c r="FH99" s="1439"/>
      <c r="FI99" s="1422">
        <v>78</v>
      </c>
      <c r="FJ99" s="1439"/>
      <c r="FK99" s="1422">
        <v>42474</v>
      </c>
      <c r="FL99" s="1439"/>
      <c r="FM99" s="1422">
        <v>82</v>
      </c>
      <c r="FN99" s="1439"/>
      <c r="FO99" s="1422">
        <v>44099</v>
      </c>
      <c r="FP99" s="1439"/>
      <c r="FQ99" s="1420">
        <v>992585.64</v>
      </c>
      <c r="FR99" s="1439"/>
      <c r="FS99" s="1420">
        <v>91668.77</v>
      </c>
      <c r="FT99" s="1439"/>
      <c r="FU99" s="1422">
        <v>0</v>
      </c>
      <c r="FV99" s="1439"/>
      <c r="FW99" s="1420">
        <v>900916.87</v>
      </c>
      <c r="FX99" s="1439"/>
      <c r="FY99" s="1420">
        <v>106342.19</v>
      </c>
      <c r="FZ99" s="1439"/>
      <c r="GA99" s="1422">
        <v>0</v>
      </c>
      <c r="GB99" s="1439"/>
    </row>
    <row r="100" spans="1:184" ht="12.75" customHeight="1" thickBot="1">
      <c r="A100" s="1418" t="s">
        <v>424</v>
      </c>
      <c r="B100" s="1418" t="s">
        <v>425</v>
      </c>
      <c r="C100" s="1420">
        <v>75.44</v>
      </c>
      <c r="D100" s="1439"/>
      <c r="E100" s="1420">
        <v>867.56</v>
      </c>
      <c r="F100" s="1439"/>
      <c r="G100" s="1421">
        <v>-0.1</v>
      </c>
      <c r="H100" s="1439"/>
      <c r="I100" s="1420">
        <v>932.81</v>
      </c>
      <c r="J100" s="1439"/>
      <c r="K100" s="1420">
        <v>978.72</v>
      </c>
      <c r="L100" s="1439"/>
      <c r="M100" s="1422">
        <v>45674885</v>
      </c>
      <c r="N100" s="1439"/>
      <c r="O100" s="1422">
        <v>25</v>
      </c>
      <c r="P100" s="1439"/>
      <c r="Q100" s="1422">
        <v>25</v>
      </c>
      <c r="R100" s="1439"/>
      <c r="S100" s="1422">
        <v>0</v>
      </c>
      <c r="T100" s="1439"/>
      <c r="U100" s="1422">
        <v>0</v>
      </c>
      <c r="V100" s="1439"/>
      <c r="W100" s="1420">
        <v>13.2</v>
      </c>
      <c r="X100" s="1439"/>
      <c r="Y100" s="1420">
        <v>38.200000000000003</v>
      </c>
      <c r="Z100" s="1439"/>
      <c r="AA100" s="1420">
        <v>5434047.7599999998</v>
      </c>
      <c r="AB100" s="1455"/>
      <c r="AC100" s="1424">
        <v>1675104.97</v>
      </c>
      <c r="AD100" s="1422">
        <v>1858185</v>
      </c>
      <c r="AE100" s="1420">
        <v>687443.56</v>
      </c>
      <c r="AF100" s="1422">
        <v>281100</v>
      </c>
      <c r="AG100" s="1420">
        <v>3981.59</v>
      </c>
      <c r="AH100" s="1456">
        <v>3900</v>
      </c>
      <c r="AI100" s="1428">
        <v>4800303</v>
      </c>
      <c r="AJ100" s="1422">
        <v>4648039</v>
      </c>
      <c r="AK100" s="1422">
        <v>12536</v>
      </c>
      <c r="AL100" s="1422">
        <v>0</v>
      </c>
      <c r="AM100" s="1422">
        <v>0</v>
      </c>
      <c r="AN100" s="1422">
        <v>0</v>
      </c>
      <c r="AO100" s="1422">
        <v>30115</v>
      </c>
      <c r="AP100" s="1422">
        <v>122112</v>
      </c>
      <c r="AQ100" s="1422">
        <v>0</v>
      </c>
      <c r="AR100" s="1422">
        <v>0</v>
      </c>
      <c r="AS100" s="1422">
        <v>0</v>
      </c>
      <c r="AT100" s="1422">
        <v>0</v>
      </c>
      <c r="AU100" s="1422">
        <v>35064</v>
      </c>
      <c r="AV100" s="1422">
        <v>118424</v>
      </c>
      <c r="AW100" s="1422">
        <v>0</v>
      </c>
      <c r="AX100" s="1422">
        <v>0</v>
      </c>
      <c r="AY100" s="1420">
        <v>7244548.1200000001</v>
      </c>
      <c r="AZ100" s="1422">
        <v>7031760</v>
      </c>
      <c r="BA100" s="1422">
        <v>0</v>
      </c>
      <c r="BB100" s="1422">
        <v>0</v>
      </c>
      <c r="BC100" s="1422">
        <v>40480</v>
      </c>
      <c r="BD100" s="1422">
        <v>39794</v>
      </c>
      <c r="BE100" s="1422">
        <v>0</v>
      </c>
      <c r="BF100" s="1420">
        <v>2982.4</v>
      </c>
      <c r="BG100" s="1422">
        <v>1052</v>
      </c>
      <c r="BH100" s="1422">
        <v>0</v>
      </c>
      <c r="BI100" s="1422">
        <v>23078</v>
      </c>
      <c r="BJ100" s="1422">
        <v>16166</v>
      </c>
      <c r="BK100" s="1422">
        <v>586</v>
      </c>
      <c r="BL100" s="1422">
        <v>0</v>
      </c>
      <c r="BM100" s="1422">
        <v>256928</v>
      </c>
      <c r="BN100" s="1422">
        <v>247434</v>
      </c>
      <c r="BO100" s="1420">
        <v>26512.639999999999</v>
      </c>
      <c r="BP100" s="1422">
        <v>0</v>
      </c>
      <c r="BQ100" s="1420">
        <v>75833.56</v>
      </c>
      <c r="BR100" s="1422">
        <v>69875</v>
      </c>
      <c r="BS100" s="1420">
        <v>3100.28</v>
      </c>
      <c r="BT100" s="1422">
        <v>3100</v>
      </c>
      <c r="BU100" s="1422">
        <v>0</v>
      </c>
      <c r="BV100" s="1422">
        <v>0</v>
      </c>
      <c r="BW100" s="1422">
        <v>122375</v>
      </c>
      <c r="BX100" s="1422">
        <v>126360</v>
      </c>
      <c r="BY100" s="1422">
        <v>0</v>
      </c>
      <c r="BZ100" s="1422">
        <v>0</v>
      </c>
      <c r="CA100" s="1422">
        <v>112646</v>
      </c>
      <c r="CB100" s="1422">
        <v>10366</v>
      </c>
      <c r="CC100" s="1420">
        <v>662591.48</v>
      </c>
      <c r="CD100" s="1420">
        <v>516077.4</v>
      </c>
      <c r="CE100" s="1420">
        <v>1469120.79</v>
      </c>
      <c r="CF100" s="1420">
        <v>922129.44</v>
      </c>
      <c r="CG100" s="1422">
        <v>450800</v>
      </c>
      <c r="CH100" s="1422">
        <v>0</v>
      </c>
      <c r="CI100" s="1422">
        <v>0</v>
      </c>
      <c r="CJ100" s="1422">
        <v>0</v>
      </c>
      <c r="CK100" s="1422">
        <v>0</v>
      </c>
      <c r="CL100" s="1422">
        <v>0</v>
      </c>
      <c r="CM100" s="1422">
        <v>0</v>
      </c>
      <c r="CN100" s="1422">
        <v>0</v>
      </c>
      <c r="CO100" s="1422">
        <v>0</v>
      </c>
      <c r="CP100" s="1422">
        <v>0</v>
      </c>
      <c r="CQ100" s="1422">
        <v>0</v>
      </c>
      <c r="CR100" s="1422">
        <v>0</v>
      </c>
      <c r="CS100" s="1422">
        <v>450800</v>
      </c>
      <c r="CT100" s="1422">
        <v>0</v>
      </c>
      <c r="CU100" s="1420">
        <v>9827060.3900000006</v>
      </c>
      <c r="CV100" s="1420">
        <v>8469966.8399999999</v>
      </c>
      <c r="CW100" s="1420">
        <v>3952108.62</v>
      </c>
      <c r="CX100" s="1420">
        <v>3701637.1</v>
      </c>
      <c r="CY100" s="1420">
        <v>614011.9</v>
      </c>
      <c r="CZ100" s="1420">
        <v>535095.88</v>
      </c>
      <c r="DA100" s="1420">
        <v>262550.53000000003</v>
      </c>
      <c r="DB100" s="1420">
        <v>270612.64</v>
      </c>
      <c r="DC100" s="1422">
        <v>0</v>
      </c>
      <c r="DD100" s="1422">
        <v>0</v>
      </c>
      <c r="DE100" s="1420">
        <v>232261.26</v>
      </c>
      <c r="DF100" s="1420">
        <v>206211.82</v>
      </c>
      <c r="DG100" s="1420">
        <v>73284.87</v>
      </c>
      <c r="DH100" s="1420">
        <v>74573.95</v>
      </c>
      <c r="DI100" s="1420">
        <v>5134217.18</v>
      </c>
      <c r="DJ100" s="1420">
        <v>4788131.3899999997</v>
      </c>
      <c r="DK100" s="1420">
        <v>290096.38</v>
      </c>
      <c r="DL100" s="1420">
        <v>266932.58</v>
      </c>
      <c r="DM100" s="1420">
        <v>44113.39</v>
      </c>
      <c r="DN100" s="1420">
        <v>46154.34</v>
      </c>
      <c r="DO100" s="1420">
        <v>1035108.91</v>
      </c>
      <c r="DP100" s="1420">
        <v>886461.73</v>
      </c>
      <c r="DQ100" s="1420">
        <v>373883.14</v>
      </c>
      <c r="DR100" s="1420">
        <v>275699.42</v>
      </c>
      <c r="DS100" s="1420">
        <v>24366.27</v>
      </c>
      <c r="DT100" s="1422">
        <v>15925</v>
      </c>
      <c r="DU100" s="1420">
        <v>1767568.09</v>
      </c>
      <c r="DV100" s="1420">
        <v>1491173.07</v>
      </c>
      <c r="DW100" s="1420">
        <v>406382.18</v>
      </c>
      <c r="DX100" s="1420">
        <v>415148.05</v>
      </c>
      <c r="DY100" s="1420">
        <v>573090.94999999995</v>
      </c>
      <c r="DZ100" s="1420">
        <v>633006.32999999996</v>
      </c>
      <c r="EA100" s="1420">
        <v>376849.21</v>
      </c>
      <c r="EB100" s="1420">
        <v>297436.86</v>
      </c>
      <c r="EC100" s="1420">
        <v>1356322.34</v>
      </c>
      <c r="ED100" s="1420">
        <v>1345591.24</v>
      </c>
      <c r="EE100" s="1420">
        <v>462441.99</v>
      </c>
      <c r="EF100" s="1420">
        <v>504859.17</v>
      </c>
      <c r="EG100" s="1420">
        <v>12440.66</v>
      </c>
      <c r="EH100" s="1422">
        <v>0</v>
      </c>
      <c r="EI100" s="1422">
        <v>0</v>
      </c>
      <c r="EJ100" s="1420">
        <v>3000.32</v>
      </c>
      <c r="EK100" s="1422">
        <v>0</v>
      </c>
      <c r="EL100" s="1422">
        <v>0</v>
      </c>
      <c r="EM100" s="1420">
        <v>474882.65</v>
      </c>
      <c r="EN100" s="1420">
        <v>507859.49</v>
      </c>
      <c r="EO100" s="1420">
        <v>64478.94</v>
      </c>
      <c r="EP100" s="1420">
        <v>497072.94</v>
      </c>
      <c r="EQ100" s="1420">
        <v>374952.7</v>
      </c>
      <c r="ER100" s="1420">
        <v>425241.22</v>
      </c>
      <c r="ES100" s="1422">
        <v>0</v>
      </c>
      <c r="ET100" s="1422">
        <v>0</v>
      </c>
      <c r="EU100" s="1420">
        <v>9172421.9000000004</v>
      </c>
      <c r="EV100" s="1420">
        <v>9055069.3499999996</v>
      </c>
      <c r="EW100" s="1420">
        <v>261600.93</v>
      </c>
      <c r="EX100" s="1420">
        <v>548908.93999999994</v>
      </c>
      <c r="EY100" s="1420">
        <v>374952.7</v>
      </c>
      <c r="EZ100" s="1420">
        <v>425241.22</v>
      </c>
      <c r="FA100" s="1420">
        <v>8535868.2699999996</v>
      </c>
      <c r="FB100" s="1420">
        <v>8080919.1900000004</v>
      </c>
      <c r="FC100" s="1420">
        <v>691903.66</v>
      </c>
      <c r="FD100" s="1439"/>
      <c r="FE100" s="1420">
        <v>7843964.6100000003</v>
      </c>
      <c r="FF100" s="1439"/>
      <c r="FG100" s="1422">
        <v>9041</v>
      </c>
      <c r="FH100" s="1439"/>
      <c r="FI100" s="1420">
        <v>64.14</v>
      </c>
      <c r="FJ100" s="1439"/>
      <c r="FK100" s="1422">
        <v>46267</v>
      </c>
      <c r="FL100" s="1439"/>
      <c r="FM100" s="1420">
        <v>71.39</v>
      </c>
      <c r="FN100" s="1439"/>
      <c r="FO100" s="1422">
        <v>48342</v>
      </c>
      <c r="FP100" s="1439"/>
      <c r="FQ100" s="1420">
        <v>876741.82</v>
      </c>
      <c r="FR100" s="1439"/>
      <c r="FS100" s="1420">
        <v>25632.43</v>
      </c>
      <c r="FT100" s="1439"/>
      <c r="FU100" s="1422">
        <v>0</v>
      </c>
      <c r="FV100" s="1439"/>
      <c r="FW100" s="1420">
        <v>851109.39</v>
      </c>
      <c r="FX100" s="1439"/>
      <c r="FY100" s="1420">
        <v>561614.15</v>
      </c>
      <c r="FZ100" s="1439"/>
      <c r="GA100" s="1422">
        <v>0</v>
      </c>
      <c r="GB100" s="1439"/>
    </row>
    <row r="101" spans="1:184" ht="12.75" customHeight="1" thickBot="1">
      <c r="A101" s="1418" t="s">
        <v>426</v>
      </c>
      <c r="B101" s="1418" t="s">
        <v>427</v>
      </c>
      <c r="C101" s="1420">
        <v>49.3</v>
      </c>
      <c r="D101" s="1439"/>
      <c r="E101" s="1420">
        <v>622.04</v>
      </c>
      <c r="F101" s="1439"/>
      <c r="G101" s="1421">
        <v>-0.15</v>
      </c>
      <c r="H101" s="1439"/>
      <c r="I101" s="1420">
        <v>655.35</v>
      </c>
      <c r="J101" s="1439"/>
      <c r="K101" s="1420">
        <v>686.83</v>
      </c>
      <c r="L101" s="1439"/>
      <c r="M101" s="1422">
        <v>62716367</v>
      </c>
      <c r="N101" s="1439"/>
      <c r="O101" s="1422">
        <v>25</v>
      </c>
      <c r="P101" s="1439"/>
      <c r="Q101" s="1422">
        <v>25</v>
      </c>
      <c r="R101" s="1439"/>
      <c r="S101" s="1422">
        <v>0</v>
      </c>
      <c r="T101" s="1439"/>
      <c r="U101" s="1422">
        <v>0</v>
      </c>
      <c r="V101" s="1439"/>
      <c r="W101" s="1420">
        <v>14.18</v>
      </c>
      <c r="X101" s="1439"/>
      <c r="Y101" s="1420">
        <v>39.18</v>
      </c>
      <c r="Z101" s="1439"/>
      <c r="AA101" s="1422">
        <v>5795000</v>
      </c>
      <c r="AB101" s="1455"/>
      <c r="AC101" s="1424">
        <v>2314816.5499999998</v>
      </c>
      <c r="AD101" s="1422">
        <v>2408083</v>
      </c>
      <c r="AE101" s="1420">
        <v>727083.06</v>
      </c>
      <c r="AF101" s="1422">
        <v>443803</v>
      </c>
      <c r="AG101" s="1420">
        <v>2788.38</v>
      </c>
      <c r="AH101" s="1456">
        <v>0</v>
      </c>
      <c r="AI101" s="1428">
        <v>2596137</v>
      </c>
      <c r="AJ101" s="1422">
        <v>2411884</v>
      </c>
      <c r="AK101" s="1422">
        <v>31479</v>
      </c>
      <c r="AL101" s="1422">
        <v>31479</v>
      </c>
      <c r="AM101" s="1422">
        <v>0</v>
      </c>
      <c r="AN101" s="1422">
        <v>0</v>
      </c>
      <c r="AO101" s="1422">
        <v>150786</v>
      </c>
      <c r="AP101" s="1422">
        <v>94464</v>
      </c>
      <c r="AQ101" s="1422">
        <v>0</v>
      </c>
      <c r="AR101" s="1422">
        <v>0</v>
      </c>
      <c r="AS101" s="1422">
        <v>0</v>
      </c>
      <c r="AT101" s="1422">
        <v>0</v>
      </c>
      <c r="AU101" s="1422">
        <v>0</v>
      </c>
      <c r="AV101" s="1422">
        <v>0</v>
      </c>
      <c r="AW101" s="1422">
        <v>40554</v>
      </c>
      <c r="AX101" s="1422">
        <v>40554</v>
      </c>
      <c r="AY101" s="1420">
        <v>5863643.9900000002</v>
      </c>
      <c r="AZ101" s="1422">
        <v>5430267</v>
      </c>
      <c r="BA101" s="1422">
        <v>0</v>
      </c>
      <c r="BB101" s="1422">
        <v>0</v>
      </c>
      <c r="BC101" s="1422">
        <v>28407</v>
      </c>
      <c r="BD101" s="1422">
        <v>27805</v>
      </c>
      <c r="BE101" s="1420">
        <v>2789.32</v>
      </c>
      <c r="BF101" s="1422">
        <v>0</v>
      </c>
      <c r="BG101" s="1422">
        <v>0</v>
      </c>
      <c r="BH101" s="1422">
        <v>0</v>
      </c>
      <c r="BI101" s="1422">
        <v>0</v>
      </c>
      <c r="BJ101" s="1422">
        <v>0</v>
      </c>
      <c r="BK101" s="1422">
        <v>0</v>
      </c>
      <c r="BL101" s="1422">
        <v>0</v>
      </c>
      <c r="BM101" s="1422">
        <v>163680</v>
      </c>
      <c r="BN101" s="1420">
        <v>318866.26</v>
      </c>
      <c r="BO101" s="1420">
        <v>2813.67</v>
      </c>
      <c r="BP101" s="1422">
        <v>0</v>
      </c>
      <c r="BQ101" s="1420">
        <v>29250.32</v>
      </c>
      <c r="BR101" s="1420">
        <v>52147.5</v>
      </c>
      <c r="BS101" s="1420">
        <v>2344.4</v>
      </c>
      <c r="BT101" s="1422">
        <v>2344</v>
      </c>
      <c r="BU101" s="1422">
        <v>0</v>
      </c>
      <c r="BV101" s="1422">
        <v>0</v>
      </c>
      <c r="BW101" s="1422">
        <v>0</v>
      </c>
      <c r="BX101" s="1422">
        <v>0</v>
      </c>
      <c r="BY101" s="1422">
        <v>0</v>
      </c>
      <c r="BZ101" s="1422">
        <v>0</v>
      </c>
      <c r="CA101" s="1422">
        <v>25260</v>
      </c>
      <c r="CB101" s="1422">
        <v>19301</v>
      </c>
      <c r="CC101" s="1420">
        <v>254544.71</v>
      </c>
      <c r="CD101" s="1420">
        <v>420463.76</v>
      </c>
      <c r="CE101" s="1420">
        <v>1028731.59</v>
      </c>
      <c r="CF101" s="1420">
        <v>638886.81999999995</v>
      </c>
      <c r="CG101" s="1422">
        <v>0</v>
      </c>
      <c r="CH101" s="1422">
        <v>0</v>
      </c>
      <c r="CI101" s="1422">
        <v>0</v>
      </c>
      <c r="CJ101" s="1422">
        <v>0</v>
      </c>
      <c r="CK101" s="1422">
        <v>0</v>
      </c>
      <c r="CL101" s="1422">
        <v>0</v>
      </c>
      <c r="CM101" s="1420">
        <v>2105.5</v>
      </c>
      <c r="CN101" s="1422">
        <v>0</v>
      </c>
      <c r="CO101" s="1420">
        <v>27716.97</v>
      </c>
      <c r="CP101" s="1422">
        <v>0</v>
      </c>
      <c r="CQ101" s="1422">
        <v>0</v>
      </c>
      <c r="CR101" s="1422">
        <v>0</v>
      </c>
      <c r="CS101" s="1420">
        <v>29822.47</v>
      </c>
      <c r="CT101" s="1422">
        <v>0</v>
      </c>
      <c r="CU101" s="1420">
        <v>7176742.7599999998</v>
      </c>
      <c r="CV101" s="1420">
        <v>6489617.5800000001</v>
      </c>
      <c r="CW101" s="1420">
        <v>2389576.75</v>
      </c>
      <c r="CX101" s="1420">
        <v>2194578.64</v>
      </c>
      <c r="CY101" s="1420">
        <v>242370.75</v>
      </c>
      <c r="CZ101" s="1420">
        <v>232481.72</v>
      </c>
      <c r="DA101" s="1420">
        <v>232805.51</v>
      </c>
      <c r="DB101" s="1420">
        <v>304733.90999999997</v>
      </c>
      <c r="DC101" s="1422">
        <v>0</v>
      </c>
      <c r="DD101" s="1422">
        <v>0</v>
      </c>
      <c r="DE101" s="1420">
        <v>85616.320000000007</v>
      </c>
      <c r="DF101" s="1422">
        <v>55712</v>
      </c>
      <c r="DG101" s="1420">
        <v>179641.09</v>
      </c>
      <c r="DH101" s="1420">
        <v>197891.41</v>
      </c>
      <c r="DI101" s="1420">
        <v>3130010.42</v>
      </c>
      <c r="DJ101" s="1420">
        <v>2985397.68</v>
      </c>
      <c r="DK101" s="1420">
        <v>153910.93</v>
      </c>
      <c r="DL101" s="1420">
        <v>153283.35999999999</v>
      </c>
      <c r="DM101" s="1420">
        <v>209923.49</v>
      </c>
      <c r="DN101" s="1420">
        <v>193527.48</v>
      </c>
      <c r="DO101" s="1420">
        <v>795979.98</v>
      </c>
      <c r="DP101" s="1420">
        <v>818425.58</v>
      </c>
      <c r="DQ101" s="1420">
        <v>215356.2</v>
      </c>
      <c r="DR101" s="1420">
        <v>393751.9</v>
      </c>
      <c r="DS101" s="1420">
        <v>12882.52</v>
      </c>
      <c r="DT101" s="1422">
        <v>2500</v>
      </c>
      <c r="DU101" s="1420">
        <v>1388053.12</v>
      </c>
      <c r="DV101" s="1420">
        <v>1561488.32</v>
      </c>
      <c r="DW101" s="1420">
        <v>339816.73</v>
      </c>
      <c r="DX101" s="1420">
        <v>412331.28</v>
      </c>
      <c r="DY101" s="1420">
        <v>695175.97</v>
      </c>
      <c r="DZ101" s="1420">
        <v>695069.53</v>
      </c>
      <c r="EA101" s="1420">
        <v>399935.97</v>
      </c>
      <c r="EB101" s="1420">
        <v>327978.31</v>
      </c>
      <c r="EC101" s="1420">
        <v>1434928.67</v>
      </c>
      <c r="ED101" s="1420">
        <v>1435379.12</v>
      </c>
      <c r="EE101" s="1420">
        <v>343252.78</v>
      </c>
      <c r="EF101" s="1420">
        <v>348078.11</v>
      </c>
      <c r="EG101" s="1422">
        <v>0</v>
      </c>
      <c r="EH101" s="1422">
        <v>0</v>
      </c>
      <c r="EI101" s="1422">
        <v>0</v>
      </c>
      <c r="EJ101" s="1422">
        <v>500</v>
      </c>
      <c r="EK101" s="1422">
        <v>0</v>
      </c>
      <c r="EL101" s="1422">
        <v>0</v>
      </c>
      <c r="EM101" s="1420">
        <v>343252.78</v>
      </c>
      <c r="EN101" s="1420">
        <v>348578.11</v>
      </c>
      <c r="EO101" s="1420">
        <v>382183.57</v>
      </c>
      <c r="EP101" s="1420">
        <v>1128196.19</v>
      </c>
      <c r="EQ101" s="1420">
        <v>312603.65999999997</v>
      </c>
      <c r="ER101" s="1422">
        <v>456400</v>
      </c>
      <c r="ES101" s="1422">
        <v>0</v>
      </c>
      <c r="ET101" s="1422">
        <v>0</v>
      </c>
      <c r="EU101" s="1420">
        <v>6991032.2199999997</v>
      </c>
      <c r="EV101" s="1420">
        <v>7915439.4199999999</v>
      </c>
      <c r="EW101" s="1420">
        <v>441253.97</v>
      </c>
      <c r="EX101" s="1420">
        <v>1266349.94</v>
      </c>
      <c r="EY101" s="1420">
        <v>312603.65999999997</v>
      </c>
      <c r="EZ101" s="1422">
        <v>456400</v>
      </c>
      <c r="FA101" s="1420">
        <v>6237174.5899999999</v>
      </c>
      <c r="FB101" s="1420">
        <v>6192689.4800000004</v>
      </c>
      <c r="FC101" s="1420">
        <v>266055.26</v>
      </c>
      <c r="FD101" s="1439"/>
      <c r="FE101" s="1420">
        <v>5971119.3300000001</v>
      </c>
      <c r="FF101" s="1439"/>
      <c r="FG101" s="1422">
        <v>9599</v>
      </c>
      <c r="FH101" s="1439"/>
      <c r="FI101" s="1420">
        <v>51.02</v>
      </c>
      <c r="FJ101" s="1439"/>
      <c r="FK101" s="1422">
        <v>41847</v>
      </c>
      <c r="FL101" s="1439"/>
      <c r="FM101" s="1420">
        <v>57.52</v>
      </c>
      <c r="FN101" s="1439"/>
      <c r="FO101" s="1422">
        <v>44218</v>
      </c>
      <c r="FP101" s="1439"/>
      <c r="FQ101" s="1420">
        <v>2830978.95</v>
      </c>
      <c r="FR101" s="1439"/>
      <c r="FS101" s="1420">
        <v>66941.58</v>
      </c>
      <c r="FT101" s="1439"/>
      <c r="FU101" s="1422">
        <v>0</v>
      </c>
      <c r="FV101" s="1439"/>
      <c r="FW101" s="1420">
        <v>2764037.37</v>
      </c>
      <c r="FX101" s="1439"/>
      <c r="FY101" s="1420">
        <v>562642.98</v>
      </c>
      <c r="FZ101" s="1439"/>
      <c r="GA101" s="1422">
        <v>0</v>
      </c>
      <c r="GB101" s="1439"/>
    </row>
    <row r="102" spans="1:184" ht="12.75" customHeight="1" thickBot="1">
      <c r="A102" s="1418" t="s">
        <v>428</v>
      </c>
      <c r="B102" s="1418" t="s">
        <v>429</v>
      </c>
      <c r="C102" s="1420">
        <v>457.32</v>
      </c>
      <c r="D102" s="1439"/>
      <c r="E102" s="1420">
        <v>2019.57</v>
      </c>
      <c r="F102" s="1439"/>
      <c r="G102" s="1421">
        <v>-0.03</v>
      </c>
      <c r="H102" s="1439"/>
      <c r="I102" s="1420">
        <v>2107.77</v>
      </c>
      <c r="J102" s="1439"/>
      <c r="K102" s="1420">
        <v>2134.91</v>
      </c>
      <c r="L102" s="1439"/>
      <c r="M102" s="1422">
        <v>182909161</v>
      </c>
      <c r="N102" s="1439"/>
      <c r="O102" s="1422">
        <v>25</v>
      </c>
      <c r="P102" s="1439"/>
      <c r="Q102" s="1422">
        <v>25</v>
      </c>
      <c r="R102" s="1439"/>
      <c r="S102" s="1422">
        <v>0</v>
      </c>
      <c r="T102" s="1439"/>
      <c r="U102" s="1422">
        <v>0</v>
      </c>
      <c r="V102" s="1439"/>
      <c r="W102" s="1420">
        <v>12.65</v>
      </c>
      <c r="X102" s="1439"/>
      <c r="Y102" s="1420">
        <v>37.65</v>
      </c>
      <c r="Z102" s="1439"/>
      <c r="AA102" s="1420">
        <v>12623549.42</v>
      </c>
      <c r="AB102" s="1455"/>
      <c r="AC102" s="1424">
        <v>6504312.2199999997</v>
      </c>
      <c r="AD102" s="1422">
        <v>6332315</v>
      </c>
      <c r="AE102" s="1420">
        <v>1021909.2</v>
      </c>
      <c r="AF102" s="1422">
        <v>421258</v>
      </c>
      <c r="AG102" s="1420">
        <v>8987.15</v>
      </c>
      <c r="AH102" s="1456">
        <v>6000</v>
      </c>
      <c r="AI102" s="1428">
        <v>8460179</v>
      </c>
      <c r="AJ102" s="1422">
        <v>8465031</v>
      </c>
      <c r="AK102" s="1422">
        <v>83485</v>
      </c>
      <c r="AL102" s="1422">
        <v>0</v>
      </c>
      <c r="AM102" s="1422">
        <v>24211</v>
      </c>
      <c r="AN102" s="1422">
        <v>0</v>
      </c>
      <c r="AO102" s="1422">
        <v>0</v>
      </c>
      <c r="AP102" s="1422">
        <v>73636</v>
      </c>
      <c r="AQ102" s="1422">
        <v>0</v>
      </c>
      <c r="AR102" s="1422">
        <v>0</v>
      </c>
      <c r="AS102" s="1422">
        <v>0</v>
      </c>
      <c r="AT102" s="1422">
        <v>0</v>
      </c>
      <c r="AU102" s="1422">
        <v>0</v>
      </c>
      <c r="AV102" s="1422">
        <v>0</v>
      </c>
      <c r="AW102" s="1422">
        <v>0</v>
      </c>
      <c r="AX102" s="1422">
        <v>1000</v>
      </c>
      <c r="AY102" s="1420">
        <v>16103083.57</v>
      </c>
      <c r="AZ102" s="1422">
        <v>15299240</v>
      </c>
      <c r="BA102" s="1422">
        <v>0</v>
      </c>
      <c r="BB102" s="1422">
        <v>0</v>
      </c>
      <c r="BC102" s="1422">
        <v>88300</v>
      </c>
      <c r="BD102" s="1422">
        <v>89462</v>
      </c>
      <c r="BE102" s="1420">
        <v>6163.63</v>
      </c>
      <c r="BF102" s="1422">
        <v>8000</v>
      </c>
      <c r="BG102" s="1422">
        <v>1250</v>
      </c>
      <c r="BH102" s="1422">
        <v>600</v>
      </c>
      <c r="BI102" s="1422">
        <v>184095</v>
      </c>
      <c r="BJ102" s="1422">
        <v>129780</v>
      </c>
      <c r="BK102" s="1422">
        <v>12599</v>
      </c>
      <c r="BL102" s="1422">
        <v>12000</v>
      </c>
      <c r="BM102" s="1422">
        <v>719200</v>
      </c>
      <c r="BN102" s="1422">
        <v>1020101</v>
      </c>
      <c r="BO102" s="1420">
        <v>101671.67</v>
      </c>
      <c r="BP102" s="1422">
        <v>106000</v>
      </c>
      <c r="BQ102" s="1420">
        <v>133427.31</v>
      </c>
      <c r="BR102" s="1422">
        <v>115917</v>
      </c>
      <c r="BS102" s="1420">
        <v>7335.73</v>
      </c>
      <c r="BT102" s="1422">
        <v>7000</v>
      </c>
      <c r="BU102" s="1422">
        <v>50000</v>
      </c>
      <c r="BV102" s="1422">
        <v>0</v>
      </c>
      <c r="BW102" s="1422">
        <v>0</v>
      </c>
      <c r="BX102" s="1422">
        <v>0</v>
      </c>
      <c r="BY102" s="1422">
        <v>0</v>
      </c>
      <c r="BZ102" s="1422">
        <v>0</v>
      </c>
      <c r="CA102" s="1422">
        <v>109653</v>
      </c>
      <c r="CB102" s="1422">
        <v>3099232</v>
      </c>
      <c r="CC102" s="1420">
        <v>1413695.34</v>
      </c>
      <c r="CD102" s="1422">
        <v>4588092</v>
      </c>
      <c r="CE102" s="1420">
        <v>3140043.07</v>
      </c>
      <c r="CF102" s="1420">
        <v>3123200.75</v>
      </c>
      <c r="CG102" s="1420">
        <v>3407057.32</v>
      </c>
      <c r="CH102" s="1422">
        <v>181747</v>
      </c>
      <c r="CI102" s="1422">
        <v>0</v>
      </c>
      <c r="CJ102" s="1422">
        <v>0</v>
      </c>
      <c r="CK102" s="1422">
        <v>0</v>
      </c>
      <c r="CL102" s="1422">
        <v>0</v>
      </c>
      <c r="CM102" s="1422">
        <v>0</v>
      </c>
      <c r="CN102" s="1422">
        <v>0</v>
      </c>
      <c r="CO102" s="1422">
        <v>0</v>
      </c>
      <c r="CP102" s="1422">
        <v>0</v>
      </c>
      <c r="CQ102" s="1422">
        <v>0</v>
      </c>
      <c r="CR102" s="1422">
        <v>0</v>
      </c>
      <c r="CS102" s="1420">
        <v>3407057.32</v>
      </c>
      <c r="CT102" s="1422">
        <v>181747</v>
      </c>
      <c r="CU102" s="1420">
        <v>24063879.300000001</v>
      </c>
      <c r="CV102" s="1420">
        <v>23192279.75</v>
      </c>
      <c r="CW102" s="1420">
        <v>7098576.0800000001</v>
      </c>
      <c r="CX102" s="1420">
        <v>7438866.3099999996</v>
      </c>
      <c r="CY102" s="1420">
        <v>1246431.67</v>
      </c>
      <c r="CZ102" s="1420">
        <v>1221577.24</v>
      </c>
      <c r="DA102" s="1420">
        <v>414283.15</v>
      </c>
      <c r="DB102" s="1422">
        <v>356645</v>
      </c>
      <c r="DC102" s="1422">
        <v>0</v>
      </c>
      <c r="DD102" s="1422">
        <v>0</v>
      </c>
      <c r="DE102" s="1420">
        <v>897110.53</v>
      </c>
      <c r="DF102" s="1420">
        <v>801432.86</v>
      </c>
      <c r="DG102" s="1420">
        <v>1165067.58</v>
      </c>
      <c r="DH102" s="1420">
        <v>1362651.52</v>
      </c>
      <c r="DI102" s="1420">
        <v>10821469.01</v>
      </c>
      <c r="DJ102" s="1420">
        <v>11181172.93</v>
      </c>
      <c r="DK102" s="1420">
        <v>413976.68</v>
      </c>
      <c r="DL102" s="1420">
        <v>433097.02</v>
      </c>
      <c r="DM102" s="1420">
        <v>379181.94</v>
      </c>
      <c r="DN102" s="1422">
        <v>397056</v>
      </c>
      <c r="DO102" s="1420">
        <v>1549390.02</v>
      </c>
      <c r="DP102" s="1420">
        <v>1605606.03</v>
      </c>
      <c r="DQ102" s="1420">
        <v>844358.93</v>
      </c>
      <c r="DR102" s="1422">
        <v>921814</v>
      </c>
      <c r="DS102" s="1420">
        <v>53093.43</v>
      </c>
      <c r="DT102" s="1422">
        <v>40914</v>
      </c>
      <c r="DU102" s="1422">
        <v>3240001</v>
      </c>
      <c r="DV102" s="1420">
        <v>3398487.05</v>
      </c>
      <c r="DW102" s="1420">
        <v>1196801.3799999999</v>
      </c>
      <c r="DX102" s="1420">
        <v>1186014.2</v>
      </c>
      <c r="DY102" s="1420">
        <v>1548098.47</v>
      </c>
      <c r="DZ102" s="1420">
        <v>1498076.06</v>
      </c>
      <c r="EA102" s="1420">
        <v>946609.01</v>
      </c>
      <c r="EB102" s="1422">
        <v>1003055</v>
      </c>
      <c r="EC102" s="1420">
        <v>3691508.86</v>
      </c>
      <c r="ED102" s="1420">
        <v>3687145.26</v>
      </c>
      <c r="EE102" s="1420">
        <v>981692.87</v>
      </c>
      <c r="EF102" s="1420">
        <v>1032471.83</v>
      </c>
      <c r="EG102" s="1422">
        <v>0</v>
      </c>
      <c r="EH102" s="1422">
        <v>0</v>
      </c>
      <c r="EI102" s="1420">
        <v>7824.54</v>
      </c>
      <c r="EJ102" s="1422">
        <v>300</v>
      </c>
      <c r="EK102" s="1422">
        <v>0</v>
      </c>
      <c r="EL102" s="1422">
        <v>0</v>
      </c>
      <c r="EM102" s="1420">
        <v>989517.41</v>
      </c>
      <c r="EN102" s="1420">
        <v>1032771.83</v>
      </c>
      <c r="EO102" s="1422">
        <v>620650</v>
      </c>
      <c r="EP102" s="1420">
        <v>7794882.3200000003</v>
      </c>
      <c r="EQ102" s="1420">
        <v>708802.57</v>
      </c>
      <c r="ER102" s="1422">
        <v>963523</v>
      </c>
      <c r="ES102" s="1420">
        <v>164.99</v>
      </c>
      <c r="ET102" s="1422">
        <v>0</v>
      </c>
      <c r="EU102" s="1420">
        <v>20072113.84</v>
      </c>
      <c r="EV102" s="1420">
        <v>28057982.390000001</v>
      </c>
      <c r="EW102" s="1420">
        <v>678031.53</v>
      </c>
      <c r="EX102" s="1420">
        <v>7931857.71</v>
      </c>
      <c r="EY102" s="1420">
        <v>708802.57</v>
      </c>
      <c r="EZ102" s="1422">
        <v>963523</v>
      </c>
      <c r="FA102" s="1420">
        <v>18685279.739999998</v>
      </c>
      <c r="FB102" s="1420">
        <v>19162601.68</v>
      </c>
      <c r="FC102" s="1420">
        <v>585013.85</v>
      </c>
      <c r="FD102" s="1439"/>
      <c r="FE102" s="1420">
        <v>18100265.890000001</v>
      </c>
      <c r="FF102" s="1439"/>
      <c r="FG102" s="1422">
        <v>8962</v>
      </c>
      <c r="FH102" s="1439"/>
      <c r="FI102" s="1420">
        <v>146.27000000000001</v>
      </c>
      <c r="FJ102" s="1439"/>
      <c r="FK102" s="1422">
        <v>45978</v>
      </c>
      <c r="FL102" s="1439"/>
      <c r="FM102" s="1420">
        <v>158.13</v>
      </c>
      <c r="FN102" s="1439"/>
      <c r="FO102" s="1422">
        <v>48410</v>
      </c>
      <c r="FP102" s="1439"/>
      <c r="FQ102" s="1420">
        <v>2520471.0699999998</v>
      </c>
      <c r="FR102" s="1439"/>
      <c r="FS102" s="1420">
        <v>152678.70000000001</v>
      </c>
      <c r="FT102" s="1439"/>
      <c r="FU102" s="1422">
        <v>0</v>
      </c>
      <c r="FV102" s="1439"/>
      <c r="FW102" s="1420">
        <v>2367792.37</v>
      </c>
      <c r="FX102" s="1439"/>
      <c r="FY102" s="1420">
        <v>4690922.32</v>
      </c>
      <c r="FZ102" s="1439"/>
      <c r="GA102" s="1422">
        <v>0</v>
      </c>
      <c r="GB102" s="1439"/>
    </row>
    <row r="103" spans="1:184" ht="12.75" customHeight="1" thickBot="1">
      <c r="A103" s="1418" t="s">
        <v>430</v>
      </c>
      <c r="B103" s="1418" t="s">
        <v>431</v>
      </c>
      <c r="C103" s="1420">
        <v>73.08</v>
      </c>
      <c r="D103" s="1439"/>
      <c r="E103" s="1420">
        <v>438.75</v>
      </c>
      <c r="F103" s="1439"/>
      <c r="G103" s="1421">
        <v>0.12</v>
      </c>
      <c r="H103" s="1439"/>
      <c r="I103" s="1420">
        <v>455.04</v>
      </c>
      <c r="J103" s="1439"/>
      <c r="K103" s="1420">
        <v>474.03</v>
      </c>
      <c r="L103" s="1439"/>
      <c r="M103" s="1422">
        <v>21556823</v>
      </c>
      <c r="N103" s="1439"/>
      <c r="O103" s="1422">
        <v>25</v>
      </c>
      <c r="P103" s="1439"/>
      <c r="Q103" s="1422">
        <v>25</v>
      </c>
      <c r="R103" s="1439"/>
      <c r="S103" s="1422">
        <v>0</v>
      </c>
      <c r="T103" s="1439"/>
      <c r="U103" s="1422">
        <v>0</v>
      </c>
      <c r="V103" s="1439"/>
      <c r="W103" s="1420">
        <v>15.8</v>
      </c>
      <c r="X103" s="1439"/>
      <c r="Y103" s="1420">
        <v>40.799999999999997</v>
      </c>
      <c r="Z103" s="1439"/>
      <c r="AA103" s="1422">
        <v>3940000</v>
      </c>
      <c r="AB103" s="1455"/>
      <c r="AC103" s="1424">
        <v>758357.5</v>
      </c>
      <c r="AD103" s="1422">
        <v>864920</v>
      </c>
      <c r="AE103" s="1420">
        <v>343241.35</v>
      </c>
      <c r="AF103" s="1422">
        <v>214225</v>
      </c>
      <c r="AG103" s="1420">
        <v>2008.68</v>
      </c>
      <c r="AH103" s="1456">
        <v>0</v>
      </c>
      <c r="AI103" s="1428">
        <v>2343687</v>
      </c>
      <c r="AJ103" s="1420">
        <v>2260187.3199999998</v>
      </c>
      <c r="AK103" s="1422">
        <v>3406</v>
      </c>
      <c r="AL103" s="1422">
        <v>0</v>
      </c>
      <c r="AM103" s="1422">
        <v>0</v>
      </c>
      <c r="AN103" s="1422">
        <v>0</v>
      </c>
      <c r="AO103" s="1422">
        <v>29814</v>
      </c>
      <c r="AP103" s="1422">
        <v>61778</v>
      </c>
      <c r="AQ103" s="1422">
        <v>0</v>
      </c>
      <c r="AR103" s="1422">
        <v>0</v>
      </c>
      <c r="AS103" s="1422">
        <v>0</v>
      </c>
      <c r="AT103" s="1422">
        <v>0</v>
      </c>
      <c r="AU103" s="1422">
        <v>0</v>
      </c>
      <c r="AV103" s="1422">
        <v>0</v>
      </c>
      <c r="AW103" s="1422">
        <v>1190</v>
      </c>
      <c r="AX103" s="1422">
        <v>0</v>
      </c>
      <c r="AY103" s="1420">
        <v>3481704.53</v>
      </c>
      <c r="AZ103" s="1420">
        <v>3401110.32</v>
      </c>
      <c r="BA103" s="1422">
        <v>0</v>
      </c>
      <c r="BB103" s="1422">
        <v>0</v>
      </c>
      <c r="BC103" s="1422">
        <v>19606</v>
      </c>
      <c r="BD103" s="1422">
        <v>19237</v>
      </c>
      <c r="BE103" s="1422">
        <v>0</v>
      </c>
      <c r="BF103" s="1422">
        <v>0</v>
      </c>
      <c r="BG103" s="1422">
        <v>2100</v>
      </c>
      <c r="BH103" s="1422">
        <v>0</v>
      </c>
      <c r="BI103" s="1422">
        <v>0</v>
      </c>
      <c r="BJ103" s="1422">
        <v>0</v>
      </c>
      <c r="BK103" s="1422">
        <v>0</v>
      </c>
      <c r="BL103" s="1422">
        <v>0</v>
      </c>
      <c r="BM103" s="1422">
        <v>105152</v>
      </c>
      <c r="BN103" s="1422">
        <v>111826</v>
      </c>
      <c r="BO103" s="1420">
        <v>1941.93</v>
      </c>
      <c r="BP103" s="1422">
        <v>0</v>
      </c>
      <c r="BQ103" s="1420">
        <v>9749.51</v>
      </c>
      <c r="BR103" s="1420">
        <v>10833.22</v>
      </c>
      <c r="BS103" s="1420">
        <v>1678.1</v>
      </c>
      <c r="BT103" s="1422">
        <v>16000</v>
      </c>
      <c r="BU103" s="1422">
        <v>0</v>
      </c>
      <c r="BV103" s="1422">
        <v>0</v>
      </c>
      <c r="BW103" s="1422">
        <v>97200</v>
      </c>
      <c r="BX103" s="1422">
        <v>97200</v>
      </c>
      <c r="BY103" s="1422">
        <v>0</v>
      </c>
      <c r="BZ103" s="1422">
        <v>0</v>
      </c>
      <c r="CA103" s="1420">
        <v>620952.35</v>
      </c>
      <c r="CB103" s="1422">
        <v>289080</v>
      </c>
      <c r="CC103" s="1420">
        <v>858379.89</v>
      </c>
      <c r="CD103" s="1420">
        <v>544176.22</v>
      </c>
      <c r="CE103" s="1420">
        <v>559383.12</v>
      </c>
      <c r="CF103" s="1420">
        <v>383359.52</v>
      </c>
      <c r="CG103" s="1420">
        <v>21379.85</v>
      </c>
      <c r="CH103" s="1422">
        <v>0</v>
      </c>
      <c r="CI103" s="1422">
        <v>0</v>
      </c>
      <c r="CJ103" s="1422">
        <v>0</v>
      </c>
      <c r="CK103" s="1422">
        <v>0</v>
      </c>
      <c r="CL103" s="1422">
        <v>0</v>
      </c>
      <c r="CM103" s="1422">
        <v>0</v>
      </c>
      <c r="CN103" s="1422">
        <v>0</v>
      </c>
      <c r="CO103" s="1420">
        <v>5875.87</v>
      </c>
      <c r="CP103" s="1422">
        <v>0</v>
      </c>
      <c r="CQ103" s="1422">
        <v>0</v>
      </c>
      <c r="CR103" s="1422">
        <v>0</v>
      </c>
      <c r="CS103" s="1420">
        <v>27255.72</v>
      </c>
      <c r="CT103" s="1422">
        <v>0</v>
      </c>
      <c r="CU103" s="1420">
        <v>4926723.26</v>
      </c>
      <c r="CV103" s="1420">
        <v>4328646.0599999996</v>
      </c>
      <c r="CW103" s="1420">
        <v>1939584.34</v>
      </c>
      <c r="CX103" s="1420">
        <v>1773927.62</v>
      </c>
      <c r="CY103" s="1420">
        <v>224144.25</v>
      </c>
      <c r="CZ103" s="1422">
        <v>207898</v>
      </c>
      <c r="DA103" s="1420">
        <v>170546.34</v>
      </c>
      <c r="DB103" s="1420">
        <v>167942.67</v>
      </c>
      <c r="DC103" s="1422">
        <v>0</v>
      </c>
      <c r="DD103" s="1422">
        <v>0</v>
      </c>
      <c r="DE103" s="1420">
        <v>70325.279999999999</v>
      </c>
      <c r="DF103" s="1420">
        <v>77403.070000000007</v>
      </c>
      <c r="DG103" s="1420">
        <v>46541.18</v>
      </c>
      <c r="DH103" s="1420">
        <v>45603.71</v>
      </c>
      <c r="DI103" s="1420">
        <v>2451141.39</v>
      </c>
      <c r="DJ103" s="1420">
        <v>2272775.0699999998</v>
      </c>
      <c r="DK103" s="1420">
        <v>148417.32</v>
      </c>
      <c r="DL103" s="1420">
        <v>137558.16</v>
      </c>
      <c r="DM103" s="1420">
        <v>97942.76</v>
      </c>
      <c r="DN103" s="1420">
        <v>102392.89</v>
      </c>
      <c r="DO103" s="1420">
        <v>418849.77</v>
      </c>
      <c r="DP103" s="1420">
        <v>673700.2</v>
      </c>
      <c r="DQ103" s="1420">
        <v>226528.32</v>
      </c>
      <c r="DR103" s="1420">
        <v>133636.49</v>
      </c>
      <c r="DS103" s="1420">
        <v>3093.79</v>
      </c>
      <c r="DT103" s="1422">
        <v>6300</v>
      </c>
      <c r="DU103" s="1420">
        <v>894831.96</v>
      </c>
      <c r="DV103" s="1420">
        <v>1053587.74</v>
      </c>
      <c r="DW103" s="1420">
        <v>221289.37</v>
      </c>
      <c r="DX103" s="1420">
        <v>257113.79</v>
      </c>
      <c r="DY103" s="1420">
        <v>200123.41</v>
      </c>
      <c r="DZ103" s="1420">
        <v>202580.49</v>
      </c>
      <c r="EA103" s="1420">
        <v>183879.26</v>
      </c>
      <c r="EB103" s="1420">
        <v>134812.04</v>
      </c>
      <c r="EC103" s="1420">
        <v>605292.04</v>
      </c>
      <c r="ED103" s="1420">
        <v>594506.31999999995</v>
      </c>
      <c r="EE103" s="1420">
        <v>208203.59</v>
      </c>
      <c r="EF103" s="1420">
        <v>208608.63</v>
      </c>
      <c r="EG103" s="1422">
        <v>0</v>
      </c>
      <c r="EH103" s="1422">
        <v>0</v>
      </c>
      <c r="EI103" s="1420">
        <v>357.34</v>
      </c>
      <c r="EJ103" s="1422">
        <v>1000</v>
      </c>
      <c r="EK103" s="1422">
        <v>0</v>
      </c>
      <c r="EL103" s="1422">
        <v>0</v>
      </c>
      <c r="EM103" s="1420">
        <v>208560.93</v>
      </c>
      <c r="EN103" s="1420">
        <v>209608.63</v>
      </c>
      <c r="EO103" s="1420">
        <v>794935.69</v>
      </c>
      <c r="EP103" s="1422">
        <v>0</v>
      </c>
      <c r="EQ103" s="1420">
        <v>290161.26</v>
      </c>
      <c r="ER103" s="1422">
        <v>295467</v>
      </c>
      <c r="ES103" s="1422">
        <v>0</v>
      </c>
      <c r="ET103" s="1422">
        <v>0</v>
      </c>
      <c r="EU103" s="1420">
        <v>5244923.2699999996</v>
      </c>
      <c r="EV103" s="1420">
        <v>4425944.76</v>
      </c>
      <c r="EW103" s="1420">
        <v>923262.39</v>
      </c>
      <c r="EX103" s="1420">
        <v>19146.38</v>
      </c>
      <c r="EY103" s="1420">
        <v>290161.26</v>
      </c>
      <c r="EZ103" s="1422">
        <v>295467</v>
      </c>
      <c r="FA103" s="1420">
        <v>4031499.62</v>
      </c>
      <c r="FB103" s="1420">
        <v>4111331.38</v>
      </c>
      <c r="FC103" s="1420">
        <v>392819.48</v>
      </c>
      <c r="FD103" s="1439"/>
      <c r="FE103" s="1420">
        <v>3638680.14</v>
      </c>
      <c r="FF103" s="1439"/>
      <c r="FG103" s="1422">
        <v>8293</v>
      </c>
      <c r="FH103" s="1439"/>
      <c r="FI103" s="1420">
        <v>32.049999999999997</v>
      </c>
      <c r="FJ103" s="1439"/>
      <c r="FK103" s="1422">
        <v>39454</v>
      </c>
      <c r="FL103" s="1439"/>
      <c r="FM103" s="1420">
        <v>35.549999999999997</v>
      </c>
      <c r="FN103" s="1439"/>
      <c r="FO103" s="1422">
        <v>41662</v>
      </c>
      <c r="FP103" s="1439"/>
      <c r="FQ103" s="1420">
        <v>208264.53</v>
      </c>
      <c r="FR103" s="1439"/>
      <c r="FS103" s="1420">
        <v>416.21</v>
      </c>
      <c r="FT103" s="1439"/>
      <c r="FU103" s="1422">
        <v>0</v>
      </c>
      <c r="FV103" s="1439"/>
      <c r="FW103" s="1420">
        <v>207848.32000000001</v>
      </c>
      <c r="FX103" s="1439"/>
      <c r="FY103" s="1420">
        <v>862619.73</v>
      </c>
      <c r="FZ103" s="1439"/>
      <c r="GA103" s="1422">
        <v>0</v>
      </c>
      <c r="GB103" s="1439"/>
    </row>
    <row r="104" spans="1:184" ht="12.75" customHeight="1" thickBot="1">
      <c r="A104" s="1418" t="s">
        <v>432</v>
      </c>
      <c r="B104" s="1418" t="s">
        <v>433</v>
      </c>
      <c r="C104" s="1420">
        <v>227.68</v>
      </c>
      <c r="D104" s="1439"/>
      <c r="E104" s="1420">
        <v>514.19000000000005</v>
      </c>
      <c r="F104" s="1439"/>
      <c r="G104" s="1421">
        <v>-0.01</v>
      </c>
      <c r="H104" s="1439"/>
      <c r="I104" s="1420">
        <v>543.46</v>
      </c>
      <c r="J104" s="1439"/>
      <c r="K104" s="1420">
        <v>513.5</v>
      </c>
      <c r="L104" s="1439"/>
      <c r="M104" s="1422">
        <v>36102616</v>
      </c>
      <c r="N104" s="1439"/>
      <c r="O104" s="1422">
        <v>32</v>
      </c>
      <c r="P104" s="1439"/>
      <c r="Q104" s="1422">
        <v>25</v>
      </c>
      <c r="R104" s="1439"/>
      <c r="S104" s="1422">
        <v>7</v>
      </c>
      <c r="T104" s="1439"/>
      <c r="U104" s="1422">
        <v>0</v>
      </c>
      <c r="V104" s="1439"/>
      <c r="W104" s="1422">
        <v>11</v>
      </c>
      <c r="X104" s="1439"/>
      <c r="Y104" s="1422">
        <v>43</v>
      </c>
      <c r="Z104" s="1439"/>
      <c r="AA104" s="1422">
        <v>3223920</v>
      </c>
      <c r="AB104" s="1455"/>
      <c r="AC104" s="1424">
        <v>1432205.55</v>
      </c>
      <c r="AD104" s="1422">
        <v>1514663</v>
      </c>
      <c r="AE104" s="1420">
        <v>372336.3</v>
      </c>
      <c r="AF104" s="1422">
        <v>285700</v>
      </c>
      <c r="AG104" s="1422">
        <v>0</v>
      </c>
      <c r="AH104" s="1456">
        <v>0</v>
      </c>
      <c r="AI104" s="1428">
        <v>2225096</v>
      </c>
      <c r="AJ104" s="1422">
        <v>2461172</v>
      </c>
      <c r="AK104" s="1422">
        <v>32188</v>
      </c>
      <c r="AL104" s="1422">
        <v>0</v>
      </c>
      <c r="AM104" s="1422">
        <v>180344</v>
      </c>
      <c r="AN104" s="1422">
        <v>0</v>
      </c>
      <c r="AO104" s="1422">
        <v>0</v>
      </c>
      <c r="AP104" s="1422">
        <v>0</v>
      </c>
      <c r="AQ104" s="1422">
        <v>0</v>
      </c>
      <c r="AR104" s="1422">
        <v>0</v>
      </c>
      <c r="AS104" s="1422">
        <v>0</v>
      </c>
      <c r="AT104" s="1422">
        <v>0</v>
      </c>
      <c r="AU104" s="1422">
        <v>0</v>
      </c>
      <c r="AV104" s="1422">
        <v>0</v>
      </c>
      <c r="AW104" s="1422">
        <v>0</v>
      </c>
      <c r="AX104" s="1422">
        <v>0</v>
      </c>
      <c r="AY104" s="1420">
        <v>4242169.8499999996</v>
      </c>
      <c r="AZ104" s="1422">
        <v>4261535</v>
      </c>
      <c r="BA104" s="1422">
        <v>0</v>
      </c>
      <c r="BB104" s="1422">
        <v>0</v>
      </c>
      <c r="BC104" s="1422">
        <v>21238</v>
      </c>
      <c r="BD104" s="1422">
        <v>23100</v>
      </c>
      <c r="BE104" s="1422">
        <v>0</v>
      </c>
      <c r="BF104" s="1422">
        <v>0</v>
      </c>
      <c r="BG104" s="1422">
        <v>200</v>
      </c>
      <c r="BH104" s="1422">
        <v>0</v>
      </c>
      <c r="BI104" s="1422">
        <v>813</v>
      </c>
      <c r="BJ104" s="1422">
        <v>30134</v>
      </c>
      <c r="BK104" s="1422">
        <v>5567</v>
      </c>
      <c r="BL104" s="1422">
        <v>5000</v>
      </c>
      <c r="BM104" s="1422">
        <v>150288</v>
      </c>
      <c r="BN104" s="1422">
        <v>151800</v>
      </c>
      <c r="BO104" s="1420">
        <v>25567.45</v>
      </c>
      <c r="BP104" s="1422">
        <v>0</v>
      </c>
      <c r="BQ104" s="1422">
        <v>3250</v>
      </c>
      <c r="BR104" s="1422">
        <v>0</v>
      </c>
      <c r="BS104" s="1420">
        <v>2285.48</v>
      </c>
      <c r="BT104" s="1422">
        <v>2400</v>
      </c>
      <c r="BU104" s="1422">
        <v>0</v>
      </c>
      <c r="BV104" s="1422">
        <v>0</v>
      </c>
      <c r="BW104" s="1422">
        <v>0</v>
      </c>
      <c r="BX104" s="1422">
        <v>0</v>
      </c>
      <c r="BY104" s="1422">
        <v>0</v>
      </c>
      <c r="BZ104" s="1422">
        <v>0</v>
      </c>
      <c r="CA104" s="1420">
        <v>163634.14000000001</v>
      </c>
      <c r="CB104" s="1422">
        <v>52159</v>
      </c>
      <c r="CC104" s="1420">
        <v>372843.07</v>
      </c>
      <c r="CD104" s="1422">
        <v>264593</v>
      </c>
      <c r="CE104" s="1420">
        <v>883265.57</v>
      </c>
      <c r="CF104" s="1422">
        <v>642716</v>
      </c>
      <c r="CG104" s="1422">
        <v>0</v>
      </c>
      <c r="CH104" s="1422">
        <v>0</v>
      </c>
      <c r="CI104" s="1422">
        <v>0</v>
      </c>
      <c r="CJ104" s="1422">
        <v>0</v>
      </c>
      <c r="CK104" s="1422">
        <v>0</v>
      </c>
      <c r="CL104" s="1422">
        <v>0</v>
      </c>
      <c r="CM104" s="1422">
        <v>500</v>
      </c>
      <c r="CN104" s="1422">
        <v>0</v>
      </c>
      <c r="CO104" s="1422">
        <v>0</v>
      </c>
      <c r="CP104" s="1422">
        <v>0</v>
      </c>
      <c r="CQ104" s="1422">
        <v>0</v>
      </c>
      <c r="CR104" s="1422">
        <v>0</v>
      </c>
      <c r="CS104" s="1422">
        <v>500</v>
      </c>
      <c r="CT104" s="1422">
        <v>0</v>
      </c>
      <c r="CU104" s="1420">
        <v>5498778.4900000002</v>
      </c>
      <c r="CV104" s="1422">
        <v>5168844</v>
      </c>
      <c r="CW104" s="1420">
        <v>2250415.36</v>
      </c>
      <c r="CX104" s="1420">
        <v>2045296.68</v>
      </c>
      <c r="CY104" s="1420">
        <v>314900.69</v>
      </c>
      <c r="CZ104" s="1420">
        <v>324367.21999999997</v>
      </c>
      <c r="DA104" s="1420">
        <v>217106.64</v>
      </c>
      <c r="DB104" s="1420">
        <v>216028.54</v>
      </c>
      <c r="DC104" s="1422">
        <v>0</v>
      </c>
      <c r="DD104" s="1422">
        <v>0</v>
      </c>
      <c r="DE104" s="1422">
        <v>212468</v>
      </c>
      <c r="DF104" s="1420">
        <v>185231.69</v>
      </c>
      <c r="DG104" s="1420">
        <v>195410.02</v>
      </c>
      <c r="DH104" s="1420">
        <v>187616.57</v>
      </c>
      <c r="DI104" s="1420">
        <v>3190300.71</v>
      </c>
      <c r="DJ104" s="1420">
        <v>2958540.7</v>
      </c>
      <c r="DK104" s="1420">
        <v>165485.73000000001</v>
      </c>
      <c r="DL104" s="1420">
        <v>159900.85</v>
      </c>
      <c r="DM104" s="1420">
        <v>66707.429999999993</v>
      </c>
      <c r="DN104" s="1420">
        <v>54005.3</v>
      </c>
      <c r="DO104" s="1420">
        <v>415545.54</v>
      </c>
      <c r="DP104" s="1420">
        <v>408814.3</v>
      </c>
      <c r="DQ104" s="1420">
        <v>270302.03999999998</v>
      </c>
      <c r="DR104" s="1420">
        <v>282249.46000000002</v>
      </c>
      <c r="DS104" s="1422">
        <v>0</v>
      </c>
      <c r="DT104" s="1422">
        <v>0</v>
      </c>
      <c r="DU104" s="1420">
        <v>918040.74</v>
      </c>
      <c r="DV104" s="1420">
        <v>904969.91</v>
      </c>
      <c r="DW104" s="1420">
        <v>215975.92</v>
      </c>
      <c r="DX104" s="1420">
        <v>208888.05</v>
      </c>
      <c r="DY104" s="1420">
        <v>171878.37</v>
      </c>
      <c r="DZ104" s="1420">
        <v>204345.64</v>
      </c>
      <c r="EA104" s="1420">
        <v>124389.45</v>
      </c>
      <c r="EB104" s="1420">
        <v>127611.08</v>
      </c>
      <c r="EC104" s="1420">
        <v>512243.74</v>
      </c>
      <c r="ED104" s="1420">
        <v>540844.77</v>
      </c>
      <c r="EE104" s="1420">
        <v>338418.7</v>
      </c>
      <c r="EF104" s="1420">
        <v>359051.53</v>
      </c>
      <c r="EG104" s="1422">
        <v>0</v>
      </c>
      <c r="EH104" s="1422">
        <v>0</v>
      </c>
      <c r="EI104" s="1422">
        <v>0</v>
      </c>
      <c r="EJ104" s="1422">
        <v>5188</v>
      </c>
      <c r="EK104" s="1422">
        <v>0</v>
      </c>
      <c r="EL104" s="1422">
        <v>0</v>
      </c>
      <c r="EM104" s="1420">
        <v>338418.7</v>
      </c>
      <c r="EN104" s="1420">
        <v>364239.53</v>
      </c>
      <c r="EO104" s="1420">
        <v>485264.07</v>
      </c>
      <c r="EP104" s="1422">
        <v>0</v>
      </c>
      <c r="EQ104" s="1420">
        <v>401981.97</v>
      </c>
      <c r="ER104" s="1420">
        <v>267014.53999999998</v>
      </c>
      <c r="ES104" s="1422">
        <v>0</v>
      </c>
      <c r="ET104" s="1422">
        <v>0</v>
      </c>
      <c r="EU104" s="1420">
        <v>5846249.9299999997</v>
      </c>
      <c r="EV104" s="1420">
        <v>5035609.45</v>
      </c>
      <c r="EW104" s="1420">
        <v>584862.06999999995</v>
      </c>
      <c r="EX104" s="1422">
        <v>109162</v>
      </c>
      <c r="EY104" s="1420">
        <v>401981.97</v>
      </c>
      <c r="EZ104" s="1420">
        <v>267014.53999999998</v>
      </c>
      <c r="FA104" s="1420">
        <v>4859405.8899999997</v>
      </c>
      <c r="FB104" s="1420">
        <v>4659432.91</v>
      </c>
      <c r="FC104" s="1420">
        <v>291170.2</v>
      </c>
      <c r="FD104" s="1439"/>
      <c r="FE104" s="1420">
        <v>4568235.6900000004</v>
      </c>
      <c r="FF104" s="1439"/>
      <c r="FG104" s="1422">
        <v>8884</v>
      </c>
      <c r="FH104" s="1439"/>
      <c r="FI104" s="1420">
        <v>48.32</v>
      </c>
      <c r="FJ104" s="1439"/>
      <c r="FK104" s="1422">
        <v>40530</v>
      </c>
      <c r="FL104" s="1439"/>
      <c r="FM104" s="1420">
        <v>50.58</v>
      </c>
      <c r="FN104" s="1439"/>
      <c r="FO104" s="1422">
        <v>41771</v>
      </c>
      <c r="FP104" s="1439"/>
      <c r="FQ104" s="1420">
        <v>837663.51</v>
      </c>
      <c r="FR104" s="1439"/>
      <c r="FS104" s="1420">
        <v>4240.9399999999996</v>
      </c>
      <c r="FT104" s="1439"/>
      <c r="FU104" s="1422">
        <v>0</v>
      </c>
      <c r="FV104" s="1439"/>
      <c r="FW104" s="1420">
        <v>833422.57</v>
      </c>
      <c r="FX104" s="1439"/>
      <c r="FY104" s="1422">
        <v>0</v>
      </c>
      <c r="FZ104" s="1439"/>
      <c r="GA104" s="1422">
        <v>0</v>
      </c>
      <c r="GB104" s="1439"/>
    </row>
    <row r="105" spans="1:184" ht="12.75" customHeight="1" thickBot="1">
      <c r="A105" s="1418" t="s">
        <v>434</v>
      </c>
      <c r="B105" s="1418" t="s">
        <v>435</v>
      </c>
      <c r="C105" s="1420">
        <v>263.51</v>
      </c>
      <c r="D105" s="1439"/>
      <c r="E105" s="1420">
        <v>467.78</v>
      </c>
      <c r="F105" s="1439"/>
      <c r="G105" s="1421">
        <v>-0.21</v>
      </c>
      <c r="H105" s="1439"/>
      <c r="I105" s="1420">
        <v>478.73</v>
      </c>
      <c r="J105" s="1439"/>
      <c r="K105" s="1420">
        <v>498.78</v>
      </c>
      <c r="L105" s="1439"/>
      <c r="M105" s="1422">
        <v>57839673</v>
      </c>
      <c r="N105" s="1439"/>
      <c r="O105" s="1422">
        <v>25</v>
      </c>
      <c r="P105" s="1439"/>
      <c r="Q105" s="1422">
        <v>25</v>
      </c>
      <c r="R105" s="1439"/>
      <c r="S105" s="1422">
        <v>0</v>
      </c>
      <c r="T105" s="1439"/>
      <c r="U105" s="1422">
        <v>0</v>
      </c>
      <c r="V105" s="1439"/>
      <c r="W105" s="1422">
        <v>9</v>
      </c>
      <c r="X105" s="1439"/>
      <c r="Y105" s="1422">
        <v>34</v>
      </c>
      <c r="Z105" s="1439"/>
      <c r="AA105" s="1420">
        <v>3489442.65</v>
      </c>
      <c r="AB105" s="1455"/>
      <c r="AC105" s="1424">
        <v>1634618.03</v>
      </c>
      <c r="AD105" s="1422">
        <v>2423960</v>
      </c>
      <c r="AE105" s="1420">
        <v>297956.86</v>
      </c>
      <c r="AF105" s="1422">
        <v>137959</v>
      </c>
      <c r="AG105" s="1422">
        <v>0</v>
      </c>
      <c r="AH105" s="1456">
        <v>0</v>
      </c>
      <c r="AI105" s="1428">
        <v>1825580</v>
      </c>
      <c r="AJ105" s="1422">
        <v>1520363</v>
      </c>
      <c r="AK105" s="1422">
        <v>51269</v>
      </c>
      <c r="AL105" s="1422">
        <v>0</v>
      </c>
      <c r="AM105" s="1422">
        <v>0</v>
      </c>
      <c r="AN105" s="1422">
        <v>0</v>
      </c>
      <c r="AO105" s="1422">
        <v>0</v>
      </c>
      <c r="AP105" s="1422">
        <v>55511</v>
      </c>
      <c r="AQ105" s="1422">
        <v>0</v>
      </c>
      <c r="AR105" s="1422">
        <v>0</v>
      </c>
      <c r="AS105" s="1422">
        <v>205014</v>
      </c>
      <c r="AT105" s="1422">
        <v>0</v>
      </c>
      <c r="AU105" s="1422">
        <v>26875</v>
      </c>
      <c r="AV105" s="1422">
        <v>21500</v>
      </c>
      <c r="AW105" s="1422">
        <v>0</v>
      </c>
      <c r="AX105" s="1422">
        <v>0</v>
      </c>
      <c r="AY105" s="1420">
        <v>4041312.89</v>
      </c>
      <c r="AZ105" s="1422">
        <v>4159293</v>
      </c>
      <c r="BA105" s="1422">
        <v>0</v>
      </c>
      <c r="BB105" s="1422">
        <v>0</v>
      </c>
      <c r="BC105" s="1422">
        <v>20630</v>
      </c>
      <c r="BD105" s="1422">
        <v>20372</v>
      </c>
      <c r="BE105" s="1420">
        <v>297204.96999999997</v>
      </c>
      <c r="BF105" s="1422">
        <v>125000</v>
      </c>
      <c r="BG105" s="1422">
        <v>50</v>
      </c>
      <c r="BH105" s="1422">
        <v>0</v>
      </c>
      <c r="BI105" s="1422">
        <v>0</v>
      </c>
      <c r="BJ105" s="1422">
        <v>0</v>
      </c>
      <c r="BK105" s="1422">
        <v>1465</v>
      </c>
      <c r="BL105" s="1422">
        <v>0</v>
      </c>
      <c r="BM105" s="1422">
        <v>436480</v>
      </c>
      <c r="BN105" s="1422">
        <v>663366</v>
      </c>
      <c r="BO105" s="1420">
        <v>5891.34</v>
      </c>
      <c r="BP105" s="1422">
        <v>0</v>
      </c>
      <c r="BQ105" s="1422">
        <v>0</v>
      </c>
      <c r="BR105" s="1422">
        <v>0</v>
      </c>
      <c r="BS105" s="1420">
        <v>2331.0100000000002</v>
      </c>
      <c r="BT105" s="1422">
        <v>2331</v>
      </c>
      <c r="BU105" s="1422">
        <v>0</v>
      </c>
      <c r="BV105" s="1422">
        <v>0</v>
      </c>
      <c r="BW105" s="1422">
        <v>230633</v>
      </c>
      <c r="BX105" s="1422">
        <v>230633</v>
      </c>
      <c r="BY105" s="1422">
        <v>0</v>
      </c>
      <c r="BZ105" s="1422">
        <v>0</v>
      </c>
      <c r="CA105" s="1420">
        <v>18569.099999999999</v>
      </c>
      <c r="CB105" s="1422">
        <v>7289</v>
      </c>
      <c r="CC105" s="1420">
        <v>1013254.42</v>
      </c>
      <c r="CD105" s="1422">
        <v>1048991</v>
      </c>
      <c r="CE105" s="1420">
        <v>1257644.93</v>
      </c>
      <c r="CF105" s="1420">
        <v>1058809.57</v>
      </c>
      <c r="CG105" s="1420">
        <v>1002425.6</v>
      </c>
      <c r="CH105" s="1422">
        <v>0</v>
      </c>
      <c r="CI105" s="1422">
        <v>0</v>
      </c>
      <c r="CJ105" s="1422">
        <v>0</v>
      </c>
      <c r="CK105" s="1422">
        <v>0</v>
      </c>
      <c r="CL105" s="1422">
        <v>0</v>
      </c>
      <c r="CM105" s="1422">
        <v>500</v>
      </c>
      <c r="CN105" s="1422">
        <v>0</v>
      </c>
      <c r="CO105" s="1420">
        <v>10290.73</v>
      </c>
      <c r="CP105" s="1422">
        <v>0</v>
      </c>
      <c r="CQ105" s="1422">
        <v>0</v>
      </c>
      <c r="CR105" s="1422">
        <v>0</v>
      </c>
      <c r="CS105" s="1420">
        <v>1013216.33</v>
      </c>
      <c r="CT105" s="1422">
        <v>0</v>
      </c>
      <c r="CU105" s="1420">
        <v>7325428.5700000003</v>
      </c>
      <c r="CV105" s="1420">
        <v>6267093.5700000003</v>
      </c>
      <c r="CW105" s="1420">
        <v>2426115.92</v>
      </c>
      <c r="CX105" s="1420">
        <v>2157706.2000000002</v>
      </c>
      <c r="CY105" s="1420">
        <v>287230.98</v>
      </c>
      <c r="CZ105" s="1420">
        <v>259200.07</v>
      </c>
      <c r="DA105" s="1420">
        <v>210794.33</v>
      </c>
      <c r="DB105" s="1420">
        <v>218245.97</v>
      </c>
      <c r="DC105" s="1422">
        <v>0</v>
      </c>
      <c r="DD105" s="1422">
        <v>0</v>
      </c>
      <c r="DE105" s="1420">
        <v>281548.38</v>
      </c>
      <c r="DF105" s="1420">
        <v>235887.96</v>
      </c>
      <c r="DG105" s="1420">
        <v>127709.09</v>
      </c>
      <c r="DH105" s="1420">
        <v>173349.9</v>
      </c>
      <c r="DI105" s="1420">
        <v>3333398.7</v>
      </c>
      <c r="DJ105" s="1420">
        <v>3044390.1</v>
      </c>
      <c r="DK105" s="1420">
        <v>163331.76999999999</v>
      </c>
      <c r="DL105" s="1420">
        <v>172824.49</v>
      </c>
      <c r="DM105" s="1420">
        <v>150735.67000000001</v>
      </c>
      <c r="DN105" s="1420">
        <v>275637.73</v>
      </c>
      <c r="DO105" s="1420">
        <v>572513.52</v>
      </c>
      <c r="DP105" s="1420">
        <v>574897.51</v>
      </c>
      <c r="DQ105" s="1420">
        <v>340789.53</v>
      </c>
      <c r="DR105" s="1420">
        <v>232185.2</v>
      </c>
      <c r="DS105" s="1420">
        <v>8408.34</v>
      </c>
      <c r="DT105" s="1422">
        <v>500</v>
      </c>
      <c r="DU105" s="1420">
        <v>1235778.83</v>
      </c>
      <c r="DV105" s="1420">
        <v>1256044.93</v>
      </c>
      <c r="DW105" s="1420">
        <v>172085.82</v>
      </c>
      <c r="DX105" s="1420">
        <v>188816.39</v>
      </c>
      <c r="DY105" s="1420">
        <v>547585.98</v>
      </c>
      <c r="DZ105" s="1420">
        <v>680559.76</v>
      </c>
      <c r="EA105" s="1420">
        <v>247063.6</v>
      </c>
      <c r="EB105" s="1420">
        <v>217156.2</v>
      </c>
      <c r="EC105" s="1420">
        <v>966735.4</v>
      </c>
      <c r="ED105" s="1420">
        <v>1086532.3500000001</v>
      </c>
      <c r="EE105" s="1420">
        <v>282492.74</v>
      </c>
      <c r="EF105" s="1420">
        <v>141798.21</v>
      </c>
      <c r="EG105" s="1422">
        <v>0</v>
      </c>
      <c r="EH105" s="1422">
        <v>0</v>
      </c>
      <c r="EI105" s="1422">
        <v>0</v>
      </c>
      <c r="EJ105" s="1422">
        <v>5065</v>
      </c>
      <c r="EK105" s="1422">
        <v>0</v>
      </c>
      <c r="EL105" s="1422">
        <v>0</v>
      </c>
      <c r="EM105" s="1420">
        <v>282492.74</v>
      </c>
      <c r="EN105" s="1420">
        <v>146863.21</v>
      </c>
      <c r="EO105" s="1420">
        <v>543383.32999999996</v>
      </c>
      <c r="EP105" s="1422">
        <v>0</v>
      </c>
      <c r="EQ105" s="1420">
        <v>193607.17</v>
      </c>
      <c r="ER105" s="1422">
        <v>335623</v>
      </c>
      <c r="ES105" s="1422">
        <v>0</v>
      </c>
      <c r="ET105" s="1422">
        <v>0</v>
      </c>
      <c r="EU105" s="1420">
        <v>6555396.1699999999</v>
      </c>
      <c r="EV105" s="1420">
        <v>5869453.5899999999</v>
      </c>
      <c r="EW105" s="1420">
        <v>804236.37</v>
      </c>
      <c r="EX105" s="1420">
        <v>87469.58</v>
      </c>
      <c r="EY105" s="1420">
        <v>193607.17</v>
      </c>
      <c r="EZ105" s="1422">
        <v>335623</v>
      </c>
      <c r="FA105" s="1420">
        <v>5557552.6299999999</v>
      </c>
      <c r="FB105" s="1420">
        <v>5446361.0099999998</v>
      </c>
      <c r="FC105" s="1420">
        <v>366148.88</v>
      </c>
      <c r="FD105" s="1439"/>
      <c r="FE105" s="1420">
        <v>5191403.75</v>
      </c>
      <c r="FF105" s="1439"/>
      <c r="FG105" s="1422">
        <v>11097</v>
      </c>
      <c r="FH105" s="1439"/>
      <c r="FI105" s="1420">
        <v>42.33</v>
      </c>
      <c r="FJ105" s="1439"/>
      <c r="FK105" s="1422">
        <v>45202</v>
      </c>
      <c r="FL105" s="1439"/>
      <c r="FM105" s="1420">
        <v>49.91</v>
      </c>
      <c r="FN105" s="1439"/>
      <c r="FO105" s="1422">
        <v>48703</v>
      </c>
      <c r="FP105" s="1439"/>
      <c r="FQ105" s="1420">
        <v>997637.32</v>
      </c>
      <c r="FR105" s="1439"/>
      <c r="FS105" s="1420">
        <v>48683.87</v>
      </c>
      <c r="FT105" s="1439"/>
      <c r="FU105" s="1422">
        <v>0</v>
      </c>
      <c r="FV105" s="1439"/>
      <c r="FW105" s="1420">
        <v>948953.45</v>
      </c>
      <c r="FX105" s="1439"/>
      <c r="FY105" s="1420">
        <v>785166.03</v>
      </c>
      <c r="FZ105" s="1439"/>
      <c r="GA105" s="1422">
        <v>0</v>
      </c>
      <c r="GB105" s="1439"/>
    </row>
    <row r="106" spans="1:184" ht="12.75" customHeight="1" thickBot="1">
      <c r="A106" s="1418" t="s">
        <v>436</v>
      </c>
      <c r="B106" s="1418" t="s">
        <v>437</v>
      </c>
      <c r="C106" s="1420">
        <v>237.09</v>
      </c>
      <c r="D106" s="1439"/>
      <c r="E106" s="1420">
        <v>1864.65</v>
      </c>
      <c r="F106" s="1439"/>
      <c r="G106" s="1421">
        <v>0.06</v>
      </c>
      <c r="H106" s="1439"/>
      <c r="I106" s="1420">
        <v>1938.51</v>
      </c>
      <c r="J106" s="1439"/>
      <c r="K106" s="1420">
        <v>1902.16</v>
      </c>
      <c r="L106" s="1439"/>
      <c r="M106" s="1422">
        <v>126391513</v>
      </c>
      <c r="N106" s="1439"/>
      <c r="O106" s="1422">
        <v>25</v>
      </c>
      <c r="P106" s="1439"/>
      <c r="Q106" s="1422">
        <v>25</v>
      </c>
      <c r="R106" s="1439"/>
      <c r="S106" s="1422">
        <v>0</v>
      </c>
      <c r="T106" s="1439"/>
      <c r="U106" s="1422">
        <v>0</v>
      </c>
      <c r="V106" s="1439"/>
      <c r="W106" s="1420">
        <v>6.7</v>
      </c>
      <c r="X106" s="1439"/>
      <c r="Y106" s="1420">
        <v>31.7</v>
      </c>
      <c r="Z106" s="1439"/>
      <c r="AA106" s="1420">
        <v>3122788.9</v>
      </c>
      <c r="AB106" s="1455"/>
      <c r="AC106" s="1424">
        <v>3897846.31</v>
      </c>
      <c r="AD106" s="1422">
        <v>3901074</v>
      </c>
      <c r="AE106" s="1420">
        <v>836140.74</v>
      </c>
      <c r="AF106" s="1422">
        <v>353340</v>
      </c>
      <c r="AG106" s="1422">
        <v>0</v>
      </c>
      <c r="AH106" s="1456">
        <v>0</v>
      </c>
      <c r="AI106" s="1428">
        <v>8396051</v>
      </c>
      <c r="AJ106" s="1422">
        <v>8836903</v>
      </c>
      <c r="AK106" s="1422">
        <v>99508</v>
      </c>
      <c r="AL106" s="1422">
        <v>0</v>
      </c>
      <c r="AM106" s="1422">
        <v>264362</v>
      </c>
      <c r="AN106" s="1422">
        <v>0</v>
      </c>
      <c r="AO106" s="1422">
        <v>0</v>
      </c>
      <c r="AP106" s="1422">
        <v>0</v>
      </c>
      <c r="AQ106" s="1422">
        <v>0</v>
      </c>
      <c r="AR106" s="1422">
        <v>0</v>
      </c>
      <c r="AS106" s="1422">
        <v>0</v>
      </c>
      <c r="AT106" s="1422">
        <v>0</v>
      </c>
      <c r="AU106" s="1422">
        <v>0</v>
      </c>
      <c r="AV106" s="1422">
        <v>0</v>
      </c>
      <c r="AW106" s="1422">
        <v>0</v>
      </c>
      <c r="AX106" s="1422">
        <v>0</v>
      </c>
      <c r="AY106" s="1420">
        <v>13493908.050000001</v>
      </c>
      <c r="AZ106" s="1422">
        <v>13091317</v>
      </c>
      <c r="BA106" s="1422">
        <v>0</v>
      </c>
      <c r="BB106" s="1422">
        <v>0</v>
      </c>
      <c r="BC106" s="1422">
        <v>78673</v>
      </c>
      <c r="BD106" s="1422">
        <v>82364</v>
      </c>
      <c r="BE106" s="1420">
        <v>2338.4</v>
      </c>
      <c r="BF106" s="1422">
        <v>0</v>
      </c>
      <c r="BG106" s="1422">
        <v>50</v>
      </c>
      <c r="BH106" s="1422">
        <v>0</v>
      </c>
      <c r="BI106" s="1422">
        <v>137329</v>
      </c>
      <c r="BJ106" s="1422">
        <v>148971</v>
      </c>
      <c r="BK106" s="1422">
        <v>64460</v>
      </c>
      <c r="BL106" s="1422">
        <v>65780</v>
      </c>
      <c r="BM106" s="1422">
        <v>615536</v>
      </c>
      <c r="BN106" s="1422">
        <v>630982</v>
      </c>
      <c r="BO106" s="1420">
        <v>103302.39999999999</v>
      </c>
      <c r="BP106" s="1422">
        <v>85000</v>
      </c>
      <c r="BQ106" s="1420">
        <v>51458.559999999998</v>
      </c>
      <c r="BR106" s="1422">
        <v>48750</v>
      </c>
      <c r="BS106" s="1420">
        <v>8271.7199999999993</v>
      </c>
      <c r="BT106" s="1422">
        <v>8300</v>
      </c>
      <c r="BU106" s="1422">
        <v>0</v>
      </c>
      <c r="BV106" s="1422">
        <v>0</v>
      </c>
      <c r="BW106" s="1422">
        <v>0</v>
      </c>
      <c r="BX106" s="1422">
        <v>0</v>
      </c>
      <c r="BY106" s="1422">
        <v>0</v>
      </c>
      <c r="BZ106" s="1422">
        <v>0</v>
      </c>
      <c r="CA106" s="1422">
        <v>108296</v>
      </c>
      <c r="CB106" s="1422">
        <v>106651</v>
      </c>
      <c r="CC106" s="1420">
        <v>1169715.08</v>
      </c>
      <c r="CD106" s="1422">
        <v>1176798</v>
      </c>
      <c r="CE106" s="1420">
        <v>2920225.06</v>
      </c>
      <c r="CF106" s="1420">
        <v>2461841.6800000002</v>
      </c>
      <c r="CG106" s="1422">
        <v>258600</v>
      </c>
      <c r="CH106" s="1422">
        <v>0</v>
      </c>
      <c r="CI106" s="1422">
        <v>0</v>
      </c>
      <c r="CJ106" s="1422">
        <v>0</v>
      </c>
      <c r="CK106" s="1420">
        <v>6663.94</v>
      </c>
      <c r="CL106" s="1422">
        <v>0</v>
      </c>
      <c r="CM106" s="1422">
        <v>0</v>
      </c>
      <c r="CN106" s="1422">
        <v>0</v>
      </c>
      <c r="CO106" s="1422">
        <v>0</v>
      </c>
      <c r="CP106" s="1422">
        <v>0</v>
      </c>
      <c r="CQ106" s="1422">
        <v>0</v>
      </c>
      <c r="CR106" s="1422">
        <v>0</v>
      </c>
      <c r="CS106" s="1420">
        <v>265263.94</v>
      </c>
      <c r="CT106" s="1422">
        <v>0</v>
      </c>
      <c r="CU106" s="1420">
        <v>17849112.129999999</v>
      </c>
      <c r="CV106" s="1420">
        <v>16729956.68</v>
      </c>
      <c r="CW106" s="1420">
        <v>7032633.3499999996</v>
      </c>
      <c r="CX106" s="1420">
        <v>7008826.0800000001</v>
      </c>
      <c r="CY106" s="1420">
        <v>1191915.6100000001</v>
      </c>
      <c r="CZ106" s="1420">
        <v>1144036.6599999999</v>
      </c>
      <c r="DA106" s="1420">
        <v>853461.73</v>
      </c>
      <c r="DB106" s="1420">
        <v>808795.96</v>
      </c>
      <c r="DC106" s="1422">
        <v>0</v>
      </c>
      <c r="DD106" s="1422">
        <v>0</v>
      </c>
      <c r="DE106" s="1420">
        <v>493191.37</v>
      </c>
      <c r="DF106" s="1422">
        <v>418161</v>
      </c>
      <c r="DG106" s="1420">
        <v>438756.53</v>
      </c>
      <c r="DH106" s="1420">
        <v>464755.31</v>
      </c>
      <c r="DI106" s="1420">
        <v>10009958.59</v>
      </c>
      <c r="DJ106" s="1420">
        <v>9844575.0099999998</v>
      </c>
      <c r="DK106" s="1420">
        <v>339223.96</v>
      </c>
      <c r="DL106" s="1420">
        <v>375693.76</v>
      </c>
      <c r="DM106" s="1420">
        <v>258381.52</v>
      </c>
      <c r="DN106" s="1420">
        <v>195011.87</v>
      </c>
      <c r="DO106" s="1420">
        <v>1103650.31</v>
      </c>
      <c r="DP106" s="1420">
        <v>1147263.6399999999</v>
      </c>
      <c r="DQ106" s="1420">
        <v>734773.12</v>
      </c>
      <c r="DR106" s="1420">
        <v>537775.16</v>
      </c>
      <c r="DS106" s="1420">
        <v>29812.83</v>
      </c>
      <c r="DT106" s="1422">
        <v>12500</v>
      </c>
      <c r="DU106" s="1420">
        <v>2465841.7400000002</v>
      </c>
      <c r="DV106" s="1420">
        <v>2268244.4300000002</v>
      </c>
      <c r="DW106" s="1420">
        <v>630314.31000000006</v>
      </c>
      <c r="DX106" s="1420">
        <v>668028.30000000005</v>
      </c>
      <c r="DY106" s="1420">
        <v>1152177.28</v>
      </c>
      <c r="DZ106" s="1420">
        <v>721277.35</v>
      </c>
      <c r="EA106" s="1420">
        <v>920588.22</v>
      </c>
      <c r="EB106" s="1420">
        <v>917420.21</v>
      </c>
      <c r="EC106" s="1420">
        <v>2703079.81</v>
      </c>
      <c r="ED106" s="1420">
        <v>2306725.86</v>
      </c>
      <c r="EE106" s="1420">
        <v>1096853.23</v>
      </c>
      <c r="EF106" s="1420">
        <v>1131735.99</v>
      </c>
      <c r="EG106" s="1420">
        <v>13766.06</v>
      </c>
      <c r="EH106" s="1422">
        <v>0</v>
      </c>
      <c r="EI106" s="1420">
        <v>35.119999999999997</v>
      </c>
      <c r="EJ106" s="1422">
        <v>1000</v>
      </c>
      <c r="EK106" s="1422">
        <v>0</v>
      </c>
      <c r="EL106" s="1422">
        <v>0</v>
      </c>
      <c r="EM106" s="1420">
        <v>1110654.4099999999</v>
      </c>
      <c r="EN106" s="1420">
        <v>1132735.99</v>
      </c>
      <c r="EO106" s="1420">
        <v>25463.45</v>
      </c>
      <c r="EP106" s="1422">
        <v>35000</v>
      </c>
      <c r="EQ106" s="1420">
        <v>903911.04</v>
      </c>
      <c r="ER106" s="1422">
        <v>744753</v>
      </c>
      <c r="ES106" s="1422">
        <v>0</v>
      </c>
      <c r="ET106" s="1422">
        <v>133000</v>
      </c>
      <c r="EU106" s="1420">
        <v>17218909.039999999</v>
      </c>
      <c r="EV106" s="1420">
        <v>16465034.289999999</v>
      </c>
      <c r="EW106" s="1420">
        <v>289052.2</v>
      </c>
      <c r="EX106" s="1422">
        <v>314500</v>
      </c>
      <c r="EY106" s="1420">
        <v>903911.04</v>
      </c>
      <c r="EZ106" s="1422">
        <v>744753</v>
      </c>
      <c r="FA106" s="1420">
        <v>16025945.800000001</v>
      </c>
      <c r="FB106" s="1420">
        <v>15405781.289999999</v>
      </c>
      <c r="FC106" s="1420">
        <v>607890.86</v>
      </c>
      <c r="FD106" s="1439"/>
      <c r="FE106" s="1420">
        <v>15418054.939999999</v>
      </c>
      <c r="FF106" s="1439"/>
      <c r="FG106" s="1422">
        <v>8268</v>
      </c>
      <c r="FH106" s="1439"/>
      <c r="FI106" s="1420">
        <v>127.29</v>
      </c>
      <c r="FJ106" s="1439"/>
      <c r="FK106" s="1422">
        <v>52390</v>
      </c>
      <c r="FL106" s="1439"/>
      <c r="FM106" s="1420">
        <v>139.13</v>
      </c>
      <c r="FN106" s="1439"/>
      <c r="FO106" s="1422">
        <v>54111</v>
      </c>
      <c r="FP106" s="1439"/>
      <c r="FQ106" s="1420">
        <v>4227709.1500000004</v>
      </c>
      <c r="FR106" s="1439"/>
      <c r="FS106" s="1420">
        <v>28534.83</v>
      </c>
      <c r="FT106" s="1439"/>
      <c r="FU106" s="1422">
        <v>0</v>
      </c>
      <c r="FV106" s="1439"/>
      <c r="FW106" s="1420">
        <v>4199174.32</v>
      </c>
      <c r="FX106" s="1439"/>
      <c r="FY106" s="1422">
        <v>258600</v>
      </c>
      <c r="FZ106" s="1439"/>
      <c r="GA106" s="1422">
        <v>0</v>
      </c>
      <c r="GB106" s="1439"/>
    </row>
    <row r="107" spans="1:184" ht="12.75" customHeight="1" thickBot="1">
      <c r="A107" s="1418" t="s">
        <v>438</v>
      </c>
      <c r="B107" s="1418" t="s">
        <v>439</v>
      </c>
      <c r="C107" s="1420">
        <v>218.67</v>
      </c>
      <c r="D107" s="1439"/>
      <c r="E107" s="1420">
        <v>2787.38</v>
      </c>
      <c r="F107" s="1439"/>
      <c r="G107" s="1421">
        <v>0.02</v>
      </c>
      <c r="H107" s="1439"/>
      <c r="I107" s="1420">
        <v>2943.02</v>
      </c>
      <c r="J107" s="1439"/>
      <c r="K107" s="1420">
        <v>2869.51</v>
      </c>
      <c r="L107" s="1439"/>
      <c r="M107" s="1422">
        <v>240921103</v>
      </c>
      <c r="N107" s="1439"/>
      <c r="O107" s="1420">
        <v>28.9</v>
      </c>
      <c r="P107" s="1439"/>
      <c r="Q107" s="1422">
        <v>25</v>
      </c>
      <c r="R107" s="1439"/>
      <c r="S107" s="1420">
        <v>3.9</v>
      </c>
      <c r="T107" s="1439"/>
      <c r="U107" s="1422">
        <v>0</v>
      </c>
      <c r="V107" s="1439"/>
      <c r="W107" s="1420">
        <v>9.85</v>
      </c>
      <c r="X107" s="1439"/>
      <c r="Y107" s="1420">
        <v>38.75</v>
      </c>
      <c r="Z107" s="1439"/>
      <c r="AA107" s="1422">
        <v>24995000</v>
      </c>
      <c r="AB107" s="1455"/>
      <c r="AC107" s="1424">
        <v>8768382.8000000007</v>
      </c>
      <c r="AD107" s="1422">
        <v>9136308</v>
      </c>
      <c r="AE107" s="1420">
        <v>2063287.25</v>
      </c>
      <c r="AF107" s="1422">
        <v>1113100</v>
      </c>
      <c r="AG107" s="1420">
        <v>3332.33</v>
      </c>
      <c r="AH107" s="1456">
        <v>0</v>
      </c>
      <c r="AI107" s="1428">
        <v>11667007</v>
      </c>
      <c r="AJ107" s="1422">
        <v>12220308</v>
      </c>
      <c r="AK107" s="1422">
        <v>49463</v>
      </c>
      <c r="AL107" s="1422">
        <v>0</v>
      </c>
      <c r="AM107" s="1422">
        <v>449120</v>
      </c>
      <c r="AN107" s="1422">
        <v>0</v>
      </c>
      <c r="AO107" s="1422">
        <v>0</v>
      </c>
      <c r="AP107" s="1422">
        <v>0</v>
      </c>
      <c r="AQ107" s="1422">
        <v>697617</v>
      </c>
      <c r="AR107" s="1422">
        <v>0</v>
      </c>
      <c r="AS107" s="1422">
        <v>0</v>
      </c>
      <c r="AT107" s="1422">
        <v>0</v>
      </c>
      <c r="AU107" s="1422">
        <v>18008</v>
      </c>
      <c r="AV107" s="1422">
        <v>14406</v>
      </c>
      <c r="AW107" s="1422">
        <v>0</v>
      </c>
      <c r="AX107" s="1422">
        <v>0</v>
      </c>
      <c r="AY107" s="1420">
        <v>23716217.379999999</v>
      </c>
      <c r="AZ107" s="1422">
        <v>22484122</v>
      </c>
      <c r="BA107" s="1422">
        <v>0</v>
      </c>
      <c r="BB107" s="1422">
        <v>0</v>
      </c>
      <c r="BC107" s="1422">
        <v>118683</v>
      </c>
      <c r="BD107" s="1422">
        <v>125041</v>
      </c>
      <c r="BE107" s="1420">
        <v>22138.69</v>
      </c>
      <c r="BF107" s="1422">
        <v>31400</v>
      </c>
      <c r="BG107" s="1422">
        <v>2450</v>
      </c>
      <c r="BH107" s="1422">
        <v>0</v>
      </c>
      <c r="BI107" s="1422">
        <v>172231</v>
      </c>
      <c r="BJ107" s="1422">
        <v>147562</v>
      </c>
      <c r="BK107" s="1422">
        <v>87607</v>
      </c>
      <c r="BL107" s="1422">
        <v>97175</v>
      </c>
      <c r="BM107" s="1422">
        <v>799056</v>
      </c>
      <c r="BN107" s="1422">
        <v>829334</v>
      </c>
      <c r="BO107" s="1420">
        <v>962375.71</v>
      </c>
      <c r="BP107" s="1420">
        <v>947630.16</v>
      </c>
      <c r="BQ107" s="1422">
        <v>4550</v>
      </c>
      <c r="BR107" s="1422">
        <v>0</v>
      </c>
      <c r="BS107" s="1420">
        <v>11136.27</v>
      </c>
      <c r="BT107" s="1422">
        <v>12000</v>
      </c>
      <c r="BU107" s="1422">
        <v>0</v>
      </c>
      <c r="BV107" s="1422">
        <v>0</v>
      </c>
      <c r="BW107" s="1422">
        <v>840362</v>
      </c>
      <c r="BX107" s="1422">
        <v>827000</v>
      </c>
      <c r="BY107" s="1422">
        <v>0</v>
      </c>
      <c r="BZ107" s="1422">
        <v>0</v>
      </c>
      <c r="CA107" s="1422">
        <v>161837</v>
      </c>
      <c r="CB107" s="1422">
        <v>105645</v>
      </c>
      <c r="CC107" s="1420">
        <v>3182426.67</v>
      </c>
      <c r="CD107" s="1420">
        <v>3122787.16</v>
      </c>
      <c r="CE107" s="1420">
        <v>5495958.2000000002</v>
      </c>
      <c r="CF107" s="1420">
        <v>3557746.98</v>
      </c>
      <c r="CG107" s="1420">
        <v>4914577.13</v>
      </c>
      <c r="CH107" s="1422">
        <v>0</v>
      </c>
      <c r="CI107" s="1422">
        <v>0</v>
      </c>
      <c r="CJ107" s="1422">
        <v>0</v>
      </c>
      <c r="CK107" s="1422">
        <v>0</v>
      </c>
      <c r="CL107" s="1422">
        <v>0</v>
      </c>
      <c r="CM107" s="1422">
        <v>0</v>
      </c>
      <c r="CN107" s="1422">
        <v>0</v>
      </c>
      <c r="CO107" s="1420">
        <v>3885.04</v>
      </c>
      <c r="CP107" s="1422">
        <v>0</v>
      </c>
      <c r="CQ107" s="1422">
        <v>0</v>
      </c>
      <c r="CR107" s="1422">
        <v>0</v>
      </c>
      <c r="CS107" s="1420">
        <v>4918462.17</v>
      </c>
      <c r="CT107" s="1422">
        <v>0</v>
      </c>
      <c r="CU107" s="1420">
        <v>37313064.420000002</v>
      </c>
      <c r="CV107" s="1420">
        <v>29164656.140000001</v>
      </c>
      <c r="CW107" s="1420">
        <v>10340308.35</v>
      </c>
      <c r="CX107" s="1420">
        <v>9595117.2799999993</v>
      </c>
      <c r="CY107" s="1420">
        <v>2650139.04</v>
      </c>
      <c r="CZ107" s="1420">
        <v>2739851.48</v>
      </c>
      <c r="DA107" s="1420">
        <v>883321.97</v>
      </c>
      <c r="DB107" s="1420">
        <v>755708.94</v>
      </c>
      <c r="DC107" s="1422">
        <v>0</v>
      </c>
      <c r="DD107" s="1422">
        <v>0</v>
      </c>
      <c r="DE107" s="1420">
        <v>517024.4</v>
      </c>
      <c r="DF107" s="1420">
        <v>484909.47</v>
      </c>
      <c r="DG107" s="1422">
        <v>925342</v>
      </c>
      <c r="DH107" s="1420">
        <v>884687.29</v>
      </c>
      <c r="DI107" s="1420">
        <v>15316135.76</v>
      </c>
      <c r="DJ107" s="1420">
        <v>14460274.460000001</v>
      </c>
      <c r="DK107" s="1420">
        <v>437555.34</v>
      </c>
      <c r="DL107" s="1420">
        <v>407071.49</v>
      </c>
      <c r="DM107" s="1420">
        <v>823564.75</v>
      </c>
      <c r="DN107" s="1420">
        <v>883227.8</v>
      </c>
      <c r="DO107" s="1422">
        <v>3786143</v>
      </c>
      <c r="DP107" s="1420">
        <v>3695389.12</v>
      </c>
      <c r="DQ107" s="1420">
        <v>1312738.3799999999</v>
      </c>
      <c r="DR107" s="1420">
        <v>1340582.08</v>
      </c>
      <c r="DS107" s="1420">
        <v>56610.78</v>
      </c>
      <c r="DT107" s="1422">
        <v>35000</v>
      </c>
      <c r="DU107" s="1420">
        <v>6416612.25</v>
      </c>
      <c r="DV107" s="1420">
        <v>6361270.4900000002</v>
      </c>
      <c r="DW107" s="1420">
        <v>1008563.12</v>
      </c>
      <c r="DX107" s="1420">
        <v>979149.3</v>
      </c>
      <c r="DY107" s="1420">
        <v>1819522.88</v>
      </c>
      <c r="DZ107" s="1420">
        <v>2311246.2999999998</v>
      </c>
      <c r="EA107" s="1420">
        <v>1230681.26</v>
      </c>
      <c r="EB107" s="1420">
        <v>1238711.3400000001</v>
      </c>
      <c r="EC107" s="1420">
        <v>4058767.26</v>
      </c>
      <c r="ED107" s="1420">
        <v>4529106.9400000004</v>
      </c>
      <c r="EE107" s="1420">
        <v>1840499.2</v>
      </c>
      <c r="EF107" s="1420">
        <v>1738087.47</v>
      </c>
      <c r="EG107" s="1420">
        <v>167837.28</v>
      </c>
      <c r="EH107" s="1422">
        <v>0</v>
      </c>
      <c r="EI107" s="1420">
        <v>1623848.23</v>
      </c>
      <c r="EJ107" s="1420">
        <v>1484855.85</v>
      </c>
      <c r="EK107" s="1422">
        <v>0</v>
      </c>
      <c r="EL107" s="1422">
        <v>0</v>
      </c>
      <c r="EM107" s="1420">
        <v>3632184.71</v>
      </c>
      <c r="EN107" s="1420">
        <v>3222943.32</v>
      </c>
      <c r="EO107" s="1420">
        <v>1599092.26</v>
      </c>
      <c r="EP107" s="1420">
        <v>4214581.5599999996</v>
      </c>
      <c r="EQ107" s="1422">
        <v>662131</v>
      </c>
      <c r="ER107" s="1422">
        <v>1102500</v>
      </c>
      <c r="ES107" s="1422">
        <v>0</v>
      </c>
      <c r="ET107" s="1422">
        <v>0</v>
      </c>
      <c r="EU107" s="1420">
        <v>31684923.239999998</v>
      </c>
      <c r="EV107" s="1420">
        <v>33890676.770000003</v>
      </c>
      <c r="EW107" s="1420">
        <v>1943864.01</v>
      </c>
      <c r="EX107" s="1420">
        <v>4560731.5599999996</v>
      </c>
      <c r="EY107" s="1422">
        <v>662131</v>
      </c>
      <c r="EZ107" s="1422">
        <v>1102500</v>
      </c>
      <c r="FA107" s="1420">
        <v>29078928.23</v>
      </c>
      <c r="FB107" s="1420">
        <v>28227445.210000001</v>
      </c>
      <c r="FC107" s="1420">
        <v>3871637.41</v>
      </c>
      <c r="FD107" s="1439"/>
      <c r="FE107" s="1420">
        <v>25207290.82</v>
      </c>
      <c r="FF107" s="1439"/>
      <c r="FG107" s="1422">
        <v>9043</v>
      </c>
      <c r="FH107" s="1439"/>
      <c r="FI107" s="1420">
        <v>188.6</v>
      </c>
      <c r="FJ107" s="1439"/>
      <c r="FK107" s="1422">
        <v>37468</v>
      </c>
      <c r="FL107" s="1439"/>
      <c r="FM107" s="1420">
        <v>206.48</v>
      </c>
      <c r="FN107" s="1439"/>
      <c r="FO107" s="1422">
        <v>40264</v>
      </c>
      <c r="FP107" s="1439"/>
      <c r="FQ107" s="1420">
        <v>4443972.57</v>
      </c>
      <c r="FR107" s="1439"/>
      <c r="FS107" s="1420">
        <v>24447.27</v>
      </c>
      <c r="FT107" s="1439"/>
      <c r="FU107" s="1422">
        <v>0</v>
      </c>
      <c r="FV107" s="1439"/>
      <c r="FW107" s="1420">
        <v>4419525.3</v>
      </c>
      <c r="FX107" s="1439"/>
      <c r="FY107" s="1420">
        <v>4249105.21</v>
      </c>
      <c r="FZ107" s="1439"/>
      <c r="GA107" s="1422">
        <v>0</v>
      </c>
      <c r="GB107" s="1439"/>
    </row>
    <row r="108" spans="1:184" ht="12.75" customHeight="1" thickBot="1">
      <c r="A108" s="1418" t="s">
        <v>440</v>
      </c>
      <c r="B108" s="1418" t="s">
        <v>441</v>
      </c>
      <c r="C108" s="1420">
        <v>52.27</v>
      </c>
      <c r="D108" s="1439"/>
      <c r="E108" s="1420">
        <v>1445.79</v>
      </c>
      <c r="F108" s="1439"/>
      <c r="G108" s="1421">
        <v>0.09</v>
      </c>
      <c r="H108" s="1439"/>
      <c r="I108" s="1420">
        <v>1513.93</v>
      </c>
      <c r="J108" s="1439"/>
      <c r="K108" s="1420">
        <v>1507.61</v>
      </c>
      <c r="L108" s="1439"/>
      <c r="M108" s="1422">
        <v>52712627</v>
      </c>
      <c r="N108" s="1439"/>
      <c r="O108" s="1422">
        <v>25</v>
      </c>
      <c r="P108" s="1439"/>
      <c r="Q108" s="1422">
        <v>25</v>
      </c>
      <c r="R108" s="1439"/>
      <c r="S108" s="1422">
        <v>0</v>
      </c>
      <c r="T108" s="1439"/>
      <c r="U108" s="1422">
        <v>0</v>
      </c>
      <c r="V108" s="1439"/>
      <c r="W108" s="1420">
        <v>15.2</v>
      </c>
      <c r="X108" s="1439"/>
      <c r="Y108" s="1420">
        <v>40.200000000000003</v>
      </c>
      <c r="Z108" s="1439"/>
      <c r="AA108" s="1420">
        <v>8283512.3300000001</v>
      </c>
      <c r="AB108" s="1455"/>
      <c r="AC108" s="1424">
        <v>1944084.91</v>
      </c>
      <c r="AD108" s="1422">
        <v>2114905</v>
      </c>
      <c r="AE108" s="1420">
        <v>898487.37</v>
      </c>
      <c r="AF108" s="1422">
        <v>438800</v>
      </c>
      <c r="AG108" s="1420">
        <v>1647.13</v>
      </c>
      <c r="AH108" s="1456">
        <v>1000</v>
      </c>
      <c r="AI108" s="1428">
        <v>7871450</v>
      </c>
      <c r="AJ108" s="1422">
        <v>8033292</v>
      </c>
      <c r="AK108" s="1422">
        <v>0</v>
      </c>
      <c r="AL108" s="1422">
        <v>0</v>
      </c>
      <c r="AM108" s="1422">
        <v>45955</v>
      </c>
      <c r="AN108" s="1422">
        <v>0</v>
      </c>
      <c r="AO108" s="1422">
        <v>0</v>
      </c>
      <c r="AP108" s="1422">
        <v>0</v>
      </c>
      <c r="AQ108" s="1422">
        <v>0</v>
      </c>
      <c r="AR108" s="1422">
        <v>0</v>
      </c>
      <c r="AS108" s="1422">
        <v>0</v>
      </c>
      <c r="AT108" s="1422">
        <v>0</v>
      </c>
      <c r="AU108" s="1422">
        <v>99156</v>
      </c>
      <c r="AV108" s="1422">
        <v>89325</v>
      </c>
      <c r="AW108" s="1422">
        <v>0</v>
      </c>
      <c r="AX108" s="1422">
        <v>0</v>
      </c>
      <c r="AY108" s="1420">
        <v>10860780.41</v>
      </c>
      <c r="AZ108" s="1422">
        <v>10677322</v>
      </c>
      <c r="BA108" s="1422">
        <v>4732</v>
      </c>
      <c r="BB108" s="1422">
        <v>0</v>
      </c>
      <c r="BC108" s="1422">
        <v>62355</v>
      </c>
      <c r="BD108" s="1422">
        <v>64323</v>
      </c>
      <c r="BE108" s="1420">
        <v>7448.92</v>
      </c>
      <c r="BF108" s="1422">
        <v>0</v>
      </c>
      <c r="BG108" s="1422">
        <v>2204</v>
      </c>
      <c r="BH108" s="1422">
        <v>0</v>
      </c>
      <c r="BI108" s="1422">
        <v>22997</v>
      </c>
      <c r="BJ108" s="1422">
        <v>18694</v>
      </c>
      <c r="BK108" s="1422">
        <v>8497</v>
      </c>
      <c r="BL108" s="1422">
        <v>0</v>
      </c>
      <c r="BM108" s="1422">
        <v>461280</v>
      </c>
      <c r="BN108" s="1422">
        <v>459954</v>
      </c>
      <c r="BO108" s="1420">
        <v>248006.63</v>
      </c>
      <c r="BP108" s="1422">
        <v>110200</v>
      </c>
      <c r="BQ108" s="1420">
        <v>3611.98</v>
      </c>
      <c r="BR108" s="1422">
        <v>0</v>
      </c>
      <c r="BS108" s="1420">
        <v>5873.26</v>
      </c>
      <c r="BT108" s="1422">
        <v>5900</v>
      </c>
      <c r="BU108" s="1422">
        <v>0</v>
      </c>
      <c r="BV108" s="1422">
        <v>0</v>
      </c>
      <c r="BW108" s="1422">
        <v>513250</v>
      </c>
      <c r="BX108" s="1422">
        <v>576430</v>
      </c>
      <c r="BY108" s="1422">
        <v>0</v>
      </c>
      <c r="BZ108" s="1422">
        <v>0</v>
      </c>
      <c r="CA108" s="1420">
        <v>565906.19999999995</v>
      </c>
      <c r="CB108" s="1422">
        <v>155740</v>
      </c>
      <c r="CC108" s="1420">
        <v>1906161.99</v>
      </c>
      <c r="CD108" s="1422">
        <v>1391241</v>
      </c>
      <c r="CE108" s="1420">
        <v>2705822.74</v>
      </c>
      <c r="CF108" s="1420">
        <v>1732653.42</v>
      </c>
      <c r="CG108" s="1420">
        <v>2009340.5</v>
      </c>
      <c r="CH108" s="1422">
        <v>0</v>
      </c>
      <c r="CI108" s="1422">
        <v>0</v>
      </c>
      <c r="CJ108" s="1422">
        <v>0</v>
      </c>
      <c r="CK108" s="1420">
        <v>3617.07</v>
      </c>
      <c r="CL108" s="1422">
        <v>0</v>
      </c>
      <c r="CM108" s="1420">
        <v>3211.58</v>
      </c>
      <c r="CN108" s="1422">
        <v>0</v>
      </c>
      <c r="CO108" s="1422">
        <v>0</v>
      </c>
      <c r="CP108" s="1422">
        <v>0</v>
      </c>
      <c r="CQ108" s="1422">
        <v>0</v>
      </c>
      <c r="CR108" s="1422">
        <v>0</v>
      </c>
      <c r="CS108" s="1420">
        <v>2016169.15</v>
      </c>
      <c r="CT108" s="1422">
        <v>0</v>
      </c>
      <c r="CU108" s="1420">
        <v>17488934.289999999</v>
      </c>
      <c r="CV108" s="1420">
        <v>13801216.42</v>
      </c>
      <c r="CW108" s="1420">
        <v>5497228.0599999996</v>
      </c>
      <c r="CX108" s="1420">
        <v>5622862.5499999998</v>
      </c>
      <c r="CY108" s="1420">
        <v>1020044.22</v>
      </c>
      <c r="CZ108" s="1420">
        <v>1064568.3500000001</v>
      </c>
      <c r="DA108" s="1420">
        <v>444221.43</v>
      </c>
      <c r="DB108" s="1420">
        <v>434764.3</v>
      </c>
      <c r="DC108" s="1422">
        <v>0</v>
      </c>
      <c r="DD108" s="1422">
        <v>0</v>
      </c>
      <c r="DE108" s="1420">
        <v>694722.16</v>
      </c>
      <c r="DF108" s="1420">
        <v>440779.31</v>
      </c>
      <c r="DG108" s="1420">
        <v>102498.47</v>
      </c>
      <c r="DH108" s="1420">
        <v>109094.94</v>
      </c>
      <c r="DI108" s="1420">
        <v>7758714.3399999999</v>
      </c>
      <c r="DJ108" s="1420">
        <v>7672069.4500000002</v>
      </c>
      <c r="DK108" s="1420">
        <v>216462.7</v>
      </c>
      <c r="DL108" s="1420">
        <v>286835.28000000003</v>
      </c>
      <c r="DM108" s="1420">
        <v>129605.19</v>
      </c>
      <c r="DN108" s="1420">
        <v>121498.76</v>
      </c>
      <c r="DO108" s="1420">
        <v>1671337.32</v>
      </c>
      <c r="DP108" s="1420">
        <v>2177391.02</v>
      </c>
      <c r="DQ108" s="1420">
        <v>650864.91</v>
      </c>
      <c r="DR108" s="1420">
        <v>627377.43999999994</v>
      </c>
      <c r="DS108" s="1420">
        <v>55775.47</v>
      </c>
      <c r="DT108" s="1420">
        <v>32617.07</v>
      </c>
      <c r="DU108" s="1420">
        <v>2724045.59</v>
      </c>
      <c r="DV108" s="1420">
        <v>3245719.57</v>
      </c>
      <c r="DW108" s="1420">
        <v>654813.54</v>
      </c>
      <c r="DX108" s="1420">
        <v>646520.63</v>
      </c>
      <c r="DY108" s="1420">
        <v>779633.42</v>
      </c>
      <c r="DZ108" s="1420">
        <v>825740.77</v>
      </c>
      <c r="EA108" s="1420">
        <v>643356.89</v>
      </c>
      <c r="EB108" s="1420">
        <v>627351.76</v>
      </c>
      <c r="EC108" s="1420">
        <v>2077803.85</v>
      </c>
      <c r="ED108" s="1420">
        <v>2099613.16</v>
      </c>
      <c r="EE108" s="1420">
        <v>821644.48</v>
      </c>
      <c r="EF108" s="1420">
        <v>762244.55</v>
      </c>
      <c r="EG108" s="1420">
        <v>168054.18</v>
      </c>
      <c r="EH108" s="1422">
        <v>0</v>
      </c>
      <c r="EI108" s="1420">
        <v>189110.07</v>
      </c>
      <c r="EJ108" s="1420">
        <v>395677.82</v>
      </c>
      <c r="EK108" s="1422">
        <v>0</v>
      </c>
      <c r="EL108" s="1422">
        <v>0</v>
      </c>
      <c r="EM108" s="1420">
        <v>1178808.73</v>
      </c>
      <c r="EN108" s="1420">
        <v>1157922.3700000001</v>
      </c>
      <c r="EO108" s="1420">
        <v>546401.68999999994</v>
      </c>
      <c r="EP108" s="1420">
        <v>2003900.48</v>
      </c>
      <c r="EQ108" s="1422">
        <v>460170</v>
      </c>
      <c r="ER108" s="1422">
        <v>583284</v>
      </c>
      <c r="ES108" s="1422">
        <v>69813</v>
      </c>
      <c r="ET108" s="1422">
        <v>0</v>
      </c>
      <c r="EU108" s="1420">
        <v>14815757.199999999</v>
      </c>
      <c r="EV108" s="1420">
        <v>16762509.029999999</v>
      </c>
      <c r="EW108" s="1420">
        <v>847361.39</v>
      </c>
      <c r="EX108" s="1420">
        <v>2381009.23</v>
      </c>
      <c r="EY108" s="1422">
        <v>460170</v>
      </c>
      <c r="EZ108" s="1422">
        <v>583284</v>
      </c>
      <c r="FA108" s="1420">
        <v>13508225.810000001</v>
      </c>
      <c r="FB108" s="1420">
        <v>13798215.800000001</v>
      </c>
      <c r="FC108" s="1420">
        <v>1357750.92</v>
      </c>
      <c r="FD108" s="1439"/>
      <c r="FE108" s="1420">
        <v>12150474.890000001</v>
      </c>
      <c r="FF108" s="1439"/>
      <c r="FG108" s="1422">
        <v>8404</v>
      </c>
      <c r="FH108" s="1439"/>
      <c r="FI108" s="1420">
        <v>97.32</v>
      </c>
      <c r="FJ108" s="1439"/>
      <c r="FK108" s="1422">
        <v>41509</v>
      </c>
      <c r="FL108" s="1439"/>
      <c r="FM108" s="1420">
        <v>105.62</v>
      </c>
      <c r="FN108" s="1439"/>
      <c r="FO108" s="1422">
        <v>43719</v>
      </c>
      <c r="FP108" s="1439"/>
      <c r="FQ108" s="1420">
        <v>1019931.91</v>
      </c>
      <c r="FR108" s="1439"/>
      <c r="FS108" s="1420">
        <v>26551.439999999999</v>
      </c>
      <c r="FT108" s="1439"/>
      <c r="FU108" s="1422">
        <v>0</v>
      </c>
      <c r="FV108" s="1439"/>
      <c r="FW108" s="1420">
        <v>993380.47</v>
      </c>
      <c r="FX108" s="1439"/>
      <c r="FY108" s="1420">
        <v>3304268.97</v>
      </c>
      <c r="FZ108" s="1439"/>
      <c r="GA108" s="1422">
        <v>0</v>
      </c>
      <c r="GB108" s="1439"/>
    </row>
    <row r="109" spans="1:184" ht="12.75" customHeight="1" thickBot="1">
      <c r="A109" s="1418" t="s">
        <v>442</v>
      </c>
      <c r="B109" s="1418" t="s">
        <v>443</v>
      </c>
      <c r="C109" s="1420">
        <v>166.38</v>
      </c>
      <c r="D109" s="1439"/>
      <c r="E109" s="1420">
        <v>499.66</v>
      </c>
      <c r="F109" s="1439"/>
      <c r="G109" s="1421">
        <v>-7.0000000000000007E-2</v>
      </c>
      <c r="H109" s="1439"/>
      <c r="I109" s="1420">
        <v>520.54999999999995</v>
      </c>
      <c r="J109" s="1439"/>
      <c r="K109" s="1420">
        <v>514.75</v>
      </c>
      <c r="L109" s="1439"/>
      <c r="M109" s="1422">
        <v>49693644</v>
      </c>
      <c r="N109" s="1439"/>
      <c r="O109" s="1420">
        <v>33.39</v>
      </c>
      <c r="P109" s="1439"/>
      <c r="Q109" s="1422">
        <v>25</v>
      </c>
      <c r="R109" s="1439"/>
      <c r="S109" s="1420">
        <v>8.39</v>
      </c>
      <c r="T109" s="1439"/>
      <c r="U109" s="1422">
        <v>0</v>
      </c>
      <c r="V109" s="1439"/>
      <c r="W109" s="1420">
        <v>5.41</v>
      </c>
      <c r="X109" s="1439"/>
      <c r="Y109" s="1420">
        <v>38.799999999999997</v>
      </c>
      <c r="Z109" s="1439"/>
      <c r="AA109" s="1420">
        <v>1123785.78</v>
      </c>
      <c r="AB109" s="1455"/>
      <c r="AC109" s="1424">
        <v>1592050.52</v>
      </c>
      <c r="AD109" s="1422">
        <v>1435000</v>
      </c>
      <c r="AE109" s="1420">
        <v>259280.95</v>
      </c>
      <c r="AF109" s="1422">
        <v>101000</v>
      </c>
      <c r="AG109" s="1420">
        <v>618.54999999999995</v>
      </c>
      <c r="AH109" s="1456">
        <v>0</v>
      </c>
      <c r="AI109" s="1428">
        <v>2161700</v>
      </c>
      <c r="AJ109" s="1422">
        <v>1995865</v>
      </c>
      <c r="AK109" s="1422">
        <v>39475</v>
      </c>
      <c r="AL109" s="1422">
        <v>0</v>
      </c>
      <c r="AM109" s="1422">
        <v>38291</v>
      </c>
      <c r="AN109" s="1422">
        <v>0</v>
      </c>
      <c r="AO109" s="1422">
        <v>0</v>
      </c>
      <c r="AP109" s="1422">
        <v>0</v>
      </c>
      <c r="AQ109" s="1422">
        <v>0</v>
      </c>
      <c r="AR109" s="1422">
        <v>0</v>
      </c>
      <c r="AS109" s="1422">
        <v>0</v>
      </c>
      <c r="AT109" s="1422">
        <v>0</v>
      </c>
      <c r="AU109" s="1422">
        <v>13361</v>
      </c>
      <c r="AV109" s="1422">
        <v>10689</v>
      </c>
      <c r="AW109" s="1422">
        <v>0</v>
      </c>
      <c r="AX109" s="1422">
        <v>0</v>
      </c>
      <c r="AY109" s="1420">
        <v>4104777.02</v>
      </c>
      <c r="AZ109" s="1422">
        <v>3542554</v>
      </c>
      <c r="BA109" s="1422">
        <v>0</v>
      </c>
      <c r="BB109" s="1422">
        <v>0</v>
      </c>
      <c r="BC109" s="1422">
        <v>21290</v>
      </c>
      <c r="BD109" s="1422">
        <v>22166</v>
      </c>
      <c r="BE109" s="1422">
        <v>3600</v>
      </c>
      <c r="BF109" s="1422">
        <v>0</v>
      </c>
      <c r="BG109" s="1422">
        <v>0</v>
      </c>
      <c r="BH109" s="1422">
        <v>0</v>
      </c>
      <c r="BI109" s="1422">
        <v>37623</v>
      </c>
      <c r="BJ109" s="1422">
        <v>25000</v>
      </c>
      <c r="BK109" s="1422">
        <v>0</v>
      </c>
      <c r="BL109" s="1422">
        <v>0</v>
      </c>
      <c r="BM109" s="1422">
        <v>164672</v>
      </c>
      <c r="BN109" s="1422">
        <v>175582</v>
      </c>
      <c r="BO109" s="1420">
        <v>82470.11</v>
      </c>
      <c r="BP109" s="1422">
        <v>52200</v>
      </c>
      <c r="BQ109" s="1420">
        <v>7854.28</v>
      </c>
      <c r="BR109" s="1422">
        <v>0</v>
      </c>
      <c r="BS109" s="1420">
        <v>8576.4699999999993</v>
      </c>
      <c r="BT109" s="1422">
        <v>2000</v>
      </c>
      <c r="BU109" s="1422">
        <v>0</v>
      </c>
      <c r="BV109" s="1422">
        <v>0</v>
      </c>
      <c r="BW109" s="1422">
        <v>303000</v>
      </c>
      <c r="BX109" s="1422">
        <v>303000</v>
      </c>
      <c r="BY109" s="1422">
        <v>0</v>
      </c>
      <c r="BZ109" s="1422">
        <v>0</v>
      </c>
      <c r="CA109" s="1420">
        <v>18789.080000000002</v>
      </c>
      <c r="CB109" s="1422">
        <v>11641</v>
      </c>
      <c r="CC109" s="1420">
        <v>647874.93999999994</v>
      </c>
      <c r="CD109" s="1422">
        <v>591589</v>
      </c>
      <c r="CE109" s="1420">
        <v>852348.72</v>
      </c>
      <c r="CF109" s="1420">
        <v>605616.73</v>
      </c>
      <c r="CG109" s="1422">
        <v>0</v>
      </c>
      <c r="CH109" s="1422">
        <v>0</v>
      </c>
      <c r="CI109" s="1422">
        <v>0</v>
      </c>
      <c r="CJ109" s="1422">
        <v>0</v>
      </c>
      <c r="CK109" s="1422">
        <v>0</v>
      </c>
      <c r="CL109" s="1422">
        <v>0</v>
      </c>
      <c r="CM109" s="1422">
        <v>0</v>
      </c>
      <c r="CN109" s="1422">
        <v>0</v>
      </c>
      <c r="CO109" s="1422">
        <v>0</v>
      </c>
      <c r="CP109" s="1422">
        <v>0</v>
      </c>
      <c r="CQ109" s="1422">
        <v>0</v>
      </c>
      <c r="CR109" s="1422">
        <v>0</v>
      </c>
      <c r="CS109" s="1422">
        <v>0</v>
      </c>
      <c r="CT109" s="1422">
        <v>0</v>
      </c>
      <c r="CU109" s="1420">
        <v>5605000.6799999997</v>
      </c>
      <c r="CV109" s="1420">
        <v>4739759.7300000004</v>
      </c>
      <c r="CW109" s="1420">
        <v>2228363.9700000002</v>
      </c>
      <c r="CX109" s="1420">
        <v>2109755.16</v>
      </c>
      <c r="CY109" s="1420">
        <v>390988.93</v>
      </c>
      <c r="CZ109" s="1420">
        <v>394981.02</v>
      </c>
      <c r="DA109" s="1420">
        <v>125236.37</v>
      </c>
      <c r="DB109" s="1420">
        <v>154590.16</v>
      </c>
      <c r="DC109" s="1422">
        <v>0</v>
      </c>
      <c r="DD109" s="1422">
        <v>0</v>
      </c>
      <c r="DE109" s="1420">
        <v>55884.86</v>
      </c>
      <c r="DF109" s="1420">
        <v>92120.95</v>
      </c>
      <c r="DG109" s="1420">
        <v>92490.73</v>
      </c>
      <c r="DH109" s="1420">
        <v>136014.85</v>
      </c>
      <c r="DI109" s="1420">
        <v>2892964.86</v>
      </c>
      <c r="DJ109" s="1420">
        <v>2887462.14</v>
      </c>
      <c r="DK109" s="1420">
        <v>178449.27</v>
      </c>
      <c r="DL109" s="1420">
        <v>187961.72</v>
      </c>
      <c r="DM109" s="1420">
        <v>46069.35</v>
      </c>
      <c r="DN109" s="1420">
        <v>46164.29</v>
      </c>
      <c r="DO109" s="1420">
        <v>576122.9</v>
      </c>
      <c r="DP109" s="1420">
        <v>442302.04</v>
      </c>
      <c r="DQ109" s="1420">
        <v>214327.67999999999</v>
      </c>
      <c r="DR109" s="1420">
        <v>332250.05</v>
      </c>
      <c r="DS109" s="1420">
        <v>16671.79</v>
      </c>
      <c r="DT109" s="1420">
        <v>6038.66</v>
      </c>
      <c r="DU109" s="1420">
        <v>1031640.99</v>
      </c>
      <c r="DV109" s="1420">
        <v>1014716.76</v>
      </c>
      <c r="DW109" s="1420">
        <v>153566.57</v>
      </c>
      <c r="DX109" s="1420">
        <v>199596.14</v>
      </c>
      <c r="DY109" s="1420">
        <v>263499.64</v>
      </c>
      <c r="DZ109" s="1420">
        <v>268147.84999999998</v>
      </c>
      <c r="EA109" s="1420">
        <v>151131.31</v>
      </c>
      <c r="EB109" s="1420">
        <v>156615.89000000001</v>
      </c>
      <c r="EC109" s="1420">
        <v>568197.52</v>
      </c>
      <c r="ED109" s="1420">
        <v>624359.88</v>
      </c>
      <c r="EE109" s="1420">
        <v>319982.18</v>
      </c>
      <c r="EF109" s="1420">
        <v>309549.86</v>
      </c>
      <c r="EG109" s="1422">
        <v>0</v>
      </c>
      <c r="EH109" s="1422">
        <v>0</v>
      </c>
      <c r="EI109" s="1420">
        <v>101.85</v>
      </c>
      <c r="EJ109" s="1422">
        <v>0</v>
      </c>
      <c r="EK109" s="1422">
        <v>0</v>
      </c>
      <c r="EL109" s="1422">
        <v>0</v>
      </c>
      <c r="EM109" s="1420">
        <v>320084.03000000003</v>
      </c>
      <c r="EN109" s="1420">
        <v>309549.86</v>
      </c>
      <c r="EO109" s="1422">
        <v>75508</v>
      </c>
      <c r="EP109" s="1422">
        <v>44561</v>
      </c>
      <c r="EQ109" s="1420">
        <v>293781.12</v>
      </c>
      <c r="ER109" s="1422">
        <v>119379</v>
      </c>
      <c r="ES109" s="1422">
        <v>4046</v>
      </c>
      <c r="ET109" s="1422">
        <v>0</v>
      </c>
      <c r="EU109" s="1420">
        <v>5186222.5199999996</v>
      </c>
      <c r="EV109" s="1420">
        <v>5000028.6399999997</v>
      </c>
      <c r="EW109" s="1420">
        <v>152151.98000000001</v>
      </c>
      <c r="EX109" s="1422">
        <v>184561</v>
      </c>
      <c r="EY109" s="1420">
        <v>293781.12</v>
      </c>
      <c r="EZ109" s="1422">
        <v>119379</v>
      </c>
      <c r="FA109" s="1420">
        <v>4740289.42</v>
      </c>
      <c r="FB109" s="1420">
        <v>4696088.6399999997</v>
      </c>
      <c r="FC109" s="1420">
        <v>555906.5</v>
      </c>
      <c r="FD109" s="1439"/>
      <c r="FE109" s="1420">
        <v>4184382.92</v>
      </c>
      <c r="FF109" s="1439"/>
      <c r="FG109" s="1422">
        <v>8374</v>
      </c>
      <c r="FH109" s="1439"/>
      <c r="FI109" s="1420">
        <v>38.47</v>
      </c>
      <c r="FJ109" s="1439"/>
      <c r="FK109" s="1422">
        <v>38357</v>
      </c>
      <c r="FL109" s="1439"/>
      <c r="FM109" s="1420">
        <v>41.38</v>
      </c>
      <c r="FN109" s="1439"/>
      <c r="FO109" s="1422">
        <v>40561</v>
      </c>
      <c r="FP109" s="1439"/>
      <c r="FQ109" s="1420">
        <v>2885893.63</v>
      </c>
      <c r="FR109" s="1439"/>
      <c r="FS109" s="1420">
        <v>7823.66</v>
      </c>
      <c r="FT109" s="1439"/>
      <c r="FU109" s="1422">
        <v>0</v>
      </c>
      <c r="FV109" s="1439"/>
      <c r="FW109" s="1420">
        <v>2878069.97</v>
      </c>
      <c r="FX109" s="1439"/>
      <c r="FY109" s="1420">
        <v>405094.39</v>
      </c>
      <c r="FZ109" s="1439"/>
      <c r="GA109" s="1422">
        <v>0</v>
      </c>
      <c r="GB109" s="1439"/>
    </row>
    <row r="110" spans="1:184" ht="12.75" customHeight="1" thickBot="1">
      <c r="A110" s="1418" t="s">
        <v>444</v>
      </c>
      <c r="B110" s="1418" t="s">
        <v>445</v>
      </c>
      <c r="C110" s="1420">
        <v>270.54000000000002</v>
      </c>
      <c r="D110" s="1439"/>
      <c r="E110" s="1420">
        <v>784.16</v>
      </c>
      <c r="F110" s="1439"/>
      <c r="G110" s="1421">
        <v>7.0000000000000007E-2</v>
      </c>
      <c r="H110" s="1439"/>
      <c r="I110" s="1420">
        <v>828.93</v>
      </c>
      <c r="J110" s="1439"/>
      <c r="K110" s="1420">
        <v>831.65</v>
      </c>
      <c r="L110" s="1439"/>
      <c r="M110" s="1422">
        <v>141616799</v>
      </c>
      <c r="N110" s="1439"/>
      <c r="O110" s="1420">
        <v>34.9</v>
      </c>
      <c r="P110" s="1439"/>
      <c r="Q110" s="1422">
        <v>25</v>
      </c>
      <c r="R110" s="1439"/>
      <c r="S110" s="1420">
        <v>9.9</v>
      </c>
      <c r="T110" s="1439"/>
      <c r="U110" s="1422">
        <v>0</v>
      </c>
      <c r="V110" s="1439"/>
      <c r="W110" s="1420">
        <v>3.3</v>
      </c>
      <c r="X110" s="1439"/>
      <c r="Y110" s="1420">
        <v>38.200000000000003</v>
      </c>
      <c r="Z110" s="1439"/>
      <c r="AA110" s="1420">
        <v>3327486.84</v>
      </c>
      <c r="AB110" s="1455"/>
      <c r="AC110" s="1424">
        <v>5275596.5599999996</v>
      </c>
      <c r="AD110" s="1422">
        <v>4965747</v>
      </c>
      <c r="AE110" s="1420">
        <v>681759.37</v>
      </c>
      <c r="AF110" s="1420">
        <v>478968.98</v>
      </c>
      <c r="AG110" s="1420">
        <v>922.77</v>
      </c>
      <c r="AH110" s="1456">
        <v>1000</v>
      </c>
      <c r="AI110" s="1428">
        <v>1602132</v>
      </c>
      <c r="AJ110" s="1422">
        <v>1597539</v>
      </c>
      <c r="AK110" s="1422">
        <v>36155</v>
      </c>
      <c r="AL110" s="1422">
        <v>35000</v>
      </c>
      <c r="AM110" s="1422">
        <v>72848</v>
      </c>
      <c r="AN110" s="1422">
        <v>0</v>
      </c>
      <c r="AO110" s="1422">
        <v>0</v>
      </c>
      <c r="AP110" s="1422">
        <v>6820</v>
      </c>
      <c r="AQ110" s="1422">
        <v>0</v>
      </c>
      <c r="AR110" s="1422">
        <v>0</v>
      </c>
      <c r="AS110" s="1422">
        <v>32848</v>
      </c>
      <c r="AT110" s="1422">
        <v>32000</v>
      </c>
      <c r="AU110" s="1422">
        <v>17965</v>
      </c>
      <c r="AV110" s="1422">
        <v>14372</v>
      </c>
      <c r="AW110" s="1422">
        <v>0</v>
      </c>
      <c r="AX110" s="1422">
        <v>0</v>
      </c>
      <c r="AY110" s="1420">
        <v>7720226.7000000002</v>
      </c>
      <c r="AZ110" s="1420">
        <v>7131446.9800000004</v>
      </c>
      <c r="BA110" s="1422">
        <v>0</v>
      </c>
      <c r="BB110" s="1422">
        <v>0</v>
      </c>
      <c r="BC110" s="1422">
        <v>34397</v>
      </c>
      <c r="BD110" s="1422">
        <v>35151</v>
      </c>
      <c r="BE110" s="1420">
        <v>28564.29</v>
      </c>
      <c r="BF110" s="1422">
        <v>22400</v>
      </c>
      <c r="BG110" s="1422">
        <v>150</v>
      </c>
      <c r="BH110" s="1422">
        <v>0</v>
      </c>
      <c r="BI110" s="1422">
        <v>9832</v>
      </c>
      <c r="BJ110" s="1422">
        <v>28518</v>
      </c>
      <c r="BK110" s="1422">
        <v>0</v>
      </c>
      <c r="BL110" s="1422">
        <v>0</v>
      </c>
      <c r="BM110" s="1422">
        <v>240064</v>
      </c>
      <c r="BN110" s="1422">
        <v>270710</v>
      </c>
      <c r="BO110" s="1420">
        <v>182498.72</v>
      </c>
      <c r="BP110" s="1422">
        <v>108628</v>
      </c>
      <c r="BQ110" s="1422">
        <v>0</v>
      </c>
      <c r="BR110" s="1422">
        <v>0</v>
      </c>
      <c r="BS110" s="1420">
        <v>3235.85</v>
      </c>
      <c r="BT110" s="1422">
        <v>3200</v>
      </c>
      <c r="BU110" s="1422">
        <v>0</v>
      </c>
      <c r="BV110" s="1422">
        <v>0</v>
      </c>
      <c r="BW110" s="1422">
        <v>391040</v>
      </c>
      <c r="BX110" s="1422">
        <v>388800</v>
      </c>
      <c r="BY110" s="1422">
        <v>0</v>
      </c>
      <c r="BZ110" s="1422">
        <v>0</v>
      </c>
      <c r="CA110" s="1422">
        <v>36450</v>
      </c>
      <c r="CB110" s="1422">
        <v>49500</v>
      </c>
      <c r="CC110" s="1420">
        <v>926231.86</v>
      </c>
      <c r="CD110" s="1422">
        <v>906907</v>
      </c>
      <c r="CE110" s="1420">
        <v>1361221.1</v>
      </c>
      <c r="CF110" s="1420">
        <v>1390744.42</v>
      </c>
      <c r="CG110" s="1422">
        <v>478700</v>
      </c>
      <c r="CH110" s="1422">
        <v>0</v>
      </c>
      <c r="CI110" s="1422">
        <v>0</v>
      </c>
      <c r="CJ110" s="1422">
        <v>0</v>
      </c>
      <c r="CK110" s="1422">
        <v>0</v>
      </c>
      <c r="CL110" s="1422">
        <v>0</v>
      </c>
      <c r="CM110" s="1422">
        <v>1000</v>
      </c>
      <c r="CN110" s="1422">
        <v>0</v>
      </c>
      <c r="CO110" s="1422">
        <v>14620</v>
      </c>
      <c r="CP110" s="1422">
        <v>0</v>
      </c>
      <c r="CQ110" s="1422">
        <v>0</v>
      </c>
      <c r="CR110" s="1422">
        <v>0</v>
      </c>
      <c r="CS110" s="1422">
        <v>494320</v>
      </c>
      <c r="CT110" s="1422">
        <v>0</v>
      </c>
      <c r="CU110" s="1420">
        <v>10501999.66</v>
      </c>
      <c r="CV110" s="1420">
        <v>9429098.4000000004</v>
      </c>
      <c r="CW110" s="1420">
        <v>3719338.42</v>
      </c>
      <c r="CX110" s="1420">
        <v>3312744.49</v>
      </c>
      <c r="CY110" s="1420">
        <v>712704.77</v>
      </c>
      <c r="CZ110" s="1420">
        <v>771273.81</v>
      </c>
      <c r="DA110" s="1420">
        <v>341730.17</v>
      </c>
      <c r="DB110" s="1420">
        <v>353543.29</v>
      </c>
      <c r="DC110" s="1422">
        <v>0</v>
      </c>
      <c r="DD110" s="1422">
        <v>0</v>
      </c>
      <c r="DE110" s="1420">
        <v>276815.14</v>
      </c>
      <c r="DF110" s="1420">
        <v>349201.74</v>
      </c>
      <c r="DG110" s="1420">
        <v>344598.62</v>
      </c>
      <c r="DH110" s="1420">
        <v>451362.08</v>
      </c>
      <c r="DI110" s="1420">
        <v>5395187.1200000001</v>
      </c>
      <c r="DJ110" s="1420">
        <v>5238125.41</v>
      </c>
      <c r="DK110" s="1420">
        <v>294059.59999999998</v>
      </c>
      <c r="DL110" s="1420">
        <v>262889.34000000003</v>
      </c>
      <c r="DM110" s="1420">
        <v>185503.62</v>
      </c>
      <c r="DN110" s="1420">
        <v>123969.79</v>
      </c>
      <c r="DO110" s="1420">
        <v>1249870.5900000001</v>
      </c>
      <c r="DP110" s="1420">
        <v>1224099.44</v>
      </c>
      <c r="DQ110" s="1420">
        <v>500843.62</v>
      </c>
      <c r="DR110" s="1420">
        <v>541999.01</v>
      </c>
      <c r="DS110" s="1420">
        <v>46184.46</v>
      </c>
      <c r="DT110" s="1422">
        <v>13500</v>
      </c>
      <c r="DU110" s="1420">
        <v>2276461.89</v>
      </c>
      <c r="DV110" s="1420">
        <v>2166457.58</v>
      </c>
      <c r="DW110" s="1420">
        <v>339121.24</v>
      </c>
      <c r="DX110" s="1420">
        <v>430030.88</v>
      </c>
      <c r="DY110" s="1420">
        <v>579405.07999999996</v>
      </c>
      <c r="DZ110" s="1420">
        <v>541428.54</v>
      </c>
      <c r="EA110" s="1420">
        <v>316248.38</v>
      </c>
      <c r="EB110" s="1420">
        <v>329759.81</v>
      </c>
      <c r="EC110" s="1420">
        <v>1234774.7</v>
      </c>
      <c r="ED110" s="1420">
        <v>1301219.23</v>
      </c>
      <c r="EE110" s="1420">
        <v>526598.5</v>
      </c>
      <c r="EF110" s="1420">
        <v>504348.58</v>
      </c>
      <c r="EG110" s="1420">
        <v>22193.56</v>
      </c>
      <c r="EH110" s="1422">
        <v>0</v>
      </c>
      <c r="EI110" s="1420">
        <v>73881.759999999995</v>
      </c>
      <c r="EJ110" s="1420">
        <v>45669.5</v>
      </c>
      <c r="EK110" s="1422">
        <v>0</v>
      </c>
      <c r="EL110" s="1422">
        <v>0</v>
      </c>
      <c r="EM110" s="1420">
        <v>622673.81999999995</v>
      </c>
      <c r="EN110" s="1420">
        <v>550018.07999999996</v>
      </c>
      <c r="EO110" s="1420">
        <v>634578.27</v>
      </c>
      <c r="EP110" s="1422">
        <v>1269898</v>
      </c>
      <c r="EQ110" s="1420">
        <v>312494.36</v>
      </c>
      <c r="ER110" s="1420">
        <v>303483.12</v>
      </c>
      <c r="ES110" s="1422">
        <v>0</v>
      </c>
      <c r="ET110" s="1422">
        <v>500</v>
      </c>
      <c r="EU110" s="1420">
        <v>10476170.16</v>
      </c>
      <c r="EV110" s="1420">
        <v>10829701.42</v>
      </c>
      <c r="EW110" s="1420">
        <v>1007986.93</v>
      </c>
      <c r="EX110" s="1420">
        <v>1708458.43</v>
      </c>
      <c r="EY110" s="1420">
        <v>312494.36</v>
      </c>
      <c r="EZ110" s="1420">
        <v>303483.12</v>
      </c>
      <c r="FA110" s="1420">
        <v>9155688.8699999992</v>
      </c>
      <c r="FB110" s="1420">
        <v>8817759.8699999992</v>
      </c>
      <c r="FC110" s="1420">
        <v>981702.4</v>
      </c>
      <c r="FD110" s="1439"/>
      <c r="FE110" s="1420">
        <v>8173986.4699999997</v>
      </c>
      <c r="FF110" s="1439"/>
      <c r="FG110" s="1422">
        <v>10423</v>
      </c>
      <c r="FH110" s="1439"/>
      <c r="FI110" s="1420">
        <v>70.63</v>
      </c>
      <c r="FJ110" s="1439"/>
      <c r="FK110" s="1422">
        <v>39802</v>
      </c>
      <c r="FL110" s="1439"/>
      <c r="FM110" s="1420">
        <v>77.180000000000007</v>
      </c>
      <c r="FN110" s="1439"/>
      <c r="FO110" s="1422">
        <v>41319</v>
      </c>
      <c r="FP110" s="1439"/>
      <c r="FQ110" s="1420">
        <v>5696047.3300000001</v>
      </c>
      <c r="FR110" s="1439"/>
      <c r="FS110" s="1420">
        <v>63342.080000000002</v>
      </c>
      <c r="FT110" s="1439"/>
      <c r="FU110" s="1422">
        <v>0</v>
      </c>
      <c r="FV110" s="1439"/>
      <c r="FW110" s="1420">
        <v>5632705.25</v>
      </c>
      <c r="FX110" s="1439"/>
      <c r="FY110" s="1420">
        <v>1211894.3400000001</v>
      </c>
      <c r="FZ110" s="1439"/>
      <c r="GA110" s="1422">
        <v>0</v>
      </c>
      <c r="GB110" s="1439"/>
    </row>
    <row r="111" spans="1:184" ht="12.75" customHeight="1" thickBot="1">
      <c r="A111" s="1418" t="s">
        <v>446</v>
      </c>
      <c r="B111" s="1418" t="s">
        <v>447</v>
      </c>
      <c r="C111" s="1420">
        <v>192.65</v>
      </c>
      <c r="D111" s="1439"/>
      <c r="E111" s="1420">
        <v>394.84</v>
      </c>
      <c r="F111" s="1439"/>
      <c r="G111" s="1421">
        <v>-0.13</v>
      </c>
      <c r="H111" s="1439"/>
      <c r="I111" s="1420">
        <v>419.37</v>
      </c>
      <c r="J111" s="1439"/>
      <c r="K111" s="1420">
        <v>407.59</v>
      </c>
      <c r="L111" s="1439"/>
      <c r="M111" s="1422">
        <v>30336500</v>
      </c>
      <c r="N111" s="1439"/>
      <c r="O111" s="1422">
        <v>25</v>
      </c>
      <c r="P111" s="1439"/>
      <c r="Q111" s="1422">
        <v>25</v>
      </c>
      <c r="R111" s="1439"/>
      <c r="S111" s="1422">
        <v>0</v>
      </c>
      <c r="T111" s="1439"/>
      <c r="U111" s="1422">
        <v>0</v>
      </c>
      <c r="V111" s="1439"/>
      <c r="W111" s="1420">
        <v>17.3</v>
      </c>
      <c r="X111" s="1439"/>
      <c r="Y111" s="1420">
        <v>42.3</v>
      </c>
      <c r="Z111" s="1439"/>
      <c r="AA111" s="1420">
        <v>3914044.17</v>
      </c>
      <c r="AB111" s="1455"/>
      <c r="AC111" s="1424">
        <v>1151685.44</v>
      </c>
      <c r="AD111" s="1422">
        <v>1156466</v>
      </c>
      <c r="AE111" s="1420">
        <v>317119.28999999998</v>
      </c>
      <c r="AF111" s="1422">
        <v>85500</v>
      </c>
      <c r="AG111" s="1420">
        <v>1211.55</v>
      </c>
      <c r="AH111" s="1456">
        <v>1000</v>
      </c>
      <c r="AI111" s="1428">
        <v>1710510</v>
      </c>
      <c r="AJ111" s="1422">
        <v>1780042</v>
      </c>
      <c r="AK111" s="1422">
        <v>33779</v>
      </c>
      <c r="AL111" s="1422">
        <v>0</v>
      </c>
      <c r="AM111" s="1422">
        <v>70906</v>
      </c>
      <c r="AN111" s="1422">
        <v>0</v>
      </c>
      <c r="AO111" s="1422">
        <v>0</v>
      </c>
      <c r="AP111" s="1422">
        <v>0</v>
      </c>
      <c r="AQ111" s="1422">
        <v>0</v>
      </c>
      <c r="AR111" s="1422">
        <v>0</v>
      </c>
      <c r="AS111" s="1422">
        <v>0</v>
      </c>
      <c r="AT111" s="1422">
        <v>0</v>
      </c>
      <c r="AU111" s="1422">
        <v>0</v>
      </c>
      <c r="AV111" s="1422">
        <v>0</v>
      </c>
      <c r="AW111" s="1422">
        <v>0</v>
      </c>
      <c r="AX111" s="1422">
        <v>0</v>
      </c>
      <c r="AY111" s="1420">
        <v>3285211.28</v>
      </c>
      <c r="AZ111" s="1422">
        <v>3023008</v>
      </c>
      <c r="BA111" s="1422">
        <v>0</v>
      </c>
      <c r="BB111" s="1422">
        <v>0</v>
      </c>
      <c r="BC111" s="1422">
        <v>16858</v>
      </c>
      <c r="BD111" s="1422">
        <v>17741</v>
      </c>
      <c r="BE111" s="1422">
        <v>5200</v>
      </c>
      <c r="BF111" s="1422">
        <v>0</v>
      </c>
      <c r="BG111" s="1422">
        <v>500</v>
      </c>
      <c r="BH111" s="1422">
        <v>0</v>
      </c>
      <c r="BI111" s="1422">
        <v>4510</v>
      </c>
      <c r="BJ111" s="1422">
        <v>0</v>
      </c>
      <c r="BK111" s="1422">
        <v>0</v>
      </c>
      <c r="BL111" s="1422">
        <v>0</v>
      </c>
      <c r="BM111" s="1422">
        <v>118048</v>
      </c>
      <c r="BN111" s="1422">
        <v>124476</v>
      </c>
      <c r="BO111" s="1420">
        <v>1669.76</v>
      </c>
      <c r="BP111" s="1422">
        <v>0</v>
      </c>
      <c r="BQ111" s="1422">
        <v>0</v>
      </c>
      <c r="BR111" s="1422">
        <v>0</v>
      </c>
      <c r="BS111" s="1420">
        <v>1605.05</v>
      </c>
      <c r="BT111" s="1422">
        <v>1600</v>
      </c>
      <c r="BU111" s="1422">
        <v>0</v>
      </c>
      <c r="BV111" s="1422">
        <v>0</v>
      </c>
      <c r="BW111" s="1422">
        <v>0</v>
      </c>
      <c r="BX111" s="1422">
        <v>0</v>
      </c>
      <c r="BY111" s="1422">
        <v>0</v>
      </c>
      <c r="BZ111" s="1422">
        <v>0</v>
      </c>
      <c r="CA111" s="1422">
        <v>41597</v>
      </c>
      <c r="CB111" s="1422">
        <v>38795</v>
      </c>
      <c r="CC111" s="1420">
        <v>189987.81</v>
      </c>
      <c r="CD111" s="1422">
        <v>182612</v>
      </c>
      <c r="CE111" s="1420">
        <v>1202673.2</v>
      </c>
      <c r="CF111" s="1420">
        <v>769216.99</v>
      </c>
      <c r="CG111" s="1422">
        <v>0</v>
      </c>
      <c r="CH111" s="1422">
        <v>0</v>
      </c>
      <c r="CI111" s="1422">
        <v>0</v>
      </c>
      <c r="CJ111" s="1422">
        <v>0</v>
      </c>
      <c r="CK111" s="1422">
        <v>0</v>
      </c>
      <c r="CL111" s="1422">
        <v>0</v>
      </c>
      <c r="CM111" s="1422">
        <v>0</v>
      </c>
      <c r="CN111" s="1422">
        <v>0</v>
      </c>
      <c r="CO111" s="1420">
        <v>8359.7199999999993</v>
      </c>
      <c r="CP111" s="1422">
        <v>0</v>
      </c>
      <c r="CQ111" s="1422">
        <v>0</v>
      </c>
      <c r="CR111" s="1422">
        <v>0</v>
      </c>
      <c r="CS111" s="1420">
        <v>8359.7199999999993</v>
      </c>
      <c r="CT111" s="1422">
        <v>0</v>
      </c>
      <c r="CU111" s="1420">
        <v>4686232.01</v>
      </c>
      <c r="CV111" s="1420">
        <v>3974836.99</v>
      </c>
      <c r="CW111" s="1420">
        <v>1555457.78</v>
      </c>
      <c r="CX111" s="1420">
        <v>1370433.02</v>
      </c>
      <c r="CY111" s="1420">
        <v>271868.45</v>
      </c>
      <c r="CZ111" s="1420">
        <v>249630.53</v>
      </c>
      <c r="DA111" s="1420">
        <v>146610.1</v>
      </c>
      <c r="DB111" s="1420">
        <v>139807.42000000001</v>
      </c>
      <c r="DC111" s="1422">
        <v>0</v>
      </c>
      <c r="DD111" s="1422">
        <v>0</v>
      </c>
      <c r="DE111" s="1420">
        <v>23928.71</v>
      </c>
      <c r="DF111" s="1420">
        <v>26848.25</v>
      </c>
      <c r="DG111" s="1420">
        <v>157396.64000000001</v>
      </c>
      <c r="DH111" s="1420">
        <v>147555.32</v>
      </c>
      <c r="DI111" s="1420">
        <v>2155261.6800000002</v>
      </c>
      <c r="DJ111" s="1420">
        <v>1934274.54</v>
      </c>
      <c r="DK111" s="1420">
        <v>147641.69</v>
      </c>
      <c r="DL111" s="1420">
        <v>134489.20000000001</v>
      </c>
      <c r="DM111" s="1420">
        <v>84734.37</v>
      </c>
      <c r="DN111" s="1420">
        <v>70800.240000000005</v>
      </c>
      <c r="DO111" s="1422">
        <v>442967</v>
      </c>
      <c r="DP111" s="1420">
        <v>409004.91</v>
      </c>
      <c r="DQ111" s="1420">
        <v>170931.74</v>
      </c>
      <c r="DR111" s="1420">
        <v>202193.33</v>
      </c>
      <c r="DS111" s="1420">
        <v>16362.74</v>
      </c>
      <c r="DT111" s="1422">
        <v>0</v>
      </c>
      <c r="DU111" s="1420">
        <v>862637.54</v>
      </c>
      <c r="DV111" s="1420">
        <v>816487.68</v>
      </c>
      <c r="DW111" s="1420">
        <v>143181.23000000001</v>
      </c>
      <c r="DX111" s="1420">
        <v>146367.79</v>
      </c>
      <c r="DY111" s="1420">
        <v>534715.69999999995</v>
      </c>
      <c r="DZ111" s="1420">
        <v>379329.92</v>
      </c>
      <c r="EA111" s="1420">
        <v>190314.75</v>
      </c>
      <c r="EB111" s="1420">
        <v>238030.19</v>
      </c>
      <c r="EC111" s="1420">
        <v>868211.68</v>
      </c>
      <c r="ED111" s="1420">
        <v>763727.9</v>
      </c>
      <c r="EE111" s="1420">
        <v>346679.46</v>
      </c>
      <c r="EF111" s="1420">
        <v>341196.66</v>
      </c>
      <c r="EG111" s="1422">
        <v>760</v>
      </c>
      <c r="EH111" s="1422">
        <v>0</v>
      </c>
      <c r="EI111" s="1420">
        <v>26.21</v>
      </c>
      <c r="EJ111" s="1422">
        <v>1000</v>
      </c>
      <c r="EK111" s="1422">
        <v>0</v>
      </c>
      <c r="EL111" s="1422">
        <v>0</v>
      </c>
      <c r="EM111" s="1420">
        <v>347465.67</v>
      </c>
      <c r="EN111" s="1420">
        <v>342196.66</v>
      </c>
      <c r="EO111" s="1420">
        <v>158838.13</v>
      </c>
      <c r="EP111" s="1420">
        <v>49789.279999999999</v>
      </c>
      <c r="EQ111" s="1420">
        <v>273812.76</v>
      </c>
      <c r="ER111" s="1420">
        <v>280569.76</v>
      </c>
      <c r="ES111" s="1422">
        <v>0</v>
      </c>
      <c r="ET111" s="1422">
        <v>0</v>
      </c>
      <c r="EU111" s="1420">
        <v>4666227.46</v>
      </c>
      <c r="EV111" s="1420">
        <v>4187045.82</v>
      </c>
      <c r="EW111" s="1420">
        <v>221607.91</v>
      </c>
      <c r="EX111" s="1420">
        <v>66125.179999999993</v>
      </c>
      <c r="EY111" s="1420">
        <v>273812.76</v>
      </c>
      <c r="EZ111" s="1420">
        <v>280569.76</v>
      </c>
      <c r="FA111" s="1420">
        <v>4170806.79</v>
      </c>
      <c r="FB111" s="1420">
        <v>3840350.88</v>
      </c>
      <c r="FC111" s="1420">
        <v>314555.11</v>
      </c>
      <c r="FD111" s="1439"/>
      <c r="FE111" s="1420">
        <v>3856251.68</v>
      </c>
      <c r="FF111" s="1439"/>
      <c r="FG111" s="1422">
        <v>9766</v>
      </c>
      <c r="FH111" s="1439"/>
      <c r="FI111" s="1420">
        <v>36.21</v>
      </c>
      <c r="FJ111" s="1439"/>
      <c r="FK111" s="1422">
        <v>36786</v>
      </c>
      <c r="FL111" s="1439"/>
      <c r="FM111" s="1420">
        <v>39.31</v>
      </c>
      <c r="FN111" s="1439"/>
      <c r="FO111" s="1422">
        <v>38549</v>
      </c>
      <c r="FP111" s="1439"/>
      <c r="FQ111" s="1420">
        <v>808987.06</v>
      </c>
      <c r="FR111" s="1439"/>
      <c r="FS111" s="1420">
        <v>16025.2</v>
      </c>
      <c r="FT111" s="1439"/>
      <c r="FU111" s="1422">
        <v>0</v>
      </c>
      <c r="FV111" s="1439"/>
      <c r="FW111" s="1420">
        <v>792961.86</v>
      </c>
      <c r="FX111" s="1439"/>
      <c r="FY111" s="1420">
        <v>176848.5</v>
      </c>
      <c r="FZ111" s="1439"/>
      <c r="GA111" s="1422">
        <v>0</v>
      </c>
      <c r="GB111" s="1439"/>
    </row>
    <row r="112" spans="1:184" ht="12.75" customHeight="1" thickBot="1">
      <c r="A112" s="1418" t="s">
        <v>448</v>
      </c>
      <c r="B112" s="1418" t="s">
        <v>449</v>
      </c>
      <c r="C112" s="1420">
        <v>257.55</v>
      </c>
      <c r="D112" s="1439"/>
      <c r="E112" s="1420">
        <v>868.55</v>
      </c>
      <c r="F112" s="1439"/>
      <c r="G112" s="1421">
        <v>0.05</v>
      </c>
      <c r="H112" s="1439"/>
      <c r="I112" s="1420">
        <v>907.44</v>
      </c>
      <c r="J112" s="1439"/>
      <c r="K112" s="1420">
        <v>905.58</v>
      </c>
      <c r="L112" s="1439"/>
      <c r="M112" s="1422">
        <v>64308002</v>
      </c>
      <c r="N112" s="1439"/>
      <c r="O112" s="1420">
        <v>25.12</v>
      </c>
      <c r="P112" s="1439"/>
      <c r="Q112" s="1422">
        <v>25</v>
      </c>
      <c r="R112" s="1439"/>
      <c r="S112" s="1420">
        <v>0.12</v>
      </c>
      <c r="T112" s="1439"/>
      <c r="U112" s="1422">
        <v>0</v>
      </c>
      <c r="V112" s="1439"/>
      <c r="W112" s="1420">
        <v>13.1</v>
      </c>
      <c r="X112" s="1439"/>
      <c r="Y112" s="1420">
        <v>38.22</v>
      </c>
      <c r="Z112" s="1439"/>
      <c r="AA112" s="1422">
        <v>6985000</v>
      </c>
      <c r="AB112" s="1455"/>
      <c r="AC112" s="1424">
        <v>2196386.42</v>
      </c>
      <c r="AD112" s="1422">
        <v>1855667</v>
      </c>
      <c r="AE112" s="1420">
        <v>405663.8</v>
      </c>
      <c r="AF112" s="1422">
        <v>203100</v>
      </c>
      <c r="AG112" s="1422">
        <v>0</v>
      </c>
      <c r="AH112" s="1456">
        <v>0</v>
      </c>
      <c r="AI112" s="1428">
        <v>3932899</v>
      </c>
      <c r="AJ112" s="1422">
        <v>4018909</v>
      </c>
      <c r="AK112" s="1422">
        <v>92855</v>
      </c>
      <c r="AL112" s="1422">
        <v>0</v>
      </c>
      <c r="AM112" s="1422">
        <v>56923</v>
      </c>
      <c r="AN112" s="1422">
        <v>0</v>
      </c>
      <c r="AO112" s="1422">
        <v>0</v>
      </c>
      <c r="AP112" s="1422">
        <v>0</v>
      </c>
      <c r="AQ112" s="1422">
        <v>0</v>
      </c>
      <c r="AR112" s="1422">
        <v>0</v>
      </c>
      <c r="AS112" s="1422">
        <v>134362</v>
      </c>
      <c r="AT112" s="1422">
        <v>0</v>
      </c>
      <c r="AU112" s="1422">
        <v>0</v>
      </c>
      <c r="AV112" s="1422">
        <v>0</v>
      </c>
      <c r="AW112" s="1420">
        <v>44818.66</v>
      </c>
      <c r="AX112" s="1422">
        <v>0</v>
      </c>
      <c r="AY112" s="1420">
        <v>6863907.8799999999</v>
      </c>
      <c r="AZ112" s="1422">
        <v>6077676</v>
      </c>
      <c r="BA112" s="1422">
        <v>0</v>
      </c>
      <c r="BB112" s="1422">
        <v>0</v>
      </c>
      <c r="BC112" s="1422">
        <v>37455</v>
      </c>
      <c r="BD112" s="1422">
        <v>38590</v>
      </c>
      <c r="BE112" s="1422">
        <v>387456</v>
      </c>
      <c r="BF112" s="1422">
        <v>0</v>
      </c>
      <c r="BG112" s="1422">
        <v>2600</v>
      </c>
      <c r="BH112" s="1422">
        <v>0</v>
      </c>
      <c r="BI112" s="1422">
        <v>17552</v>
      </c>
      <c r="BJ112" s="1422">
        <v>25243</v>
      </c>
      <c r="BK112" s="1422">
        <v>0</v>
      </c>
      <c r="BL112" s="1422">
        <v>0</v>
      </c>
      <c r="BM112" s="1422">
        <v>263872</v>
      </c>
      <c r="BN112" s="1422">
        <v>259072</v>
      </c>
      <c r="BO112" s="1420">
        <v>73304.39</v>
      </c>
      <c r="BP112" s="1422">
        <v>0</v>
      </c>
      <c r="BQ112" s="1420">
        <v>29858.959999999999</v>
      </c>
      <c r="BR112" s="1422">
        <v>0</v>
      </c>
      <c r="BS112" s="1420">
        <v>3548.46</v>
      </c>
      <c r="BT112" s="1422">
        <v>3500</v>
      </c>
      <c r="BU112" s="1422">
        <v>0</v>
      </c>
      <c r="BV112" s="1422">
        <v>0</v>
      </c>
      <c r="BW112" s="1422">
        <v>97700</v>
      </c>
      <c r="BX112" s="1422">
        <v>97200</v>
      </c>
      <c r="BY112" s="1422">
        <v>0</v>
      </c>
      <c r="BZ112" s="1422">
        <v>0</v>
      </c>
      <c r="CA112" s="1422">
        <v>31074</v>
      </c>
      <c r="CB112" s="1422">
        <v>28530</v>
      </c>
      <c r="CC112" s="1420">
        <v>944420.81</v>
      </c>
      <c r="CD112" s="1422">
        <v>452135</v>
      </c>
      <c r="CE112" s="1420">
        <v>1412196.89</v>
      </c>
      <c r="CF112" s="1422">
        <v>1116917</v>
      </c>
      <c r="CG112" s="1420">
        <v>123189.14</v>
      </c>
      <c r="CH112" s="1422">
        <v>0</v>
      </c>
      <c r="CI112" s="1422">
        <v>0</v>
      </c>
      <c r="CJ112" s="1422">
        <v>0</v>
      </c>
      <c r="CK112" s="1422">
        <v>0</v>
      </c>
      <c r="CL112" s="1422">
        <v>0</v>
      </c>
      <c r="CM112" s="1422">
        <v>0</v>
      </c>
      <c r="CN112" s="1422">
        <v>0</v>
      </c>
      <c r="CO112" s="1422">
        <v>0</v>
      </c>
      <c r="CP112" s="1422">
        <v>0</v>
      </c>
      <c r="CQ112" s="1422">
        <v>0</v>
      </c>
      <c r="CR112" s="1422">
        <v>0</v>
      </c>
      <c r="CS112" s="1420">
        <v>123189.14</v>
      </c>
      <c r="CT112" s="1422">
        <v>0</v>
      </c>
      <c r="CU112" s="1420">
        <v>9343714.7200000007</v>
      </c>
      <c r="CV112" s="1422">
        <v>7646728</v>
      </c>
      <c r="CW112" s="1420">
        <v>3200474.35</v>
      </c>
      <c r="CX112" s="1422">
        <v>2792104</v>
      </c>
      <c r="CY112" s="1420">
        <v>560783.68999999994</v>
      </c>
      <c r="CZ112" s="1420">
        <v>662332.26</v>
      </c>
      <c r="DA112" s="1420">
        <v>263253.49</v>
      </c>
      <c r="DB112" s="1422">
        <v>221130</v>
      </c>
      <c r="DC112" s="1422">
        <v>0</v>
      </c>
      <c r="DD112" s="1422">
        <v>0</v>
      </c>
      <c r="DE112" s="1420">
        <v>270755.13</v>
      </c>
      <c r="DF112" s="1422">
        <v>239902</v>
      </c>
      <c r="DG112" s="1420">
        <v>174266.1</v>
      </c>
      <c r="DH112" s="1422">
        <v>284440</v>
      </c>
      <c r="DI112" s="1420">
        <v>4469532.76</v>
      </c>
      <c r="DJ112" s="1420">
        <v>4199908.26</v>
      </c>
      <c r="DK112" s="1420">
        <v>171244.67</v>
      </c>
      <c r="DL112" s="1422">
        <v>175118</v>
      </c>
      <c r="DM112" s="1420">
        <v>138673.45000000001</v>
      </c>
      <c r="DN112" s="1422">
        <v>122438</v>
      </c>
      <c r="DO112" s="1420">
        <v>877779.24</v>
      </c>
      <c r="DP112" s="1422">
        <v>865870</v>
      </c>
      <c r="DQ112" s="1420">
        <v>663449.46</v>
      </c>
      <c r="DR112" s="1422">
        <v>380077</v>
      </c>
      <c r="DS112" s="1420">
        <v>3577.9</v>
      </c>
      <c r="DT112" s="1422">
        <v>12000</v>
      </c>
      <c r="DU112" s="1420">
        <v>1854724.72</v>
      </c>
      <c r="DV112" s="1422">
        <v>1555503</v>
      </c>
      <c r="DW112" s="1420">
        <v>285012.01</v>
      </c>
      <c r="DX112" s="1422">
        <v>319975</v>
      </c>
      <c r="DY112" s="1420">
        <v>300011.89</v>
      </c>
      <c r="DZ112" s="1422">
        <v>352315</v>
      </c>
      <c r="EA112" s="1420">
        <v>361089.19</v>
      </c>
      <c r="EB112" s="1422">
        <v>358970</v>
      </c>
      <c r="EC112" s="1420">
        <v>946113.09</v>
      </c>
      <c r="ED112" s="1422">
        <v>1031260</v>
      </c>
      <c r="EE112" s="1420">
        <v>562486.99</v>
      </c>
      <c r="EF112" s="1422">
        <v>506061</v>
      </c>
      <c r="EG112" s="1422">
        <v>0</v>
      </c>
      <c r="EH112" s="1422">
        <v>0</v>
      </c>
      <c r="EI112" s="1420">
        <v>102.11</v>
      </c>
      <c r="EJ112" s="1422">
        <v>350</v>
      </c>
      <c r="EK112" s="1422">
        <v>0</v>
      </c>
      <c r="EL112" s="1422">
        <v>0</v>
      </c>
      <c r="EM112" s="1420">
        <v>562589.1</v>
      </c>
      <c r="EN112" s="1422">
        <v>506411</v>
      </c>
      <c r="EO112" s="1420">
        <v>240899.67</v>
      </c>
      <c r="EP112" s="1422">
        <v>65106</v>
      </c>
      <c r="EQ112" s="1420">
        <v>377045.27</v>
      </c>
      <c r="ER112" s="1422">
        <v>435309</v>
      </c>
      <c r="ES112" s="1422">
        <v>0</v>
      </c>
      <c r="ET112" s="1422">
        <v>0</v>
      </c>
      <c r="EU112" s="1420">
        <v>8450904.6099999994</v>
      </c>
      <c r="EV112" s="1420">
        <v>7793497.2599999998</v>
      </c>
      <c r="EW112" s="1420">
        <v>706501.14</v>
      </c>
      <c r="EX112" s="1422">
        <v>141963</v>
      </c>
      <c r="EY112" s="1420">
        <v>377045.27</v>
      </c>
      <c r="EZ112" s="1422">
        <v>435309</v>
      </c>
      <c r="FA112" s="1420">
        <v>7367358.2000000002</v>
      </c>
      <c r="FB112" s="1420">
        <v>7216225.2599999998</v>
      </c>
      <c r="FC112" s="1420">
        <v>496578.1</v>
      </c>
      <c r="FD112" s="1439"/>
      <c r="FE112" s="1420">
        <v>6870780.0999999996</v>
      </c>
      <c r="FF112" s="1439"/>
      <c r="FG112" s="1422">
        <v>7910</v>
      </c>
      <c r="FH112" s="1439"/>
      <c r="FI112" s="1420">
        <v>67.61</v>
      </c>
      <c r="FJ112" s="1439"/>
      <c r="FK112" s="1422">
        <v>40377</v>
      </c>
      <c r="FL112" s="1439"/>
      <c r="FM112" s="1420">
        <v>72.599999999999994</v>
      </c>
      <c r="FN112" s="1439"/>
      <c r="FO112" s="1422">
        <v>42210</v>
      </c>
      <c r="FP112" s="1439"/>
      <c r="FQ112" s="1420">
        <v>1774271.52</v>
      </c>
      <c r="FR112" s="1439"/>
      <c r="FS112" s="1420">
        <v>88264.79</v>
      </c>
      <c r="FT112" s="1439"/>
      <c r="FU112" s="1422">
        <v>0</v>
      </c>
      <c r="FV112" s="1439"/>
      <c r="FW112" s="1420">
        <v>1686006.73</v>
      </c>
      <c r="FX112" s="1439"/>
      <c r="FY112" s="1420">
        <v>1727928.56</v>
      </c>
      <c r="FZ112" s="1439"/>
      <c r="GA112" s="1422">
        <v>0</v>
      </c>
      <c r="GB112" s="1439"/>
    </row>
    <row r="113" spans="1:184" ht="12.75" customHeight="1" thickBot="1">
      <c r="A113" s="1418" t="s">
        <v>450</v>
      </c>
      <c r="B113" s="1418" t="s">
        <v>451</v>
      </c>
      <c r="C113" s="1420">
        <v>180.17</v>
      </c>
      <c r="D113" s="1439"/>
      <c r="E113" s="1420">
        <v>479.01</v>
      </c>
      <c r="F113" s="1439"/>
      <c r="G113" s="1421">
        <v>-0.05</v>
      </c>
      <c r="H113" s="1439"/>
      <c r="I113" s="1422">
        <v>512</v>
      </c>
      <c r="J113" s="1439"/>
      <c r="K113" s="1420">
        <v>517.44000000000005</v>
      </c>
      <c r="L113" s="1439"/>
      <c r="M113" s="1422">
        <v>51230561</v>
      </c>
      <c r="N113" s="1439"/>
      <c r="O113" s="1422">
        <v>25</v>
      </c>
      <c r="P113" s="1439"/>
      <c r="Q113" s="1422">
        <v>25</v>
      </c>
      <c r="R113" s="1439"/>
      <c r="S113" s="1422">
        <v>0</v>
      </c>
      <c r="T113" s="1439"/>
      <c r="U113" s="1422">
        <v>0</v>
      </c>
      <c r="V113" s="1439"/>
      <c r="W113" s="1422">
        <v>11</v>
      </c>
      <c r="X113" s="1439"/>
      <c r="Y113" s="1422">
        <v>36</v>
      </c>
      <c r="Z113" s="1439"/>
      <c r="AA113" s="1420">
        <v>3887296.18</v>
      </c>
      <c r="AB113" s="1455"/>
      <c r="AC113" s="1424">
        <v>1655806.61</v>
      </c>
      <c r="AD113" s="1422">
        <v>1682000</v>
      </c>
      <c r="AE113" s="1420">
        <v>331884.78999999998</v>
      </c>
      <c r="AF113" s="1422">
        <v>334800</v>
      </c>
      <c r="AG113" s="1422">
        <v>0</v>
      </c>
      <c r="AH113" s="1456">
        <v>0</v>
      </c>
      <c r="AI113" s="1428">
        <v>1900034</v>
      </c>
      <c r="AJ113" s="1422">
        <v>1889273</v>
      </c>
      <c r="AK113" s="1422">
        <v>78148</v>
      </c>
      <c r="AL113" s="1422">
        <v>78000</v>
      </c>
      <c r="AM113" s="1422">
        <v>60725</v>
      </c>
      <c r="AN113" s="1422">
        <v>0</v>
      </c>
      <c r="AO113" s="1422">
        <v>0</v>
      </c>
      <c r="AP113" s="1422">
        <v>34714</v>
      </c>
      <c r="AQ113" s="1422">
        <v>0</v>
      </c>
      <c r="AR113" s="1422">
        <v>0</v>
      </c>
      <c r="AS113" s="1422">
        <v>0</v>
      </c>
      <c r="AT113" s="1422">
        <v>0</v>
      </c>
      <c r="AU113" s="1422">
        <v>0</v>
      </c>
      <c r="AV113" s="1422">
        <v>0</v>
      </c>
      <c r="AW113" s="1422">
        <v>0</v>
      </c>
      <c r="AX113" s="1422">
        <v>0</v>
      </c>
      <c r="AY113" s="1420">
        <v>4026598.4</v>
      </c>
      <c r="AZ113" s="1422">
        <v>4018787</v>
      </c>
      <c r="BA113" s="1422">
        <v>0</v>
      </c>
      <c r="BB113" s="1422">
        <v>0</v>
      </c>
      <c r="BC113" s="1422">
        <v>21401</v>
      </c>
      <c r="BD113" s="1422">
        <v>21690</v>
      </c>
      <c r="BE113" s="1420">
        <v>3523.68</v>
      </c>
      <c r="BF113" s="1422">
        <v>6000</v>
      </c>
      <c r="BG113" s="1422">
        <v>100</v>
      </c>
      <c r="BH113" s="1422">
        <v>0</v>
      </c>
      <c r="BI113" s="1422">
        <v>62448</v>
      </c>
      <c r="BJ113" s="1422">
        <v>61636</v>
      </c>
      <c r="BK113" s="1422">
        <v>0</v>
      </c>
      <c r="BL113" s="1422">
        <v>0</v>
      </c>
      <c r="BM113" s="1422">
        <v>387872</v>
      </c>
      <c r="BN113" s="1422">
        <v>369380</v>
      </c>
      <c r="BO113" s="1420">
        <v>95568.12</v>
      </c>
      <c r="BP113" s="1422">
        <v>114093</v>
      </c>
      <c r="BQ113" s="1422">
        <v>0</v>
      </c>
      <c r="BR113" s="1422">
        <v>10656</v>
      </c>
      <c r="BS113" s="1420">
        <v>2361.21</v>
      </c>
      <c r="BT113" s="1422">
        <v>2400</v>
      </c>
      <c r="BU113" s="1422">
        <v>0</v>
      </c>
      <c r="BV113" s="1422">
        <v>0</v>
      </c>
      <c r="BW113" s="1422">
        <v>145800</v>
      </c>
      <c r="BX113" s="1422">
        <v>145800</v>
      </c>
      <c r="BY113" s="1422">
        <v>0</v>
      </c>
      <c r="BZ113" s="1422">
        <v>0</v>
      </c>
      <c r="CA113" s="1420">
        <v>37595.83</v>
      </c>
      <c r="CB113" s="1422">
        <v>13092</v>
      </c>
      <c r="CC113" s="1420">
        <v>756669.84</v>
      </c>
      <c r="CD113" s="1422">
        <v>744747</v>
      </c>
      <c r="CE113" s="1420">
        <v>1152954.07</v>
      </c>
      <c r="CF113" s="1420">
        <v>961446.69</v>
      </c>
      <c r="CG113" s="1420">
        <v>760070.09</v>
      </c>
      <c r="CH113" s="1422">
        <v>400000</v>
      </c>
      <c r="CI113" s="1422">
        <v>0</v>
      </c>
      <c r="CJ113" s="1422">
        <v>0</v>
      </c>
      <c r="CK113" s="1420">
        <v>3238.2</v>
      </c>
      <c r="CL113" s="1422">
        <v>0</v>
      </c>
      <c r="CM113" s="1422">
        <v>0</v>
      </c>
      <c r="CN113" s="1422">
        <v>0</v>
      </c>
      <c r="CO113" s="1422">
        <v>0</v>
      </c>
      <c r="CP113" s="1422">
        <v>0</v>
      </c>
      <c r="CQ113" s="1422">
        <v>0</v>
      </c>
      <c r="CR113" s="1422">
        <v>0</v>
      </c>
      <c r="CS113" s="1420">
        <v>763308.29</v>
      </c>
      <c r="CT113" s="1422">
        <v>400000</v>
      </c>
      <c r="CU113" s="1420">
        <v>6699530.5999999996</v>
      </c>
      <c r="CV113" s="1420">
        <v>6124980.6900000004</v>
      </c>
      <c r="CW113" s="1420">
        <v>1825864.58</v>
      </c>
      <c r="CX113" s="1422">
        <v>1854878</v>
      </c>
      <c r="CY113" s="1420">
        <v>327608.28999999998</v>
      </c>
      <c r="CZ113" s="1420">
        <v>447099.47</v>
      </c>
      <c r="DA113" s="1420">
        <v>204066.13</v>
      </c>
      <c r="DB113" s="1422">
        <v>229907</v>
      </c>
      <c r="DC113" s="1422">
        <v>0</v>
      </c>
      <c r="DD113" s="1422">
        <v>0</v>
      </c>
      <c r="DE113" s="1420">
        <v>342929.91999999998</v>
      </c>
      <c r="DF113" s="1422">
        <v>364998</v>
      </c>
      <c r="DG113" s="1420">
        <v>241588.53</v>
      </c>
      <c r="DH113" s="1422">
        <v>224747</v>
      </c>
      <c r="DI113" s="1420">
        <v>2942057.45</v>
      </c>
      <c r="DJ113" s="1420">
        <v>3121629.47</v>
      </c>
      <c r="DK113" s="1420">
        <v>179788.7</v>
      </c>
      <c r="DL113" s="1422">
        <v>183525</v>
      </c>
      <c r="DM113" s="1420">
        <v>89179.53</v>
      </c>
      <c r="DN113" s="1422">
        <v>65024</v>
      </c>
      <c r="DO113" s="1420">
        <v>499401.36</v>
      </c>
      <c r="DP113" s="1420">
        <v>454055.2</v>
      </c>
      <c r="DQ113" s="1420">
        <v>394646.39</v>
      </c>
      <c r="DR113" s="1422">
        <v>315467</v>
      </c>
      <c r="DS113" s="1420">
        <v>23614.880000000001</v>
      </c>
      <c r="DT113" s="1422">
        <v>20150</v>
      </c>
      <c r="DU113" s="1420">
        <v>1186630.8600000001</v>
      </c>
      <c r="DV113" s="1420">
        <v>1038221.2</v>
      </c>
      <c r="DW113" s="1420">
        <v>161701.71</v>
      </c>
      <c r="DX113" s="1422">
        <v>147834</v>
      </c>
      <c r="DY113" s="1420">
        <v>437559.82</v>
      </c>
      <c r="DZ113" s="1420">
        <v>430673.12</v>
      </c>
      <c r="EA113" s="1420">
        <v>235729.18</v>
      </c>
      <c r="EB113" s="1422">
        <v>271204</v>
      </c>
      <c r="EC113" s="1420">
        <v>834990.71</v>
      </c>
      <c r="ED113" s="1420">
        <v>849711.12</v>
      </c>
      <c r="EE113" s="1420">
        <v>390815.37</v>
      </c>
      <c r="EF113" s="1420">
        <v>377163.09</v>
      </c>
      <c r="EG113" s="1422">
        <v>0</v>
      </c>
      <c r="EH113" s="1422">
        <v>0</v>
      </c>
      <c r="EI113" s="1422">
        <v>0</v>
      </c>
      <c r="EJ113" s="1422">
        <v>0</v>
      </c>
      <c r="EK113" s="1422">
        <v>0</v>
      </c>
      <c r="EL113" s="1422">
        <v>0</v>
      </c>
      <c r="EM113" s="1420">
        <v>390815.37</v>
      </c>
      <c r="EN113" s="1420">
        <v>377163.09</v>
      </c>
      <c r="EO113" s="1420">
        <v>306929.34999999998</v>
      </c>
      <c r="EP113" s="1420">
        <v>1208262.8600000001</v>
      </c>
      <c r="EQ113" s="1420">
        <v>237238.94</v>
      </c>
      <c r="ER113" s="1422">
        <v>316656</v>
      </c>
      <c r="ES113" s="1422">
        <v>38796</v>
      </c>
      <c r="ET113" s="1422">
        <v>0</v>
      </c>
      <c r="EU113" s="1420">
        <v>5937458.6799999997</v>
      </c>
      <c r="EV113" s="1420">
        <v>6911643.7400000002</v>
      </c>
      <c r="EW113" s="1420">
        <v>431731.73</v>
      </c>
      <c r="EX113" s="1420">
        <v>1272959.8600000001</v>
      </c>
      <c r="EY113" s="1420">
        <v>237238.94</v>
      </c>
      <c r="EZ113" s="1422">
        <v>316656</v>
      </c>
      <c r="FA113" s="1420">
        <v>5268488.01</v>
      </c>
      <c r="FB113" s="1420">
        <v>5322027.88</v>
      </c>
      <c r="FC113" s="1420">
        <v>486807.81</v>
      </c>
      <c r="FD113" s="1439"/>
      <c r="FE113" s="1420">
        <v>4781680.2</v>
      </c>
      <c r="FF113" s="1439"/>
      <c r="FG113" s="1422">
        <v>9982</v>
      </c>
      <c r="FH113" s="1439"/>
      <c r="FI113" s="1420">
        <v>41.31</v>
      </c>
      <c r="FJ113" s="1439"/>
      <c r="FK113" s="1422">
        <v>39606</v>
      </c>
      <c r="FL113" s="1439"/>
      <c r="FM113" s="1420">
        <v>45.92</v>
      </c>
      <c r="FN113" s="1439"/>
      <c r="FO113" s="1422">
        <v>43725</v>
      </c>
      <c r="FP113" s="1439"/>
      <c r="FQ113" s="1420">
        <v>1492134.26</v>
      </c>
      <c r="FR113" s="1439"/>
      <c r="FS113" s="1420">
        <v>14237.32</v>
      </c>
      <c r="FT113" s="1439"/>
      <c r="FU113" s="1422">
        <v>0</v>
      </c>
      <c r="FV113" s="1439"/>
      <c r="FW113" s="1420">
        <v>1477896.94</v>
      </c>
      <c r="FX113" s="1439"/>
      <c r="FY113" s="1420">
        <v>52880.41</v>
      </c>
      <c r="FZ113" s="1439"/>
      <c r="GA113" s="1422">
        <v>0</v>
      </c>
      <c r="GB113" s="1439"/>
    </row>
    <row r="114" spans="1:184" ht="12.75" customHeight="1" thickBot="1">
      <c r="A114" s="1418" t="s">
        <v>452</v>
      </c>
      <c r="B114" s="1418" t="s">
        <v>453</v>
      </c>
      <c r="C114" s="1420">
        <v>339.15</v>
      </c>
      <c r="D114" s="1439"/>
      <c r="E114" s="1420">
        <v>1326.26</v>
      </c>
      <c r="F114" s="1439"/>
      <c r="G114" s="1421">
        <v>-0.11</v>
      </c>
      <c r="H114" s="1439"/>
      <c r="I114" s="1420">
        <v>1419.42</v>
      </c>
      <c r="J114" s="1439"/>
      <c r="K114" s="1420">
        <v>1415.2</v>
      </c>
      <c r="L114" s="1439"/>
      <c r="M114" s="1422">
        <v>125817299</v>
      </c>
      <c r="N114" s="1439"/>
      <c r="O114" s="1422">
        <v>25</v>
      </c>
      <c r="P114" s="1439"/>
      <c r="Q114" s="1422">
        <v>25</v>
      </c>
      <c r="R114" s="1439"/>
      <c r="S114" s="1422">
        <v>0</v>
      </c>
      <c r="T114" s="1439"/>
      <c r="U114" s="1422">
        <v>0</v>
      </c>
      <c r="V114" s="1439"/>
      <c r="W114" s="1422">
        <v>12</v>
      </c>
      <c r="X114" s="1439"/>
      <c r="Y114" s="1422">
        <v>37</v>
      </c>
      <c r="Z114" s="1439"/>
      <c r="AA114" s="1420">
        <v>9291549.8100000005</v>
      </c>
      <c r="AB114" s="1455"/>
      <c r="AC114" s="1424">
        <v>4338949.41</v>
      </c>
      <c r="AD114" s="1420">
        <v>4412048.8099999996</v>
      </c>
      <c r="AE114" s="1420">
        <v>570397.4</v>
      </c>
      <c r="AF114" s="1420">
        <v>246112.06</v>
      </c>
      <c r="AG114" s="1422">
        <v>0</v>
      </c>
      <c r="AH114" s="1456">
        <v>0</v>
      </c>
      <c r="AI114" s="1428">
        <v>5539600</v>
      </c>
      <c r="AJ114" s="1422">
        <v>5680830</v>
      </c>
      <c r="AK114" s="1422">
        <v>86930</v>
      </c>
      <c r="AL114" s="1422">
        <v>0</v>
      </c>
      <c r="AM114" s="1422">
        <v>0</v>
      </c>
      <c r="AN114" s="1422">
        <v>0</v>
      </c>
      <c r="AO114" s="1422">
        <v>168554</v>
      </c>
      <c r="AP114" s="1420">
        <v>171909.12</v>
      </c>
      <c r="AQ114" s="1422">
        <v>0</v>
      </c>
      <c r="AR114" s="1422">
        <v>0</v>
      </c>
      <c r="AS114" s="1422">
        <v>0</v>
      </c>
      <c r="AT114" s="1422">
        <v>0</v>
      </c>
      <c r="AU114" s="1422">
        <v>0</v>
      </c>
      <c r="AV114" s="1422">
        <v>0</v>
      </c>
      <c r="AW114" s="1422">
        <v>750</v>
      </c>
      <c r="AX114" s="1422">
        <v>0</v>
      </c>
      <c r="AY114" s="1420">
        <v>10705180.810000001</v>
      </c>
      <c r="AZ114" s="1420">
        <v>10510899.99</v>
      </c>
      <c r="BA114" s="1422">
        <v>0</v>
      </c>
      <c r="BB114" s="1422">
        <v>0</v>
      </c>
      <c r="BC114" s="1422">
        <v>58533</v>
      </c>
      <c r="BD114" s="1422">
        <v>60479</v>
      </c>
      <c r="BE114" s="1420">
        <v>36460.58</v>
      </c>
      <c r="BF114" s="1422">
        <v>12800</v>
      </c>
      <c r="BG114" s="1422">
        <v>1100</v>
      </c>
      <c r="BH114" s="1422">
        <v>0</v>
      </c>
      <c r="BI114" s="1422">
        <v>51803</v>
      </c>
      <c r="BJ114" s="1422">
        <v>64206</v>
      </c>
      <c r="BK114" s="1422">
        <v>10841</v>
      </c>
      <c r="BL114" s="1422">
        <v>0</v>
      </c>
      <c r="BM114" s="1422">
        <v>1039616</v>
      </c>
      <c r="BN114" s="1422">
        <v>1060576</v>
      </c>
      <c r="BO114" s="1420">
        <v>128046.57</v>
      </c>
      <c r="BP114" s="1420">
        <v>187006.43</v>
      </c>
      <c r="BQ114" s="1422">
        <v>3800</v>
      </c>
      <c r="BR114" s="1422">
        <v>0</v>
      </c>
      <c r="BS114" s="1420">
        <v>6311.35</v>
      </c>
      <c r="BT114" s="1422">
        <v>6300</v>
      </c>
      <c r="BU114" s="1422">
        <v>0</v>
      </c>
      <c r="BV114" s="1422">
        <v>0</v>
      </c>
      <c r="BW114" s="1422">
        <v>495720</v>
      </c>
      <c r="BX114" s="1422">
        <v>495720</v>
      </c>
      <c r="BY114" s="1422">
        <v>0</v>
      </c>
      <c r="BZ114" s="1422">
        <v>0</v>
      </c>
      <c r="CA114" s="1420">
        <v>71222.77</v>
      </c>
      <c r="CB114" s="1422">
        <v>20428</v>
      </c>
      <c r="CC114" s="1420">
        <v>1903454.27</v>
      </c>
      <c r="CD114" s="1420">
        <v>1907515.43</v>
      </c>
      <c r="CE114" s="1420">
        <v>3883591.29</v>
      </c>
      <c r="CF114" s="1420">
        <v>3563178.49</v>
      </c>
      <c r="CG114" s="1422">
        <v>0</v>
      </c>
      <c r="CH114" s="1422">
        <v>0</v>
      </c>
      <c r="CI114" s="1422">
        <v>0</v>
      </c>
      <c r="CJ114" s="1422">
        <v>0</v>
      </c>
      <c r="CK114" s="1420">
        <v>23951.27</v>
      </c>
      <c r="CL114" s="1422">
        <v>29500</v>
      </c>
      <c r="CM114" s="1422">
        <v>0</v>
      </c>
      <c r="CN114" s="1422">
        <v>0</v>
      </c>
      <c r="CO114" s="1422">
        <v>0</v>
      </c>
      <c r="CP114" s="1422">
        <v>0</v>
      </c>
      <c r="CQ114" s="1422">
        <v>0</v>
      </c>
      <c r="CR114" s="1422">
        <v>0</v>
      </c>
      <c r="CS114" s="1420">
        <v>23951.27</v>
      </c>
      <c r="CT114" s="1422">
        <v>29500</v>
      </c>
      <c r="CU114" s="1420">
        <v>16516177.640000001</v>
      </c>
      <c r="CV114" s="1420">
        <v>16011093.91</v>
      </c>
      <c r="CW114" s="1420">
        <v>5075539.68</v>
      </c>
      <c r="CX114" s="1420">
        <v>5462439.7699999996</v>
      </c>
      <c r="CY114" s="1420">
        <v>1109807.1599999999</v>
      </c>
      <c r="CZ114" s="1420">
        <v>1269955.79</v>
      </c>
      <c r="DA114" s="1420">
        <v>399456.84</v>
      </c>
      <c r="DB114" s="1420">
        <v>451361.93</v>
      </c>
      <c r="DC114" s="1422">
        <v>0</v>
      </c>
      <c r="DD114" s="1422">
        <v>0</v>
      </c>
      <c r="DE114" s="1420">
        <v>933699.11</v>
      </c>
      <c r="DF114" s="1420">
        <v>1037837.19</v>
      </c>
      <c r="DG114" s="1420">
        <v>783520.5</v>
      </c>
      <c r="DH114" s="1420">
        <v>772742.36</v>
      </c>
      <c r="DI114" s="1420">
        <v>8302023.29</v>
      </c>
      <c r="DJ114" s="1420">
        <v>8994337.0399999991</v>
      </c>
      <c r="DK114" s="1420">
        <v>325855.89</v>
      </c>
      <c r="DL114" s="1420">
        <v>310868.65999999997</v>
      </c>
      <c r="DM114" s="1420">
        <v>302632.24</v>
      </c>
      <c r="DN114" s="1420">
        <v>204063.56</v>
      </c>
      <c r="DO114" s="1420">
        <v>1443661.39</v>
      </c>
      <c r="DP114" s="1420">
        <v>1257051.21</v>
      </c>
      <c r="DQ114" s="1420">
        <v>579929.75</v>
      </c>
      <c r="DR114" s="1420">
        <v>624006.11</v>
      </c>
      <c r="DS114" s="1420">
        <v>70950.97</v>
      </c>
      <c r="DT114" s="1420">
        <v>74370.350000000006</v>
      </c>
      <c r="DU114" s="1420">
        <v>2723030.24</v>
      </c>
      <c r="DV114" s="1420">
        <v>2470359.89</v>
      </c>
      <c r="DW114" s="1420">
        <v>565911.06000000006</v>
      </c>
      <c r="DX114" s="1420">
        <v>556923.13</v>
      </c>
      <c r="DY114" s="1420">
        <v>1045192.84</v>
      </c>
      <c r="DZ114" s="1420">
        <v>1322981.43</v>
      </c>
      <c r="EA114" s="1420">
        <v>604664.19999999995</v>
      </c>
      <c r="EB114" s="1420">
        <v>622936.72</v>
      </c>
      <c r="EC114" s="1420">
        <v>2215768.1</v>
      </c>
      <c r="ED114" s="1420">
        <v>2502841.2799999998</v>
      </c>
      <c r="EE114" s="1420">
        <v>954698.9</v>
      </c>
      <c r="EF114" s="1422">
        <v>865700</v>
      </c>
      <c r="EG114" s="1420">
        <v>474.26</v>
      </c>
      <c r="EH114" s="1422">
        <v>0</v>
      </c>
      <c r="EI114" s="1422">
        <v>7686</v>
      </c>
      <c r="EJ114" s="1420">
        <v>16009.03</v>
      </c>
      <c r="EK114" s="1422">
        <v>0</v>
      </c>
      <c r="EL114" s="1422">
        <v>0</v>
      </c>
      <c r="EM114" s="1420">
        <v>962859.16</v>
      </c>
      <c r="EN114" s="1420">
        <v>881709.03</v>
      </c>
      <c r="EO114" s="1420">
        <v>642994.01</v>
      </c>
      <c r="EP114" s="1420">
        <v>673748.45</v>
      </c>
      <c r="EQ114" s="1420">
        <v>932779.63</v>
      </c>
      <c r="ER114" s="1420">
        <v>935641.59</v>
      </c>
      <c r="ES114" s="1422">
        <v>0</v>
      </c>
      <c r="ET114" s="1420">
        <v>5090.92</v>
      </c>
      <c r="EU114" s="1420">
        <v>15779454.43</v>
      </c>
      <c r="EV114" s="1420">
        <v>16463728.199999999</v>
      </c>
      <c r="EW114" s="1420">
        <v>799014.91</v>
      </c>
      <c r="EX114" s="1420">
        <v>932361.04</v>
      </c>
      <c r="EY114" s="1420">
        <v>932779.63</v>
      </c>
      <c r="EZ114" s="1420">
        <v>935641.59</v>
      </c>
      <c r="FA114" s="1420">
        <v>14047659.890000001</v>
      </c>
      <c r="FB114" s="1420">
        <v>14595725.57</v>
      </c>
      <c r="FC114" s="1420">
        <v>942267.28</v>
      </c>
      <c r="FD114" s="1439"/>
      <c r="FE114" s="1420">
        <v>13105392.609999999</v>
      </c>
      <c r="FF114" s="1439"/>
      <c r="FG114" s="1422">
        <v>9881</v>
      </c>
      <c r="FH114" s="1439"/>
      <c r="FI114" s="1420">
        <v>111.05</v>
      </c>
      <c r="FJ114" s="1439"/>
      <c r="FK114" s="1422">
        <v>37773</v>
      </c>
      <c r="FL114" s="1439"/>
      <c r="FM114" s="1420">
        <v>121.95</v>
      </c>
      <c r="FN114" s="1439"/>
      <c r="FO114" s="1422">
        <v>40127</v>
      </c>
      <c r="FP114" s="1439"/>
      <c r="FQ114" s="1420">
        <v>2832680.48</v>
      </c>
      <c r="FR114" s="1439"/>
      <c r="FS114" s="1420">
        <v>668631.87</v>
      </c>
      <c r="FT114" s="1439"/>
      <c r="FU114" s="1422">
        <v>0</v>
      </c>
      <c r="FV114" s="1439"/>
      <c r="FW114" s="1420">
        <v>2164048.61</v>
      </c>
      <c r="FX114" s="1439"/>
      <c r="FY114" s="1420">
        <v>1071448.27</v>
      </c>
      <c r="FZ114" s="1439"/>
      <c r="GA114" s="1422">
        <v>0</v>
      </c>
      <c r="GB114" s="1439"/>
    </row>
    <row r="115" spans="1:184" ht="12.75" customHeight="1" thickBot="1">
      <c r="A115" s="1418" t="s">
        <v>454</v>
      </c>
      <c r="B115" s="1418" t="s">
        <v>455</v>
      </c>
      <c r="C115" s="1420">
        <v>254.66</v>
      </c>
      <c r="D115" s="1439"/>
      <c r="E115" s="1420">
        <v>769.9</v>
      </c>
      <c r="F115" s="1439"/>
      <c r="G115" s="1421">
        <v>-0.05</v>
      </c>
      <c r="H115" s="1439"/>
      <c r="I115" s="1420">
        <v>813.32</v>
      </c>
      <c r="J115" s="1439"/>
      <c r="K115" s="1420">
        <v>803.87</v>
      </c>
      <c r="L115" s="1439"/>
      <c r="M115" s="1422">
        <v>50619433</v>
      </c>
      <c r="N115" s="1439"/>
      <c r="O115" s="1422">
        <v>25</v>
      </c>
      <c r="P115" s="1439"/>
      <c r="Q115" s="1422">
        <v>25</v>
      </c>
      <c r="R115" s="1439"/>
      <c r="S115" s="1422">
        <v>0</v>
      </c>
      <c r="T115" s="1439"/>
      <c r="U115" s="1422">
        <v>0</v>
      </c>
      <c r="V115" s="1439"/>
      <c r="W115" s="1422">
        <v>8</v>
      </c>
      <c r="X115" s="1439"/>
      <c r="Y115" s="1422">
        <v>33</v>
      </c>
      <c r="Z115" s="1439"/>
      <c r="AA115" s="1422">
        <v>5070000</v>
      </c>
      <c r="AB115" s="1455"/>
      <c r="AC115" s="1424">
        <v>1531061.68</v>
      </c>
      <c r="AD115" s="1422">
        <v>1679500</v>
      </c>
      <c r="AE115" s="1420">
        <v>411302.99</v>
      </c>
      <c r="AF115" s="1422">
        <v>255200</v>
      </c>
      <c r="AG115" s="1422">
        <v>0</v>
      </c>
      <c r="AH115" s="1456">
        <v>0</v>
      </c>
      <c r="AI115" s="1428">
        <v>3630267</v>
      </c>
      <c r="AJ115" s="1422">
        <v>3767553</v>
      </c>
      <c r="AK115" s="1422">
        <v>58311</v>
      </c>
      <c r="AL115" s="1422">
        <v>50113</v>
      </c>
      <c r="AM115" s="1422">
        <v>60396</v>
      </c>
      <c r="AN115" s="1422">
        <v>7979</v>
      </c>
      <c r="AO115" s="1422">
        <v>0</v>
      </c>
      <c r="AP115" s="1422">
        <v>0</v>
      </c>
      <c r="AQ115" s="1422">
        <v>0</v>
      </c>
      <c r="AR115" s="1422">
        <v>0</v>
      </c>
      <c r="AS115" s="1422">
        <v>77274</v>
      </c>
      <c r="AT115" s="1422">
        <v>79000</v>
      </c>
      <c r="AU115" s="1422">
        <v>0</v>
      </c>
      <c r="AV115" s="1422">
        <v>0</v>
      </c>
      <c r="AW115" s="1422">
        <v>0</v>
      </c>
      <c r="AX115" s="1422">
        <v>0</v>
      </c>
      <c r="AY115" s="1420">
        <v>5768612.6699999999</v>
      </c>
      <c r="AZ115" s="1422">
        <v>5839345</v>
      </c>
      <c r="BA115" s="1422">
        <v>0</v>
      </c>
      <c r="BB115" s="1422">
        <v>0</v>
      </c>
      <c r="BC115" s="1422">
        <v>33248</v>
      </c>
      <c r="BD115" s="1422">
        <v>34542</v>
      </c>
      <c r="BE115" s="1420">
        <v>4825.3100000000004</v>
      </c>
      <c r="BF115" s="1422">
        <v>2800</v>
      </c>
      <c r="BG115" s="1422">
        <v>0</v>
      </c>
      <c r="BH115" s="1422">
        <v>0</v>
      </c>
      <c r="BI115" s="1422">
        <v>47862</v>
      </c>
      <c r="BJ115" s="1422">
        <v>10238</v>
      </c>
      <c r="BK115" s="1422">
        <v>586</v>
      </c>
      <c r="BL115" s="1422">
        <v>0</v>
      </c>
      <c r="BM115" s="1422">
        <v>269824</v>
      </c>
      <c r="BN115" s="1422">
        <v>267674</v>
      </c>
      <c r="BO115" s="1420">
        <v>3293.21</v>
      </c>
      <c r="BP115" s="1422">
        <v>0</v>
      </c>
      <c r="BQ115" s="1420">
        <v>50386.22</v>
      </c>
      <c r="BR115" s="1422">
        <v>0</v>
      </c>
      <c r="BS115" s="1420">
        <v>3424.37</v>
      </c>
      <c r="BT115" s="1422">
        <v>0</v>
      </c>
      <c r="BU115" s="1422">
        <v>0</v>
      </c>
      <c r="BV115" s="1422">
        <v>0</v>
      </c>
      <c r="BW115" s="1422">
        <v>291114</v>
      </c>
      <c r="BX115" s="1422">
        <v>291600</v>
      </c>
      <c r="BY115" s="1422">
        <v>0</v>
      </c>
      <c r="BZ115" s="1422">
        <v>0</v>
      </c>
      <c r="CA115" s="1422">
        <v>66902</v>
      </c>
      <c r="CB115" s="1422">
        <v>60750</v>
      </c>
      <c r="CC115" s="1420">
        <v>771465.11</v>
      </c>
      <c r="CD115" s="1422">
        <v>667604</v>
      </c>
      <c r="CE115" s="1420">
        <v>1561574.92</v>
      </c>
      <c r="CF115" s="1420">
        <v>839562.23999999999</v>
      </c>
      <c r="CG115" s="1422">
        <v>0</v>
      </c>
      <c r="CH115" s="1422">
        <v>0</v>
      </c>
      <c r="CI115" s="1422">
        <v>0</v>
      </c>
      <c r="CJ115" s="1422">
        <v>0</v>
      </c>
      <c r="CK115" s="1422">
        <v>0</v>
      </c>
      <c r="CL115" s="1422">
        <v>0</v>
      </c>
      <c r="CM115" s="1420">
        <v>100221.38</v>
      </c>
      <c r="CN115" s="1422">
        <v>0</v>
      </c>
      <c r="CO115" s="1422">
        <v>0</v>
      </c>
      <c r="CP115" s="1422">
        <v>0</v>
      </c>
      <c r="CQ115" s="1422">
        <v>0</v>
      </c>
      <c r="CR115" s="1422">
        <v>0</v>
      </c>
      <c r="CS115" s="1420">
        <v>100221.38</v>
      </c>
      <c r="CT115" s="1422">
        <v>0</v>
      </c>
      <c r="CU115" s="1420">
        <v>8201874.0800000001</v>
      </c>
      <c r="CV115" s="1420">
        <v>7346511.2400000002</v>
      </c>
      <c r="CW115" s="1420">
        <v>3209620.81</v>
      </c>
      <c r="CX115" s="1420">
        <v>3131804.11</v>
      </c>
      <c r="CY115" s="1420">
        <v>362587.82</v>
      </c>
      <c r="CZ115" s="1420">
        <v>360419.24</v>
      </c>
      <c r="DA115" s="1420">
        <v>265943.3</v>
      </c>
      <c r="DB115" s="1422">
        <v>272521</v>
      </c>
      <c r="DC115" s="1422">
        <v>0</v>
      </c>
      <c r="DD115" s="1422">
        <v>0</v>
      </c>
      <c r="DE115" s="1420">
        <v>239954.88</v>
      </c>
      <c r="DF115" s="1420">
        <v>156789.66</v>
      </c>
      <c r="DG115" s="1420">
        <v>113251.03</v>
      </c>
      <c r="DH115" s="1420">
        <v>111498.36</v>
      </c>
      <c r="DI115" s="1420">
        <v>4191357.84</v>
      </c>
      <c r="DJ115" s="1420">
        <v>4033032.37</v>
      </c>
      <c r="DK115" s="1420">
        <v>236061.38</v>
      </c>
      <c r="DL115" s="1422">
        <v>218232</v>
      </c>
      <c r="DM115" s="1420">
        <v>82488.23</v>
      </c>
      <c r="DN115" s="1422">
        <v>82754</v>
      </c>
      <c r="DO115" s="1420">
        <v>990831.2</v>
      </c>
      <c r="DP115" s="1422">
        <v>811130</v>
      </c>
      <c r="DQ115" s="1420">
        <v>263730.5</v>
      </c>
      <c r="DR115" s="1422">
        <v>263236</v>
      </c>
      <c r="DS115" s="1420">
        <v>29330.77</v>
      </c>
      <c r="DT115" s="1422">
        <v>21312</v>
      </c>
      <c r="DU115" s="1420">
        <v>1602442.08</v>
      </c>
      <c r="DV115" s="1422">
        <v>1396664</v>
      </c>
      <c r="DW115" s="1420">
        <v>177346.49</v>
      </c>
      <c r="DX115" s="1420">
        <v>200159.47</v>
      </c>
      <c r="DY115" s="1420">
        <v>603183.89</v>
      </c>
      <c r="DZ115" s="1420">
        <v>647695.21</v>
      </c>
      <c r="EA115" s="1420">
        <v>365280.87</v>
      </c>
      <c r="EB115" s="1422">
        <v>381799</v>
      </c>
      <c r="EC115" s="1420">
        <v>1145811.25</v>
      </c>
      <c r="ED115" s="1420">
        <v>1229653.68</v>
      </c>
      <c r="EE115" s="1420">
        <v>443759.77</v>
      </c>
      <c r="EF115" s="1422">
        <v>477230</v>
      </c>
      <c r="EG115" s="1420">
        <v>32414.84</v>
      </c>
      <c r="EH115" s="1422">
        <v>5666</v>
      </c>
      <c r="EI115" s="1420">
        <v>12447.74</v>
      </c>
      <c r="EJ115" s="1422">
        <v>1000</v>
      </c>
      <c r="EK115" s="1422">
        <v>0</v>
      </c>
      <c r="EL115" s="1422">
        <v>0</v>
      </c>
      <c r="EM115" s="1420">
        <v>488622.35</v>
      </c>
      <c r="EN115" s="1422">
        <v>483896</v>
      </c>
      <c r="EO115" s="1420">
        <v>548923.28</v>
      </c>
      <c r="EP115" s="1422">
        <v>25000</v>
      </c>
      <c r="EQ115" s="1420">
        <v>373113.78</v>
      </c>
      <c r="ER115" s="1422">
        <v>373654</v>
      </c>
      <c r="ES115" s="1422">
        <v>0</v>
      </c>
      <c r="ET115" s="1422">
        <v>0</v>
      </c>
      <c r="EU115" s="1420">
        <v>8350270.5800000001</v>
      </c>
      <c r="EV115" s="1420">
        <v>7541900.0499999998</v>
      </c>
      <c r="EW115" s="1420">
        <v>869120.75</v>
      </c>
      <c r="EX115" s="1422">
        <v>156064</v>
      </c>
      <c r="EY115" s="1420">
        <v>373113.78</v>
      </c>
      <c r="EZ115" s="1422">
        <v>373654</v>
      </c>
      <c r="FA115" s="1420">
        <v>7108036.0499999998</v>
      </c>
      <c r="FB115" s="1420">
        <v>7012182.0499999998</v>
      </c>
      <c r="FC115" s="1420">
        <v>668575.52</v>
      </c>
      <c r="FD115" s="1439"/>
      <c r="FE115" s="1420">
        <v>6439460.5300000003</v>
      </c>
      <c r="FF115" s="1439"/>
      <c r="FG115" s="1422">
        <v>8364</v>
      </c>
      <c r="FH115" s="1439"/>
      <c r="FI115" s="1420">
        <v>63.53</v>
      </c>
      <c r="FJ115" s="1439"/>
      <c r="FK115" s="1422">
        <v>38149</v>
      </c>
      <c r="FL115" s="1439"/>
      <c r="FM115" s="1420">
        <v>71.5</v>
      </c>
      <c r="FN115" s="1439"/>
      <c r="FO115" s="1422">
        <v>40812</v>
      </c>
      <c r="FP115" s="1439"/>
      <c r="FQ115" s="1420">
        <v>1967314.85</v>
      </c>
      <c r="FR115" s="1439"/>
      <c r="FS115" s="1420">
        <v>79043.28</v>
      </c>
      <c r="FT115" s="1439"/>
      <c r="FU115" s="1422">
        <v>0</v>
      </c>
      <c r="FV115" s="1439"/>
      <c r="FW115" s="1420">
        <v>1888271.57</v>
      </c>
      <c r="FX115" s="1439"/>
      <c r="FY115" s="1422">
        <v>0</v>
      </c>
      <c r="FZ115" s="1439"/>
      <c r="GA115" s="1422">
        <v>0</v>
      </c>
      <c r="GB115" s="1439"/>
    </row>
    <row r="116" spans="1:184" ht="12.75" customHeight="1" thickBot="1">
      <c r="A116" s="1418" t="s">
        <v>456</v>
      </c>
      <c r="B116" s="1418" t="s">
        <v>457</v>
      </c>
      <c r="C116" s="1420">
        <v>414.07</v>
      </c>
      <c r="D116" s="1439"/>
      <c r="E116" s="1420">
        <v>1425.52</v>
      </c>
      <c r="F116" s="1439"/>
      <c r="G116" s="1421">
        <v>-0.21</v>
      </c>
      <c r="H116" s="1439"/>
      <c r="I116" s="1420">
        <v>1522.96</v>
      </c>
      <c r="J116" s="1439"/>
      <c r="K116" s="1420">
        <v>1598.98</v>
      </c>
      <c r="L116" s="1439"/>
      <c r="M116" s="1422">
        <v>95080989</v>
      </c>
      <c r="N116" s="1439"/>
      <c r="O116" s="1422">
        <v>25</v>
      </c>
      <c r="P116" s="1439"/>
      <c r="Q116" s="1422">
        <v>25</v>
      </c>
      <c r="R116" s="1439"/>
      <c r="S116" s="1422">
        <v>0</v>
      </c>
      <c r="T116" s="1439"/>
      <c r="U116" s="1422">
        <v>0</v>
      </c>
      <c r="V116" s="1439"/>
      <c r="W116" s="1420">
        <v>15.8</v>
      </c>
      <c r="X116" s="1439"/>
      <c r="Y116" s="1420">
        <v>40.799999999999997</v>
      </c>
      <c r="Z116" s="1439"/>
      <c r="AA116" s="1420">
        <v>14563707.949999999</v>
      </c>
      <c r="AB116" s="1455"/>
      <c r="AC116" s="1424">
        <v>3714784.11</v>
      </c>
      <c r="AD116" s="1420">
        <v>3879304.36</v>
      </c>
      <c r="AE116" s="1420">
        <v>248122.46</v>
      </c>
      <c r="AF116" s="1422">
        <v>47450</v>
      </c>
      <c r="AG116" s="1420">
        <v>93.37</v>
      </c>
      <c r="AH116" s="1456">
        <v>0</v>
      </c>
      <c r="AI116" s="1428">
        <v>7304918</v>
      </c>
      <c r="AJ116" s="1422">
        <v>7045925</v>
      </c>
      <c r="AK116" s="1422">
        <v>45043</v>
      </c>
      <c r="AL116" s="1420">
        <v>58237.1</v>
      </c>
      <c r="AM116" s="1422">
        <v>0</v>
      </c>
      <c r="AN116" s="1422">
        <v>0</v>
      </c>
      <c r="AO116" s="1422">
        <v>413328</v>
      </c>
      <c r="AP116" s="1422">
        <v>222996</v>
      </c>
      <c r="AQ116" s="1422">
        <v>0</v>
      </c>
      <c r="AR116" s="1422">
        <v>0</v>
      </c>
      <c r="AS116" s="1422">
        <v>0</v>
      </c>
      <c r="AT116" s="1422">
        <v>0</v>
      </c>
      <c r="AU116" s="1422">
        <v>53137</v>
      </c>
      <c r="AV116" s="1422">
        <v>42510</v>
      </c>
      <c r="AW116" s="1422">
        <v>0</v>
      </c>
      <c r="AX116" s="1422">
        <v>0</v>
      </c>
      <c r="AY116" s="1420">
        <v>11779425.939999999</v>
      </c>
      <c r="AZ116" s="1420">
        <v>11296422.460000001</v>
      </c>
      <c r="BA116" s="1422">
        <v>0</v>
      </c>
      <c r="BB116" s="1422">
        <v>0</v>
      </c>
      <c r="BC116" s="1422">
        <v>66134</v>
      </c>
      <c r="BD116" s="1422">
        <v>64688</v>
      </c>
      <c r="BE116" s="1420">
        <v>8492.64</v>
      </c>
      <c r="BF116" s="1422">
        <v>0</v>
      </c>
      <c r="BG116" s="1422">
        <v>50</v>
      </c>
      <c r="BH116" s="1422">
        <v>0</v>
      </c>
      <c r="BI116" s="1422">
        <v>0</v>
      </c>
      <c r="BJ116" s="1422">
        <v>0</v>
      </c>
      <c r="BK116" s="1422">
        <v>0</v>
      </c>
      <c r="BL116" s="1422">
        <v>0</v>
      </c>
      <c r="BM116" s="1422">
        <v>2202240</v>
      </c>
      <c r="BN116" s="1422">
        <v>2132790</v>
      </c>
      <c r="BO116" s="1420">
        <v>6550.41</v>
      </c>
      <c r="BP116" s="1422">
        <v>0</v>
      </c>
      <c r="BQ116" s="1420">
        <v>78812.52</v>
      </c>
      <c r="BR116" s="1422">
        <v>0</v>
      </c>
      <c r="BS116" s="1420">
        <v>6212.47</v>
      </c>
      <c r="BT116" s="1422">
        <v>6300</v>
      </c>
      <c r="BU116" s="1422">
        <v>0</v>
      </c>
      <c r="BV116" s="1422">
        <v>0</v>
      </c>
      <c r="BW116" s="1420">
        <v>607544.37</v>
      </c>
      <c r="BX116" s="1422">
        <v>0</v>
      </c>
      <c r="BY116" s="1422">
        <v>0</v>
      </c>
      <c r="BZ116" s="1422">
        <v>0</v>
      </c>
      <c r="CA116" s="1420">
        <v>1302107.93</v>
      </c>
      <c r="CB116" s="1422">
        <v>1131815</v>
      </c>
      <c r="CC116" s="1420">
        <v>4278144.34</v>
      </c>
      <c r="CD116" s="1422">
        <v>3335593</v>
      </c>
      <c r="CE116" s="1420">
        <v>4047142.63</v>
      </c>
      <c r="CF116" s="1420">
        <v>4349282.43</v>
      </c>
      <c r="CG116" s="1422">
        <v>0</v>
      </c>
      <c r="CH116" s="1422">
        <v>0</v>
      </c>
      <c r="CI116" s="1422">
        <v>0</v>
      </c>
      <c r="CJ116" s="1422">
        <v>0</v>
      </c>
      <c r="CK116" s="1422">
        <v>0</v>
      </c>
      <c r="CL116" s="1422">
        <v>0</v>
      </c>
      <c r="CM116" s="1422">
        <v>0</v>
      </c>
      <c r="CN116" s="1422">
        <v>0</v>
      </c>
      <c r="CO116" s="1422">
        <v>0</v>
      </c>
      <c r="CP116" s="1422">
        <v>0</v>
      </c>
      <c r="CQ116" s="1422">
        <v>0</v>
      </c>
      <c r="CR116" s="1422">
        <v>0</v>
      </c>
      <c r="CS116" s="1422">
        <v>0</v>
      </c>
      <c r="CT116" s="1422">
        <v>0</v>
      </c>
      <c r="CU116" s="1420">
        <v>20104712.91</v>
      </c>
      <c r="CV116" s="1420">
        <v>18981297.890000001</v>
      </c>
      <c r="CW116" s="1420">
        <v>6553607.9000000004</v>
      </c>
      <c r="CX116" s="1420">
        <v>6064867.2999999998</v>
      </c>
      <c r="CY116" s="1420">
        <v>1292740.93</v>
      </c>
      <c r="CZ116" s="1420">
        <v>1340574.47</v>
      </c>
      <c r="DA116" s="1420">
        <v>550144.28</v>
      </c>
      <c r="DB116" s="1420">
        <v>464778.07</v>
      </c>
      <c r="DC116" s="1422">
        <v>0</v>
      </c>
      <c r="DD116" s="1422">
        <v>0</v>
      </c>
      <c r="DE116" s="1420">
        <v>1324332.52</v>
      </c>
      <c r="DF116" s="1420">
        <v>1307977.1000000001</v>
      </c>
      <c r="DG116" s="1420">
        <v>278650.33</v>
      </c>
      <c r="DH116" s="1420">
        <v>311571.99</v>
      </c>
      <c r="DI116" s="1420">
        <v>9999475.9600000009</v>
      </c>
      <c r="DJ116" s="1420">
        <v>9489768.9299999997</v>
      </c>
      <c r="DK116" s="1420">
        <v>368854.6</v>
      </c>
      <c r="DL116" s="1420">
        <v>388044.24</v>
      </c>
      <c r="DM116" s="1420">
        <v>187052.38</v>
      </c>
      <c r="DN116" s="1420">
        <v>214816.95</v>
      </c>
      <c r="DO116" s="1420">
        <v>2158894.73</v>
      </c>
      <c r="DP116" s="1420">
        <v>2170204.02</v>
      </c>
      <c r="DQ116" s="1420">
        <v>846823.91</v>
      </c>
      <c r="DR116" s="1420">
        <v>542431.24</v>
      </c>
      <c r="DS116" s="1420">
        <v>22763.91</v>
      </c>
      <c r="DT116" s="1420">
        <v>6562.55</v>
      </c>
      <c r="DU116" s="1420">
        <v>3584389.53</v>
      </c>
      <c r="DV116" s="1422">
        <v>3322059</v>
      </c>
      <c r="DW116" s="1420">
        <v>1109213.47</v>
      </c>
      <c r="DX116" s="1420">
        <v>1033797.03</v>
      </c>
      <c r="DY116" s="1420">
        <v>2192178.56</v>
      </c>
      <c r="DZ116" s="1420">
        <v>2203988.9900000002</v>
      </c>
      <c r="EA116" s="1420">
        <v>559333.43000000005</v>
      </c>
      <c r="EB116" s="1420">
        <v>527937.52</v>
      </c>
      <c r="EC116" s="1420">
        <v>3860725.46</v>
      </c>
      <c r="ED116" s="1420">
        <v>3765723.54</v>
      </c>
      <c r="EE116" s="1420">
        <v>1058255.72</v>
      </c>
      <c r="EF116" s="1420">
        <v>986211.6</v>
      </c>
      <c r="EG116" s="1422">
        <v>0</v>
      </c>
      <c r="EH116" s="1422">
        <v>0</v>
      </c>
      <c r="EI116" s="1422">
        <v>0</v>
      </c>
      <c r="EJ116" s="1422">
        <v>0</v>
      </c>
      <c r="EK116" s="1422">
        <v>0</v>
      </c>
      <c r="EL116" s="1422">
        <v>0</v>
      </c>
      <c r="EM116" s="1420">
        <v>1058255.72</v>
      </c>
      <c r="EN116" s="1420">
        <v>986211.6</v>
      </c>
      <c r="EO116" s="1420">
        <v>1949226.33</v>
      </c>
      <c r="EP116" s="1420">
        <v>1794382.15</v>
      </c>
      <c r="EQ116" s="1420">
        <v>1030721.14</v>
      </c>
      <c r="ER116" s="1420">
        <v>1030721.14</v>
      </c>
      <c r="ES116" s="1420">
        <v>11350.21</v>
      </c>
      <c r="ET116" s="1420">
        <v>11350.21</v>
      </c>
      <c r="EU116" s="1420">
        <v>21494144.350000001</v>
      </c>
      <c r="EV116" s="1420">
        <v>20400216.57</v>
      </c>
      <c r="EW116" s="1420">
        <v>2261452.19</v>
      </c>
      <c r="EX116" s="1420">
        <v>2107887.4500000002</v>
      </c>
      <c r="EY116" s="1420">
        <v>1030721.14</v>
      </c>
      <c r="EZ116" s="1420">
        <v>1030721.14</v>
      </c>
      <c r="FA116" s="1420">
        <v>18201971.02</v>
      </c>
      <c r="FB116" s="1420">
        <v>17261607.98</v>
      </c>
      <c r="FC116" s="1420">
        <v>894435.08</v>
      </c>
      <c r="FD116" s="1439"/>
      <c r="FE116" s="1420">
        <v>17307535.940000001</v>
      </c>
      <c r="FF116" s="1439"/>
      <c r="FG116" s="1422">
        <v>12141</v>
      </c>
      <c r="FH116" s="1439"/>
      <c r="FI116" s="1420">
        <v>115.23</v>
      </c>
      <c r="FJ116" s="1439"/>
      <c r="FK116" s="1422">
        <v>47510</v>
      </c>
      <c r="FL116" s="1439"/>
      <c r="FM116" s="1420">
        <v>124.29</v>
      </c>
      <c r="FN116" s="1439"/>
      <c r="FO116" s="1422">
        <v>49110</v>
      </c>
      <c r="FP116" s="1439"/>
      <c r="FQ116" s="1420">
        <v>6138355.5899999999</v>
      </c>
      <c r="FR116" s="1439"/>
      <c r="FS116" s="1420">
        <v>1926924.68</v>
      </c>
      <c r="FT116" s="1439"/>
      <c r="FU116" s="1422">
        <v>0</v>
      </c>
      <c r="FV116" s="1439"/>
      <c r="FW116" s="1420">
        <v>4211430.91</v>
      </c>
      <c r="FX116" s="1439"/>
      <c r="FY116" s="1422">
        <v>0</v>
      </c>
      <c r="FZ116" s="1439"/>
      <c r="GA116" s="1422">
        <v>0</v>
      </c>
      <c r="GB116" s="1439"/>
    </row>
    <row r="117" spans="1:184" ht="12.75" customHeight="1" thickBot="1">
      <c r="A117" s="1418" t="s">
        <v>458</v>
      </c>
      <c r="B117" s="1418" t="s">
        <v>459</v>
      </c>
      <c r="C117" s="1420">
        <v>183.31</v>
      </c>
      <c r="D117" s="1439"/>
      <c r="E117" s="1420">
        <v>4413.5600000000004</v>
      </c>
      <c r="F117" s="1439"/>
      <c r="G117" s="1421">
        <v>-0.13</v>
      </c>
      <c r="H117" s="1439"/>
      <c r="I117" s="1420">
        <v>4727.2</v>
      </c>
      <c r="J117" s="1439"/>
      <c r="K117" s="1420">
        <v>4809.57</v>
      </c>
      <c r="L117" s="1439"/>
      <c r="M117" s="1422">
        <v>352463781</v>
      </c>
      <c r="N117" s="1439"/>
      <c r="O117" s="1422">
        <v>25</v>
      </c>
      <c r="P117" s="1439"/>
      <c r="Q117" s="1422">
        <v>25</v>
      </c>
      <c r="R117" s="1439"/>
      <c r="S117" s="1422">
        <v>0</v>
      </c>
      <c r="T117" s="1439"/>
      <c r="U117" s="1422">
        <v>2</v>
      </c>
      <c r="V117" s="1439"/>
      <c r="W117" s="1420">
        <v>14.7</v>
      </c>
      <c r="X117" s="1439"/>
      <c r="Y117" s="1420">
        <v>41.7</v>
      </c>
      <c r="Z117" s="1439"/>
      <c r="AA117" s="1422">
        <v>36915000</v>
      </c>
      <c r="AB117" s="1455"/>
      <c r="AC117" s="1424">
        <v>13606889.58</v>
      </c>
      <c r="AD117" s="1422">
        <v>12685730</v>
      </c>
      <c r="AE117" s="1420">
        <v>1006188.3</v>
      </c>
      <c r="AF117" s="1422">
        <v>628508</v>
      </c>
      <c r="AG117" s="1420">
        <v>283.74</v>
      </c>
      <c r="AH117" s="1456">
        <v>284</v>
      </c>
      <c r="AI117" s="1428">
        <v>20673040</v>
      </c>
      <c r="AJ117" s="1422">
        <v>20447500</v>
      </c>
      <c r="AK117" s="1422">
        <v>268558</v>
      </c>
      <c r="AL117" s="1422">
        <v>235100</v>
      </c>
      <c r="AM117" s="1422">
        <v>0</v>
      </c>
      <c r="AN117" s="1422">
        <v>0</v>
      </c>
      <c r="AO117" s="1422">
        <v>301180</v>
      </c>
      <c r="AP117" s="1422">
        <v>230953</v>
      </c>
      <c r="AQ117" s="1422">
        <v>0</v>
      </c>
      <c r="AR117" s="1422">
        <v>0</v>
      </c>
      <c r="AS117" s="1422">
        <v>0</v>
      </c>
      <c r="AT117" s="1422">
        <v>0</v>
      </c>
      <c r="AU117" s="1422">
        <v>0</v>
      </c>
      <c r="AV117" s="1422">
        <v>0</v>
      </c>
      <c r="AW117" s="1420">
        <v>8082.13</v>
      </c>
      <c r="AX117" s="1422">
        <v>0</v>
      </c>
      <c r="AY117" s="1420">
        <v>35864221.75</v>
      </c>
      <c r="AZ117" s="1422">
        <v>34228075</v>
      </c>
      <c r="BA117" s="1422">
        <v>0</v>
      </c>
      <c r="BB117" s="1422">
        <v>0</v>
      </c>
      <c r="BC117" s="1422">
        <v>198924</v>
      </c>
      <c r="BD117" s="1422">
        <v>200643</v>
      </c>
      <c r="BE117" s="1420">
        <v>128260.38</v>
      </c>
      <c r="BF117" s="1420">
        <v>54357.25</v>
      </c>
      <c r="BG117" s="1422">
        <v>600</v>
      </c>
      <c r="BH117" s="1422">
        <v>0</v>
      </c>
      <c r="BI117" s="1422">
        <v>145008</v>
      </c>
      <c r="BJ117" s="1422">
        <v>206131</v>
      </c>
      <c r="BK117" s="1422">
        <v>7032</v>
      </c>
      <c r="BL117" s="1422">
        <v>0</v>
      </c>
      <c r="BM117" s="1422">
        <v>3732896</v>
      </c>
      <c r="BN117" s="1422">
        <v>3809168</v>
      </c>
      <c r="BO117" s="1420">
        <v>543707.04</v>
      </c>
      <c r="BP117" s="1422">
        <v>0</v>
      </c>
      <c r="BQ117" s="1420">
        <v>95687.52</v>
      </c>
      <c r="BR117" s="1422">
        <v>102375</v>
      </c>
      <c r="BS117" s="1420">
        <v>17169.43</v>
      </c>
      <c r="BT117" s="1422">
        <v>17201</v>
      </c>
      <c r="BU117" s="1422">
        <v>0</v>
      </c>
      <c r="BV117" s="1422">
        <v>0</v>
      </c>
      <c r="BW117" s="1422">
        <v>388800</v>
      </c>
      <c r="BX117" s="1422">
        <v>388800</v>
      </c>
      <c r="BY117" s="1422">
        <v>0</v>
      </c>
      <c r="BZ117" s="1422">
        <v>0</v>
      </c>
      <c r="CA117" s="1420">
        <v>233549.96</v>
      </c>
      <c r="CB117" s="1420">
        <v>419482.69</v>
      </c>
      <c r="CC117" s="1420">
        <v>5491634.3300000001</v>
      </c>
      <c r="CD117" s="1420">
        <v>5198157.9400000004</v>
      </c>
      <c r="CE117" s="1420">
        <v>13527685.51</v>
      </c>
      <c r="CF117" s="1420">
        <v>8803450.5199999996</v>
      </c>
      <c r="CG117" s="1420">
        <v>23628.6</v>
      </c>
      <c r="CH117" s="1422">
        <v>0</v>
      </c>
      <c r="CI117" s="1422">
        <v>0</v>
      </c>
      <c r="CJ117" s="1422">
        <v>0</v>
      </c>
      <c r="CK117" s="1422">
        <v>118000</v>
      </c>
      <c r="CL117" s="1422">
        <v>85000</v>
      </c>
      <c r="CM117" s="1422">
        <v>0</v>
      </c>
      <c r="CN117" s="1422">
        <v>0</v>
      </c>
      <c r="CO117" s="1420">
        <v>31080.34</v>
      </c>
      <c r="CP117" s="1422">
        <v>0</v>
      </c>
      <c r="CQ117" s="1422">
        <v>0</v>
      </c>
      <c r="CR117" s="1422">
        <v>0</v>
      </c>
      <c r="CS117" s="1420">
        <v>172708.94</v>
      </c>
      <c r="CT117" s="1422">
        <v>85000</v>
      </c>
      <c r="CU117" s="1420">
        <v>55056250.530000001</v>
      </c>
      <c r="CV117" s="1420">
        <v>48314683.460000001</v>
      </c>
      <c r="CW117" s="1420">
        <v>21671755.690000001</v>
      </c>
      <c r="CX117" s="1420">
        <v>17415428.27</v>
      </c>
      <c r="CY117" s="1420">
        <v>3460997.36</v>
      </c>
      <c r="CZ117" s="1420">
        <v>3045999.67</v>
      </c>
      <c r="DA117" s="1420">
        <v>1514825.71</v>
      </c>
      <c r="DB117" s="1420">
        <v>1381037.92</v>
      </c>
      <c r="DC117" s="1422">
        <v>0</v>
      </c>
      <c r="DD117" s="1422">
        <v>0</v>
      </c>
      <c r="DE117" s="1420">
        <v>4914228.1900000004</v>
      </c>
      <c r="DF117" s="1420">
        <v>2512621.04</v>
      </c>
      <c r="DG117" s="1420">
        <v>1245252.51</v>
      </c>
      <c r="DH117" s="1420">
        <v>1515807.73</v>
      </c>
      <c r="DI117" s="1420">
        <v>32807059.460000001</v>
      </c>
      <c r="DJ117" s="1420">
        <v>25870894.629999999</v>
      </c>
      <c r="DK117" s="1420">
        <v>935538.72</v>
      </c>
      <c r="DL117" s="1420">
        <v>578130.14</v>
      </c>
      <c r="DM117" s="1420">
        <v>2736081.35</v>
      </c>
      <c r="DN117" s="1420">
        <v>1548236.45</v>
      </c>
      <c r="DO117" s="1420">
        <v>6676840.9800000004</v>
      </c>
      <c r="DP117" s="1420">
        <v>6713658.1399999997</v>
      </c>
      <c r="DQ117" s="1420">
        <v>1718797.29</v>
      </c>
      <c r="DR117" s="1420">
        <v>1404814.08</v>
      </c>
      <c r="DS117" s="1420">
        <v>123848.68</v>
      </c>
      <c r="DT117" s="1420">
        <v>204670.92</v>
      </c>
      <c r="DU117" s="1420">
        <v>12191107.02</v>
      </c>
      <c r="DV117" s="1420">
        <v>10449509.73</v>
      </c>
      <c r="DW117" s="1420">
        <v>1896161.29</v>
      </c>
      <c r="DX117" s="1420">
        <v>2174107.42</v>
      </c>
      <c r="DY117" s="1420">
        <v>4760124.28</v>
      </c>
      <c r="DZ117" s="1420">
        <v>3563897.63</v>
      </c>
      <c r="EA117" s="1420">
        <v>2098948.21</v>
      </c>
      <c r="EB117" s="1420">
        <v>2024147.28</v>
      </c>
      <c r="EC117" s="1420">
        <v>8755233.7799999993</v>
      </c>
      <c r="ED117" s="1420">
        <v>7762152.3300000001</v>
      </c>
      <c r="EE117" s="1420">
        <v>2664361.37</v>
      </c>
      <c r="EF117" s="1420">
        <v>2199270.0699999998</v>
      </c>
      <c r="EG117" s="1420">
        <v>20.96</v>
      </c>
      <c r="EH117" s="1422">
        <v>0</v>
      </c>
      <c r="EI117" s="1420">
        <v>30169.02</v>
      </c>
      <c r="EJ117" s="1420">
        <v>30169.02</v>
      </c>
      <c r="EK117" s="1422">
        <v>0</v>
      </c>
      <c r="EL117" s="1422">
        <v>0</v>
      </c>
      <c r="EM117" s="1420">
        <v>2694551.35</v>
      </c>
      <c r="EN117" s="1420">
        <v>2229439.09</v>
      </c>
      <c r="EO117" s="1420">
        <v>-580252.36</v>
      </c>
      <c r="EP117" s="1420">
        <v>232557.69</v>
      </c>
      <c r="EQ117" s="1420">
        <v>1550051.63</v>
      </c>
      <c r="ER117" s="1420">
        <v>2154018.7599999998</v>
      </c>
      <c r="ES117" s="1420">
        <v>410892.52</v>
      </c>
      <c r="ET117" s="1420">
        <v>348.16</v>
      </c>
      <c r="EU117" s="1420">
        <v>57828643.399999999</v>
      </c>
      <c r="EV117" s="1420">
        <v>48698920.390000001</v>
      </c>
      <c r="EW117" s="1420">
        <v>2717109.9</v>
      </c>
      <c r="EX117" s="1420">
        <v>394670.47</v>
      </c>
      <c r="EY117" s="1420">
        <v>1550051.63</v>
      </c>
      <c r="EZ117" s="1420">
        <v>2154018.7599999998</v>
      </c>
      <c r="FA117" s="1420">
        <v>53561481.869999997</v>
      </c>
      <c r="FB117" s="1420">
        <v>46150231.159999996</v>
      </c>
      <c r="FC117" s="1420">
        <v>1997309.84</v>
      </c>
      <c r="FD117" s="1439"/>
      <c r="FE117" s="1420">
        <v>51564172.030000001</v>
      </c>
      <c r="FF117" s="1439"/>
      <c r="FG117" s="1422">
        <v>11683</v>
      </c>
      <c r="FH117" s="1439"/>
      <c r="FI117" s="1420">
        <v>337.96</v>
      </c>
      <c r="FJ117" s="1439"/>
      <c r="FK117" s="1422">
        <v>51933</v>
      </c>
      <c r="FL117" s="1439"/>
      <c r="FM117" s="1420">
        <v>360.21</v>
      </c>
      <c r="FN117" s="1439"/>
      <c r="FO117" s="1422">
        <v>51906</v>
      </c>
      <c r="FP117" s="1439"/>
      <c r="FQ117" s="1420">
        <v>13360394.17</v>
      </c>
      <c r="FR117" s="1439"/>
      <c r="FS117" s="1420">
        <v>22655.99</v>
      </c>
      <c r="FT117" s="1439"/>
      <c r="FU117" s="1422">
        <v>0</v>
      </c>
      <c r="FV117" s="1439"/>
      <c r="FW117" s="1420">
        <v>13337738.18</v>
      </c>
      <c r="FX117" s="1439"/>
      <c r="FY117" s="1420">
        <v>3862658.19</v>
      </c>
      <c r="FZ117" s="1439"/>
      <c r="GA117" s="1420">
        <v>1358357.12</v>
      </c>
      <c r="GB117" s="1439"/>
    </row>
    <row r="118" spans="1:184" ht="12.75" customHeight="1" thickBot="1">
      <c r="A118" s="1418" t="s">
        <v>460</v>
      </c>
      <c r="B118" s="1418" t="s">
        <v>461</v>
      </c>
      <c r="C118" s="1420">
        <v>116.48</v>
      </c>
      <c r="D118" s="1439"/>
      <c r="E118" s="1420">
        <v>2915.5</v>
      </c>
      <c r="F118" s="1439"/>
      <c r="G118" s="1421">
        <v>-0.08</v>
      </c>
      <c r="H118" s="1439"/>
      <c r="I118" s="1420">
        <v>3092.07</v>
      </c>
      <c r="J118" s="1439"/>
      <c r="K118" s="1420">
        <v>3056.64</v>
      </c>
      <c r="L118" s="1439"/>
      <c r="M118" s="1422">
        <v>107371912</v>
      </c>
      <c r="N118" s="1439"/>
      <c r="O118" s="1420">
        <v>26.1</v>
      </c>
      <c r="P118" s="1439"/>
      <c r="Q118" s="1422">
        <v>25</v>
      </c>
      <c r="R118" s="1439"/>
      <c r="S118" s="1420">
        <v>1.1000000000000001</v>
      </c>
      <c r="T118" s="1439"/>
      <c r="U118" s="1422">
        <v>0</v>
      </c>
      <c r="V118" s="1439"/>
      <c r="W118" s="1420">
        <v>5.7</v>
      </c>
      <c r="X118" s="1439"/>
      <c r="Y118" s="1420">
        <v>31.8</v>
      </c>
      <c r="Z118" s="1439"/>
      <c r="AA118" s="1422">
        <v>2280000</v>
      </c>
      <c r="AB118" s="1455"/>
      <c r="AC118" s="1424">
        <v>3183005.43</v>
      </c>
      <c r="AD118" s="1420">
        <v>3183005.43</v>
      </c>
      <c r="AE118" s="1420">
        <v>506801.13</v>
      </c>
      <c r="AF118" s="1420">
        <v>225379.12</v>
      </c>
      <c r="AG118" s="1420">
        <v>155.86000000000001</v>
      </c>
      <c r="AH118" s="1457">
        <v>155.86000000000001</v>
      </c>
      <c r="AI118" s="1428">
        <v>15870797</v>
      </c>
      <c r="AJ118" s="1422">
        <v>16421221</v>
      </c>
      <c r="AK118" s="1422">
        <v>76461</v>
      </c>
      <c r="AL118" s="1422">
        <v>76461</v>
      </c>
      <c r="AM118" s="1422">
        <v>221390</v>
      </c>
      <c r="AN118" s="1422">
        <v>0</v>
      </c>
      <c r="AO118" s="1422">
        <v>0</v>
      </c>
      <c r="AP118" s="1422">
        <v>0</v>
      </c>
      <c r="AQ118" s="1422">
        <v>0</v>
      </c>
      <c r="AR118" s="1422">
        <v>0</v>
      </c>
      <c r="AS118" s="1422">
        <v>0</v>
      </c>
      <c r="AT118" s="1422">
        <v>0</v>
      </c>
      <c r="AU118" s="1422">
        <v>235434</v>
      </c>
      <c r="AV118" s="1422">
        <v>188347</v>
      </c>
      <c r="AW118" s="1422">
        <v>0</v>
      </c>
      <c r="AX118" s="1422">
        <v>0</v>
      </c>
      <c r="AY118" s="1420">
        <v>20094044.420000002</v>
      </c>
      <c r="AZ118" s="1420">
        <v>20094569.41</v>
      </c>
      <c r="BA118" s="1420">
        <v>913877.01</v>
      </c>
      <c r="BB118" s="1420">
        <v>847358.14</v>
      </c>
      <c r="BC118" s="1422">
        <v>126423</v>
      </c>
      <c r="BD118" s="1422">
        <v>131457</v>
      </c>
      <c r="BE118" s="1422">
        <v>19000</v>
      </c>
      <c r="BF118" s="1422">
        <v>34800</v>
      </c>
      <c r="BG118" s="1422">
        <v>900</v>
      </c>
      <c r="BH118" s="1422">
        <v>0</v>
      </c>
      <c r="BI118" s="1422">
        <v>26328</v>
      </c>
      <c r="BJ118" s="1422">
        <v>0</v>
      </c>
      <c r="BK118" s="1422">
        <v>0</v>
      </c>
      <c r="BL118" s="1422">
        <v>0</v>
      </c>
      <c r="BM118" s="1422">
        <v>998944</v>
      </c>
      <c r="BN118" s="1422">
        <v>1091948</v>
      </c>
      <c r="BO118" s="1420">
        <v>12521.92</v>
      </c>
      <c r="BP118" s="1422">
        <v>0</v>
      </c>
      <c r="BQ118" s="1420">
        <v>187687.52</v>
      </c>
      <c r="BR118" s="1420">
        <v>127562.5</v>
      </c>
      <c r="BS118" s="1420">
        <v>10211.129999999999</v>
      </c>
      <c r="BT118" s="1422">
        <v>10211</v>
      </c>
      <c r="BU118" s="1422">
        <v>0</v>
      </c>
      <c r="BV118" s="1422">
        <v>0</v>
      </c>
      <c r="BW118" s="1422">
        <v>0</v>
      </c>
      <c r="BX118" s="1422">
        <v>0</v>
      </c>
      <c r="BY118" s="1422">
        <v>0</v>
      </c>
      <c r="BZ118" s="1422">
        <v>0</v>
      </c>
      <c r="CA118" s="1420">
        <v>1528632.27</v>
      </c>
      <c r="CB118" s="1422">
        <v>171434</v>
      </c>
      <c r="CC118" s="1420">
        <v>3824524.85</v>
      </c>
      <c r="CD118" s="1420">
        <v>2414770.64</v>
      </c>
      <c r="CE118" s="1420">
        <v>4934401.6399999997</v>
      </c>
      <c r="CF118" s="1420">
        <v>4724865.3499999996</v>
      </c>
      <c r="CG118" s="1422">
        <v>0</v>
      </c>
      <c r="CH118" s="1422">
        <v>0</v>
      </c>
      <c r="CI118" s="1422">
        <v>0</v>
      </c>
      <c r="CJ118" s="1422">
        <v>0</v>
      </c>
      <c r="CK118" s="1422">
        <v>4710</v>
      </c>
      <c r="CL118" s="1422">
        <v>4710</v>
      </c>
      <c r="CM118" s="1422">
        <v>2400</v>
      </c>
      <c r="CN118" s="1422">
        <v>0</v>
      </c>
      <c r="CO118" s="1422">
        <v>0</v>
      </c>
      <c r="CP118" s="1422">
        <v>0</v>
      </c>
      <c r="CQ118" s="1422">
        <v>0</v>
      </c>
      <c r="CR118" s="1422">
        <v>0</v>
      </c>
      <c r="CS118" s="1422">
        <v>7110</v>
      </c>
      <c r="CT118" s="1422">
        <v>4710</v>
      </c>
      <c r="CU118" s="1420">
        <v>28860080.91</v>
      </c>
      <c r="CV118" s="1420">
        <v>27238915.399999999</v>
      </c>
      <c r="CW118" s="1420">
        <v>10276313.09</v>
      </c>
      <c r="CX118" s="1420">
        <v>9806206.0700000003</v>
      </c>
      <c r="CY118" s="1420">
        <v>1952313.46</v>
      </c>
      <c r="CZ118" s="1420">
        <v>1731933.12</v>
      </c>
      <c r="DA118" s="1420">
        <v>744379.53</v>
      </c>
      <c r="DB118" s="1420">
        <v>911036.72</v>
      </c>
      <c r="DC118" s="1420">
        <v>1007952.63</v>
      </c>
      <c r="DD118" s="1420">
        <v>899528.58</v>
      </c>
      <c r="DE118" s="1420">
        <v>658673.79</v>
      </c>
      <c r="DF118" s="1420">
        <v>977533.8</v>
      </c>
      <c r="DG118" s="1420">
        <v>855203.83</v>
      </c>
      <c r="DH118" s="1420">
        <v>977105.05</v>
      </c>
      <c r="DI118" s="1420">
        <v>15494836.33</v>
      </c>
      <c r="DJ118" s="1420">
        <v>15303343.34</v>
      </c>
      <c r="DK118" s="1420">
        <v>369679.07</v>
      </c>
      <c r="DL118" s="1420">
        <v>337497.72</v>
      </c>
      <c r="DM118" s="1420">
        <v>343418.53</v>
      </c>
      <c r="DN118" s="1420">
        <v>320641.26</v>
      </c>
      <c r="DO118" s="1420">
        <v>2739308.1</v>
      </c>
      <c r="DP118" s="1420">
        <v>2919152.6</v>
      </c>
      <c r="DQ118" s="1420">
        <v>1563016.14</v>
      </c>
      <c r="DR118" s="1420">
        <v>1422321.94</v>
      </c>
      <c r="DS118" s="1420">
        <v>22960.21</v>
      </c>
      <c r="DT118" s="1420">
        <v>8803.61</v>
      </c>
      <c r="DU118" s="1420">
        <v>5038382.05</v>
      </c>
      <c r="DV118" s="1420">
        <v>5008417.13</v>
      </c>
      <c r="DW118" s="1420">
        <v>972706.18</v>
      </c>
      <c r="DX118" s="1420">
        <v>958633.99</v>
      </c>
      <c r="DY118" s="1420">
        <v>2324666.81</v>
      </c>
      <c r="DZ118" s="1420">
        <v>3076790.59</v>
      </c>
      <c r="EA118" s="1420">
        <v>1473322.88</v>
      </c>
      <c r="EB118" s="1420">
        <v>1453214.81</v>
      </c>
      <c r="EC118" s="1420">
        <v>4770695.87</v>
      </c>
      <c r="ED118" s="1420">
        <v>5488639.3899999997</v>
      </c>
      <c r="EE118" s="1420">
        <v>1400960.35</v>
      </c>
      <c r="EF118" s="1420">
        <v>1336492.73</v>
      </c>
      <c r="EG118" s="1422">
        <v>0</v>
      </c>
      <c r="EH118" s="1422">
        <v>0</v>
      </c>
      <c r="EI118" s="1420">
        <v>1727.67</v>
      </c>
      <c r="EJ118" s="1420">
        <v>1727.67</v>
      </c>
      <c r="EK118" s="1422">
        <v>0</v>
      </c>
      <c r="EL118" s="1422">
        <v>0</v>
      </c>
      <c r="EM118" s="1420">
        <v>1402688.02</v>
      </c>
      <c r="EN118" s="1420">
        <v>1338220.3999999999</v>
      </c>
      <c r="EO118" s="1420">
        <v>2083052.66</v>
      </c>
      <c r="EP118" s="1420">
        <v>1856217.82</v>
      </c>
      <c r="EQ118" s="1422">
        <v>144490</v>
      </c>
      <c r="ER118" s="1422">
        <v>99490</v>
      </c>
      <c r="ES118" s="1420">
        <v>1752.23</v>
      </c>
      <c r="ET118" s="1422">
        <v>0</v>
      </c>
      <c r="EU118" s="1420">
        <v>28935897.16</v>
      </c>
      <c r="EV118" s="1420">
        <v>29094328.079999998</v>
      </c>
      <c r="EW118" s="1420">
        <v>2839434.56</v>
      </c>
      <c r="EX118" s="1420">
        <v>2679727.5099999998</v>
      </c>
      <c r="EY118" s="1422">
        <v>144490</v>
      </c>
      <c r="EZ118" s="1422">
        <v>99490</v>
      </c>
      <c r="FA118" s="1420">
        <v>25951972.600000001</v>
      </c>
      <c r="FB118" s="1420">
        <v>26315110.57</v>
      </c>
      <c r="FC118" s="1420">
        <v>1583175.44</v>
      </c>
      <c r="FD118" s="1439"/>
      <c r="FE118" s="1420">
        <v>24368797.16</v>
      </c>
      <c r="FF118" s="1439"/>
      <c r="FG118" s="1422">
        <v>8358</v>
      </c>
      <c r="FH118" s="1439"/>
      <c r="FI118" s="1420">
        <v>190.34</v>
      </c>
      <c r="FJ118" s="1439"/>
      <c r="FK118" s="1422">
        <v>48621</v>
      </c>
      <c r="FL118" s="1439"/>
      <c r="FM118" s="1420">
        <v>205.81</v>
      </c>
      <c r="FN118" s="1439"/>
      <c r="FO118" s="1422">
        <v>51117</v>
      </c>
      <c r="FP118" s="1439"/>
      <c r="FQ118" s="1420">
        <v>7394021.1699999999</v>
      </c>
      <c r="FR118" s="1439"/>
      <c r="FS118" s="1420">
        <v>566146.44999999995</v>
      </c>
      <c r="FT118" s="1439"/>
      <c r="FU118" s="1422">
        <v>0</v>
      </c>
      <c r="FV118" s="1439"/>
      <c r="FW118" s="1420">
        <v>6827874.7199999997</v>
      </c>
      <c r="FX118" s="1439"/>
      <c r="FY118" s="1422">
        <v>0</v>
      </c>
      <c r="FZ118" s="1439"/>
      <c r="GA118" s="1422">
        <v>0</v>
      </c>
      <c r="GB118" s="1439"/>
    </row>
    <row r="119" spans="1:184" ht="12.75" customHeight="1" thickBot="1">
      <c r="A119" s="1418" t="s">
        <v>462</v>
      </c>
      <c r="B119" s="1418" t="s">
        <v>463</v>
      </c>
      <c r="C119" s="1420">
        <v>105.3</v>
      </c>
      <c r="D119" s="1439"/>
      <c r="E119" s="1420">
        <v>2894.26</v>
      </c>
      <c r="F119" s="1439"/>
      <c r="G119" s="1421">
        <v>-0.02</v>
      </c>
      <c r="H119" s="1439"/>
      <c r="I119" s="1420">
        <v>2999.96</v>
      </c>
      <c r="J119" s="1439"/>
      <c r="K119" s="1420">
        <v>3010.09</v>
      </c>
      <c r="L119" s="1439"/>
      <c r="M119" s="1422">
        <v>252552274</v>
      </c>
      <c r="N119" s="1439"/>
      <c r="O119" s="1422">
        <v>25</v>
      </c>
      <c r="P119" s="1439"/>
      <c r="Q119" s="1422">
        <v>25</v>
      </c>
      <c r="R119" s="1439"/>
      <c r="S119" s="1422">
        <v>0</v>
      </c>
      <c r="T119" s="1439"/>
      <c r="U119" s="1422">
        <v>0</v>
      </c>
      <c r="V119" s="1439"/>
      <c r="W119" s="1420">
        <v>14.2</v>
      </c>
      <c r="X119" s="1439"/>
      <c r="Y119" s="1420">
        <v>39.200000000000003</v>
      </c>
      <c r="Z119" s="1439"/>
      <c r="AA119" s="1422">
        <v>24165000</v>
      </c>
      <c r="AB119" s="1455"/>
      <c r="AC119" s="1424">
        <v>9114896.1600000001</v>
      </c>
      <c r="AD119" s="1422">
        <v>9700161</v>
      </c>
      <c r="AE119" s="1420">
        <v>890939.33</v>
      </c>
      <c r="AF119" s="1422">
        <v>487000</v>
      </c>
      <c r="AG119" s="1420">
        <v>152.62</v>
      </c>
      <c r="AH119" s="1456">
        <v>0</v>
      </c>
      <c r="AI119" s="1428">
        <v>12128068</v>
      </c>
      <c r="AJ119" s="1422">
        <v>12342545</v>
      </c>
      <c r="AK119" s="1422">
        <v>210989</v>
      </c>
      <c r="AL119" s="1422">
        <v>0</v>
      </c>
      <c r="AM119" s="1422">
        <v>0</v>
      </c>
      <c r="AN119" s="1422">
        <v>0</v>
      </c>
      <c r="AO119" s="1422">
        <v>220382</v>
      </c>
      <c r="AP119" s="1422">
        <v>0</v>
      </c>
      <c r="AQ119" s="1422">
        <v>0</v>
      </c>
      <c r="AR119" s="1422">
        <v>0</v>
      </c>
      <c r="AS119" s="1422">
        <v>0</v>
      </c>
      <c r="AT119" s="1422">
        <v>0</v>
      </c>
      <c r="AU119" s="1422">
        <v>0</v>
      </c>
      <c r="AV119" s="1422">
        <v>0</v>
      </c>
      <c r="AW119" s="1422">
        <v>0</v>
      </c>
      <c r="AX119" s="1422">
        <v>0</v>
      </c>
      <c r="AY119" s="1420">
        <v>22565427.109999999</v>
      </c>
      <c r="AZ119" s="1422">
        <v>22529706</v>
      </c>
      <c r="BA119" s="1422">
        <v>0</v>
      </c>
      <c r="BB119" s="1422">
        <v>0</v>
      </c>
      <c r="BC119" s="1422">
        <v>124497</v>
      </c>
      <c r="BD119" s="1422">
        <v>127818</v>
      </c>
      <c r="BE119" s="1420">
        <v>9943.56</v>
      </c>
      <c r="BF119" s="1422">
        <v>7600</v>
      </c>
      <c r="BG119" s="1422">
        <v>1000</v>
      </c>
      <c r="BH119" s="1422">
        <v>0</v>
      </c>
      <c r="BI119" s="1422">
        <v>14017</v>
      </c>
      <c r="BJ119" s="1422">
        <v>44683</v>
      </c>
      <c r="BK119" s="1422">
        <v>6446</v>
      </c>
      <c r="BL119" s="1422">
        <v>6578</v>
      </c>
      <c r="BM119" s="1422">
        <v>537168</v>
      </c>
      <c r="BN119" s="1422">
        <v>580888</v>
      </c>
      <c r="BO119" s="1420">
        <v>21136.71</v>
      </c>
      <c r="BP119" s="1422">
        <v>0</v>
      </c>
      <c r="BQ119" s="1422">
        <v>24375</v>
      </c>
      <c r="BR119" s="1422">
        <v>36563</v>
      </c>
      <c r="BS119" s="1420">
        <v>9783.76</v>
      </c>
      <c r="BT119" s="1422">
        <v>9800</v>
      </c>
      <c r="BU119" s="1422">
        <v>0</v>
      </c>
      <c r="BV119" s="1422">
        <v>0</v>
      </c>
      <c r="BW119" s="1422">
        <v>0</v>
      </c>
      <c r="BX119" s="1422">
        <v>0</v>
      </c>
      <c r="BY119" s="1422">
        <v>0</v>
      </c>
      <c r="BZ119" s="1422">
        <v>0</v>
      </c>
      <c r="CA119" s="1420">
        <v>1359796.43</v>
      </c>
      <c r="CB119" s="1422">
        <v>159531</v>
      </c>
      <c r="CC119" s="1420">
        <v>2108163.46</v>
      </c>
      <c r="CD119" s="1422">
        <v>973461</v>
      </c>
      <c r="CE119" s="1420">
        <v>3546726.74</v>
      </c>
      <c r="CF119" s="1420">
        <v>1874779.97</v>
      </c>
      <c r="CG119" s="1422">
        <v>0</v>
      </c>
      <c r="CH119" s="1422">
        <v>0</v>
      </c>
      <c r="CI119" s="1422">
        <v>0</v>
      </c>
      <c r="CJ119" s="1422">
        <v>0</v>
      </c>
      <c r="CK119" s="1422">
        <v>0</v>
      </c>
      <c r="CL119" s="1422">
        <v>0</v>
      </c>
      <c r="CM119" s="1422">
        <v>1500</v>
      </c>
      <c r="CN119" s="1422">
        <v>0</v>
      </c>
      <c r="CO119" s="1420">
        <v>35375.82</v>
      </c>
      <c r="CP119" s="1422">
        <v>0</v>
      </c>
      <c r="CQ119" s="1420">
        <v>194648.27</v>
      </c>
      <c r="CR119" s="1422">
        <v>0</v>
      </c>
      <c r="CS119" s="1420">
        <v>231524.09</v>
      </c>
      <c r="CT119" s="1422">
        <v>0</v>
      </c>
      <c r="CU119" s="1420">
        <v>28451841.399999999</v>
      </c>
      <c r="CV119" s="1420">
        <v>25377946.969999999</v>
      </c>
      <c r="CW119" s="1420">
        <v>11072587.42</v>
      </c>
      <c r="CX119" s="1420">
        <v>10806165.58</v>
      </c>
      <c r="CY119" s="1420">
        <v>1558158.5</v>
      </c>
      <c r="CZ119" s="1420">
        <v>1557309.75</v>
      </c>
      <c r="DA119" s="1420">
        <v>490965.83</v>
      </c>
      <c r="DB119" s="1420">
        <v>488289.36</v>
      </c>
      <c r="DC119" s="1422">
        <v>0</v>
      </c>
      <c r="DD119" s="1422">
        <v>0</v>
      </c>
      <c r="DE119" s="1420">
        <v>698084.01</v>
      </c>
      <c r="DF119" s="1420">
        <v>684015.87</v>
      </c>
      <c r="DG119" s="1420">
        <v>375834.37</v>
      </c>
      <c r="DH119" s="1420">
        <v>362806.15</v>
      </c>
      <c r="DI119" s="1420">
        <v>14195630.130000001</v>
      </c>
      <c r="DJ119" s="1420">
        <v>13898586.710000001</v>
      </c>
      <c r="DK119" s="1420">
        <v>455459.25</v>
      </c>
      <c r="DL119" s="1420">
        <v>545915.25</v>
      </c>
      <c r="DM119" s="1420">
        <v>498122.54</v>
      </c>
      <c r="DN119" s="1420">
        <v>315808.45</v>
      </c>
      <c r="DO119" s="1420">
        <v>2911033.67</v>
      </c>
      <c r="DP119" s="1420">
        <v>3087657.94</v>
      </c>
      <c r="DQ119" s="1420">
        <v>920098.26</v>
      </c>
      <c r="DR119" s="1420">
        <v>766246.55</v>
      </c>
      <c r="DS119" s="1420">
        <v>37353.769999999997</v>
      </c>
      <c r="DT119" s="1422">
        <v>15600</v>
      </c>
      <c r="DU119" s="1420">
        <v>4822067.49</v>
      </c>
      <c r="DV119" s="1420">
        <v>4731228.1900000004</v>
      </c>
      <c r="DW119" s="1420">
        <v>1091360.8600000001</v>
      </c>
      <c r="DX119" s="1420">
        <v>1226253.6599999999</v>
      </c>
      <c r="DY119" s="1420">
        <v>2045119.64</v>
      </c>
      <c r="DZ119" s="1420">
        <v>1491593.57</v>
      </c>
      <c r="EA119" s="1420">
        <v>1280220.72</v>
      </c>
      <c r="EB119" s="1420">
        <v>1317748.8400000001</v>
      </c>
      <c r="EC119" s="1420">
        <v>4416701.22</v>
      </c>
      <c r="ED119" s="1420">
        <v>4035596.07</v>
      </c>
      <c r="EE119" s="1420">
        <v>1353370.81</v>
      </c>
      <c r="EF119" s="1420">
        <v>1320730.06</v>
      </c>
      <c r="EG119" s="1422">
        <v>0</v>
      </c>
      <c r="EH119" s="1422">
        <v>0</v>
      </c>
      <c r="EI119" s="1420">
        <v>2646.46</v>
      </c>
      <c r="EJ119" s="1420">
        <v>11327.12</v>
      </c>
      <c r="EK119" s="1422">
        <v>0</v>
      </c>
      <c r="EL119" s="1422">
        <v>0</v>
      </c>
      <c r="EM119" s="1420">
        <v>1356017.27</v>
      </c>
      <c r="EN119" s="1420">
        <v>1332057.18</v>
      </c>
      <c r="EO119" s="1420">
        <v>6133543.2800000003</v>
      </c>
      <c r="EP119" s="1422">
        <v>10500</v>
      </c>
      <c r="EQ119" s="1420">
        <v>1672902.54</v>
      </c>
      <c r="ER119" s="1422">
        <v>1677733</v>
      </c>
      <c r="ES119" s="1420">
        <v>11690.17</v>
      </c>
      <c r="ET119" s="1422">
        <v>0</v>
      </c>
      <c r="EU119" s="1420">
        <v>32608552.100000001</v>
      </c>
      <c r="EV119" s="1420">
        <v>25685701.149999999</v>
      </c>
      <c r="EW119" s="1420">
        <v>6801276.9299999997</v>
      </c>
      <c r="EX119" s="1422">
        <v>208100</v>
      </c>
      <c r="EY119" s="1420">
        <v>1672902.54</v>
      </c>
      <c r="EZ119" s="1422">
        <v>1677733</v>
      </c>
      <c r="FA119" s="1420">
        <v>24134372.629999999</v>
      </c>
      <c r="FB119" s="1420">
        <v>23799868.149999999</v>
      </c>
      <c r="FC119" s="1420">
        <v>809031.13</v>
      </c>
      <c r="FD119" s="1439"/>
      <c r="FE119" s="1420">
        <v>23325341.5</v>
      </c>
      <c r="FF119" s="1439"/>
      <c r="FG119" s="1422">
        <v>8059</v>
      </c>
      <c r="FH119" s="1439"/>
      <c r="FI119" s="1420">
        <v>185.14</v>
      </c>
      <c r="FJ119" s="1439"/>
      <c r="FK119" s="1422">
        <v>51954</v>
      </c>
      <c r="FL119" s="1439"/>
      <c r="FM119" s="1420">
        <v>199.27</v>
      </c>
      <c r="FN119" s="1439"/>
      <c r="FO119" s="1422">
        <v>54262</v>
      </c>
      <c r="FP119" s="1439"/>
      <c r="FQ119" s="1420">
        <v>2793633.76</v>
      </c>
      <c r="FR119" s="1439"/>
      <c r="FS119" s="1420">
        <v>37204.25</v>
      </c>
      <c r="FT119" s="1439"/>
      <c r="FU119" s="1422">
        <v>0</v>
      </c>
      <c r="FV119" s="1439"/>
      <c r="FW119" s="1420">
        <v>2756429.51</v>
      </c>
      <c r="FX119" s="1439"/>
      <c r="FY119" s="1420">
        <v>4087564.89</v>
      </c>
      <c r="FZ119" s="1439"/>
      <c r="GA119" s="1422">
        <v>0</v>
      </c>
      <c r="GB119" s="1439"/>
    </row>
    <row r="120" spans="1:184" ht="12.75" customHeight="1" thickBot="1">
      <c r="A120" s="1418" t="s">
        <v>464</v>
      </c>
      <c r="B120" s="1418" t="s">
        <v>465</v>
      </c>
      <c r="C120" s="1420">
        <v>116.11</v>
      </c>
      <c r="D120" s="1439"/>
      <c r="E120" s="1420">
        <v>2363.65</v>
      </c>
      <c r="F120" s="1439"/>
      <c r="G120" s="1421">
        <v>0.06</v>
      </c>
      <c r="H120" s="1439"/>
      <c r="I120" s="1420">
        <v>2484.38</v>
      </c>
      <c r="J120" s="1439"/>
      <c r="K120" s="1420">
        <v>2516.81</v>
      </c>
      <c r="L120" s="1439"/>
      <c r="M120" s="1422">
        <v>147781428</v>
      </c>
      <c r="N120" s="1439"/>
      <c r="O120" s="1422">
        <v>25</v>
      </c>
      <c r="P120" s="1439"/>
      <c r="Q120" s="1422">
        <v>25</v>
      </c>
      <c r="R120" s="1439"/>
      <c r="S120" s="1422">
        <v>0</v>
      </c>
      <c r="T120" s="1439"/>
      <c r="U120" s="1422">
        <v>0</v>
      </c>
      <c r="V120" s="1439"/>
      <c r="W120" s="1420">
        <v>9.5</v>
      </c>
      <c r="X120" s="1439"/>
      <c r="Y120" s="1420">
        <v>34.5</v>
      </c>
      <c r="Z120" s="1439"/>
      <c r="AA120" s="1422">
        <v>13020000</v>
      </c>
      <c r="AB120" s="1455"/>
      <c r="AC120" s="1424">
        <v>5324707.72</v>
      </c>
      <c r="AD120" s="1422">
        <v>5096490</v>
      </c>
      <c r="AE120" s="1420">
        <v>820466.85</v>
      </c>
      <c r="AF120" s="1420">
        <v>381235.18</v>
      </c>
      <c r="AG120" s="1422">
        <v>0</v>
      </c>
      <c r="AH120" s="1456">
        <v>0</v>
      </c>
      <c r="AI120" s="1428">
        <v>11456350</v>
      </c>
      <c r="AJ120" s="1422">
        <v>11683440</v>
      </c>
      <c r="AK120" s="1422">
        <v>108341</v>
      </c>
      <c r="AL120" s="1422">
        <v>0</v>
      </c>
      <c r="AM120" s="1422">
        <v>0</v>
      </c>
      <c r="AN120" s="1422">
        <v>0</v>
      </c>
      <c r="AO120" s="1422">
        <v>106637</v>
      </c>
      <c r="AP120" s="1422">
        <v>61225</v>
      </c>
      <c r="AQ120" s="1422">
        <v>0</v>
      </c>
      <c r="AR120" s="1422">
        <v>0</v>
      </c>
      <c r="AS120" s="1422">
        <v>0</v>
      </c>
      <c r="AT120" s="1422">
        <v>0</v>
      </c>
      <c r="AU120" s="1422">
        <v>0</v>
      </c>
      <c r="AV120" s="1422">
        <v>0</v>
      </c>
      <c r="AW120" s="1422">
        <v>0</v>
      </c>
      <c r="AX120" s="1422">
        <v>0</v>
      </c>
      <c r="AY120" s="1420">
        <v>17816502.57</v>
      </c>
      <c r="AZ120" s="1420">
        <v>17222390.18</v>
      </c>
      <c r="BA120" s="1420">
        <v>142843.79999999999</v>
      </c>
      <c r="BB120" s="1420">
        <v>139724.54999999999</v>
      </c>
      <c r="BC120" s="1422">
        <v>104095</v>
      </c>
      <c r="BD120" s="1422">
        <v>105818</v>
      </c>
      <c r="BE120" s="1420">
        <v>6178.62</v>
      </c>
      <c r="BF120" s="1422">
        <v>0</v>
      </c>
      <c r="BG120" s="1422">
        <v>1700</v>
      </c>
      <c r="BH120" s="1422">
        <v>0</v>
      </c>
      <c r="BI120" s="1422">
        <v>203841</v>
      </c>
      <c r="BJ120" s="1422">
        <v>208576</v>
      </c>
      <c r="BK120" s="1422">
        <v>96690</v>
      </c>
      <c r="BL120" s="1422">
        <v>98000</v>
      </c>
      <c r="BM120" s="1422">
        <v>833776</v>
      </c>
      <c r="BN120" s="1422">
        <v>854128</v>
      </c>
      <c r="BO120" s="1420">
        <v>44760.46</v>
      </c>
      <c r="BP120" s="1422">
        <v>12000</v>
      </c>
      <c r="BQ120" s="1420">
        <v>51952.67</v>
      </c>
      <c r="BR120" s="1422">
        <v>15000</v>
      </c>
      <c r="BS120" s="1420">
        <v>9468.73</v>
      </c>
      <c r="BT120" s="1422">
        <v>10000</v>
      </c>
      <c r="BU120" s="1422">
        <v>0</v>
      </c>
      <c r="BV120" s="1422">
        <v>0</v>
      </c>
      <c r="BW120" s="1422">
        <v>0</v>
      </c>
      <c r="BX120" s="1422">
        <v>0</v>
      </c>
      <c r="BY120" s="1422">
        <v>0</v>
      </c>
      <c r="BZ120" s="1422">
        <v>0</v>
      </c>
      <c r="CA120" s="1420">
        <v>492541.81</v>
      </c>
      <c r="CB120" s="1420">
        <v>595745.69999999995</v>
      </c>
      <c r="CC120" s="1420">
        <v>1987848.09</v>
      </c>
      <c r="CD120" s="1420">
        <v>2038992.25</v>
      </c>
      <c r="CE120" s="1420">
        <v>4573385.1900000004</v>
      </c>
      <c r="CF120" s="1420">
        <v>2797891.95</v>
      </c>
      <c r="CG120" s="1422">
        <v>987690</v>
      </c>
      <c r="CH120" s="1422">
        <v>0</v>
      </c>
      <c r="CI120" s="1422">
        <v>0</v>
      </c>
      <c r="CJ120" s="1422">
        <v>0</v>
      </c>
      <c r="CK120" s="1422">
        <v>21249</v>
      </c>
      <c r="CL120" s="1420">
        <v>14046.04</v>
      </c>
      <c r="CM120" s="1422">
        <v>0</v>
      </c>
      <c r="CN120" s="1422">
        <v>0</v>
      </c>
      <c r="CO120" s="1422">
        <v>0</v>
      </c>
      <c r="CP120" s="1422">
        <v>0</v>
      </c>
      <c r="CQ120" s="1422">
        <v>0</v>
      </c>
      <c r="CR120" s="1422">
        <v>0</v>
      </c>
      <c r="CS120" s="1422">
        <v>1008939</v>
      </c>
      <c r="CT120" s="1420">
        <v>14046.04</v>
      </c>
      <c r="CU120" s="1420">
        <v>25386674.850000001</v>
      </c>
      <c r="CV120" s="1420">
        <v>22073320.420000002</v>
      </c>
      <c r="CW120" s="1420">
        <v>7983810.1299999999</v>
      </c>
      <c r="CX120" s="1420">
        <v>7871979.5599999996</v>
      </c>
      <c r="CY120" s="1420">
        <v>1707883.03</v>
      </c>
      <c r="CZ120" s="1420">
        <v>1738073.39</v>
      </c>
      <c r="DA120" s="1420">
        <v>478871.44</v>
      </c>
      <c r="DB120" s="1420">
        <v>451681.47</v>
      </c>
      <c r="DC120" s="1420">
        <v>161284.64000000001</v>
      </c>
      <c r="DD120" s="1420">
        <v>160594.5</v>
      </c>
      <c r="DE120" s="1420">
        <v>700957.24</v>
      </c>
      <c r="DF120" s="1420">
        <v>635669.4</v>
      </c>
      <c r="DG120" s="1420">
        <v>1711342.38</v>
      </c>
      <c r="DH120" s="1420">
        <v>1717004.81</v>
      </c>
      <c r="DI120" s="1420">
        <v>12744148.859999999</v>
      </c>
      <c r="DJ120" s="1420">
        <v>12575003.130000001</v>
      </c>
      <c r="DK120" s="1420">
        <v>530375.81999999995</v>
      </c>
      <c r="DL120" s="1420">
        <v>660332.41</v>
      </c>
      <c r="DM120" s="1420">
        <v>1195859.76</v>
      </c>
      <c r="DN120" s="1420">
        <v>722134.07</v>
      </c>
      <c r="DO120" s="1420">
        <v>2060506.7</v>
      </c>
      <c r="DP120" s="1420">
        <v>1818805.94</v>
      </c>
      <c r="DQ120" s="1420">
        <v>854407.97</v>
      </c>
      <c r="DR120" s="1420">
        <v>971295.65</v>
      </c>
      <c r="DS120" s="1420">
        <v>88028.62</v>
      </c>
      <c r="DT120" s="1420">
        <v>49046.04</v>
      </c>
      <c r="DU120" s="1420">
        <v>4729178.87</v>
      </c>
      <c r="DV120" s="1420">
        <v>4221614.1100000003</v>
      </c>
      <c r="DW120" s="1420">
        <v>750979.76</v>
      </c>
      <c r="DX120" s="1420">
        <v>783997.39</v>
      </c>
      <c r="DY120" s="1420">
        <v>1262181.44</v>
      </c>
      <c r="DZ120" s="1420">
        <v>1080864.29</v>
      </c>
      <c r="EA120" s="1420">
        <v>1178725.93</v>
      </c>
      <c r="EB120" s="1420">
        <v>1199113.81</v>
      </c>
      <c r="EC120" s="1420">
        <v>3191887.13</v>
      </c>
      <c r="ED120" s="1420">
        <v>3063975.49</v>
      </c>
      <c r="EE120" s="1420">
        <v>1256036.3</v>
      </c>
      <c r="EF120" s="1420">
        <v>1196673.3799999999</v>
      </c>
      <c r="EG120" s="1420">
        <v>11772.08</v>
      </c>
      <c r="EH120" s="1422">
        <v>0</v>
      </c>
      <c r="EI120" s="1420">
        <v>520.52</v>
      </c>
      <c r="EJ120" s="1422">
        <v>0</v>
      </c>
      <c r="EK120" s="1422">
        <v>0</v>
      </c>
      <c r="EL120" s="1422">
        <v>0</v>
      </c>
      <c r="EM120" s="1420">
        <v>1268328.8999999999</v>
      </c>
      <c r="EN120" s="1420">
        <v>1196673.3799999999</v>
      </c>
      <c r="EO120" s="1420">
        <v>1894726.37</v>
      </c>
      <c r="EP120" s="1420">
        <v>911479.55</v>
      </c>
      <c r="EQ120" s="1420">
        <v>932360.72</v>
      </c>
      <c r="ER120" s="1420">
        <v>1030162.5</v>
      </c>
      <c r="ES120" s="1420">
        <v>15998.74</v>
      </c>
      <c r="ET120" s="1422">
        <v>0</v>
      </c>
      <c r="EU120" s="1420">
        <v>24776629.59</v>
      </c>
      <c r="EV120" s="1420">
        <v>22998908.16</v>
      </c>
      <c r="EW120" s="1420">
        <v>2191666.6800000002</v>
      </c>
      <c r="EX120" s="1420">
        <v>1174279.55</v>
      </c>
      <c r="EY120" s="1420">
        <v>932360.72</v>
      </c>
      <c r="EZ120" s="1420">
        <v>1030162.5</v>
      </c>
      <c r="FA120" s="1420">
        <v>21652602.190000001</v>
      </c>
      <c r="FB120" s="1420">
        <v>20794466.109999999</v>
      </c>
      <c r="FC120" s="1420">
        <v>967167.3</v>
      </c>
      <c r="FD120" s="1439"/>
      <c r="FE120" s="1420">
        <v>20685434.890000001</v>
      </c>
      <c r="FF120" s="1439"/>
      <c r="FG120" s="1422">
        <v>8751</v>
      </c>
      <c r="FH120" s="1439"/>
      <c r="FI120" s="1420">
        <v>174.12</v>
      </c>
      <c r="FJ120" s="1439"/>
      <c r="FK120" s="1422">
        <v>45249</v>
      </c>
      <c r="FL120" s="1439"/>
      <c r="FM120" s="1420">
        <v>188.28</v>
      </c>
      <c r="FN120" s="1439"/>
      <c r="FO120" s="1422">
        <v>47745</v>
      </c>
      <c r="FP120" s="1439"/>
      <c r="FQ120" s="1420">
        <v>4212549.62</v>
      </c>
      <c r="FR120" s="1439"/>
      <c r="FS120" s="1420">
        <v>21756.48</v>
      </c>
      <c r="FT120" s="1439"/>
      <c r="FU120" s="1422">
        <v>0</v>
      </c>
      <c r="FV120" s="1439"/>
      <c r="FW120" s="1420">
        <v>4190793.14</v>
      </c>
      <c r="FX120" s="1439"/>
      <c r="FY120" s="1420">
        <v>2224675.2200000002</v>
      </c>
      <c r="FZ120" s="1439"/>
      <c r="GA120" s="1422">
        <v>0</v>
      </c>
      <c r="GB120" s="1439"/>
    </row>
    <row r="121" spans="1:184" ht="12.75" customHeight="1" thickBot="1">
      <c r="A121" s="1418" t="s">
        <v>466</v>
      </c>
      <c r="B121" s="1418" t="s">
        <v>467</v>
      </c>
      <c r="C121" s="1420">
        <v>309.23</v>
      </c>
      <c r="D121" s="1439"/>
      <c r="E121" s="1420">
        <v>1003.72</v>
      </c>
      <c r="F121" s="1439"/>
      <c r="G121" s="1421">
        <v>-0.04</v>
      </c>
      <c r="H121" s="1439"/>
      <c r="I121" s="1420">
        <v>1067.0999999999999</v>
      </c>
      <c r="J121" s="1439"/>
      <c r="K121" s="1420">
        <v>1083.74</v>
      </c>
      <c r="L121" s="1439"/>
      <c r="M121" s="1422">
        <v>60983982</v>
      </c>
      <c r="N121" s="1439"/>
      <c r="O121" s="1422">
        <v>25</v>
      </c>
      <c r="P121" s="1439"/>
      <c r="Q121" s="1422">
        <v>25</v>
      </c>
      <c r="R121" s="1439"/>
      <c r="S121" s="1422">
        <v>0</v>
      </c>
      <c r="T121" s="1439"/>
      <c r="U121" s="1422">
        <v>0</v>
      </c>
      <c r="V121" s="1439"/>
      <c r="W121" s="1420">
        <v>10.33</v>
      </c>
      <c r="X121" s="1439"/>
      <c r="Y121" s="1420">
        <v>35.33</v>
      </c>
      <c r="Z121" s="1439"/>
      <c r="AA121" s="1420">
        <v>5029648.83</v>
      </c>
      <c r="AB121" s="1455"/>
      <c r="AC121" s="1424">
        <v>2049464.62</v>
      </c>
      <c r="AD121" s="1422">
        <v>1953775</v>
      </c>
      <c r="AE121" s="1420">
        <v>417889.49</v>
      </c>
      <c r="AF121" s="1422">
        <v>130600</v>
      </c>
      <c r="AG121" s="1422">
        <v>0</v>
      </c>
      <c r="AH121" s="1456">
        <v>0</v>
      </c>
      <c r="AI121" s="1428">
        <v>4796875</v>
      </c>
      <c r="AJ121" s="1422">
        <v>4844920</v>
      </c>
      <c r="AK121" s="1422">
        <v>85876</v>
      </c>
      <c r="AL121" s="1422">
        <v>82000</v>
      </c>
      <c r="AM121" s="1422">
        <v>0</v>
      </c>
      <c r="AN121" s="1422">
        <v>0</v>
      </c>
      <c r="AO121" s="1422">
        <v>89231</v>
      </c>
      <c r="AP121" s="1422">
        <v>51333</v>
      </c>
      <c r="AQ121" s="1422">
        <v>0</v>
      </c>
      <c r="AR121" s="1422">
        <v>0</v>
      </c>
      <c r="AS121" s="1422">
        <v>0</v>
      </c>
      <c r="AT121" s="1422">
        <v>0</v>
      </c>
      <c r="AU121" s="1422">
        <v>37528</v>
      </c>
      <c r="AV121" s="1422">
        <v>30022</v>
      </c>
      <c r="AW121" s="1422">
        <v>0</v>
      </c>
      <c r="AX121" s="1422">
        <v>0</v>
      </c>
      <c r="AY121" s="1420">
        <v>7476864.1100000003</v>
      </c>
      <c r="AZ121" s="1422">
        <v>7092650</v>
      </c>
      <c r="BA121" s="1422">
        <v>0</v>
      </c>
      <c r="BB121" s="1422">
        <v>0</v>
      </c>
      <c r="BC121" s="1422">
        <v>44823</v>
      </c>
      <c r="BD121" s="1422">
        <v>45221</v>
      </c>
      <c r="BE121" s="1422">
        <v>3800</v>
      </c>
      <c r="BF121" s="1422">
        <v>4800</v>
      </c>
      <c r="BG121" s="1422">
        <v>600</v>
      </c>
      <c r="BH121" s="1422">
        <v>0</v>
      </c>
      <c r="BI121" s="1422">
        <v>37664</v>
      </c>
      <c r="BJ121" s="1422">
        <v>50486</v>
      </c>
      <c r="BK121" s="1422">
        <v>1758</v>
      </c>
      <c r="BL121" s="1422">
        <v>0</v>
      </c>
      <c r="BM121" s="1422">
        <v>327856</v>
      </c>
      <c r="BN121" s="1422">
        <v>326876</v>
      </c>
      <c r="BO121" s="1420">
        <v>4439.7</v>
      </c>
      <c r="BP121" s="1422">
        <v>0</v>
      </c>
      <c r="BQ121" s="1420">
        <v>5417.12</v>
      </c>
      <c r="BR121" s="1422">
        <v>8125</v>
      </c>
      <c r="BS121" s="1420">
        <v>4267.32</v>
      </c>
      <c r="BT121" s="1422">
        <v>4500</v>
      </c>
      <c r="BU121" s="1422">
        <v>0</v>
      </c>
      <c r="BV121" s="1422">
        <v>0</v>
      </c>
      <c r="BW121" s="1422">
        <v>160520</v>
      </c>
      <c r="BX121" s="1422">
        <v>194400</v>
      </c>
      <c r="BY121" s="1422">
        <v>0</v>
      </c>
      <c r="BZ121" s="1422">
        <v>0</v>
      </c>
      <c r="CA121" s="1420">
        <v>82058.16</v>
      </c>
      <c r="CB121" s="1422">
        <v>148274</v>
      </c>
      <c r="CC121" s="1420">
        <v>673203.3</v>
      </c>
      <c r="CD121" s="1422">
        <v>782682</v>
      </c>
      <c r="CE121" s="1420">
        <v>1942862.44</v>
      </c>
      <c r="CF121" s="1420">
        <v>2399076.31</v>
      </c>
      <c r="CG121" s="1422">
        <v>377300</v>
      </c>
      <c r="CH121" s="1422">
        <v>0</v>
      </c>
      <c r="CI121" s="1422">
        <v>0</v>
      </c>
      <c r="CJ121" s="1422">
        <v>0</v>
      </c>
      <c r="CK121" s="1422">
        <v>0</v>
      </c>
      <c r="CL121" s="1422">
        <v>0</v>
      </c>
      <c r="CM121" s="1422">
        <v>0</v>
      </c>
      <c r="CN121" s="1422">
        <v>0</v>
      </c>
      <c r="CO121" s="1422">
        <v>0</v>
      </c>
      <c r="CP121" s="1422">
        <v>0</v>
      </c>
      <c r="CQ121" s="1422">
        <v>0</v>
      </c>
      <c r="CR121" s="1422">
        <v>0</v>
      </c>
      <c r="CS121" s="1422">
        <v>377300</v>
      </c>
      <c r="CT121" s="1422">
        <v>0</v>
      </c>
      <c r="CU121" s="1420">
        <v>10470229.85</v>
      </c>
      <c r="CV121" s="1420">
        <v>10274408.310000001</v>
      </c>
      <c r="CW121" s="1420">
        <v>4008230.18</v>
      </c>
      <c r="CX121" s="1420">
        <v>3782853.04</v>
      </c>
      <c r="CY121" s="1420">
        <v>685828.13</v>
      </c>
      <c r="CZ121" s="1420">
        <v>666924.98</v>
      </c>
      <c r="DA121" s="1420">
        <v>343717.25</v>
      </c>
      <c r="DB121" s="1420">
        <v>456135.23</v>
      </c>
      <c r="DC121" s="1422">
        <v>0</v>
      </c>
      <c r="DD121" s="1422">
        <v>0</v>
      </c>
      <c r="DE121" s="1420">
        <v>318383.14</v>
      </c>
      <c r="DF121" s="1420">
        <v>369711.5</v>
      </c>
      <c r="DG121" s="1420">
        <v>298601.73</v>
      </c>
      <c r="DH121" s="1420">
        <v>307615.92</v>
      </c>
      <c r="DI121" s="1420">
        <v>5654760.4299999997</v>
      </c>
      <c r="DJ121" s="1420">
        <v>5583240.6699999999</v>
      </c>
      <c r="DK121" s="1420">
        <v>178414.29</v>
      </c>
      <c r="DL121" s="1422">
        <v>170946</v>
      </c>
      <c r="DM121" s="1420">
        <v>227426.1</v>
      </c>
      <c r="DN121" s="1420">
        <v>266207.02</v>
      </c>
      <c r="DO121" s="1420">
        <v>958024.54</v>
      </c>
      <c r="DP121" s="1422">
        <v>751195</v>
      </c>
      <c r="DQ121" s="1420">
        <v>554798.29</v>
      </c>
      <c r="DR121" s="1422">
        <v>445542</v>
      </c>
      <c r="DS121" s="1420">
        <v>11892.73</v>
      </c>
      <c r="DT121" s="1422">
        <v>11000</v>
      </c>
      <c r="DU121" s="1420">
        <v>1930555.95</v>
      </c>
      <c r="DV121" s="1420">
        <v>1644890.02</v>
      </c>
      <c r="DW121" s="1420">
        <v>389636.57</v>
      </c>
      <c r="DX121" s="1422">
        <v>415334</v>
      </c>
      <c r="DY121" s="1420">
        <v>502866.98</v>
      </c>
      <c r="DZ121" s="1420">
        <v>520733.71</v>
      </c>
      <c r="EA121" s="1420">
        <v>360368.59</v>
      </c>
      <c r="EB121" s="1422">
        <v>379330</v>
      </c>
      <c r="EC121" s="1420">
        <v>1252872.1399999999</v>
      </c>
      <c r="ED121" s="1420">
        <v>1315397.71</v>
      </c>
      <c r="EE121" s="1420">
        <v>470938.2</v>
      </c>
      <c r="EF121" s="1422">
        <v>486110</v>
      </c>
      <c r="EG121" s="1422">
        <v>0</v>
      </c>
      <c r="EH121" s="1422">
        <v>0</v>
      </c>
      <c r="EI121" s="1420">
        <v>99.29</v>
      </c>
      <c r="EJ121" s="1422">
        <v>500</v>
      </c>
      <c r="EK121" s="1422">
        <v>0</v>
      </c>
      <c r="EL121" s="1422">
        <v>0</v>
      </c>
      <c r="EM121" s="1420">
        <v>471037.49</v>
      </c>
      <c r="EN121" s="1422">
        <v>486610</v>
      </c>
      <c r="EO121" s="1420">
        <v>459388.45</v>
      </c>
      <c r="EP121" s="1420">
        <v>1157803.51</v>
      </c>
      <c r="EQ121" s="1420">
        <v>369617.5</v>
      </c>
      <c r="ER121" s="1422">
        <v>343430</v>
      </c>
      <c r="ES121" s="1422">
        <v>0</v>
      </c>
      <c r="ET121" s="1422">
        <v>0</v>
      </c>
      <c r="EU121" s="1420">
        <v>10138231.960000001</v>
      </c>
      <c r="EV121" s="1420">
        <v>10531371.91</v>
      </c>
      <c r="EW121" s="1420">
        <v>759949.39</v>
      </c>
      <c r="EX121" s="1420">
        <v>1222840.69</v>
      </c>
      <c r="EY121" s="1420">
        <v>369617.5</v>
      </c>
      <c r="EZ121" s="1422">
        <v>343430</v>
      </c>
      <c r="FA121" s="1420">
        <v>9008665.0700000003</v>
      </c>
      <c r="FB121" s="1420">
        <v>8965101.2200000007</v>
      </c>
      <c r="FC121" s="1420">
        <v>454027.76</v>
      </c>
      <c r="FD121" s="1439"/>
      <c r="FE121" s="1420">
        <v>8554637.3100000005</v>
      </c>
      <c r="FF121" s="1439"/>
      <c r="FG121" s="1422">
        <v>8522</v>
      </c>
      <c r="FH121" s="1439"/>
      <c r="FI121" s="1420">
        <v>76.959999999999994</v>
      </c>
      <c r="FJ121" s="1439"/>
      <c r="FK121" s="1422">
        <v>48123</v>
      </c>
      <c r="FL121" s="1439"/>
      <c r="FM121" s="1420">
        <v>82.37</v>
      </c>
      <c r="FN121" s="1439"/>
      <c r="FO121" s="1422">
        <v>49866</v>
      </c>
      <c r="FP121" s="1439"/>
      <c r="FQ121" s="1420">
        <v>1656438.6</v>
      </c>
      <c r="FR121" s="1439"/>
      <c r="FS121" s="1420">
        <v>36718.019999999997</v>
      </c>
      <c r="FT121" s="1439"/>
      <c r="FU121" s="1422">
        <v>0</v>
      </c>
      <c r="FV121" s="1439"/>
      <c r="FW121" s="1420">
        <v>1619720.58</v>
      </c>
      <c r="FX121" s="1439"/>
      <c r="FY121" s="1420">
        <v>1394210.09</v>
      </c>
      <c r="FZ121" s="1439"/>
      <c r="GA121" s="1422">
        <v>0</v>
      </c>
      <c r="GB121" s="1439"/>
    </row>
    <row r="122" spans="1:184" ht="12.75" customHeight="1" thickBot="1">
      <c r="A122" s="1418" t="s">
        <v>468</v>
      </c>
      <c r="B122" s="1418" t="s">
        <v>469</v>
      </c>
      <c r="C122" s="1420">
        <v>88.25</v>
      </c>
      <c r="D122" s="1439"/>
      <c r="E122" s="1420">
        <v>570.45000000000005</v>
      </c>
      <c r="F122" s="1439"/>
      <c r="G122" s="1421">
        <v>0.01</v>
      </c>
      <c r="H122" s="1439"/>
      <c r="I122" s="1420">
        <v>608.03</v>
      </c>
      <c r="J122" s="1439"/>
      <c r="K122" s="1420">
        <v>616.05999999999995</v>
      </c>
      <c r="L122" s="1439"/>
      <c r="M122" s="1422">
        <v>27491068</v>
      </c>
      <c r="N122" s="1439"/>
      <c r="O122" s="1422">
        <v>25</v>
      </c>
      <c r="P122" s="1439"/>
      <c r="Q122" s="1422">
        <v>25</v>
      </c>
      <c r="R122" s="1439"/>
      <c r="S122" s="1422">
        <v>0</v>
      </c>
      <c r="T122" s="1439"/>
      <c r="U122" s="1422">
        <v>0</v>
      </c>
      <c r="V122" s="1439"/>
      <c r="W122" s="1422">
        <v>12</v>
      </c>
      <c r="X122" s="1439"/>
      <c r="Y122" s="1422">
        <v>37</v>
      </c>
      <c r="Z122" s="1439"/>
      <c r="AA122" s="1420">
        <v>4646418.9800000004</v>
      </c>
      <c r="AB122" s="1455"/>
      <c r="AC122" s="1424">
        <v>988889.15</v>
      </c>
      <c r="AD122" s="1422">
        <v>847000</v>
      </c>
      <c r="AE122" s="1420">
        <v>283222.23</v>
      </c>
      <c r="AF122" s="1422">
        <v>192300</v>
      </c>
      <c r="AG122" s="1422">
        <v>0</v>
      </c>
      <c r="AH122" s="1456">
        <v>0</v>
      </c>
      <c r="AI122" s="1428">
        <v>3007510</v>
      </c>
      <c r="AJ122" s="1422">
        <v>3405726</v>
      </c>
      <c r="AK122" s="1422">
        <v>50990</v>
      </c>
      <c r="AL122" s="1422">
        <v>50000</v>
      </c>
      <c r="AM122" s="1422">
        <v>59478</v>
      </c>
      <c r="AN122" s="1422">
        <v>0</v>
      </c>
      <c r="AO122" s="1422">
        <v>0</v>
      </c>
      <c r="AP122" s="1422">
        <v>21873</v>
      </c>
      <c r="AQ122" s="1422">
        <v>0</v>
      </c>
      <c r="AR122" s="1422">
        <v>0</v>
      </c>
      <c r="AS122" s="1422">
        <v>0</v>
      </c>
      <c r="AT122" s="1422">
        <v>0</v>
      </c>
      <c r="AU122" s="1422">
        <v>21870</v>
      </c>
      <c r="AV122" s="1422">
        <v>17496</v>
      </c>
      <c r="AW122" s="1422">
        <v>0</v>
      </c>
      <c r="AX122" s="1422">
        <v>0</v>
      </c>
      <c r="AY122" s="1420">
        <v>4411959.38</v>
      </c>
      <c r="AZ122" s="1422">
        <v>4534395</v>
      </c>
      <c r="BA122" s="1422">
        <v>0</v>
      </c>
      <c r="BB122" s="1422">
        <v>0</v>
      </c>
      <c r="BC122" s="1422">
        <v>25480</v>
      </c>
      <c r="BD122" s="1422">
        <v>25807</v>
      </c>
      <c r="BE122" s="1420">
        <v>1392.96</v>
      </c>
      <c r="BF122" s="1422">
        <v>3200</v>
      </c>
      <c r="BG122" s="1422">
        <v>0</v>
      </c>
      <c r="BH122" s="1422">
        <v>0</v>
      </c>
      <c r="BI122" s="1422">
        <v>75816</v>
      </c>
      <c r="BJ122" s="1422">
        <v>85553</v>
      </c>
      <c r="BK122" s="1422">
        <v>3516</v>
      </c>
      <c r="BL122" s="1422">
        <v>0</v>
      </c>
      <c r="BM122" s="1422">
        <v>461280</v>
      </c>
      <c r="BN122" s="1422">
        <v>466532</v>
      </c>
      <c r="BO122" s="1420">
        <v>2523.79</v>
      </c>
      <c r="BP122" s="1422">
        <v>0</v>
      </c>
      <c r="BQ122" s="1422">
        <v>0</v>
      </c>
      <c r="BR122" s="1422">
        <v>0</v>
      </c>
      <c r="BS122" s="1420">
        <v>2714.64</v>
      </c>
      <c r="BT122" s="1422">
        <v>2800</v>
      </c>
      <c r="BU122" s="1422">
        <v>0</v>
      </c>
      <c r="BV122" s="1422">
        <v>0</v>
      </c>
      <c r="BW122" s="1422">
        <v>0</v>
      </c>
      <c r="BX122" s="1422">
        <v>0</v>
      </c>
      <c r="BY122" s="1422">
        <v>0</v>
      </c>
      <c r="BZ122" s="1422">
        <v>0</v>
      </c>
      <c r="CA122" s="1422">
        <v>908760</v>
      </c>
      <c r="CB122" s="1422">
        <v>312500</v>
      </c>
      <c r="CC122" s="1420">
        <v>1481483.39</v>
      </c>
      <c r="CD122" s="1422">
        <v>896392</v>
      </c>
      <c r="CE122" s="1420">
        <v>1894934.43</v>
      </c>
      <c r="CF122" s="1420">
        <v>1110177.56</v>
      </c>
      <c r="CG122" s="1422">
        <v>0</v>
      </c>
      <c r="CH122" s="1422">
        <v>0</v>
      </c>
      <c r="CI122" s="1422">
        <v>0</v>
      </c>
      <c r="CJ122" s="1422">
        <v>0</v>
      </c>
      <c r="CK122" s="1420">
        <v>384.72</v>
      </c>
      <c r="CL122" s="1422">
        <v>0</v>
      </c>
      <c r="CM122" s="1422">
        <v>0</v>
      </c>
      <c r="CN122" s="1422">
        <v>0</v>
      </c>
      <c r="CO122" s="1422">
        <v>0</v>
      </c>
      <c r="CP122" s="1422">
        <v>0</v>
      </c>
      <c r="CQ122" s="1422">
        <v>0</v>
      </c>
      <c r="CR122" s="1422">
        <v>0</v>
      </c>
      <c r="CS122" s="1420">
        <v>384.72</v>
      </c>
      <c r="CT122" s="1422">
        <v>0</v>
      </c>
      <c r="CU122" s="1420">
        <v>7788761.9199999999</v>
      </c>
      <c r="CV122" s="1420">
        <v>6540964.5599999996</v>
      </c>
      <c r="CW122" s="1420">
        <v>2373314.11</v>
      </c>
      <c r="CX122" s="1420">
        <v>2407572.67</v>
      </c>
      <c r="CY122" s="1420">
        <v>395104.16</v>
      </c>
      <c r="CZ122" s="1422">
        <v>410272</v>
      </c>
      <c r="DA122" s="1422">
        <v>189399</v>
      </c>
      <c r="DB122" s="1422">
        <v>194478</v>
      </c>
      <c r="DC122" s="1422">
        <v>0</v>
      </c>
      <c r="DD122" s="1422">
        <v>0</v>
      </c>
      <c r="DE122" s="1420">
        <v>245526.66</v>
      </c>
      <c r="DF122" s="1422">
        <v>231261</v>
      </c>
      <c r="DG122" s="1420">
        <v>144789.01</v>
      </c>
      <c r="DH122" s="1422">
        <v>145085</v>
      </c>
      <c r="DI122" s="1420">
        <v>3348132.94</v>
      </c>
      <c r="DJ122" s="1420">
        <v>3388668.67</v>
      </c>
      <c r="DK122" s="1420">
        <v>115839.43</v>
      </c>
      <c r="DL122" s="1422">
        <v>107757</v>
      </c>
      <c r="DM122" s="1420">
        <v>74981.09</v>
      </c>
      <c r="DN122" s="1420">
        <v>89609.33</v>
      </c>
      <c r="DO122" s="1420">
        <v>413657.71</v>
      </c>
      <c r="DP122" s="1422">
        <v>428154</v>
      </c>
      <c r="DQ122" s="1420">
        <v>320624.06</v>
      </c>
      <c r="DR122" s="1422">
        <v>307045</v>
      </c>
      <c r="DS122" s="1420">
        <v>15613.33</v>
      </c>
      <c r="DT122" s="1422">
        <v>10000</v>
      </c>
      <c r="DU122" s="1420">
        <v>940715.62</v>
      </c>
      <c r="DV122" s="1420">
        <v>942565.33</v>
      </c>
      <c r="DW122" s="1420">
        <v>264335.77</v>
      </c>
      <c r="DX122" s="1422">
        <v>281861</v>
      </c>
      <c r="DY122" s="1420">
        <v>503017.32</v>
      </c>
      <c r="DZ122" s="1422">
        <v>467696</v>
      </c>
      <c r="EA122" s="1420">
        <v>222475.45</v>
      </c>
      <c r="EB122" s="1422">
        <v>213544</v>
      </c>
      <c r="EC122" s="1420">
        <v>989828.54</v>
      </c>
      <c r="ED122" s="1422">
        <v>963101</v>
      </c>
      <c r="EE122" s="1420">
        <v>433677.37</v>
      </c>
      <c r="EF122" s="1422">
        <v>492836</v>
      </c>
      <c r="EG122" s="1420">
        <v>9681.58</v>
      </c>
      <c r="EH122" s="1422">
        <v>0</v>
      </c>
      <c r="EI122" s="1420">
        <v>863.62</v>
      </c>
      <c r="EJ122" s="1422">
        <v>0</v>
      </c>
      <c r="EK122" s="1422">
        <v>0</v>
      </c>
      <c r="EL122" s="1422">
        <v>0</v>
      </c>
      <c r="EM122" s="1420">
        <v>444222.57</v>
      </c>
      <c r="EN122" s="1422">
        <v>492836</v>
      </c>
      <c r="EO122" s="1420">
        <v>1872564.34</v>
      </c>
      <c r="EP122" s="1422">
        <v>75777</v>
      </c>
      <c r="EQ122" s="1420">
        <v>341412.59</v>
      </c>
      <c r="ER122" s="1422">
        <v>255905</v>
      </c>
      <c r="ES122" s="1422">
        <v>55300</v>
      </c>
      <c r="ET122" s="1422">
        <v>0</v>
      </c>
      <c r="EU122" s="1420">
        <v>7992176.5999999996</v>
      </c>
      <c r="EV122" s="1422">
        <v>6118853</v>
      </c>
      <c r="EW122" s="1420">
        <v>2011155.86</v>
      </c>
      <c r="EX122" s="1422">
        <v>108537</v>
      </c>
      <c r="EY122" s="1420">
        <v>341412.59</v>
      </c>
      <c r="EZ122" s="1422">
        <v>255905</v>
      </c>
      <c r="FA122" s="1420">
        <v>5639608.1500000004</v>
      </c>
      <c r="FB122" s="1422">
        <v>5754411</v>
      </c>
      <c r="FC122" s="1420">
        <v>225144.27</v>
      </c>
      <c r="FD122" s="1439"/>
      <c r="FE122" s="1420">
        <v>5414463.8799999999</v>
      </c>
      <c r="FF122" s="1439"/>
      <c r="FG122" s="1422">
        <v>9491</v>
      </c>
      <c r="FH122" s="1439"/>
      <c r="FI122" s="1420">
        <v>51.93</v>
      </c>
      <c r="FJ122" s="1439"/>
      <c r="FK122" s="1422">
        <v>39247</v>
      </c>
      <c r="FL122" s="1439"/>
      <c r="FM122" s="1420">
        <v>53.93</v>
      </c>
      <c r="FN122" s="1439"/>
      <c r="FO122" s="1422">
        <v>43453</v>
      </c>
      <c r="FP122" s="1439"/>
      <c r="FQ122" s="1420">
        <v>1300267.54</v>
      </c>
      <c r="FR122" s="1439"/>
      <c r="FS122" s="1420">
        <v>11641.81</v>
      </c>
      <c r="FT122" s="1439"/>
      <c r="FU122" s="1422">
        <v>0</v>
      </c>
      <c r="FV122" s="1439"/>
      <c r="FW122" s="1420">
        <v>1288625.73</v>
      </c>
      <c r="FX122" s="1439"/>
      <c r="FY122" s="1420">
        <v>1727816.5</v>
      </c>
      <c r="FZ122" s="1439"/>
      <c r="GA122" s="1422">
        <v>0</v>
      </c>
      <c r="GB122" s="1439"/>
    </row>
    <row r="123" spans="1:184" ht="12.75" customHeight="1" thickBot="1">
      <c r="A123" s="1418" t="s">
        <v>470</v>
      </c>
      <c r="B123" s="1418" t="s">
        <v>471</v>
      </c>
      <c r="C123" s="1420">
        <v>256.04000000000002</v>
      </c>
      <c r="D123" s="1439"/>
      <c r="E123" s="1420">
        <v>358.65</v>
      </c>
      <c r="F123" s="1439"/>
      <c r="G123" s="1421">
        <v>-0.02</v>
      </c>
      <c r="H123" s="1439"/>
      <c r="I123" s="1420">
        <v>378.63</v>
      </c>
      <c r="J123" s="1439"/>
      <c r="K123" s="1422">
        <v>412</v>
      </c>
      <c r="L123" s="1439"/>
      <c r="M123" s="1422">
        <v>29885682</v>
      </c>
      <c r="N123" s="1439"/>
      <c r="O123" s="1422">
        <v>29</v>
      </c>
      <c r="P123" s="1439"/>
      <c r="Q123" s="1422">
        <v>25</v>
      </c>
      <c r="R123" s="1439"/>
      <c r="S123" s="1422">
        <v>4</v>
      </c>
      <c r="T123" s="1439"/>
      <c r="U123" s="1422">
        <v>0</v>
      </c>
      <c r="V123" s="1439"/>
      <c r="W123" s="1422">
        <v>3</v>
      </c>
      <c r="X123" s="1439"/>
      <c r="Y123" s="1422">
        <v>32</v>
      </c>
      <c r="Z123" s="1439"/>
      <c r="AA123" s="1422">
        <v>1971624</v>
      </c>
      <c r="AB123" s="1455"/>
      <c r="AC123" s="1424">
        <v>866792.69</v>
      </c>
      <c r="AD123" s="1422">
        <v>866796</v>
      </c>
      <c r="AE123" s="1420">
        <v>222686.68</v>
      </c>
      <c r="AF123" s="1422">
        <v>233720</v>
      </c>
      <c r="AG123" s="1420">
        <v>78535.360000000001</v>
      </c>
      <c r="AH123" s="1456">
        <v>0</v>
      </c>
      <c r="AI123" s="1428">
        <v>1633324</v>
      </c>
      <c r="AJ123" s="1422">
        <v>1574373</v>
      </c>
      <c r="AK123" s="1422">
        <v>101131</v>
      </c>
      <c r="AL123" s="1422">
        <v>6928</v>
      </c>
      <c r="AM123" s="1422">
        <v>0</v>
      </c>
      <c r="AN123" s="1422">
        <v>0</v>
      </c>
      <c r="AO123" s="1422">
        <v>0</v>
      </c>
      <c r="AP123" s="1422">
        <v>0</v>
      </c>
      <c r="AQ123" s="1422">
        <v>0</v>
      </c>
      <c r="AR123" s="1422">
        <v>0</v>
      </c>
      <c r="AS123" s="1422">
        <v>0</v>
      </c>
      <c r="AT123" s="1422">
        <v>110000</v>
      </c>
      <c r="AU123" s="1422">
        <v>0</v>
      </c>
      <c r="AV123" s="1422">
        <v>0</v>
      </c>
      <c r="AW123" s="1422">
        <v>0</v>
      </c>
      <c r="AX123" s="1422">
        <v>0</v>
      </c>
      <c r="AY123" s="1420">
        <v>2902469.73</v>
      </c>
      <c r="AZ123" s="1422">
        <v>2791817</v>
      </c>
      <c r="BA123" s="1422">
        <v>0</v>
      </c>
      <c r="BB123" s="1422">
        <v>0</v>
      </c>
      <c r="BC123" s="1422">
        <v>17040</v>
      </c>
      <c r="BD123" s="1422">
        <v>15677</v>
      </c>
      <c r="BE123" s="1420">
        <v>197121.99</v>
      </c>
      <c r="BF123" s="1422">
        <v>0</v>
      </c>
      <c r="BG123" s="1422">
        <v>200</v>
      </c>
      <c r="BH123" s="1422">
        <v>0</v>
      </c>
      <c r="BI123" s="1422">
        <v>9223</v>
      </c>
      <c r="BJ123" s="1422">
        <v>2570</v>
      </c>
      <c r="BK123" s="1422">
        <v>0</v>
      </c>
      <c r="BL123" s="1422">
        <v>0</v>
      </c>
      <c r="BM123" s="1422">
        <v>313472</v>
      </c>
      <c r="BN123" s="1422">
        <v>106218</v>
      </c>
      <c r="BO123" s="1420">
        <v>2723.82</v>
      </c>
      <c r="BP123" s="1422">
        <v>0</v>
      </c>
      <c r="BQ123" s="1422">
        <v>0</v>
      </c>
      <c r="BR123" s="1422">
        <v>0</v>
      </c>
      <c r="BS123" s="1420">
        <v>1741.86</v>
      </c>
      <c r="BT123" s="1422">
        <v>0</v>
      </c>
      <c r="BU123" s="1422">
        <v>0</v>
      </c>
      <c r="BV123" s="1422">
        <v>0</v>
      </c>
      <c r="BW123" s="1422">
        <v>0</v>
      </c>
      <c r="BX123" s="1422">
        <v>0</v>
      </c>
      <c r="BY123" s="1422">
        <v>0</v>
      </c>
      <c r="BZ123" s="1422">
        <v>0</v>
      </c>
      <c r="CA123" s="1420">
        <v>13501.69</v>
      </c>
      <c r="CB123" s="1422">
        <v>9953</v>
      </c>
      <c r="CC123" s="1420">
        <v>555024.36</v>
      </c>
      <c r="CD123" s="1422">
        <v>134418</v>
      </c>
      <c r="CE123" s="1420">
        <v>860901.51</v>
      </c>
      <c r="CF123" s="1420">
        <v>537578.31999999995</v>
      </c>
      <c r="CG123" s="1420">
        <v>918239.7</v>
      </c>
      <c r="CH123" s="1422">
        <v>3300</v>
      </c>
      <c r="CI123" s="1422">
        <v>0</v>
      </c>
      <c r="CJ123" s="1422">
        <v>0</v>
      </c>
      <c r="CK123" s="1422">
        <v>2737</v>
      </c>
      <c r="CL123" s="1422">
        <v>0</v>
      </c>
      <c r="CM123" s="1422">
        <v>0</v>
      </c>
      <c r="CN123" s="1422">
        <v>0</v>
      </c>
      <c r="CO123" s="1422">
        <v>0</v>
      </c>
      <c r="CP123" s="1422">
        <v>0</v>
      </c>
      <c r="CQ123" s="1422">
        <v>0</v>
      </c>
      <c r="CR123" s="1422">
        <v>0</v>
      </c>
      <c r="CS123" s="1420">
        <v>920976.7</v>
      </c>
      <c r="CT123" s="1422">
        <v>3300</v>
      </c>
      <c r="CU123" s="1420">
        <v>5239372.3</v>
      </c>
      <c r="CV123" s="1420">
        <v>3467113.32</v>
      </c>
      <c r="CW123" s="1420">
        <v>1467348.76</v>
      </c>
      <c r="CX123" s="1420">
        <v>1194984.02</v>
      </c>
      <c r="CY123" s="1420">
        <v>220233.29</v>
      </c>
      <c r="CZ123" s="1420">
        <v>241947.21</v>
      </c>
      <c r="DA123" s="1420">
        <v>133666.20000000001</v>
      </c>
      <c r="DB123" s="1420">
        <v>135950.64000000001</v>
      </c>
      <c r="DC123" s="1422">
        <v>0</v>
      </c>
      <c r="DD123" s="1422">
        <v>0</v>
      </c>
      <c r="DE123" s="1420">
        <v>315004.67</v>
      </c>
      <c r="DF123" s="1420">
        <v>428088.3</v>
      </c>
      <c r="DG123" s="1420">
        <v>29065.69</v>
      </c>
      <c r="DH123" s="1420">
        <v>33006.300000000003</v>
      </c>
      <c r="DI123" s="1420">
        <v>2165318.61</v>
      </c>
      <c r="DJ123" s="1420">
        <v>2033976.47</v>
      </c>
      <c r="DK123" s="1420">
        <v>184856.15</v>
      </c>
      <c r="DL123" s="1420">
        <v>175221.22</v>
      </c>
      <c r="DM123" s="1420">
        <v>43212.81</v>
      </c>
      <c r="DN123" s="1420">
        <v>47874.74</v>
      </c>
      <c r="DO123" s="1420">
        <v>255898.55</v>
      </c>
      <c r="DP123" s="1420">
        <v>248484.18</v>
      </c>
      <c r="DQ123" s="1420">
        <v>208572.85</v>
      </c>
      <c r="DR123" s="1420">
        <v>122117.31</v>
      </c>
      <c r="DS123" s="1420">
        <v>4881.1400000000003</v>
      </c>
      <c r="DT123" s="1422">
        <v>4844</v>
      </c>
      <c r="DU123" s="1420">
        <v>697421.5</v>
      </c>
      <c r="DV123" s="1420">
        <v>598541.44999999995</v>
      </c>
      <c r="DW123" s="1420">
        <v>68214.789999999994</v>
      </c>
      <c r="DX123" s="1420">
        <v>75219.78</v>
      </c>
      <c r="DY123" s="1420">
        <v>279918.21000000002</v>
      </c>
      <c r="DZ123" s="1420">
        <v>184705.69</v>
      </c>
      <c r="EA123" s="1420">
        <v>137658.9</v>
      </c>
      <c r="EB123" s="1420">
        <v>146402.59</v>
      </c>
      <c r="EC123" s="1420">
        <v>485791.9</v>
      </c>
      <c r="ED123" s="1420">
        <v>406328.06</v>
      </c>
      <c r="EE123" s="1420">
        <v>248405.44</v>
      </c>
      <c r="EF123" s="1420">
        <v>242086.02</v>
      </c>
      <c r="EG123" s="1422">
        <v>0</v>
      </c>
      <c r="EH123" s="1422">
        <v>0</v>
      </c>
      <c r="EI123" s="1422">
        <v>0</v>
      </c>
      <c r="EJ123" s="1422">
        <v>0</v>
      </c>
      <c r="EK123" s="1422">
        <v>0</v>
      </c>
      <c r="EL123" s="1422">
        <v>0</v>
      </c>
      <c r="EM123" s="1420">
        <v>248405.44</v>
      </c>
      <c r="EN123" s="1420">
        <v>242086.02</v>
      </c>
      <c r="EO123" s="1420">
        <v>394382.86</v>
      </c>
      <c r="EP123" s="1420">
        <v>2214429.75</v>
      </c>
      <c r="EQ123" s="1420">
        <v>59830.99</v>
      </c>
      <c r="ER123" s="1420">
        <v>36427.46</v>
      </c>
      <c r="ES123" s="1422">
        <v>36172</v>
      </c>
      <c r="ET123" s="1422">
        <v>0</v>
      </c>
      <c r="EU123" s="1420">
        <v>4087323.3</v>
      </c>
      <c r="EV123" s="1420">
        <v>5531789.21</v>
      </c>
      <c r="EW123" s="1420">
        <v>503724.22</v>
      </c>
      <c r="EX123" s="1420">
        <v>2247929.75</v>
      </c>
      <c r="EY123" s="1420">
        <v>59830.99</v>
      </c>
      <c r="EZ123" s="1420">
        <v>36427.46</v>
      </c>
      <c r="FA123" s="1420">
        <v>3523768.09</v>
      </c>
      <c r="FB123" s="1422">
        <v>3247432</v>
      </c>
      <c r="FC123" s="1420">
        <v>219095.37</v>
      </c>
      <c r="FD123" s="1439"/>
      <c r="FE123" s="1420">
        <v>3304672.72</v>
      </c>
      <c r="FF123" s="1439"/>
      <c r="FG123" s="1422">
        <v>9214</v>
      </c>
      <c r="FH123" s="1439"/>
      <c r="FI123" s="1420">
        <v>21.9</v>
      </c>
      <c r="FJ123" s="1439"/>
      <c r="FK123" s="1422">
        <v>59649</v>
      </c>
      <c r="FL123" s="1439"/>
      <c r="FM123" s="1420">
        <v>24.2</v>
      </c>
      <c r="FN123" s="1439"/>
      <c r="FO123" s="1422">
        <v>61271</v>
      </c>
      <c r="FP123" s="1439"/>
      <c r="FQ123" s="1420">
        <v>3643649.97</v>
      </c>
      <c r="FR123" s="1439"/>
      <c r="FS123" s="1420">
        <v>114412.56</v>
      </c>
      <c r="FT123" s="1439"/>
      <c r="FU123" s="1422">
        <v>0</v>
      </c>
      <c r="FV123" s="1439"/>
      <c r="FW123" s="1420">
        <v>3529237.41</v>
      </c>
      <c r="FX123" s="1439"/>
      <c r="FY123" s="1420">
        <v>850878.75</v>
      </c>
      <c r="FZ123" s="1439"/>
      <c r="GA123" s="1422">
        <v>0</v>
      </c>
      <c r="GB123" s="1439"/>
    </row>
    <row r="124" spans="1:184" ht="12.75" customHeight="1" thickBot="1">
      <c r="A124" s="1418" t="s">
        <v>472</v>
      </c>
      <c r="B124" s="1418" t="s">
        <v>473</v>
      </c>
      <c r="C124" s="1420">
        <v>388.65</v>
      </c>
      <c r="D124" s="1439"/>
      <c r="E124" s="1420">
        <v>701.77</v>
      </c>
      <c r="F124" s="1439"/>
      <c r="G124" s="1421">
        <v>-0.2</v>
      </c>
      <c r="H124" s="1439"/>
      <c r="I124" s="1420">
        <v>747.26</v>
      </c>
      <c r="J124" s="1439"/>
      <c r="K124" s="1420">
        <v>792.85</v>
      </c>
      <c r="L124" s="1439"/>
      <c r="M124" s="1422">
        <v>66377341</v>
      </c>
      <c r="N124" s="1439"/>
      <c r="O124" s="1420">
        <v>26.7</v>
      </c>
      <c r="P124" s="1439"/>
      <c r="Q124" s="1422">
        <v>25</v>
      </c>
      <c r="R124" s="1439"/>
      <c r="S124" s="1420">
        <v>1.7</v>
      </c>
      <c r="T124" s="1439"/>
      <c r="U124" s="1422">
        <v>0</v>
      </c>
      <c r="V124" s="1439"/>
      <c r="W124" s="1420">
        <v>6.1</v>
      </c>
      <c r="X124" s="1439"/>
      <c r="Y124" s="1420">
        <v>32.799999999999997</v>
      </c>
      <c r="Z124" s="1439"/>
      <c r="AA124" s="1422">
        <v>3460200</v>
      </c>
      <c r="AB124" s="1455"/>
      <c r="AC124" s="1424">
        <v>2009352.08</v>
      </c>
      <c r="AD124" s="1422">
        <v>1991000</v>
      </c>
      <c r="AE124" s="1420">
        <v>340527.68</v>
      </c>
      <c r="AF124" s="1422">
        <v>117975</v>
      </c>
      <c r="AG124" s="1420">
        <v>156931.03</v>
      </c>
      <c r="AH124" s="1456">
        <v>135000</v>
      </c>
      <c r="AI124" s="1428">
        <v>3040017</v>
      </c>
      <c r="AJ124" s="1422">
        <v>2873134</v>
      </c>
      <c r="AK124" s="1422">
        <v>100233</v>
      </c>
      <c r="AL124" s="1422">
        <v>82000</v>
      </c>
      <c r="AM124" s="1422">
        <v>0</v>
      </c>
      <c r="AN124" s="1422">
        <v>0</v>
      </c>
      <c r="AO124" s="1422">
        <v>0</v>
      </c>
      <c r="AP124" s="1422">
        <v>128317</v>
      </c>
      <c r="AQ124" s="1422">
        <v>0</v>
      </c>
      <c r="AR124" s="1422">
        <v>0</v>
      </c>
      <c r="AS124" s="1422">
        <v>0</v>
      </c>
      <c r="AT124" s="1422">
        <v>0</v>
      </c>
      <c r="AU124" s="1422">
        <v>0</v>
      </c>
      <c r="AV124" s="1422">
        <v>0</v>
      </c>
      <c r="AW124" s="1422">
        <v>0</v>
      </c>
      <c r="AX124" s="1422">
        <v>0</v>
      </c>
      <c r="AY124" s="1420">
        <v>5647060.79</v>
      </c>
      <c r="AZ124" s="1422">
        <v>5327426</v>
      </c>
      <c r="BA124" s="1422">
        <v>0</v>
      </c>
      <c r="BB124" s="1422">
        <v>0</v>
      </c>
      <c r="BC124" s="1422">
        <v>32792</v>
      </c>
      <c r="BD124" s="1422">
        <v>31831</v>
      </c>
      <c r="BE124" s="1420">
        <v>175641.4</v>
      </c>
      <c r="BF124" s="1422">
        <v>9200</v>
      </c>
      <c r="BG124" s="1422">
        <v>0</v>
      </c>
      <c r="BH124" s="1422">
        <v>0</v>
      </c>
      <c r="BI124" s="1422">
        <v>30635</v>
      </c>
      <c r="BJ124" s="1422">
        <v>23000</v>
      </c>
      <c r="BK124" s="1422">
        <v>0</v>
      </c>
      <c r="BL124" s="1422">
        <v>0</v>
      </c>
      <c r="BM124" s="1422">
        <v>649760</v>
      </c>
      <c r="BN124" s="1422">
        <v>649704</v>
      </c>
      <c r="BO124" s="1420">
        <v>27384.639999999999</v>
      </c>
      <c r="BP124" s="1422">
        <v>0</v>
      </c>
      <c r="BQ124" s="1422">
        <v>0</v>
      </c>
      <c r="BR124" s="1422">
        <v>0</v>
      </c>
      <c r="BS124" s="1420">
        <v>3033.58</v>
      </c>
      <c r="BT124" s="1422">
        <v>3000</v>
      </c>
      <c r="BU124" s="1422">
        <v>0</v>
      </c>
      <c r="BV124" s="1422">
        <v>0</v>
      </c>
      <c r="BW124" s="1422">
        <v>0</v>
      </c>
      <c r="BX124" s="1422">
        <v>0</v>
      </c>
      <c r="BY124" s="1422">
        <v>0</v>
      </c>
      <c r="BZ124" s="1422">
        <v>0</v>
      </c>
      <c r="CA124" s="1422">
        <v>28665</v>
      </c>
      <c r="CB124" s="1420">
        <v>367711.86</v>
      </c>
      <c r="CC124" s="1420">
        <v>947911.62</v>
      </c>
      <c r="CD124" s="1420">
        <v>1084446.8600000001</v>
      </c>
      <c r="CE124" s="1420">
        <v>2183420.73</v>
      </c>
      <c r="CF124" s="1420">
        <v>1469394.06</v>
      </c>
      <c r="CG124" s="1420">
        <v>2295875.69</v>
      </c>
      <c r="CH124" s="1422">
        <v>0</v>
      </c>
      <c r="CI124" s="1422">
        <v>0</v>
      </c>
      <c r="CJ124" s="1422">
        <v>0</v>
      </c>
      <c r="CK124" s="1420">
        <v>32363.47</v>
      </c>
      <c r="CL124" s="1422">
        <v>10000</v>
      </c>
      <c r="CM124" s="1422">
        <v>4386</v>
      </c>
      <c r="CN124" s="1422">
        <v>0</v>
      </c>
      <c r="CO124" s="1422">
        <v>0</v>
      </c>
      <c r="CP124" s="1422">
        <v>0</v>
      </c>
      <c r="CQ124" s="1422">
        <v>0</v>
      </c>
      <c r="CR124" s="1422">
        <v>25000</v>
      </c>
      <c r="CS124" s="1420">
        <v>2332625.16</v>
      </c>
      <c r="CT124" s="1422">
        <v>35000</v>
      </c>
      <c r="CU124" s="1420">
        <v>11111018.300000001</v>
      </c>
      <c r="CV124" s="1420">
        <v>7916266.9199999999</v>
      </c>
      <c r="CW124" s="1420">
        <v>2808930.24</v>
      </c>
      <c r="CX124" s="1420">
        <v>2586383.94</v>
      </c>
      <c r="CY124" s="1420">
        <v>498850.01</v>
      </c>
      <c r="CZ124" s="1420">
        <v>489224.5</v>
      </c>
      <c r="DA124" s="1420">
        <v>316268.11</v>
      </c>
      <c r="DB124" s="1420">
        <v>308021.78999999998</v>
      </c>
      <c r="DC124" s="1422">
        <v>0</v>
      </c>
      <c r="DD124" s="1422">
        <v>0</v>
      </c>
      <c r="DE124" s="1420">
        <v>328331.52000000002</v>
      </c>
      <c r="DF124" s="1420">
        <v>348823.46</v>
      </c>
      <c r="DG124" s="1420">
        <v>195787.39</v>
      </c>
      <c r="DH124" s="1420">
        <v>164419.45000000001</v>
      </c>
      <c r="DI124" s="1420">
        <v>4148167.27</v>
      </c>
      <c r="DJ124" s="1420">
        <v>3896873.14</v>
      </c>
      <c r="DK124" s="1422">
        <v>274647</v>
      </c>
      <c r="DL124" s="1420">
        <v>243179.05</v>
      </c>
      <c r="DM124" s="1420">
        <v>266962.98</v>
      </c>
      <c r="DN124" s="1420">
        <v>267645.01</v>
      </c>
      <c r="DO124" s="1420">
        <v>913100.47</v>
      </c>
      <c r="DP124" s="1420">
        <v>1962784.52</v>
      </c>
      <c r="DQ124" s="1420">
        <v>311173.53999999998</v>
      </c>
      <c r="DR124" s="1420">
        <v>421402.44</v>
      </c>
      <c r="DS124" s="1420">
        <v>59463.02</v>
      </c>
      <c r="DT124" s="1422">
        <v>37299</v>
      </c>
      <c r="DU124" s="1420">
        <v>1825347.01</v>
      </c>
      <c r="DV124" s="1420">
        <v>2932310.02</v>
      </c>
      <c r="DW124" s="1420">
        <v>389795.98</v>
      </c>
      <c r="DX124" s="1420">
        <v>364651.71</v>
      </c>
      <c r="DY124" s="1420">
        <v>999452.82</v>
      </c>
      <c r="DZ124" s="1420">
        <v>743591.2</v>
      </c>
      <c r="EA124" s="1420">
        <v>280912.92</v>
      </c>
      <c r="EB124" s="1420">
        <v>377646.35</v>
      </c>
      <c r="EC124" s="1420">
        <v>1670161.72</v>
      </c>
      <c r="ED124" s="1420">
        <v>1485889.26</v>
      </c>
      <c r="EE124" s="1420">
        <v>461393.37</v>
      </c>
      <c r="EF124" s="1420">
        <v>456763.77</v>
      </c>
      <c r="EG124" s="1420">
        <v>49164.97</v>
      </c>
      <c r="EH124" s="1422">
        <v>0</v>
      </c>
      <c r="EI124" s="1420">
        <v>6296.97</v>
      </c>
      <c r="EJ124" s="1420">
        <v>17117.96</v>
      </c>
      <c r="EK124" s="1422">
        <v>0</v>
      </c>
      <c r="EL124" s="1422">
        <v>0</v>
      </c>
      <c r="EM124" s="1420">
        <v>516855.31</v>
      </c>
      <c r="EN124" s="1420">
        <v>473881.73</v>
      </c>
      <c r="EO124" s="1420">
        <v>292499.8</v>
      </c>
      <c r="EP124" s="1420">
        <v>1187593.22</v>
      </c>
      <c r="EQ124" s="1420">
        <v>207767.93</v>
      </c>
      <c r="ER124" s="1420">
        <v>208233.11</v>
      </c>
      <c r="ES124" s="1420">
        <v>4768.38</v>
      </c>
      <c r="ET124" s="1422">
        <v>0</v>
      </c>
      <c r="EU124" s="1420">
        <v>8665567.4199999999</v>
      </c>
      <c r="EV124" s="1420">
        <v>10184780.48</v>
      </c>
      <c r="EW124" s="1420">
        <v>404598.64</v>
      </c>
      <c r="EX124" s="1420">
        <v>1296318.22</v>
      </c>
      <c r="EY124" s="1420">
        <v>207767.93</v>
      </c>
      <c r="EZ124" s="1420">
        <v>208233.11</v>
      </c>
      <c r="FA124" s="1420">
        <v>8053200.8499999996</v>
      </c>
      <c r="FB124" s="1420">
        <v>8680229.1500000004</v>
      </c>
      <c r="FC124" s="1420">
        <v>296110.43</v>
      </c>
      <c r="FD124" s="1439"/>
      <c r="FE124" s="1420">
        <v>7757090.4199999999</v>
      </c>
      <c r="FF124" s="1439"/>
      <c r="FG124" s="1422">
        <v>11053</v>
      </c>
      <c r="FH124" s="1439"/>
      <c r="FI124" s="1420">
        <v>61.86</v>
      </c>
      <c r="FJ124" s="1439"/>
      <c r="FK124" s="1422">
        <v>40404</v>
      </c>
      <c r="FL124" s="1439"/>
      <c r="FM124" s="1420">
        <v>70.790000000000006</v>
      </c>
      <c r="FN124" s="1439"/>
      <c r="FO124" s="1422">
        <v>42795</v>
      </c>
      <c r="FP124" s="1439"/>
      <c r="FQ124" s="1420">
        <v>2429041.91</v>
      </c>
      <c r="FR124" s="1439"/>
      <c r="FS124" s="1420">
        <v>231097.62</v>
      </c>
      <c r="FT124" s="1439"/>
      <c r="FU124" s="1422">
        <v>0</v>
      </c>
      <c r="FV124" s="1439"/>
      <c r="FW124" s="1420">
        <v>2197944.29</v>
      </c>
      <c r="FX124" s="1439"/>
      <c r="FY124" s="1420">
        <v>3397833.24</v>
      </c>
      <c r="FZ124" s="1439"/>
      <c r="GA124" s="1422">
        <v>0</v>
      </c>
      <c r="GB124" s="1439"/>
    </row>
    <row r="125" spans="1:184" ht="12.75" customHeight="1" thickBot="1">
      <c r="A125" s="1418" t="s">
        <v>474</v>
      </c>
      <c r="B125" s="1418" t="s">
        <v>475</v>
      </c>
      <c r="C125" s="1420">
        <v>125.2</v>
      </c>
      <c r="D125" s="1439"/>
      <c r="E125" s="1420">
        <v>900.29</v>
      </c>
      <c r="F125" s="1439"/>
      <c r="G125" s="1421">
        <v>0.01</v>
      </c>
      <c r="H125" s="1439"/>
      <c r="I125" s="1420">
        <v>945.68</v>
      </c>
      <c r="J125" s="1439"/>
      <c r="K125" s="1420">
        <v>995.46</v>
      </c>
      <c r="L125" s="1439"/>
      <c r="M125" s="1422">
        <v>38032915</v>
      </c>
      <c r="N125" s="1439"/>
      <c r="O125" s="1422">
        <v>25</v>
      </c>
      <c r="P125" s="1439"/>
      <c r="Q125" s="1422">
        <v>25</v>
      </c>
      <c r="R125" s="1439"/>
      <c r="S125" s="1422">
        <v>0</v>
      </c>
      <c r="T125" s="1439"/>
      <c r="U125" s="1422">
        <v>0</v>
      </c>
      <c r="V125" s="1439"/>
      <c r="W125" s="1422">
        <v>9</v>
      </c>
      <c r="X125" s="1439"/>
      <c r="Y125" s="1422">
        <v>34</v>
      </c>
      <c r="Z125" s="1439"/>
      <c r="AA125" s="1422">
        <v>5339625</v>
      </c>
      <c r="AB125" s="1455"/>
      <c r="AC125" s="1424">
        <v>1109401.06</v>
      </c>
      <c r="AD125" s="1422">
        <v>1135000</v>
      </c>
      <c r="AE125" s="1420">
        <v>532815.51</v>
      </c>
      <c r="AF125" s="1422">
        <v>165500</v>
      </c>
      <c r="AG125" s="1420">
        <v>1769.86</v>
      </c>
      <c r="AH125" s="1456">
        <v>3000</v>
      </c>
      <c r="AI125" s="1428">
        <v>5113276</v>
      </c>
      <c r="AJ125" s="1422">
        <v>4895501</v>
      </c>
      <c r="AK125" s="1422">
        <v>75260</v>
      </c>
      <c r="AL125" s="1422">
        <v>0</v>
      </c>
      <c r="AM125" s="1422">
        <v>0</v>
      </c>
      <c r="AN125" s="1422">
        <v>0</v>
      </c>
      <c r="AO125" s="1422">
        <v>0</v>
      </c>
      <c r="AP125" s="1422">
        <v>142418</v>
      </c>
      <c r="AQ125" s="1422">
        <v>0</v>
      </c>
      <c r="AR125" s="1422">
        <v>0</v>
      </c>
      <c r="AS125" s="1422">
        <v>0</v>
      </c>
      <c r="AT125" s="1422">
        <v>0</v>
      </c>
      <c r="AU125" s="1422">
        <v>64479</v>
      </c>
      <c r="AV125" s="1422">
        <v>51583</v>
      </c>
      <c r="AW125" s="1422">
        <v>0</v>
      </c>
      <c r="AX125" s="1422">
        <v>0</v>
      </c>
      <c r="AY125" s="1420">
        <v>6897001.4299999997</v>
      </c>
      <c r="AZ125" s="1422">
        <v>6393002</v>
      </c>
      <c r="BA125" s="1422">
        <v>0</v>
      </c>
      <c r="BB125" s="1422">
        <v>0</v>
      </c>
      <c r="BC125" s="1422">
        <v>41172</v>
      </c>
      <c r="BD125" s="1422">
        <v>40223</v>
      </c>
      <c r="BE125" s="1420">
        <v>6786.71</v>
      </c>
      <c r="BF125" s="1422">
        <v>9000</v>
      </c>
      <c r="BG125" s="1422">
        <v>100</v>
      </c>
      <c r="BH125" s="1422">
        <v>0</v>
      </c>
      <c r="BI125" s="1422">
        <v>44856</v>
      </c>
      <c r="BJ125" s="1422">
        <v>45968</v>
      </c>
      <c r="BK125" s="1422">
        <v>0</v>
      </c>
      <c r="BL125" s="1422">
        <v>0</v>
      </c>
      <c r="BM125" s="1422">
        <v>735072</v>
      </c>
      <c r="BN125" s="1422">
        <v>715484</v>
      </c>
      <c r="BO125" s="1420">
        <v>7873.82</v>
      </c>
      <c r="BP125" s="1422">
        <v>0</v>
      </c>
      <c r="BQ125" s="1422">
        <v>6500</v>
      </c>
      <c r="BR125" s="1422">
        <v>0</v>
      </c>
      <c r="BS125" s="1420">
        <v>4185.8</v>
      </c>
      <c r="BT125" s="1422">
        <v>8000</v>
      </c>
      <c r="BU125" s="1422">
        <v>0</v>
      </c>
      <c r="BV125" s="1422">
        <v>0</v>
      </c>
      <c r="BW125" s="1422">
        <v>243000</v>
      </c>
      <c r="BX125" s="1422">
        <v>243000</v>
      </c>
      <c r="BY125" s="1422">
        <v>0</v>
      </c>
      <c r="BZ125" s="1422">
        <v>0</v>
      </c>
      <c r="CA125" s="1422">
        <v>55051</v>
      </c>
      <c r="CB125" s="1422">
        <v>896812</v>
      </c>
      <c r="CC125" s="1420">
        <v>1144597.33</v>
      </c>
      <c r="CD125" s="1422">
        <v>1958487</v>
      </c>
      <c r="CE125" s="1420">
        <v>1589484.24</v>
      </c>
      <c r="CF125" s="1420">
        <v>1297059.3600000001</v>
      </c>
      <c r="CG125" s="1420">
        <v>3682506.61</v>
      </c>
      <c r="CH125" s="1422">
        <v>0</v>
      </c>
      <c r="CI125" s="1422">
        <v>0</v>
      </c>
      <c r="CJ125" s="1422">
        <v>0</v>
      </c>
      <c r="CK125" s="1420">
        <v>3192.45</v>
      </c>
      <c r="CL125" s="1422">
        <v>0</v>
      </c>
      <c r="CM125" s="1422">
        <v>0</v>
      </c>
      <c r="CN125" s="1422">
        <v>0</v>
      </c>
      <c r="CO125" s="1422">
        <v>0</v>
      </c>
      <c r="CP125" s="1422">
        <v>3000</v>
      </c>
      <c r="CQ125" s="1422">
        <v>0</v>
      </c>
      <c r="CR125" s="1422">
        <v>0</v>
      </c>
      <c r="CS125" s="1420">
        <v>3685699.06</v>
      </c>
      <c r="CT125" s="1422">
        <v>3000</v>
      </c>
      <c r="CU125" s="1420">
        <v>13316782.060000001</v>
      </c>
      <c r="CV125" s="1420">
        <v>9651548.3599999994</v>
      </c>
      <c r="CW125" s="1420">
        <v>3550549.46</v>
      </c>
      <c r="CX125" s="1420">
        <v>3573762.28</v>
      </c>
      <c r="CY125" s="1420">
        <v>553171.22</v>
      </c>
      <c r="CZ125" s="1420">
        <v>540238.66</v>
      </c>
      <c r="DA125" s="1420">
        <v>424743.79</v>
      </c>
      <c r="DB125" s="1422">
        <v>403450</v>
      </c>
      <c r="DC125" s="1422">
        <v>0</v>
      </c>
      <c r="DD125" s="1422">
        <v>0</v>
      </c>
      <c r="DE125" s="1420">
        <v>617631.56999999995</v>
      </c>
      <c r="DF125" s="1420">
        <v>597768.5</v>
      </c>
      <c r="DG125" s="1420">
        <v>364277.7</v>
      </c>
      <c r="DH125" s="1422">
        <v>474630</v>
      </c>
      <c r="DI125" s="1420">
        <v>5510373.7400000002</v>
      </c>
      <c r="DJ125" s="1420">
        <v>5589849.4400000004</v>
      </c>
      <c r="DK125" s="1420">
        <v>226757.75</v>
      </c>
      <c r="DL125" s="1422">
        <v>260514</v>
      </c>
      <c r="DM125" s="1420">
        <v>75756.63</v>
      </c>
      <c r="DN125" s="1422">
        <v>85010</v>
      </c>
      <c r="DO125" s="1420">
        <v>875533.47</v>
      </c>
      <c r="DP125" s="1422">
        <v>941000</v>
      </c>
      <c r="DQ125" s="1420">
        <v>337915.3</v>
      </c>
      <c r="DR125" s="1422">
        <v>446590</v>
      </c>
      <c r="DS125" s="1420">
        <v>37067.730000000003</v>
      </c>
      <c r="DT125" s="1422">
        <v>23000</v>
      </c>
      <c r="DU125" s="1420">
        <v>1553030.88</v>
      </c>
      <c r="DV125" s="1422">
        <v>1756114</v>
      </c>
      <c r="DW125" s="1420">
        <v>298191.8</v>
      </c>
      <c r="DX125" s="1422">
        <v>289235</v>
      </c>
      <c r="DY125" s="1420">
        <v>651922.88</v>
      </c>
      <c r="DZ125" s="1420">
        <v>712625.61</v>
      </c>
      <c r="EA125" s="1420">
        <v>376919.96</v>
      </c>
      <c r="EB125" s="1420">
        <v>375684.2</v>
      </c>
      <c r="EC125" s="1420">
        <v>1327034.6399999999</v>
      </c>
      <c r="ED125" s="1420">
        <v>1377544.81</v>
      </c>
      <c r="EE125" s="1420">
        <v>576486.23</v>
      </c>
      <c r="EF125" s="1422">
        <v>582472</v>
      </c>
      <c r="EG125" s="1420">
        <v>70122.12</v>
      </c>
      <c r="EH125" s="1422">
        <v>0</v>
      </c>
      <c r="EI125" s="1420">
        <v>1160.8499999999999</v>
      </c>
      <c r="EJ125" s="1422">
        <v>1500</v>
      </c>
      <c r="EK125" s="1422">
        <v>0</v>
      </c>
      <c r="EL125" s="1422">
        <v>0</v>
      </c>
      <c r="EM125" s="1420">
        <v>647769.19999999995</v>
      </c>
      <c r="EN125" s="1422">
        <v>583972</v>
      </c>
      <c r="EO125" s="1420">
        <v>183292.14</v>
      </c>
      <c r="EP125" s="1422">
        <v>3713000</v>
      </c>
      <c r="EQ125" s="1420">
        <v>1486227.45</v>
      </c>
      <c r="ER125" s="1422">
        <v>327809</v>
      </c>
      <c r="ES125" s="1422">
        <v>0</v>
      </c>
      <c r="ET125" s="1422">
        <v>0</v>
      </c>
      <c r="EU125" s="1420">
        <v>10707728.050000001</v>
      </c>
      <c r="EV125" s="1420">
        <v>13348289.25</v>
      </c>
      <c r="EW125" s="1420">
        <v>319113.46000000002</v>
      </c>
      <c r="EX125" s="1422">
        <v>3876310</v>
      </c>
      <c r="EY125" s="1420">
        <v>1486227.45</v>
      </c>
      <c r="EZ125" s="1422">
        <v>327809</v>
      </c>
      <c r="FA125" s="1420">
        <v>8902387.1400000006</v>
      </c>
      <c r="FB125" s="1420">
        <v>9144170.25</v>
      </c>
      <c r="FC125" s="1420">
        <v>613756.17000000004</v>
      </c>
      <c r="FD125" s="1439"/>
      <c r="FE125" s="1420">
        <v>8288630.9699999997</v>
      </c>
      <c r="FF125" s="1439"/>
      <c r="FG125" s="1422">
        <v>9206</v>
      </c>
      <c r="FH125" s="1439"/>
      <c r="FI125" s="1420">
        <v>79.89</v>
      </c>
      <c r="FJ125" s="1439"/>
      <c r="FK125" s="1422">
        <v>37221</v>
      </c>
      <c r="FL125" s="1439"/>
      <c r="FM125" s="1420">
        <v>87.13</v>
      </c>
      <c r="FN125" s="1439"/>
      <c r="FO125" s="1422">
        <v>39264</v>
      </c>
      <c r="FP125" s="1439"/>
      <c r="FQ125" s="1420">
        <v>3956877.42</v>
      </c>
      <c r="FR125" s="1439"/>
      <c r="FS125" s="1420">
        <v>55970.31</v>
      </c>
      <c r="FT125" s="1439"/>
      <c r="FU125" s="1420">
        <v>166812.07999999999</v>
      </c>
      <c r="FV125" s="1439"/>
      <c r="FW125" s="1420">
        <v>3734095.03</v>
      </c>
      <c r="FX125" s="1439"/>
      <c r="FY125" s="1420">
        <v>3593254.05</v>
      </c>
      <c r="FZ125" s="1439"/>
      <c r="GA125" s="1422">
        <v>0</v>
      </c>
      <c r="GB125" s="1439"/>
    </row>
    <row r="126" spans="1:184" ht="12.75" customHeight="1" thickBot="1">
      <c r="A126" s="1418" t="s">
        <v>476</v>
      </c>
      <c r="B126" s="1418" t="s">
        <v>477</v>
      </c>
      <c r="C126" s="1420">
        <v>205.73</v>
      </c>
      <c r="D126" s="1439"/>
      <c r="E126" s="1420">
        <v>611.33000000000004</v>
      </c>
      <c r="F126" s="1439"/>
      <c r="G126" s="1421">
        <v>0.1</v>
      </c>
      <c r="H126" s="1439"/>
      <c r="I126" s="1420">
        <v>652.75</v>
      </c>
      <c r="J126" s="1439"/>
      <c r="K126" s="1420">
        <v>507.04</v>
      </c>
      <c r="L126" s="1439"/>
      <c r="M126" s="1422">
        <v>33858081</v>
      </c>
      <c r="N126" s="1439"/>
      <c r="O126" s="1422">
        <v>25</v>
      </c>
      <c r="P126" s="1439"/>
      <c r="Q126" s="1422">
        <v>25</v>
      </c>
      <c r="R126" s="1439"/>
      <c r="S126" s="1422">
        <v>0</v>
      </c>
      <c r="T126" s="1439"/>
      <c r="U126" s="1422">
        <v>0</v>
      </c>
      <c r="V126" s="1439"/>
      <c r="W126" s="1420">
        <v>11.93</v>
      </c>
      <c r="X126" s="1439"/>
      <c r="Y126" s="1420">
        <v>36.93</v>
      </c>
      <c r="Z126" s="1439"/>
      <c r="AA126" s="1422">
        <v>1860000</v>
      </c>
      <c r="AB126" s="1455"/>
      <c r="AC126" s="1424">
        <v>916459.85</v>
      </c>
      <c r="AD126" s="1422">
        <v>1264964</v>
      </c>
      <c r="AE126" s="1420">
        <v>276099.11</v>
      </c>
      <c r="AF126" s="1422">
        <v>213763</v>
      </c>
      <c r="AG126" s="1420">
        <v>871.48</v>
      </c>
      <c r="AH126" s="1456">
        <v>5500</v>
      </c>
      <c r="AI126" s="1428">
        <v>3590969</v>
      </c>
      <c r="AJ126" s="1422">
        <v>3194859</v>
      </c>
      <c r="AK126" s="1422">
        <v>42766</v>
      </c>
      <c r="AL126" s="1422">
        <v>37511</v>
      </c>
      <c r="AM126" s="1422">
        <v>0</v>
      </c>
      <c r="AN126" s="1422">
        <v>0</v>
      </c>
      <c r="AO126" s="1422">
        <v>95678</v>
      </c>
      <c r="AP126" s="1422">
        <v>109201</v>
      </c>
      <c r="AQ126" s="1422">
        <v>1031642</v>
      </c>
      <c r="AR126" s="1422">
        <v>515821</v>
      </c>
      <c r="AS126" s="1422">
        <v>84652</v>
      </c>
      <c r="AT126" s="1422">
        <v>0</v>
      </c>
      <c r="AU126" s="1422">
        <v>32464</v>
      </c>
      <c r="AV126" s="1422">
        <v>25971</v>
      </c>
      <c r="AW126" s="1422">
        <v>0</v>
      </c>
      <c r="AX126" s="1422">
        <v>0</v>
      </c>
      <c r="AY126" s="1420">
        <v>6071601.4400000004</v>
      </c>
      <c r="AZ126" s="1422">
        <v>5367590</v>
      </c>
      <c r="BA126" s="1422">
        <v>0</v>
      </c>
      <c r="BB126" s="1422">
        <v>0</v>
      </c>
      <c r="BC126" s="1422">
        <v>28581</v>
      </c>
      <c r="BD126" s="1420">
        <v>40148.47</v>
      </c>
      <c r="BE126" s="1420">
        <v>3343.13</v>
      </c>
      <c r="BF126" s="1422">
        <v>5100</v>
      </c>
      <c r="BG126" s="1422">
        <v>150</v>
      </c>
      <c r="BH126" s="1422">
        <v>150</v>
      </c>
      <c r="BI126" s="1422">
        <v>33461</v>
      </c>
      <c r="BJ126" s="1420">
        <v>49677.38</v>
      </c>
      <c r="BK126" s="1422">
        <v>0</v>
      </c>
      <c r="BL126" s="1422">
        <v>0</v>
      </c>
      <c r="BM126" s="1422">
        <v>235253</v>
      </c>
      <c r="BN126" s="1420">
        <v>348194.82</v>
      </c>
      <c r="BO126" s="1420">
        <v>2077.16</v>
      </c>
      <c r="BP126" s="1422">
        <v>0</v>
      </c>
      <c r="BQ126" s="1422">
        <v>0</v>
      </c>
      <c r="BR126" s="1422">
        <v>0</v>
      </c>
      <c r="BS126" s="1422">
        <v>0</v>
      </c>
      <c r="BT126" s="1422">
        <v>0</v>
      </c>
      <c r="BU126" s="1422">
        <v>0</v>
      </c>
      <c r="BV126" s="1422">
        <v>0</v>
      </c>
      <c r="BW126" s="1422">
        <v>0</v>
      </c>
      <c r="BX126" s="1422">
        <v>0</v>
      </c>
      <c r="BY126" s="1422">
        <v>0</v>
      </c>
      <c r="BZ126" s="1422">
        <v>0</v>
      </c>
      <c r="CA126" s="1422">
        <v>56718</v>
      </c>
      <c r="CB126" s="1422">
        <v>1043825</v>
      </c>
      <c r="CC126" s="1420">
        <v>359583.29</v>
      </c>
      <c r="CD126" s="1420">
        <v>1487095.67</v>
      </c>
      <c r="CE126" s="1420">
        <v>1379286.27</v>
      </c>
      <c r="CF126" s="1420">
        <v>1786834.55</v>
      </c>
      <c r="CG126" s="1420">
        <v>5316.38</v>
      </c>
      <c r="CH126" s="1422">
        <v>0</v>
      </c>
      <c r="CI126" s="1422">
        <v>0</v>
      </c>
      <c r="CJ126" s="1422">
        <v>0</v>
      </c>
      <c r="CK126" s="1422">
        <v>0</v>
      </c>
      <c r="CL126" s="1422">
        <v>0</v>
      </c>
      <c r="CM126" s="1422">
        <v>0</v>
      </c>
      <c r="CN126" s="1422">
        <v>0</v>
      </c>
      <c r="CO126" s="1420">
        <v>87120.03</v>
      </c>
      <c r="CP126" s="1422">
        <v>0</v>
      </c>
      <c r="CQ126" s="1422">
        <v>0</v>
      </c>
      <c r="CR126" s="1422">
        <v>0</v>
      </c>
      <c r="CS126" s="1420">
        <v>92436.41</v>
      </c>
      <c r="CT126" s="1422">
        <v>0</v>
      </c>
      <c r="CU126" s="1420">
        <v>7902907.4100000001</v>
      </c>
      <c r="CV126" s="1420">
        <v>8641520.2200000007</v>
      </c>
      <c r="CW126" s="1420">
        <v>1987504.54</v>
      </c>
      <c r="CX126" s="1420">
        <v>2100114.6</v>
      </c>
      <c r="CY126" s="1420">
        <v>364797.78</v>
      </c>
      <c r="CZ126" s="1420">
        <v>493885.55</v>
      </c>
      <c r="DA126" s="1420">
        <v>268044.64</v>
      </c>
      <c r="DB126" s="1422">
        <v>279453</v>
      </c>
      <c r="DC126" s="1422">
        <v>0</v>
      </c>
      <c r="DD126" s="1422">
        <v>0</v>
      </c>
      <c r="DE126" s="1420">
        <v>362857.87</v>
      </c>
      <c r="DF126" s="1420">
        <v>573871.53</v>
      </c>
      <c r="DG126" s="1420">
        <v>107885.5</v>
      </c>
      <c r="DH126" s="1420">
        <v>237757.45</v>
      </c>
      <c r="DI126" s="1420">
        <v>3091090.33</v>
      </c>
      <c r="DJ126" s="1420">
        <v>3685082.13</v>
      </c>
      <c r="DK126" s="1420">
        <v>233463.44</v>
      </c>
      <c r="DL126" s="1422">
        <v>279782</v>
      </c>
      <c r="DM126" s="1420">
        <v>187121.5</v>
      </c>
      <c r="DN126" s="1422">
        <v>201664</v>
      </c>
      <c r="DO126" s="1420">
        <v>456694.2</v>
      </c>
      <c r="DP126" s="1422">
        <v>523961</v>
      </c>
      <c r="DQ126" s="1420">
        <v>418317.08</v>
      </c>
      <c r="DR126" s="1422">
        <v>484016</v>
      </c>
      <c r="DS126" s="1420">
        <v>3711.6</v>
      </c>
      <c r="DT126" s="1422">
        <v>18617</v>
      </c>
      <c r="DU126" s="1420">
        <v>1299307.82</v>
      </c>
      <c r="DV126" s="1422">
        <v>1508040</v>
      </c>
      <c r="DW126" s="1420">
        <v>194141.57</v>
      </c>
      <c r="DX126" s="1420">
        <v>267480.65000000002</v>
      </c>
      <c r="DY126" s="1420">
        <v>328198.37</v>
      </c>
      <c r="DZ126" s="1420">
        <v>822166.95</v>
      </c>
      <c r="EA126" s="1420">
        <v>234463.55</v>
      </c>
      <c r="EB126" s="1422">
        <v>247546</v>
      </c>
      <c r="EC126" s="1420">
        <v>756803.49</v>
      </c>
      <c r="ED126" s="1420">
        <v>1337193.6000000001</v>
      </c>
      <c r="EE126" s="1420">
        <v>340027.05</v>
      </c>
      <c r="EF126" s="1420">
        <v>342106.31</v>
      </c>
      <c r="EG126" s="1420">
        <v>18100.68</v>
      </c>
      <c r="EH126" s="1422">
        <v>22359</v>
      </c>
      <c r="EI126" s="1420">
        <v>851.73</v>
      </c>
      <c r="EJ126" s="1422">
        <v>4529</v>
      </c>
      <c r="EK126" s="1422">
        <v>0</v>
      </c>
      <c r="EL126" s="1422">
        <v>0</v>
      </c>
      <c r="EM126" s="1420">
        <v>358979.46</v>
      </c>
      <c r="EN126" s="1420">
        <v>368994.31</v>
      </c>
      <c r="EO126" s="1420">
        <v>445556.52</v>
      </c>
      <c r="EP126" s="1420">
        <v>2105349.37</v>
      </c>
      <c r="EQ126" s="1420">
        <v>61818.75</v>
      </c>
      <c r="ER126" s="1420">
        <v>122299.88</v>
      </c>
      <c r="ES126" s="1422">
        <v>0</v>
      </c>
      <c r="ET126" s="1422">
        <v>0</v>
      </c>
      <c r="EU126" s="1420">
        <v>6013556.3700000001</v>
      </c>
      <c r="EV126" s="1420">
        <v>9126959.2899999991</v>
      </c>
      <c r="EW126" s="1420">
        <v>701291.89</v>
      </c>
      <c r="EX126" s="1420">
        <v>2434336.98</v>
      </c>
      <c r="EY126" s="1420">
        <v>61818.75</v>
      </c>
      <c r="EZ126" s="1420">
        <v>122299.88</v>
      </c>
      <c r="FA126" s="1420">
        <v>5250445.7300000004</v>
      </c>
      <c r="FB126" s="1420">
        <v>6570322.4299999997</v>
      </c>
      <c r="FC126" s="1420">
        <v>160730.76</v>
      </c>
      <c r="FD126" s="1439"/>
      <c r="FE126" s="1420">
        <v>5089714.97</v>
      </c>
      <c r="FF126" s="1439"/>
      <c r="FG126" s="1422">
        <v>8325</v>
      </c>
      <c r="FH126" s="1439"/>
      <c r="FI126" s="1420">
        <v>47.5</v>
      </c>
      <c r="FJ126" s="1439"/>
      <c r="FK126" s="1422">
        <v>39855</v>
      </c>
      <c r="FL126" s="1439"/>
      <c r="FM126" s="1422">
        <v>52</v>
      </c>
      <c r="FN126" s="1439"/>
      <c r="FO126" s="1422">
        <v>42250</v>
      </c>
      <c r="FP126" s="1439"/>
      <c r="FQ126" s="1420">
        <v>4432851.6900000004</v>
      </c>
      <c r="FR126" s="1439"/>
      <c r="FS126" s="1420">
        <v>245853.45</v>
      </c>
      <c r="FT126" s="1439"/>
      <c r="FU126" s="1422">
        <v>0</v>
      </c>
      <c r="FV126" s="1439"/>
      <c r="FW126" s="1420">
        <v>4186998.24</v>
      </c>
      <c r="FX126" s="1439"/>
      <c r="FY126" s="1422">
        <v>0</v>
      </c>
      <c r="FZ126" s="1439"/>
      <c r="GA126" s="1420">
        <v>64211.64</v>
      </c>
      <c r="GB126" s="1439"/>
    </row>
    <row r="127" spans="1:184" ht="12.75" customHeight="1" thickBot="1">
      <c r="A127" s="1418" t="s">
        <v>478</v>
      </c>
      <c r="B127" s="1418" t="s">
        <v>479</v>
      </c>
      <c r="C127" s="1420">
        <v>295.91000000000003</v>
      </c>
      <c r="D127" s="1439"/>
      <c r="E127" s="1420">
        <v>390.49</v>
      </c>
      <c r="F127" s="1439"/>
      <c r="G127" s="1421">
        <v>-0.16</v>
      </c>
      <c r="H127" s="1439"/>
      <c r="I127" s="1420">
        <v>408.84</v>
      </c>
      <c r="J127" s="1439"/>
      <c r="K127" s="1420">
        <v>434.21</v>
      </c>
      <c r="L127" s="1439"/>
      <c r="M127" s="1422">
        <v>35524263</v>
      </c>
      <c r="N127" s="1439"/>
      <c r="O127" s="1422">
        <v>25</v>
      </c>
      <c r="P127" s="1439"/>
      <c r="Q127" s="1422">
        <v>25</v>
      </c>
      <c r="R127" s="1439"/>
      <c r="S127" s="1422">
        <v>0</v>
      </c>
      <c r="T127" s="1439"/>
      <c r="U127" s="1422">
        <v>0</v>
      </c>
      <c r="V127" s="1439"/>
      <c r="W127" s="1420">
        <v>10.9</v>
      </c>
      <c r="X127" s="1439"/>
      <c r="Y127" s="1420">
        <v>35.9</v>
      </c>
      <c r="Z127" s="1439"/>
      <c r="AA127" s="1422">
        <v>2250000</v>
      </c>
      <c r="AB127" s="1455"/>
      <c r="AC127" s="1424">
        <v>1153907.1200000001</v>
      </c>
      <c r="AD127" s="1422">
        <v>1156243</v>
      </c>
      <c r="AE127" s="1420">
        <v>214254.52</v>
      </c>
      <c r="AF127" s="1422">
        <v>134450</v>
      </c>
      <c r="AG127" s="1420">
        <v>772.03</v>
      </c>
      <c r="AH127" s="1456">
        <v>0</v>
      </c>
      <c r="AI127" s="1428">
        <v>1863319</v>
      </c>
      <c r="AJ127" s="1422">
        <v>1644820</v>
      </c>
      <c r="AK127" s="1422">
        <v>47723</v>
      </c>
      <c r="AL127" s="1422">
        <v>45000</v>
      </c>
      <c r="AM127" s="1422">
        <v>0</v>
      </c>
      <c r="AN127" s="1422">
        <v>0</v>
      </c>
      <c r="AO127" s="1422">
        <v>0</v>
      </c>
      <c r="AP127" s="1422">
        <v>0</v>
      </c>
      <c r="AQ127" s="1422">
        <v>54940</v>
      </c>
      <c r="AR127" s="1422">
        <v>0</v>
      </c>
      <c r="AS127" s="1422">
        <v>196706</v>
      </c>
      <c r="AT127" s="1422">
        <v>183386</v>
      </c>
      <c r="AU127" s="1422">
        <v>0</v>
      </c>
      <c r="AV127" s="1422">
        <v>0</v>
      </c>
      <c r="AW127" s="1422">
        <v>0</v>
      </c>
      <c r="AX127" s="1422">
        <v>0</v>
      </c>
      <c r="AY127" s="1420">
        <v>3531621.67</v>
      </c>
      <c r="AZ127" s="1422">
        <v>3163899</v>
      </c>
      <c r="BA127" s="1422">
        <v>0</v>
      </c>
      <c r="BB127" s="1422">
        <v>0</v>
      </c>
      <c r="BC127" s="1422">
        <v>18364</v>
      </c>
      <c r="BD127" s="1422">
        <v>17356</v>
      </c>
      <c r="BE127" s="1420">
        <v>151069.42000000001</v>
      </c>
      <c r="BF127" s="1422">
        <v>130491</v>
      </c>
      <c r="BG127" s="1422">
        <v>0</v>
      </c>
      <c r="BH127" s="1422">
        <v>0</v>
      </c>
      <c r="BI127" s="1422">
        <v>29379</v>
      </c>
      <c r="BJ127" s="1422">
        <v>33101</v>
      </c>
      <c r="BK127" s="1422">
        <v>0</v>
      </c>
      <c r="BL127" s="1422">
        <v>0</v>
      </c>
      <c r="BM127" s="1422">
        <v>306585</v>
      </c>
      <c r="BN127" s="1422">
        <v>236132</v>
      </c>
      <c r="BO127" s="1420">
        <v>88937.43</v>
      </c>
      <c r="BP127" s="1422">
        <v>80000</v>
      </c>
      <c r="BQ127" s="1420">
        <v>31087.32</v>
      </c>
      <c r="BR127" s="1422">
        <v>0</v>
      </c>
      <c r="BS127" s="1420">
        <v>6719.59</v>
      </c>
      <c r="BT127" s="1422">
        <v>6800</v>
      </c>
      <c r="BU127" s="1422">
        <v>0</v>
      </c>
      <c r="BV127" s="1422">
        <v>0</v>
      </c>
      <c r="BW127" s="1422">
        <v>0</v>
      </c>
      <c r="BX127" s="1422">
        <v>0</v>
      </c>
      <c r="BY127" s="1422">
        <v>0</v>
      </c>
      <c r="BZ127" s="1422">
        <v>0</v>
      </c>
      <c r="CA127" s="1422">
        <v>30795</v>
      </c>
      <c r="CB127" s="1422">
        <v>22845</v>
      </c>
      <c r="CC127" s="1420">
        <v>662936.76</v>
      </c>
      <c r="CD127" s="1422">
        <v>526725</v>
      </c>
      <c r="CE127" s="1420">
        <v>665678.71</v>
      </c>
      <c r="CF127" s="1422">
        <v>837151</v>
      </c>
      <c r="CG127" s="1420">
        <v>4366.01</v>
      </c>
      <c r="CH127" s="1422">
        <v>0</v>
      </c>
      <c r="CI127" s="1422">
        <v>0</v>
      </c>
      <c r="CJ127" s="1422">
        <v>0</v>
      </c>
      <c r="CK127" s="1422">
        <v>0</v>
      </c>
      <c r="CL127" s="1422">
        <v>0</v>
      </c>
      <c r="CM127" s="1422">
        <v>0</v>
      </c>
      <c r="CN127" s="1422">
        <v>0</v>
      </c>
      <c r="CO127" s="1420">
        <v>21781.65</v>
      </c>
      <c r="CP127" s="1422">
        <v>20000</v>
      </c>
      <c r="CQ127" s="1422">
        <v>0</v>
      </c>
      <c r="CR127" s="1422">
        <v>0</v>
      </c>
      <c r="CS127" s="1420">
        <v>26147.66</v>
      </c>
      <c r="CT127" s="1422">
        <v>20000</v>
      </c>
      <c r="CU127" s="1420">
        <v>4886384.8</v>
      </c>
      <c r="CV127" s="1422">
        <v>4547775</v>
      </c>
      <c r="CW127" s="1420">
        <v>1466831.36</v>
      </c>
      <c r="CX127" s="1420">
        <v>1360521.06</v>
      </c>
      <c r="CY127" s="1420">
        <v>310284.63</v>
      </c>
      <c r="CZ127" s="1422">
        <v>277310</v>
      </c>
      <c r="DA127" s="1420">
        <v>215275.35</v>
      </c>
      <c r="DB127" s="1420">
        <v>295356.11</v>
      </c>
      <c r="DC127" s="1422">
        <v>0</v>
      </c>
      <c r="DD127" s="1422">
        <v>0</v>
      </c>
      <c r="DE127" s="1420">
        <v>138642.89000000001</v>
      </c>
      <c r="DF127" s="1422">
        <v>240196</v>
      </c>
      <c r="DG127" s="1420">
        <v>86663.91</v>
      </c>
      <c r="DH127" s="1420">
        <v>69004.320000000007</v>
      </c>
      <c r="DI127" s="1420">
        <v>2217698.14</v>
      </c>
      <c r="DJ127" s="1420">
        <v>2242387.4900000002</v>
      </c>
      <c r="DK127" s="1420">
        <v>193842.91</v>
      </c>
      <c r="DL127" s="1420">
        <v>194867.5</v>
      </c>
      <c r="DM127" s="1420">
        <v>92069.18</v>
      </c>
      <c r="DN127" s="1420">
        <v>81594.64</v>
      </c>
      <c r="DO127" s="1420">
        <v>560678.89</v>
      </c>
      <c r="DP127" s="1422">
        <v>626730</v>
      </c>
      <c r="DQ127" s="1420">
        <v>392825.26</v>
      </c>
      <c r="DR127" s="1420">
        <v>267073.03999999998</v>
      </c>
      <c r="DS127" s="1420">
        <v>23264.98</v>
      </c>
      <c r="DT127" s="1422">
        <v>6000</v>
      </c>
      <c r="DU127" s="1420">
        <v>1262681.22</v>
      </c>
      <c r="DV127" s="1420">
        <v>1176265.18</v>
      </c>
      <c r="DW127" s="1420">
        <v>218095.44</v>
      </c>
      <c r="DX127" s="1420">
        <v>175639.63</v>
      </c>
      <c r="DY127" s="1420">
        <v>262456.32000000001</v>
      </c>
      <c r="DZ127" s="1420">
        <v>341488.98</v>
      </c>
      <c r="EA127" s="1420">
        <v>182798.43</v>
      </c>
      <c r="EB127" s="1420">
        <v>132954.26999999999</v>
      </c>
      <c r="EC127" s="1420">
        <v>663350.18999999994</v>
      </c>
      <c r="ED127" s="1420">
        <v>650082.88</v>
      </c>
      <c r="EE127" s="1420">
        <v>311048.75</v>
      </c>
      <c r="EF127" s="1422">
        <v>293000</v>
      </c>
      <c r="EG127" s="1420">
        <v>16566.79</v>
      </c>
      <c r="EH127" s="1422">
        <v>0</v>
      </c>
      <c r="EI127" s="1420">
        <v>7310.95</v>
      </c>
      <c r="EJ127" s="1422">
        <v>2000</v>
      </c>
      <c r="EK127" s="1422">
        <v>0</v>
      </c>
      <c r="EL127" s="1422">
        <v>0</v>
      </c>
      <c r="EM127" s="1420">
        <v>334926.49</v>
      </c>
      <c r="EN127" s="1422">
        <v>295000</v>
      </c>
      <c r="EO127" s="1422">
        <v>7890</v>
      </c>
      <c r="EP127" s="1422">
        <v>260264</v>
      </c>
      <c r="EQ127" s="1420">
        <v>152230.01</v>
      </c>
      <c r="ER127" s="1422">
        <v>191897</v>
      </c>
      <c r="ES127" s="1422">
        <v>6616</v>
      </c>
      <c r="ET127" s="1422">
        <v>0</v>
      </c>
      <c r="EU127" s="1420">
        <v>4645392.05</v>
      </c>
      <c r="EV127" s="1420">
        <v>4815896.55</v>
      </c>
      <c r="EW127" s="1420">
        <v>155973.88</v>
      </c>
      <c r="EX127" s="1422">
        <v>295264</v>
      </c>
      <c r="EY127" s="1420">
        <v>152230.01</v>
      </c>
      <c r="EZ127" s="1422">
        <v>191897</v>
      </c>
      <c r="FA127" s="1420">
        <v>4337188.16</v>
      </c>
      <c r="FB127" s="1420">
        <v>4328735.55</v>
      </c>
      <c r="FC127" s="1420">
        <v>203253.39</v>
      </c>
      <c r="FD127" s="1439"/>
      <c r="FE127" s="1420">
        <v>4133934.77</v>
      </c>
      <c r="FF127" s="1439"/>
      <c r="FG127" s="1422">
        <v>10586</v>
      </c>
      <c r="FH127" s="1439"/>
      <c r="FI127" s="1420">
        <v>34.76</v>
      </c>
      <c r="FJ127" s="1439"/>
      <c r="FK127" s="1422">
        <v>38023</v>
      </c>
      <c r="FL127" s="1439"/>
      <c r="FM127" s="1420">
        <v>38.130000000000003</v>
      </c>
      <c r="FN127" s="1439"/>
      <c r="FO127" s="1422">
        <v>40564</v>
      </c>
      <c r="FP127" s="1439"/>
      <c r="FQ127" s="1420">
        <v>1747938.63</v>
      </c>
      <c r="FR127" s="1439"/>
      <c r="FS127" s="1420">
        <v>180155.27</v>
      </c>
      <c r="FT127" s="1439"/>
      <c r="FU127" s="1422">
        <v>0</v>
      </c>
      <c r="FV127" s="1439"/>
      <c r="FW127" s="1420">
        <v>1567783.36</v>
      </c>
      <c r="FX127" s="1439"/>
      <c r="FY127" s="1420">
        <v>309757.45</v>
      </c>
      <c r="FZ127" s="1439"/>
      <c r="GA127" s="1422">
        <v>0</v>
      </c>
      <c r="GB127" s="1439"/>
    </row>
    <row r="128" spans="1:184" ht="12.75" customHeight="1" thickBot="1">
      <c r="A128" s="1418" t="s">
        <v>480</v>
      </c>
      <c r="B128" s="1418" t="s">
        <v>307</v>
      </c>
      <c r="C128" s="1420">
        <v>190.76</v>
      </c>
      <c r="D128" s="1439"/>
      <c r="E128" s="1420">
        <v>1015.95</v>
      </c>
      <c r="F128" s="1439"/>
      <c r="G128" s="1421">
        <v>0</v>
      </c>
      <c r="H128" s="1439"/>
      <c r="I128" s="1420">
        <v>1082.3699999999999</v>
      </c>
      <c r="J128" s="1439"/>
      <c r="K128" s="1420">
        <v>1056.0899999999999</v>
      </c>
      <c r="L128" s="1439"/>
      <c r="M128" s="1422">
        <v>78320178</v>
      </c>
      <c r="N128" s="1439"/>
      <c r="O128" s="1420">
        <v>27.5</v>
      </c>
      <c r="P128" s="1439"/>
      <c r="Q128" s="1422">
        <v>25</v>
      </c>
      <c r="R128" s="1439"/>
      <c r="S128" s="1420">
        <v>2.5</v>
      </c>
      <c r="T128" s="1439"/>
      <c r="U128" s="1422">
        <v>0</v>
      </c>
      <c r="V128" s="1439"/>
      <c r="W128" s="1420">
        <v>4.9000000000000004</v>
      </c>
      <c r="X128" s="1439"/>
      <c r="Y128" s="1420">
        <v>32.4</v>
      </c>
      <c r="Z128" s="1439"/>
      <c r="AA128" s="1420">
        <v>3648136.36</v>
      </c>
      <c r="AB128" s="1455"/>
      <c r="AC128" s="1424">
        <v>2320441.9300000002</v>
      </c>
      <c r="AD128" s="1422">
        <v>2243700</v>
      </c>
      <c r="AE128" s="1420">
        <v>516455.94</v>
      </c>
      <c r="AF128" s="1422">
        <v>196835</v>
      </c>
      <c r="AG128" s="1420">
        <v>1813.37</v>
      </c>
      <c r="AH128" s="1456">
        <v>1900</v>
      </c>
      <c r="AI128" s="1428">
        <v>4499156</v>
      </c>
      <c r="AJ128" s="1422">
        <v>4719876</v>
      </c>
      <c r="AK128" s="1422">
        <v>127111</v>
      </c>
      <c r="AL128" s="1422">
        <v>0</v>
      </c>
      <c r="AM128" s="1422">
        <v>157637</v>
      </c>
      <c r="AN128" s="1422">
        <v>0</v>
      </c>
      <c r="AO128" s="1422">
        <v>0</v>
      </c>
      <c r="AP128" s="1422">
        <v>0</v>
      </c>
      <c r="AQ128" s="1422">
        <v>0</v>
      </c>
      <c r="AR128" s="1422">
        <v>0</v>
      </c>
      <c r="AS128" s="1422">
        <v>0</v>
      </c>
      <c r="AT128" s="1422">
        <v>0</v>
      </c>
      <c r="AU128" s="1422">
        <v>7776</v>
      </c>
      <c r="AV128" s="1422">
        <v>6221</v>
      </c>
      <c r="AW128" s="1422">
        <v>0</v>
      </c>
      <c r="AX128" s="1422">
        <v>0</v>
      </c>
      <c r="AY128" s="1420">
        <v>7630391.2400000002</v>
      </c>
      <c r="AZ128" s="1422">
        <v>7168532</v>
      </c>
      <c r="BA128" s="1422">
        <v>0</v>
      </c>
      <c r="BB128" s="1422">
        <v>0</v>
      </c>
      <c r="BC128" s="1422">
        <v>43680</v>
      </c>
      <c r="BD128" s="1422">
        <v>45813</v>
      </c>
      <c r="BE128" s="1420">
        <v>2327.42</v>
      </c>
      <c r="BF128" s="1422">
        <v>6400</v>
      </c>
      <c r="BG128" s="1422">
        <v>350</v>
      </c>
      <c r="BH128" s="1422">
        <v>100</v>
      </c>
      <c r="BI128" s="1422">
        <v>40955</v>
      </c>
      <c r="BJ128" s="1422">
        <v>41616</v>
      </c>
      <c r="BK128" s="1422">
        <v>0</v>
      </c>
      <c r="BL128" s="1422">
        <v>0</v>
      </c>
      <c r="BM128" s="1422">
        <v>326864</v>
      </c>
      <c r="BN128" s="1422">
        <v>341044</v>
      </c>
      <c r="BO128" s="1420">
        <v>54365.84</v>
      </c>
      <c r="BP128" s="1420">
        <v>19939.91</v>
      </c>
      <c r="BQ128" s="1420">
        <v>5687.52</v>
      </c>
      <c r="BR128" s="1422">
        <v>3250</v>
      </c>
      <c r="BS128" s="1420">
        <v>3461.22</v>
      </c>
      <c r="BT128" s="1422">
        <v>3450</v>
      </c>
      <c r="BU128" s="1422">
        <v>0</v>
      </c>
      <c r="BV128" s="1422">
        <v>0</v>
      </c>
      <c r="BW128" s="1422">
        <v>0</v>
      </c>
      <c r="BX128" s="1422">
        <v>0</v>
      </c>
      <c r="BY128" s="1422">
        <v>0</v>
      </c>
      <c r="BZ128" s="1422">
        <v>0</v>
      </c>
      <c r="CA128" s="1420">
        <v>326989.58</v>
      </c>
      <c r="CB128" s="1422">
        <v>1799698</v>
      </c>
      <c r="CC128" s="1420">
        <v>804680.58</v>
      </c>
      <c r="CD128" s="1420">
        <v>2261310.91</v>
      </c>
      <c r="CE128" s="1420">
        <v>2078141.14</v>
      </c>
      <c r="CF128" s="1420">
        <v>1800794.34</v>
      </c>
      <c r="CG128" s="1420">
        <v>2606639.61</v>
      </c>
      <c r="CH128" s="1422">
        <v>0</v>
      </c>
      <c r="CI128" s="1422">
        <v>0</v>
      </c>
      <c r="CJ128" s="1422">
        <v>0</v>
      </c>
      <c r="CK128" s="1422">
        <v>0</v>
      </c>
      <c r="CL128" s="1422">
        <v>0</v>
      </c>
      <c r="CM128" s="1422">
        <v>0</v>
      </c>
      <c r="CN128" s="1422">
        <v>0</v>
      </c>
      <c r="CO128" s="1420">
        <v>53040.92</v>
      </c>
      <c r="CP128" s="1422">
        <v>0</v>
      </c>
      <c r="CQ128" s="1422">
        <v>0</v>
      </c>
      <c r="CR128" s="1422">
        <v>0</v>
      </c>
      <c r="CS128" s="1420">
        <v>2659680.5299999998</v>
      </c>
      <c r="CT128" s="1422">
        <v>0</v>
      </c>
      <c r="CU128" s="1420">
        <v>13172893.49</v>
      </c>
      <c r="CV128" s="1420">
        <v>11230637.25</v>
      </c>
      <c r="CW128" s="1420">
        <v>4214213.42</v>
      </c>
      <c r="CX128" s="1420">
        <v>4177504.37</v>
      </c>
      <c r="CY128" s="1420">
        <v>762449.31</v>
      </c>
      <c r="CZ128" s="1420">
        <v>706914.09</v>
      </c>
      <c r="DA128" s="1420">
        <v>389249.09</v>
      </c>
      <c r="DB128" s="1420">
        <v>373437.03</v>
      </c>
      <c r="DC128" s="1422">
        <v>0</v>
      </c>
      <c r="DD128" s="1422">
        <v>0</v>
      </c>
      <c r="DE128" s="1420">
        <v>601288.24</v>
      </c>
      <c r="DF128" s="1420">
        <v>544081.22</v>
      </c>
      <c r="DG128" s="1420">
        <v>137018.26999999999</v>
      </c>
      <c r="DH128" s="1420">
        <v>144624.24</v>
      </c>
      <c r="DI128" s="1420">
        <v>6104218.3300000001</v>
      </c>
      <c r="DJ128" s="1420">
        <v>5946560.9500000002</v>
      </c>
      <c r="DK128" s="1420">
        <v>212738.39</v>
      </c>
      <c r="DL128" s="1420">
        <v>217180.85</v>
      </c>
      <c r="DM128" s="1420">
        <v>340901.32</v>
      </c>
      <c r="DN128" s="1420">
        <v>487434.54</v>
      </c>
      <c r="DO128" s="1420">
        <v>893206.36</v>
      </c>
      <c r="DP128" s="1420">
        <v>1057841.58</v>
      </c>
      <c r="DQ128" s="1420">
        <v>355681.43</v>
      </c>
      <c r="DR128" s="1420">
        <v>306220.52</v>
      </c>
      <c r="DS128" s="1420">
        <v>35928.199999999997</v>
      </c>
      <c r="DT128" s="1422">
        <v>13000</v>
      </c>
      <c r="DU128" s="1420">
        <v>1838455.7</v>
      </c>
      <c r="DV128" s="1420">
        <v>2081677.49</v>
      </c>
      <c r="DW128" s="1420">
        <v>274400.09000000003</v>
      </c>
      <c r="DX128" s="1422">
        <v>397726</v>
      </c>
      <c r="DY128" s="1420">
        <v>445639.02</v>
      </c>
      <c r="DZ128" s="1420">
        <v>665695.36</v>
      </c>
      <c r="EA128" s="1420">
        <v>521679.05</v>
      </c>
      <c r="EB128" s="1420">
        <v>530061.17000000004</v>
      </c>
      <c r="EC128" s="1420">
        <v>1241718.1599999999</v>
      </c>
      <c r="ED128" s="1420">
        <v>1593482.53</v>
      </c>
      <c r="EE128" s="1420">
        <v>487285.38</v>
      </c>
      <c r="EF128" s="1420">
        <v>505298.19</v>
      </c>
      <c r="EG128" s="1422">
        <v>0</v>
      </c>
      <c r="EH128" s="1422">
        <v>0</v>
      </c>
      <c r="EI128" s="1422">
        <v>0</v>
      </c>
      <c r="EJ128" s="1422">
        <v>2100</v>
      </c>
      <c r="EK128" s="1422">
        <v>0</v>
      </c>
      <c r="EL128" s="1422">
        <v>0</v>
      </c>
      <c r="EM128" s="1420">
        <v>487285.38</v>
      </c>
      <c r="EN128" s="1420">
        <v>507398.19</v>
      </c>
      <c r="EO128" s="1420">
        <v>1758485.52</v>
      </c>
      <c r="EP128" s="1420">
        <v>3969532.78</v>
      </c>
      <c r="EQ128" s="1420">
        <v>72957.5</v>
      </c>
      <c r="ER128" s="1420">
        <v>239783.75</v>
      </c>
      <c r="ES128" s="1422">
        <v>0</v>
      </c>
      <c r="ET128" s="1422">
        <v>0</v>
      </c>
      <c r="EU128" s="1420">
        <v>11503120.59</v>
      </c>
      <c r="EV128" s="1420">
        <v>14338435.689999999</v>
      </c>
      <c r="EW128" s="1420">
        <v>2010309.96</v>
      </c>
      <c r="EX128" s="1420">
        <v>4265650.78</v>
      </c>
      <c r="EY128" s="1420">
        <v>72957.5</v>
      </c>
      <c r="EZ128" s="1420">
        <v>239783.75</v>
      </c>
      <c r="FA128" s="1420">
        <v>9419853.1300000008</v>
      </c>
      <c r="FB128" s="1420">
        <v>9833001.1600000001</v>
      </c>
      <c r="FC128" s="1420">
        <v>429838.25</v>
      </c>
      <c r="FD128" s="1439"/>
      <c r="FE128" s="1420">
        <v>8990014.8800000008</v>
      </c>
      <c r="FF128" s="1439"/>
      <c r="FG128" s="1422">
        <v>8848</v>
      </c>
      <c r="FH128" s="1439"/>
      <c r="FI128" s="1420">
        <v>91.26</v>
      </c>
      <c r="FJ128" s="1439"/>
      <c r="FK128" s="1422">
        <v>39297</v>
      </c>
      <c r="FL128" s="1439"/>
      <c r="FM128" s="1422">
        <v>97</v>
      </c>
      <c r="FN128" s="1439"/>
      <c r="FO128" s="1422">
        <v>41407</v>
      </c>
      <c r="FP128" s="1439"/>
      <c r="FQ128" s="1420">
        <v>4389725.1900000004</v>
      </c>
      <c r="FR128" s="1439"/>
      <c r="FS128" s="1420">
        <v>76325.320000000007</v>
      </c>
      <c r="FT128" s="1439"/>
      <c r="FU128" s="1422">
        <v>0</v>
      </c>
      <c r="FV128" s="1439"/>
      <c r="FW128" s="1420">
        <v>4313399.87</v>
      </c>
      <c r="FX128" s="1439"/>
      <c r="FY128" s="1420">
        <v>2858638.83</v>
      </c>
      <c r="FZ128" s="1439"/>
      <c r="GA128" s="1422">
        <v>0</v>
      </c>
      <c r="GB128" s="1439"/>
    </row>
    <row r="129" spans="1:184" ht="12.75" customHeight="1" thickBot="1">
      <c r="A129" s="1418" t="s">
        <v>308</v>
      </c>
      <c r="B129" s="1418" t="s">
        <v>309</v>
      </c>
      <c r="C129" s="1420">
        <v>623.85</v>
      </c>
      <c r="D129" s="1439"/>
      <c r="E129" s="1420">
        <v>910.79</v>
      </c>
      <c r="F129" s="1439"/>
      <c r="G129" s="1421">
        <v>-0.28000000000000003</v>
      </c>
      <c r="H129" s="1439"/>
      <c r="I129" s="1420">
        <v>979.8</v>
      </c>
      <c r="J129" s="1439"/>
      <c r="K129" s="1420">
        <v>1094.53</v>
      </c>
      <c r="L129" s="1439"/>
      <c r="M129" s="1422">
        <v>95361565</v>
      </c>
      <c r="N129" s="1439"/>
      <c r="O129" s="1422">
        <v>25</v>
      </c>
      <c r="P129" s="1439"/>
      <c r="Q129" s="1422">
        <v>25</v>
      </c>
      <c r="R129" s="1439"/>
      <c r="S129" s="1422">
        <v>0</v>
      </c>
      <c r="T129" s="1439"/>
      <c r="U129" s="1422">
        <v>0</v>
      </c>
      <c r="V129" s="1439"/>
      <c r="W129" s="1420">
        <v>1.3</v>
      </c>
      <c r="X129" s="1439"/>
      <c r="Y129" s="1420">
        <v>26.3</v>
      </c>
      <c r="Z129" s="1439"/>
      <c r="AA129" s="1422">
        <v>300000</v>
      </c>
      <c r="AB129" s="1455"/>
      <c r="AC129" s="1424">
        <v>2247551.23</v>
      </c>
      <c r="AD129" s="1422">
        <v>2148615</v>
      </c>
      <c r="AE129" s="1420">
        <v>325646.58</v>
      </c>
      <c r="AF129" s="1422">
        <v>246864</v>
      </c>
      <c r="AG129" s="1422">
        <v>0</v>
      </c>
      <c r="AH129" s="1456">
        <v>0</v>
      </c>
      <c r="AI129" s="1428">
        <v>4287558</v>
      </c>
      <c r="AJ129" s="1422">
        <v>3641400</v>
      </c>
      <c r="AK129" s="1422">
        <v>134999</v>
      </c>
      <c r="AL129" s="1422">
        <v>135000</v>
      </c>
      <c r="AM129" s="1422">
        <v>0</v>
      </c>
      <c r="AN129" s="1422">
        <v>0</v>
      </c>
      <c r="AO129" s="1422">
        <v>119737</v>
      </c>
      <c r="AP129" s="1422">
        <v>332237</v>
      </c>
      <c r="AQ129" s="1422">
        <v>0</v>
      </c>
      <c r="AR129" s="1422">
        <v>0</v>
      </c>
      <c r="AS129" s="1422">
        <v>0</v>
      </c>
      <c r="AT129" s="1422">
        <v>0</v>
      </c>
      <c r="AU129" s="1422">
        <v>0</v>
      </c>
      <c r="AV129" s="1422">
        <v>0</v>
      </c>
      <c r="AW129" s="1422">
        <v>0</v>
      </c>
      <c r="AX129" s="1422">
        <v>0</v>
      </c>
      <c r="AY129" s="1420">
        <v>7115491.8099999996</v>
      </c>
      <c r="AZ129" s="1422">
        <v>6504116</v>
      </c>
      <c r="BA129" s="1422">
        <v>0</v>
      </c>
      <c r="BB129" s="1422">
        <v>0</v>
      </c>
      <c r="BC129" s="1422">
        <v>45270</v>
      </c>
      <c r="BD129" s="1422">
        <v>41803</v>
      </c>
      <c r="BE129" s="1420">
        <v>254018.19</v>
      </c>
      <c r="BF129" s="1422">
        <v>600</v>
      </c>
      <c r="BG129" s="1422">
        <v>50</v>
      </c>
      <c r="BH129" s="1422">
        <v>0</v>
      </c>
      <c r="BI129" s="1422">
        <v>77603</v>
      </c>
      <c r="BJ129" s="1422">
        <v>83232</v>
      </c>
      <c r="BK129" s="1422">
        <v>0</v>
      </c>
      <c r="BL129" s="1422">
        <v>0</v>
      </c>
      <c r="BM129" s="1422">
        <v>1553472</v>
      </c>
      <c r="BN129" s="1422">
        <v>1363164</v>
      </c>
      <c r="BO129" s="1420">
        <v>4483.9399999999996</v>
      </c>
      <c r="BP129" s="1422">
        <v>4000</v>
      </c>
      <c r="BQ129" s="1420">
        <v>38541.760000000002</v>
      </c>
      <c r="BR129" s="1422">
        <v>0</v>
      </c>
      <c r="BS129" s="1420">
        <v>5071.1499999999996</v>
      </c>
      <c r="BT129" s="1422">
        <v>2000</v>
      </c>
      <c r="BU129" s="1422">
        <v>0</v>
      </c>
      <c r="BV129" s="1422">
        <v>0</v>
      </c>
      <c r="BW129" s="1422">
        <v>533628</v>
      </c>
      <c r="BX129" s="1422">
        <v>534600</v>
      </c>
      <c r="BY129" s="1422">
        <v>0</v>
      </c>
      <c r="BZ129" s="1422">
        <v>0</v>
      </c>
      <c r="CA129" s="1422">
        <v>24425</v>
      </c>
      <c r="CB129" s="1422">
        <v>18110</v>
      </c>
      <c r="CC129" s="1420">
        <v>2536563.04</v>
      </c>
      <c r="CD129" s="1422">
        <v>2047509</v>
      </c>
      <c r="CE129" s="1420">
        <v>5784383.4400000004</v>
      </c>
      <c r="CF129" s="1420">
        <v>3418831.52</v>
      </c>
      <c r="CG129" s="1422">
        <v>0</v>
      </c>
      <c r="CH129" s="1422">
        <v>0</v>
      </c>
      <c r="CI129" s="1422">
        <v>0</v>
      </c>
      <c r="CJ129" s="1422">
        <v>0</v>
      </c>
      <c r="CK129" s="1420">
        <v>10069.76</v>
      </c>
      <c r="CL129" s="1422">
        <v>0</v>
      </c>
      <c r="CM129" s="1422">
        <v>0</v>
      </c>
      <c r="CN129" s="1422">
        <v>0</v>
      </c>
      <c r="CO129" s="1422">
        <v>0</v>
      </c>
      <c r="CP129" s="1422">
        <v>0</v>
      </c>
      <c r="CQ129" s="1422">
        <v>0</v>
      </c>
      <c r="CR129" s="1422">
        <v>0</v>
      </c>
      <c r="CS129" s="1420">
        <v>10069.76</v>
      </c>
      <c r="CT129" s="1422">
        <v>0</v>
      </c>
      <c r="CU129" s="1420">
        <v>15446508.050000001</v>
      </c>
      <c r="CV129" s="1420">
        <v>11970456.52</v>
      </c>
      <c r="CW129" s="1420">
        <v>4856901.05</v>
      </c>
      <c r="CX129" s="1420">
        <v>4004092.51</v>
      </c>
      <c r="CY129" s="1420">
        <v>546989.99</v>
      </c>
      <c r="CZ129" s="1422">
        <v>541231</v>
      </c>
      <c r="DA129" s="1420">
        <v>406007.63</v>
      </c>
      <c r="DB129" s="1422">
        <v>354724</v>
      </c>
      <c r="DC129" s="1422">
        <v>0</v>
      </c>
      <c r="DD129" s="1422">
        <v>0</v>
      </c>
      <c r="DE129" s="1420">
        <v>1199907.53</v>
      </c>
      <c r="DF129" s="1420">
        <v>1135742.44</v>
      </c>
      <c r="DG129" s="1420">
        <v>167135.29</v>
      </c>
      <c r="DH129" s="1422">
        <v>182842</v>
      </c>
      <c r="DI129" s="1420">
        <v>7176941.4900000002</v>
      </c>
      <c r="DJ129" s="1420">
        <v>6218631.9500000002</v>
      </c>
      <c r="DK129" s="1422">
        <v>521716</v>
      </c>
      <c r="DL129" s="1422">
        <v>607147</v>
      </c>
      <c r="DM129" s="1420">
        <v>278944.58</v>
      </c>
      <c r="DN129" s="1422">
        <v>368032</v>
      </c>
      <c r="DO129" s="1420">
        <v>1208999.52</v>
      </c>
      <c r="DP129" s="1420">
        <v>1486939.6</v>
      </c>
      <c r="DQ129" s="1420">
        <v>651904.93000000005</v>
      </c>
      <c r="DR129" s="1422">
        <v>547394</v>
      </c>
      <c r="DS129" s="1420">
        <v>32461.63</v>
      </c>
      <c r="DT129" s="1420">
        <v>34318.31</v>
      </c>
      <c r="DU129" s="1420">
        <v>2694026.66</v>
      </c>
      <c r="DV129" s="1420">
        <v>3043830.91</v>
      </c>
      <c r="DW129" s="1420">
        <v>487120.17</v>
      </c>
      <c r="DX129" s="1420">
        <v>518698.91</v>
      </c>
      <c r="DY129" s="1420">
        <v>1947443.23</v>
      </c>
      <c r="DZ129" s="1420">
        <v>1840786.52</v>
      </c>
      <c r="EA129" s="1420">
        <v>316361.88</v>
      </c>
      <c r="EB129" s="1420">
        <v>359890.88</v>
      </c>
      <c r="EC129" s="1420">
        <v>2750925.28</v>
      </c>
      <c r="ED129" s="1420">
        <v>2719376.31</v>
      </c>
      <c r="EE129" s="1420">
        <v>822970.69</v>
      </c>
      <c r="EF129" s="1422">
        <v>746507</v>
      </c>
      <c r="EG129" s="1422">
        <v>0</v>
      </c>
      <c r="EH129" s="1422">
        <v>0</v>
      </c>
      <c r="EI129" s="1420">
        <v>11679.7</v>
      </c>
      <c r="EJ129" s="1420">
        <v>36542.36</v>
      </c>
      <c r="EK129" s="1422">
        <v>0</v>
      </c>
      <c r="EL129" s="1422">
        <v>0</v>
      </c>
      <c r="EM129" s="1420">
        <v>834650.39</v>
      </c>
      <c r="EN129" s="1420">
        <v>783049.36</v>
      </c>
      <c r="EO129" s="1420">
        <v>2473200.77</v>
      </c>
      <c r="EP129" s="1422">
        <v>55000</v>
      </c>
      <c r="EQ129" s="1422">
        <v>82362</v>
      </c>
      <c r="ER129" s="1422">
        <v>80192</v>
      </c>
      <c r="ES129" s="1422">
        <v>0</v>
      </c>
      <c r="ET129" s="1422">
        <v>0</v>
      </c>
      <c r="EU129" s="1420">
        <v>16012106.59</v>
      </c>
      <c r="EV129" s="1420">
        <v>12900080.529999999</v>
      </c>
      <c r="EW129" s="1420">
        <v>2665132.16</v>
      </c>
      <c r="EX129" s="1420">
        <v>149787.64000000001</v>
      </c>
      <c r="EY129" s="1422">
        <v>82362</v>
      </c>
      <c r="EZ129" s="1422">
        <v>80192</v>
      </c>
      <c r="FA129" s="1420">
        <v>13264612.43</v>
      </c>
      <c r="FB129" s="1420">
        <v>12670100.890000001</v>
      </c>
      <c r="FC129" s="1420">
        <v>800016.66</v>
      </c>
      <c r="FD129" s="1439"/>
      <c r="FE129" s="1420">
        <v>12464595.77</v>
      </c>
      <c r="FF129" s="1439"/>
      <c r="FG129" s="1422">
        <v>13685</v>
      </c>
      <c r="FH129" s="1439"/>
      <c r="FI129" s="1420">
        <v>93.59</v>
      </c>
      <c r="FJ129" s="1439"/>
      <c r="FK129" s="1422">
        <v>42032</v>
      </c>
      <c r="FL129" s="1439"/>
      <c r="FM129" s="1420">
        <v>102.82</v>
      </c>
      <c r="FN129" s="1439"/>
      <c r="FO129" s="1422">
        <v>44009</v>
      </c>
      <c r="FP129" s="1439"/>
      <c r="FQ129" s="1420">
        <v>1777249.35</v>
      </c>
      <c r="FR129" s="1439"/>
      <c r="FS129" s="1420">
        <v>15357.94</v>
      </c>
      <c r="FT129" s="1439"/>
      <c r="FU129" s="1422">
        <v>0</v>
      </c>
      <c r="FV129" s="1439"/>
      <c r="FW129" s="1420">
        <v>1761891.41</v>
      </c>
      <c r="FX129" s="1439"/>
      <c r="FY129" s="1422">
        <v>0</v>
      </c>
      <c r="FZ129" s="1439"/>
      <c r="GA129" s="1422">
        <v>0</v>
      </c>
      <c r="GB129" s="1439"/>
    </row>
    <row r="130" spans="1:184" ht="12.75" customHeight="1" thickBot="1">
      <c r="A130" s="1418" t="s">
        <v>310</v>
      </c>
      <c r="B130" s="1418" t="s">
        <v>311</v>
      </c>
      <c r="C130" s="1420">
        <v>407.18</v>
      </c>
      <c r="D130" s="1439"/>
      <c r="E130" s="1420">
        <v>1569.14</v>
      </c>
      <c r="F130" s="1439"/>
      <c r="G130" s="1421">
        <v>-0.04</v>
      </c>
      <c r="H130" s="1439"/>
      <c r="I130" s="1420">
        <v>1650.56</v>
      </c>
      <c r="J130" s="1439"/>
      <c r="K130" s="1420">
        <v>1671.8</v>
      </c>
      <c r="L130" s="1439"/>
      <c r="M130" s="1422">
        <v>85472186</v>
      </c>
      <c r="N130" s="1439"/>
      <c r="O130" s="1422">
        <v>25</v>
      </c>
      <c r="P130" s="1439"/>
      <c r="Q130" s="1422">
        <v>25</v>
      </c>
      <c r="R130" s="1439"/>
      <c r="S130" s="1422">
        <v>0</v>
      </c>
      <c r="T130" s="1439"/>
      <c r="U130" s="1422">
        <v>0</v>
      </c>
      <c r="V130" s="1439"/>
      <c r="W130" s="1422">
        <v>12</v>
      </c>
      <c r="X130" s="1439"/>
      <c r="Y130" s="1422">
        <v>37</v>
      </c>
      <c r="Z130" s="1439"/>
      <c r="AA130" s="1422">
        <v>8900000</v>
      </c>
      <c r="AB130" s="1455"/>
      <c r="AC130" s="1424">
        <v>3006735.83</v>
      </c>
      <c r="AD130" s="1422">
        <v>2961175</v>
      </c>
      <c r="AE130" s="1420">
        <v>744320.38</v>
      </c>
      <c r="AF130" s="1422">
        <v>728500</v>
      </c>
      <c r="AG130" s="1422">
        <v>0</v>
      </c>
      <c r="AH130" s="1456">
        <v>0</v>
      </c>
      <c r="AI130" s="1428">
        <v>7970761</v>
      </c>
      <c r="AJ130" s="1422">
        <v>8074682</v>
      </c>
      <c r="AK130" s="1422">
        <v>49408</v>
      </c>
      <c r="AL130" s="1422">
        <v>51395</v>
      </c>
      <c r="AM130" s="1422">
        <v>0</v>
      </c>
      <c r="AN130" s="1422">
        <v>0</v>
      </c>
      <c r="AO130" s="1422">
        <v>78751</v>
      </c>
      <c r="AP130" s="1422">
        <v>51395</v>
      </c>
      <c r="AQ130" s="1422">
        <v>0</v>
      </c>
      <c r="AR130" s="1422">
        <v>0</v>
      </c>
      <c r="AS130" s="1422">
        <v>0</v>
      </c>
      <c r="AT130" s="1422">
        <v>0</v>
      </c>
      <c r="AU130" s="1422">
        <v>44612</v>
      </c>
      <c r="AV130" s="1422">
        <v>35689</v>
      </c>
      <c r="AW130" s="1422">
        <v>0</v>
      </c>
      <c r="AX130" s="1422">
        <v>0</v>
      </c>
      <c r="AY130" s="1420">
        <v>11894588.210000001</v>
      </c>
      <c r="AZ130" s="1422">
        <v>11902836</v>
      </c>
      <c r="BA130" s="1420">
        <v>157114.4</v>
      </c>
      <c r="BB130" s="1420">
        <v>157346.62</v>
      </c>
      <c r="BC130" s="1422">
        <v>69146</v>
      </c>
      <c r="BD130" s="1422">
        <v>70142</v>
      </c>
      <c r="BE130" s="1420">
        <v>13560.9</v>
      </c>
      <c r="BF130" s="1422">
        <v>0</v>
      </c>
      <c r="BG130" s="1422">
        <v>350</v>
      </c>
      <c r="BH130" s="1422">
        <v>0</v>
      </c>
      <c r="BI130" s="1422">
        <v>41483</v>
      </c>
      <c r="BJ130" s="1422">
        <v>25031</v>
      </c>
      <c r="BK130" s="1422">
        <v>3809</v>
      </c>
      <c r="BL130" s="1422">
        <v>3809</v>
      </c>
      <c r="BM130" s="1422">
        <v>493520</v>
      </c>
      <c r="BN130" s="1422">
        <v>502964</v>
      </c>
      <c r="BO130" s="1420">
        <v>102488.31</v>
      </c>
      <c r="BP130" s="1422">
        <v>0</v>
      </c>
      <c r="BQ130" s="1422">
        <v>0</v>
      </c>
      <c r="BR130" s="1422">
        <v>0</v>
      </c>
      <c r="BS130" s="1420">
        <v>6661.84</v>
      </c>
      <c r="BT130" s="1422">
        <v>6500</v>
      </c>
      <c r="BU130" s="1422">
        <v>0</v>
      </c>
      <c r="BV130" s="1422">
        <v>0</v>
      </c>
      <c r="BW130" s="1422">
        <v>303750</v>
      </c>
      <c r="BX130" s="1422">
        <v>340200</v>
      </c>
      <c r="BY130" s="1422">
        <v>0</v>
      </c>
      <c r="BZ130" s="1422">
        <v>0</v>
      </c>
      <c r="CA130" s="1420">
        <v>1077201.1299999999</v>
      </c>
      <c r="CB130" s="1422">
        <v>183778</v>
      </c>
      <c r="CC130" s="1420">
        <v>2269084.58</v>
      </c>
      <c r="CD130" s="1420">
        <v>1289770.6200000001</v>
      </c>
      <c r="CE130" s="1420">
        <v>2980228.24</v>
      </c>
      <c r="CF130" s="1420">
        <v>1897863.07</v>
      </c>
      <c r="CG130" s="1422">
        <v>0</v>
      </c>
      <c r="CH130" s="1422">
        <v>0</v>
      </c>
      <c r="CI130" s="1422">
        <v>0</v>
      </c>
      <c r="CJ130" s="1422">
        <v>0</v>
      </c>
      <c r="CK130" s="1420">
        <v>22080.84</v>
      </c>
      <c r="CL130" s="1422">
        <v>0</v>
      </c>
      <c r="CM130" s="1422">
        <v>0</v>
      </c>
      <c r="CN130" s="1422">
        <v>0</v>
      </c>
      <c r="CO130" s="1422">
        <v>0</v>
      </c>
      <c r="CP130" s="1422">
        <v>0</v>
      </c>
      <c r="CQ130" s="1422">
        <v>0</v>
      </c>
      <c r="CR130" s="1422">
        <v>0</v>
      </c>
      <c r="CS130" s="1420">
        <v>22080.84</v>
      </c>
      <c r="CT130" s="1422">
        <v>0</v>
      </c>
      <c r="CU130" s="1420">
        <v>17165981.870000001</v>
      </c>
      <c r="CV130" s="1420">
        <v>15090469.689999999</v>
      </c>
      <c r="CW130" s="1420">
        <v>5871211.6600000001</v>
      </c>
      <c r="CX130" s="1420">
        <v>6128522.1399999997</v>
      </c>
      <c r="CY130" s="1420">
        <v>839785.44</v>
      </c>
      <c r="CZ130" s="1422">
        <v>988350</v>
      </c>
      <c r="DA130" s="1420">
        <v>326340.49</v>
      </c>
      <c r="DB130" s="1422">
        <v>367234</v>
      </c>
      <c r="DC130" s="1420">
        <v>194643.97</v>
      </c>
      <c r="DD130" s="1420">
        <v>173480.3</v>
      </c>
      <c r="DE130" s="1420">
        <v>653489.66</v>
      </c>
      <c r="DF130" s="1422">
        <v>676576</v>
      </c>
      <c r="DG130" s="1420">
        <v>174817.12</v>
      </c>
      <c r="DH130" s="1420">
        <v>169593.38</v>
      </c>
      <c r="DI130" s="1420">
        <v>8060288.3399999999</v>
      </c>
      <c r="DJ130" s="1420">
        <v>8503755.8200000003</v>
      </c>
      <c r="DK130" s="1420">
        <v>545154.23</v>
      </c>
      <c r="DL130" s="1420">
        <v>353967.45</v>
      </c>
      <c r="DM130" s="1420">
        <v>355141.03</v>
      </c>
      <c r="DN130" s="1422">
        <v>488486</v>
      </c>
      <c r="DO130" s="1420">
        <v>1194717.1100000001</v>
      </c>
      <c r="DP130" s="1422">
        <v>1663484</v>
      </c>
      <c r="DQ130" s="1420">
        <v>825219.86</v>
      </c>
      <c r="DR130" s="1422">
        <v>898498</v>
      </c>
      <c r="DS130" s="1420">
        <v>100046.42</v>
      </c>
      <c r="DT130" s="1422">
        <v>43352</v>
      </c>
      <c r="DU130" s="1420">
        <v>3020278.65</v>
      </c>
      <c r="DV130" s="1420">
        <v>3447787.45</v>
      </c>
      <c r="DW130" s="1420">
        <v>805660.62</v>
      </c>
      <c r="DX130" s="1422">
        <v>776028</v>
      </c>
      <c r="DY130" s="1420">
        <v>839561.92</v>
      </c>
      <c r="DZ130" s="1420">
        <v>710482.97</v>
      </c>
      <c r="EA130" s="1420">
        <v>906513.99</v>
      </c>
      <c r="EB130" s="1422">
        <v>968507</v>
      </c>
      <c r="EC130" s="1420">
        <v>2551736.5299999998</v>
      </c>
      <c r="ED130" s="1420">
        <v>2455017.9700000002</v>
      </c>
      <c r="EE130" s="1420">
        <v>816706.84</v>
      </c>
      <c r="EF130" s="1422">
        <v>938249</v>
      </c>
      <c r="EG130" s="1420">
        <v>116480.74</v>
      </c>
      <c r="EH130" s="1422">
        <v>10200</v>
      </c>
      <c r="EI130" s="1420">
        <v>174.94</v>
      </c>
      <c r="EJ130" s="1422">
        <v>500</v>
      </c>
      <c r="EK130" s="1422">
        <v>0</v>
      </c>
      <c r="EL130" s="1422">
        <v>0</v>
      </c>
      <c r="EM130" s="1420">
        <v>933362.52</v>
      </c>
      <c r="EN130" s="1422">
        <v>948949</v>
      </c>
      <c r="EO130" s="1420">
        <v>1170550.54</v>
      </c>
      <c r="EP130" s="1422">
        <v>501100</v>
      </c>
      <c r="EQ130" s="1420">
        <v>807462.5</v>
      </c>
      <c r="ER130" s="1422">
        <v>544174</v>
      </c>
      <c r="ES130" s="1422">
        <v>0</v>
      </c>
      <c r="ET130" s="1422">
        <v>0</v>
      </c>
      <c r="EU130" s="1420">
        <v>16543679.08</v>
      </c>
      <c r="EV130" s="1420">
        <v>16400784.24</v>
      </c>
      <c r="EW130" s="1420">
        <v>1512472.51</v>
      </c>
      <c r="EX130" s="1422">
        <v>1051764</v>
      </c>
      <c r="EY130" s="1420">
        <v>807462.5</v>
      </c>
      <c r="EZ130" s="1422">
        <v>544174</v>
      </c>
      <c r="FA130" s="1420">
        <v>14223744.07</v>
      </c>
      <c r="FB130" s="1420">
        <v>14804846.24</v>
      </c>
      <c r="FC130" s="1420">
        <v>1037823.75</v>
      </c>
      <c r="FD130" s="1439"/>
      <c r="FE130" s="1420">
        <v>13185920.32</v>
      </c>
      <c r="FF130" s="1439"/>
      <c r="FG130" s="1422">
        <v>8403</v>
      </c>
      <c r="FH130" s="1439"/>
      <c r="FI130" s="1420">
        <v>106.55</v>
      </c>
      <c r="FJ130" s="1439"/>
      <c r="FK130" s="1422">
        <v>44247</v>
      </c>
      <c r="FL130" s="1439"/>
      <c r="FM130" s="1420">
        <v>116.83</v>
      </c>
      <c r="FN130" s="1439"/>
      <c r="FO130" s="1422">
        <v>48927</v>
      </c>
      <c r="FP130" s="1439"/>
      <c r="FQ130" s="1420">
        <v>7549445.2000000002</v>
      </c>
      <c r="FR130" s="1439"/>
      <c r="FS130" s="1420">
        <v>100577.72</v>
      </c>
      <c r="FT130" s="1439"/>
      <c r="FU130" s="1422">
        <v>0</v>
      </c>
      <c r="FV130" s="1439"/>
      <c r="FW130" s="1420">
        <v>7448867.4800000004</v>
      </c>
      <c r="FX130" s="1439"/>
      <c r="FY130" s="1420">
        <v>3022953.96</v>
      </c>
      <c r="FZ130" s="1439"/>
      <c r="GA130" s="1422">
        <v>68369</v>
      </c>
      <c r="GB130" s="1439"/>
    </row>
    <row r="131" spans="1:184" ht="12.75" customHeight="1" thickBot="1">
      <c r="A131" s="1418" t="s">
        <v>312</v>
      </c>
      <c r="B131" s="1418" t="s">
        <v>313</v>
      </c>
      <c r="C131" s="1420">
        <v>344.9</v>
      </c>
      <c r="D131" s="1439"/>
      <c r="E131" s="1420">
        <v>1396.53</v>
      </c>
      <c r="F131" s="1439"/>
      <c r="G131" s="1421">
        <v>-0.12</v>
      </c>
      <c r="H131" s="1439"/>
      <c r="I131" s="1420">
        <v>1482.6</v>
      </c>
      <c r="J131" s="1439"/>
      <c r="K131" s="1420">
        <v>1535.22</v>
      </c>
      <c r="L131" s="1439"/>
      <c r="M131" s="1422">
        <v>199253687</v>
      </c>
      <c r="N131" s="1439"/>
      <c r="O131" s="1422">
        <v>25</v>
      </c>
      <c r="P131" s="1439"/>
      <c r="Q131" s="1422">
        <v>25</v>
      </c>
      <c r="R131" s="1439"/>
      <c r="S131" s="1422">
        <v>0</v>
      </c>
      <c r="T131" s="1439"/>
      <c r="U131" s="1422">
        <v>0</v>
      </c>
      <c r="V131" s="1439"/>
      <c r="W131" s="1420">
        <v>10.7</v>
      </c>
      <c r="X131" s="1439"/>
      <c r="Y131" s="1420">
        <v>35.700000000000003</v>
      </c>
      <c r="Z131" s="1439"/>
      <c r="AA131" s="1422">
        <v>10625000</v>
      </c>
      <c r="AB131" s="1455"/>
      <c r="AC131" s="1424">
        <v>7535403.3300000001</v>
      </c>
      <c r="AD131" s="1422">
        <v>6430299</v>
      </c>
      <c r="AE131" s="1420">
        <v>682991.93</v>
      </c>
      <c r="AF131" s="1422">
        <v>366000</v>
      </c>
      <c r="AG131" s="1420">
        <v>13146.4</v>
      </c>
      <c r="AH131" s="1456">
        <v>0</v>
      </c>
      <c r="AI131" s="1428">
        <v>3432331</v>
      </c>
      <c r="AJ131" s="1422">
        <v>4580890</v>
      </c>
      <c r="AK131" s="1422">
        <v>97474</v>
      </c>
      <c r="AL131" s="1422">
        <v>80000</v>
      </c>
      <c r="AM131" s="1422">
        <v>0</v>
      </c>
      <c r="AN131" s="1422">
        <v>0</v>
      </c>
      <c r="AO131" s="1422">
        <v>9878</v>
      </c>
      <c r="AP131" s="1422">
        <v>144000</v>
      </c>
      <c r="AQ131" s="1422">
        <v>0</v>
      </c>
      <c r="AR131" s="1422">
        <v>0</v>
      </c>
      <c r="AS131" s="1422">
        <v>0</v>
      </c>
      <c r="AT131" s="1422">
        <v>0</v>
      </c>
      <c r="AU131" s="1422">
        <v>0</v>
      </c>
      <c r="AV131" s="1422">
        <v>0</v>
      </c>
      <c r="AW131" s="1422">
        <v>0</v>
      </c>
      <c r="AX131" s="1422">
        <v>0</v>
      </c>
      <c r="AY131" s="1420">
        <v>11771224.66</v>
      </c>
      <c r="AZ131" s="1422">
        <v>11601189</v>
      </c>
      <c r="BA131" s="1422">
        <v>0</v>
      </c>
      <c r="BB131" s="1422">
        <v>0</v>
      </c>
      <c r="BC131" s="1422">
        <v>63497</v>
      </c>
      <c r="BD131" s="1420">
        <v>63066.95</v>
      </c>
      <c r="BE131" s="1420">
        <v>10426.06</v>
      </c>
      <c r="BF131" s="1422">
        <v>4000</v>
      </c>
      <c r="BG131" s="1422">
        <v>1250</v>
      </c>
      <c r="BH131" s="1422">
        <v>0</v>
      </c>
      <c r="BI131" s="1422">
        <v>108116</v>
      </c>
      <c r="BJ131" s="1422">
        <v>105242</v>
      </c>
      <c r="BK131" s="1422">
        <v>0</v>
      </c>
      <c r="BL131" s="1422">
        <v>0</v>
      </c>
      <c r="BM131" s="1422">
        <v>418128</v>
      </c>
      <c r="BN131" s="1422">
        <v>449328</v>
      </c>
      <c r="BO131" s="1420">
        <v>16567.310000000001</v>
      </c>
      <c r="BP131" s="1422">
        <v>9200</v>
      </c>
      <c r="BQ131" s="1422">
        <v>81250</v>
      </c>
      <c r="BR131" s="1422">
        <v>65000</v>
      </c>
      <c r="BS131" s="1420">
        <v>5600.69</v>
      </c>
      <c r="BT131" s="1422">
        <v>5000</v>
      </c>
      <c r="BU131" s="1422">
        <v>0</v>
      </c>
      <c r="BV131" s="1422">
        <v>0</v>
      </c>
      <c r="BW131" s="1422">
        <v>0</v>
      </c>
      <c r="BX131" s="1422">
        <v>0</v>
      </c>
      <c r="BY131" s="1422">
        <v>0</v>
      </c>
      <c r="BZ131" s="1422">
        <v>0</v>
      </c>
      <c r="CA131" s="1422">
        <v>0</v>
      </c>
      <c r="CB131" s="1422">
        <v>0</v>
      </c>
      <c r="CC131" s="1420">
        <v>704835.06</v>
      </c>
      <c r="CD131" s="1420">
        <v>700836.95</v>
      </c>
      <c r="CE131" s="1420">
        <v>1815020.21</v>
      </c>
      <c r="CF131" s="1420">
        <v>2269074.9700000002</v>
      </c>
      <c r="CG131" s="1422">
        <v>0</v>
      </c>
      <c r="CH131" s="1422">
        <v>0</v>
      </c>
      <c r="CI131" s="1422">
        <v>0</v>
      </c>
      <c r="CJ131" s="1422">
        <v>0</v>
      </c>
      <c r="CK131" s="1422">
        <v>0</v>
      </c>
      <c r="CL131" s="1422">
        <v>0</v>
      </c>
      <c r="CM131" s="1420">
        <v>9348.5</v>
      </c>
      <c r="CN131" s="1422">
        <v>0</v>
      </c>
      <c r="CO131" s="1420">
        <v>8336.84</v>
      </c>
      <c r="CP131" s="1422">
        <v>0</v>
      </c>
      <c r="CQ131" s="1422">
        <v>0</v>
      </c>
      <c r="CR131" s="1422">
        <v>0</v>
      </c>
      <c r="CS131" s="1420">
        <v>17685.34</v>
      </c>
      <c r="CT131" s="1422">
        <v>0</v>
      </c>
      <c r="CU131" s="1420">
        <v>14308765.27</v>
      </c>
      <c r="CV131" s="1420">
        <v>14571100.92</v>
      </c>
      <c r="CW131" s="1420">
        <v>5319517.05</v>
      </c>
      <c r="CX131" s="1420">
        <v>4616276.12</v>
      </c>
      <c r="CY131" s="1420">
        <v>941653.68</v>
      </c>
      <c r="CZ131" s="1420">
        <v>935513.12</v>
      </c>
      <c r="DA131" s="1420">
        <v>372002.53</v>
      </c>
      <c r="DB131" s="1420">
        <v>362106.98</v>
      </c>
      <c r="DC131" s="1422">
        <v>0</v>
      </c>
      <c r="DD131" s="1422">
        <v>0</v>
      </c>
      <c r="DE131" s="1420">
        <v>310025.2</v>
      </c>
      <c r="DF131" s="1420">
        <v>356103.27</v>
      </c>
      <c r="DG131" s="1420">
        <v>661709.63</v>
      </c>
      <c r="DH131" s="1420">
        <v>630600.89</v>
      </c>
      <c r="DI131" s="1420">
        <v>7604908.0899999999</v>
      </c>
      <c r="DJ131" s="1420">
        <v>6900600.3799999999</v>
      </c>
      <c r="DK131" s="1420">
        <v>231436.92</v>
      </c>
      <c r="DL131" s="1420">
        <v>269632.71999999997</v>
      </c>
      <c r="DM131" s="1420">
        <v>276306.69</v>
      </c>
      <c r="DN131" s="1420">
        <v>481774.45</v>
      </c>
      <c r="DO131" s="1420">
        <v>1678373.1</v>
      </c>
      <c r="DP131" s="1420">
        <v>1504749.37</v>
      </c>
      <c r="DQ131" s="1420">
        <v>734885.8</v>
      </c>
      <c r="DR131" s="1420">
        <v>429524.22</v>
      </c>
      <c r="DS131" s="1420">
        <v>28502.639999999999</v>
      </c>
      <c r="DT131" s="1422">
        <v>11800</v>
      </c>
      <c r="DU131" s="1420">
        <v>2949505.15</v>
      </c>
      <c r="DV131" s="1420">
        <v>2697480.76</v>
      </c>
      <c r="DW131" s="1420">
        <v>609256.87</v>
      </c>
      <c r="DX131" s="1420">
        <v>737808.2</v>
      </c>
      <c r="DY131" s="1420">
        <v>1456342.35</v>
      </c>
      <c r="DZ131" s="1420">
        <v>1313984.3600000001</v>
      </c>
      <c r="EA131" s="1420">
        <v>841941.09</v>
      </c>
      <c r="EB131" s="1420">
        <v>838329.12</v>
      </c>
      <c r="EC131" s="1420">
        <v>2907540.31</v>
      </c>
      <c r="ED131" s="1420">
        <v>2890121.68</v>
      </c>
      <c r="EE131" s="1420">
        <v>841750.21</v>
      </c>
      <c r="EF131" s="1420">
        <v>865171.76</v>
      </c>
      <c r="EG131" s="1420">
        <v>9442.2800000000007</v>
      </c>
      <c r="EH131" s="1422">
        <v>0</v>
      </c>
      <c r="EI131" s="1420">
        <v>27304.83</v>
      </c>
      <c r="EJ131" s="1420">
        <v>56282.85</v>
      </c>
      <c r="EK131" s="1422">
        <v>0</v>
      </c>
      <c r="EL131" s="1422">
        <v>0</v>
      </c>
      <c r="EM131" s="1420">
        <v>878497.32</v>
      </c>
      <c r="EN131" s="1420">
        <v>921454.61</v>
      </c>
      <c r="EO131" s="1420">
        <v>59770.37</v>
      </c>
      <c r="EP131" s="1422">
        <v>-3000</v>
      </c>
      <c r="EQ131" s="1422">
        <v>736790</v>
      </c>
      <c r="ER131" s="1420">
        <v>737612.5</v>
      </c>
      <c r="ES131" s="1420">
        <v>14420.87</v>
      </c>
      <c r="ET131" s="1422">
        <v>0</v>
      </c>
      <c r="EU131" s="1420">
        <v>15151432.109999999</v>
      </c>
      <c r="EV131" s="1420">
        <v>14144269.93</v>
      </c>
      <c r="EW131" s="1420">
        <v>372062.98</v>
      </c>
      <c r="EX131" s="1420">
        <v>150206.97</v>
      </c>
      <c r="EY131" s="1422">
        <v>736790</v>
      </c>
      <c r="EZ131" s="1420">
        <v>737612.5</v>
      </c>
      <c r="FA131" s="1420">
        <v>14042579.130000001</v>
      </c>
      <c r="FB131" s="1420">
        <v>13256450.460000001</v>
      </c>
      <c r="FC131" s="1420">
        <v>687005.21</v>
      </c>
      <c r="FD131" s="1439"/>
      <c r="FE131" s="1420">
        <v>13355573.92</v>
      </c>
      <c r="FF131" s="1439"/>
      <c r="FG131" s="1422">
        <v>9563</v>
      </c>
      <c r="FH131" s="1439"/>
      <c r="FI131" s="1420">
        <v>124.17</v>
      </c>
      <c r="FJ131" s="1439"/>
      <c r="FK131" s="1422">
        <v>42787</v>
      </c>
      <c r="FL131" s="1439"/>
      <c r="FM131" s="1420">
        <v>138.26</v>
      </c>
      <c r="FN131" s="1439"/>
      <c r="FO131" s="1422">
        <v>45258</v>
      </c>
      <c r="FP131" s="1439"/>
      <c r="FQ131" s="1420">
        <v>3388512.75</v>
      </c>
      <c r="FR131" s="1439"/>
      <c r="FS131" s="1420">
        <v>67279.83</v>
      </c>
      <c r="FT131" s="1439"/>
      <c r="FU131" s="1422">
        <v>0</v>
      </c>
      <c r="FV131" s="1439"/>
      <c r="FW131" s="1420">
        <v>3321232.92</v>
      </c>
      <c r="FX131" s="1439"/>
      <c r="FY131" s="1420">
        <v>49048.11</v>
      </c>
      <c r="FZ131" s="1439"/>
      <c r="GA131" s="1420">
        <v>261976.68</v>
      </c>
      <c r="GB131" s="1439"/>
    </row>
    <row r="132" spans="1:184" ht="12.75" customHeight="1" thickBot="1">
      <c r="A132" s="1418" t="s">
        <v>314</v>
      </c>
      <c r="B132" s="1418" t="s">
        <v>315</v>
      </c>
      <c r="C132" s="1420">
        <v>176.65</v>
      </c>
      <c r="D132" s="1439"/>
      <c r="E132" s="1420">
        <v>520.88</v>
      </c>
      <c r="F132" s="1439"/>
      <c r="G132" s="1421">
        <v>0.04</v>
      </c>
      <c r="H132" s="1439"/>
      <c r="I132" s="1420">
        <v>540.53</v>
      </c>
      <c r="J132" s="1439"/>
      <c r="K132" s="1420">
        <v>553.30999999999995</v>
      </c>
      <c r="L132" s="1439"/>
      <c r="M132" s="1422">
        <v>30901500</v>
      </c>
      <c r="N132" s="1439"/>
      <c r="O132" s="1422">
        <v>28</v>
      </c>
      <c r="P132" s="1439"/>
      <c r="Q132" s="1422">
        <v>25</v>
      </c>
      <c r="R132" s="1439"/>
      <c r="S132" s="1422">
        <v>3</v>
      </c>
      <c r="T132" s="1439"/>
      <c r="U132" s="1422">
        <v>0</v>
      </c>
      <c r="V132" s="1439"/>
      <c r="W132" s="1420">
        <v>7.5</v>
      </c>
      <c r="X132" s="1439"/>
      <c r="Y132" s="1420">
        <v>35.5</v>
      </c>
      <c r="Z132" s="1439"/>
      <c r="AA132" s="1420">
        <v>4071564.74</v>
      </c>
      <c r="AB132" s="1455"/>
      <c r="AC132" s="1424">
        <v>1156228.82</v>
      </c>
      <c r="AD132" s="1422">
        <v>1188694</v>
      </c>
      <c r="AE132" s="1420">
        <v>465621.55</v>
      </c>
      <c r="AF132" s="1420">
        <v>131929.45000000001</v>
      </c>
      <c r="AG132" s="1420">
        <v>5514.29</v>
      </c>
      <c r="AH132" s="1456">
        <v>0</v>
      </c>
      <c r="AI132" s="1428">
        <v>2425085</v>
      </c>
      <c r="AJ132" s="1422">
        <v>2568766</v>
      </c>
      <c r="AK132" s="1422">
        <v>0</v>
      </c>
      <c r="AL132" s="1422">
        <v>0</v>
      </c>
      <c r="AM132" s="1422">
        <v>0</v>
      </c>
      <c r="AN132" s="1422">
        <v>0</v>
      </c>
      <c r="AO132" s="1422">
        <v>0</v>
      </c>
      <c r="AP132" s="1422">
        <v>35543</v>
      </c>
      <c r="AQ132" s="1422">
        <v>0</v>
      </c>
      <c r="AR132" s="1422">
        <v>0</v>
      </c>
      <c r="AS132" s="1422">
        <v>0</v>
      </c>
      <c r="AT132" s="1422">
        <v>0</v>
      </c>
      <c r="AU132" s="1422">
        <v>0</v>
      </c>
      <c r="AV132" s="1422">
        <v>0</v>
      </c>
      <c r="AW132" s="1422">
        <v>0</v>
      </c>
      <c r="AX132" s="1422">
        <v>0</v>
      </c>
      <c r="AY132" s="1420">
        <v>4052449.66</v>
      </c>
      <c r="AZ132" s="1420">
        <v>3924932.45</v>
      </c>
      <c r="BA132" s="1422">
        <v>0</v>
      </c>
      <c r="BB132" s="1422">
        <v>0</v>
      </c>
      <c r="BC132" s="1422">
        <v>22885</v>
      </c>
      <c r="BD132" s="1422">
        <v>22959</v>
      </c>
      <c r="BE132" s="1420">
        <v>6228.75</v>
      </c>
      <c r="BF132" s="1422">
        <v>5000</v>
      </c>
      <c r="BG132" s="1422">
        <v>150</v>
      </c>
      <c r="BH132" s="1422">
        <v>0</v>
      </c>
      <c r="BI132" s="1422">
        <v>7963</v>
      </c>
      <c r="BJ132" s="1420">
        <v>3730.5</v>
      </c>
      <c r="BK132" s="1422">
        <v>0</v>
      </c>
      <c r="BL132" s="1422">
        <v>0</v>
      </c>
      <c r="BM132" s="1422">
        <v>185008</v>
      </c>
      <c r="BN132" s="1422">
        <v>187726</v>
      </c>
      <c r="BO132" s="1420">
        <v>29671.74</v>
      </c>
      <c r="BP132" s="1422">
        <v>0</v>
      </c>
      <c r="BQ132" s="1422">
        <v>0</v>
      </c>
      <c r="BR132" s="1422">
        <v>0</v>
      </c>
      <c r="BS132" s="1422">
        <v>0</v>
      </c>
      <c r="BT132" s="1422">
        <v>2000</v>
      </c>
      <c r="BU132" s="1422">
        <v>0</v>
      </c>
      <c r="BV132" s="1422">
        <v>0</v>
      </c>
      <c r="BW132" s="1422">
        <v>0</v>
      </c>
      <c r="BX132" s="1422">
        <v>0</v>
      </c>
      <c r="BY132" s="1422">
        <v>0</v>
      </c>
      <c r="BZ132" s="1422">
        <v>0</v>
      </c>
      <c r="CA132" s="1420">
        <v>83976.95</v>
      </c>
      <c r="CB132" s="1422">
        <v>41775</v>
      </c>
      <c r="CC132" s="1420">
        <v>335883.44</v>
      </c>
      <c r="CD132" s="1420">
        <v>263190.5</v>
      </c>
      <c r="CE132" s="1420">
        <v>705607.17</v>
      </c>
      <c r="CF132" s="1420">
        <v>673509.16</v>
      </c>
      <c r="CG132" s="1422">
        <v>549185</v>
      </c>
      <c r="CH132" s="1422">
        <v>0</v>
      </c>
      <c r="CI132" s="1422">
        <v>0</v>
      </c>
      <c r="CJ132" s="1422">
        <v>0</v>
      </c>
      <c r="CK132" s="1422">
        <v>0</v>
      </c>
      <c r="CL132" s="1422">
        <v>0</v>
      </c>
      <c r="CM132" s="1422">
        <v>0</v>
      </c>
      <c r="CN132" s="1422">
        <v>0</v>
      </c>
      <c r="CO132" s="1420">
        <v>11454.55</v>
      </c>
      <c r="CP132" s="1422">
        <v>0</v>
      </c>
      <c r="CQ132" s="1422">
        <v>0</v>
      </c>
      <c r="CR132" s="1422">
        <v>0</v>
      </c>
      <c r="CS132" s="1420">
        <v>560639.55000000005</v>
      </c>
      <c r="CT132" s="1422">
        <v>0</v>
      </c>
      <c r="CU132" s="1420">
        <v>5654579.8200000003</v>
      </c>
      <c r="CV132" s="1420">
        <v>4861632.1100000003</v>
      </c>
      <c r="CW132" s="1420">
        <v>1918221.5</v>
      </c>
      <c r="CX132" s="1420">
        <v>1756007.49</v>
      </c>
      <c r="CY132" s="1420">
        <v>257082.97</v>
      </c>
      <c r="CZ132" s="1420">
        <v>271560.90999999997</v>
      </c>
      <c r="DA132" s="1420">
        <v>139055.1</v>
      </c>
      <c r="DB132" s="1420">
        <v>146698.41</v>
      </c>
      <c r="DC132" s="1422">
        <v>0</v>
      </c>
      <c r="DD132" s="1422">
        <v>0</v>
      </c>
      <c r="DE132" s="1420">
        <v>61669.29</v>
      </c>
      <c r="DF132" s="1422">
        <v>96319</v>
      </c>
      <c r="DG132" s="1420">
        <v>63264.31</v>
      </c>
      <c r="DH132" s="1420">
        <v>59300.959999999999</v>
      </c>
      <c r="DI132" s="1420">
        <v>2439293.17</v>
      </c>
      <c r="DJ132" s="1420">
        <v>2329886.77</v>
      </c>
      <c r="DK132" s="1420">
        <v>233385.84</v>
      </c>
      <c r="DL132" s="1422">
        <v>218651</v>
      </c>
      <c r="DM132" s="1420">
        <v>44650.62</v>
      </c>
      <c r="DN132" s="1420">
        <v>51055.83</v>
      </c>
      <c r="DO132" s="1420">
        <v>614375.21</v>
      </c>
      <c r="DP132" s="1420">
        <v>569133.66</v>
      </c>
      <c r="DQ132" s="1420">
        <v>278595.31</v>
      </c>
      <c r="DR132" s="1420">
        <v>208339.42</v>
      </c>
      <c r="DS132" s="1422">
        <v>0</v>
      </c>
      <c r="DT132" s="1422">
        <v>0</v>
      </c>
      <c r="DU132" s="1420">
        <v>1171006.98</v>
      </c>
      <c r="DV132" s="1420">
        <v>1047179.91</v>
      </c>
      <c r="DW132" s="1420">
        <v>268518.34000000003</v>
      </c>
      <c r="DX132" s="1422">
        <v>303374</v>
      </c>
      <c r="DY132" s="1420">
        <v>480940.19</v>
      </c>
      <c r="DZ132" s="1420">
        <v>355166.15</v>
      </c>
      <c r="EA132" s="1420">
        <v>232756.17</v>
      </c>
      <c r="EB132" s="1420">
        <v>233516.22</v>
      </c>
      <c r="EC132" s="1420">
        <v>982214.7</v>
      </c>
      <c r="ED132" s="1420">
        <v>892056.37</v>
      </c>
      <c r="EE132" s="1420">
        <v>369208.3</v>
      </c>
      <c r="EF132" s="1420">
        <v>270571.5</v>
      </c>
      <c r="EG132" s="1422">
        <v>0</v>
      </c>
      <c r="EH132" s="1422">
        <v>0</v>
      </c>
      <c r="EI132" s="1422">
        <v>0</v>
      </c>
      <c r="EJ132" s="1422">
        <v>500</v>
      </c>
      <c r="EK132" s="1422">
        <v>0</v>
      </c>
      <c r="EL132" s="1422">
        <v>0</v>
      </c>
      <c r="EM132" s="1420">
        <v>369208.3</v>
      </c>
      <c r="EN132" s="1420">
        <v>271071.5</v>
      </c>
      <c r="EO132" s="1420">
        <v>620682.5</v>
      </c>
      <c r="EP132" s="1422">
        <v>318624</v>
      </c>
      <c r="EQ132" s="1420">
        <v>255680.49</v>
      </c>
      <c r="ER132" s="1422">
        <v>298583</v>
      </c>
      <c r="ES132" s="1422">
        <v>20040</v>
      </c>
      <c r="ET132" s="1422">
        <v>0</v>
      </c>
      <c r="EU132" s="1420">
        <v>5858126.1399999997</v>
      </c>
      <c r="EV132" s="1420">
        <v>5157401.55</v>
      </c>
      <c r="EW132" s="1420">
        <v>793206.38</v>
      </c>
      <c r="EX132" s="1422">
        <v>351693</v>
      </c>
      <c r="EY132" s="1420">
        <v>255680.49</v>
      </c>
      <c r="EZ132" s="1422">
        <v>298583</v>
      </c>
      <c r="FA132" s="1420">
        <v>4809239.2699999996</v>
      </c>
      <c r="FB132" s="1420">
        <v>4507125.55</v>
      </c>
      <c r="FC132" s="1420">
        <v>224064.34</v>
      </c>
      <c r="FD132" s="1439"/>
      <c r="FE132" s="1420">
        <v>4585174.93</v>
      </c>
      <c r="FF132" s="1439"/>
      <c r="FG132" s="1422">
        <v>8802</v>
      </c>
      <c r="FH132" s="1439"/>
      <c r="FI132" s="1420">
        <v>39.130000000000003</v>
      </c>
      <c r="FJ132" s="1439"/>
      <c r="FK132" s="1422">
        <v>42508</v>
      </c>
      <c r="FL132" s="1439"/>
      <c r="FM132" s="1420">
        <v>43.5</v>
      </c>
      <c r="FN132" s="1439"/>
      <c r="FO132" s="1422">
        <v>45066</v>
      </c>
      <c r="FP132" s="1439"/>
      <c r="FQ132" s="1420">
        <v>467125.78</v>
      </c>
      <c r="FR132" s="1439"/>
      <c r="FS132" s="1422">
        <v>0</v>
      </c>
      <c r="FT132" s="1439"/>
      <c r="FU132" s="1422">
        <v>0</v>
      </c>
      <c r="FV132" s="1439"/>
      <c r="FW132" s="1420">
        <v>467125.78</v>
      </c>
      <c r="FX132" s="1439"/>
      <c r="FY132" s="1420">
        <v>624703.41</v>
      </c>
      <c r="FZ132" s="1439"/>
      <c r="GA132" s="1422">
        <v>0</v>
      </c>
      <c r="GB132" s="1439"/>
    </row>
    <row r="133" spans="1:184" ht="12.75" customHeight="1" thickBot="1">
      <c r="A133" s="1418" t="s">
        <v>316</v>
      </c>
      <c r="B133" s="1418" t="s">
        <v>317</v>
      </c>
      <c r="C133" s="1420">
        <v>203.28</v>
      </c>
      <c r="D133" s="1439"/>
      <c r="E133" s="1420">
        <v>1287.8499999999999</v>
      </c>
      <c r="F133" s="1439"/>
      <c r="G133" s="1421">
        <v>-0.08</v>
      </c>
      <c r="H133" s="1439"/>
      <c r="I133" s="1420">
        <v>1361.14</v>
      </c>
      <c r="J133" s="1439"/>
      <c r="K133" s="1420">
        <v>1403.55</v>
      </c>
      <c r="L133" s="1439"/>
      <c r="M133" s="1422">
        <v>89913893</v>
      </c>
      <c r="N133" s="1439"/>
      <c r="O133" s="1422">
        <v>25</v>
      </c>
      <c r="P133" s="1439"/>
      <c r="Q133" s="1422">
        <v>25</v>
      </c>
      <c r="R133" s="1439"/>
      <c r="S133" s="1422">
        <v>0</v>
      </c>
      <c r="T133" s="1439"/>
      <c r="U133" s="1422">
        <v>0</v>
      </c>
      <c r="V133" s="1439"/>
      <c r="W133" s="1420">
        <v>15.2</v>
      </c>
      <c r="X133" s="1439"/>
      <c r="Y133" s="1420">
        <v>40.200000000000003</v>
      </c>
      <c r="Z133" s="1439"/>
      <c r="AA133" s="1420">
        <v>13798386.390000001</v>
      </c>
      <c r="AB133" s="1455"/>
      <c r="AC133" s="1424">
        <v>3485985.17</v>
      </c>
      <c r="AD133" s="1420">
        <v>2961458.09</v>
      </c>
      <c r="AE133" s="1420">
        <v>567773.49</v>
      </c>
      <c r="AF133" s="1420">
        <v>604830.11</v>
      </c>
      <c r="AG133" s="1420">
        <v>4314.08</v>
      </c>
      <c r="AH133" s="1456">
        <v>4314</v>
      </c>
      <c r="AI133" s="1428">
        <v>6095439</v>
      </c>
      <c r="AJ133" s="1422">
        <v>6110165</v>
      </c>
      <c r="AK133" s="1422">
        <v>95212</v>
      </c>
      <c r="AL133" s="1422">
        <v>95212</v>
      </c>
      <c r="AM133" s="1422">
        <v>0</v>
      </c>
      <c r="AN133" s="1422">
        <v>0</v>
      </c>
      <c r="AO133" s="1422">
        <v>114166</v>
      </c>
      <c r="AP133" s="1422">
        <v>119562</v>
      </c>
      <c r="AQ133" s="1422">
        <v>0</v>
      </c>
      <c r="AR133" s="1422">
        <v>0</v>
      </c>
      <c r="AS133" s="1422">
        <v>0</v>
      </c>
      <c r="AT133" s="1422">
        <v>0</v>
      </c>
      <c r="AU133" s="1422">
        <v>0</v>
      </c>
      <c r="AV133" s="1422">
        <v>0</v>
      </c>
      <c r="AW133" s="1422">
        <v>0</v>
      </c>
      <c r="AX133" s="1422">
        <v>44115</v>
      </c>
      <c r="AY133" s="1420">
        <v>10362889.74</v>
      </c>
      <c r="AZ133" s="1420">
        <v>9939656.1999999993</v>
      </c>
      <c r="BA133" s="1422">
        <v>0</v>
      </c>
      <c r="BB133" s="1422">
        <v>0</v>
      </c>
      <c r="BC133" s="1422">
        <v>58051</v>
      </c>
      <c r="BD133" s="1422">
        <v>57833</v>
      </c>
      <c r="BE133" s="1420">
        <v>6133.53</v>
      </c>
      <c r="BF133" s="1422">
        <v>3358</v>
      </c>
      <c r="BG133" s="1422">
        <v>1450</v>
      </c>
      <c r="BH133" s="1422">
        <v>1650</v>
      </c>
      <c r="BI133" s="1422">
        <v>70412</v>
      </c>
      <c r="BJ133" s="1422">
        <v>70412</v>
      </c>
      <c r="BK133" s="1422">
        <v>4688</v>
      </c>
      <c r="BL133" s="1422">
        <v>4688</v>
      </c>
      <c r="BM133" s="1422">
        <v>446400</v>
      </c>
      <c r="BN133" s="1422">
        <v>446292</v>
      </c>
      <c r="BO133" s="1420">
        <v>30411.68</v>
      </c>
      <c r="BP133" s="1420">
        <v>73473.08</v>
      </c>
      <c r="BQ133" s="1420">
        <v>33168.550000000003</v>
      </c>
      <c r="BR133" s="1422">
        <v>6500</v>
      </c>
      <c r="BS133" s="1422">
        <v>0</v>
      </c>
      <c r="BT133" s="1422">
        <v>0</v>
      </c>
      <c r="BU133" s="1422">
        <v>0</v>
      </c>
      <c r="BV133" s="1422">
        <v>0</v>
      </c>
      <c r="BW133" s="1422">
        <v>0</v>
      </c>
      <c r="BX133" s="1422">
        <v>0</v>
      </c>
      <c r="BY133" s="1422">
        <v>0</v>
      </c>
      <c r="BZ133" s="1422">
        <v>0</v>
      </c>
      <c r="CA133" s="1422">
        <v>145248</v>
      </c>
      <c r="CB133" s="1422">
        <v>146808</v>
      </c>
      <c r="CC133" s="1420">
        <v>795962.76</v>
      </c>
      <c r="CD133" s="1420">
        <v>811014.08</v>
      </c>
      <c r="CE133" s="1420">
        <v>2081626.86</v>
      </c>
      <c r="CF133" s="1420">
        <v>1954373.52</v>
      </c>
      <c r="CG133" s="1422">
        <v>0</v>
      </c>
      <c r="CH133" s="1422">
        <v>28400</v>
      </c>
      <c r="CI133" s="1422">
        <v>0</v>
      </c>
      <c r="CJ133" s="1422">
        <v>0</v>
      </c>
      <c r="CK133" s="1422">
        <v>0</v>
      </c>
      <c r="CL133" s="1422">
        <v>0</v>
      </c>
      <c r="CM133" s="1422">
        <v>0</v>
      </c>
      <c r="CN133" s="1422">
        <v>0</v>
      </c>
      <c r="CO133" s="1422">
        <v>0</v>
      </c>
      <c r="CP133" s="1422">
        <v>0</v>
      </c>
      <c r="CQ133" s="1420">
        <v>27375.55</v>
      </c>
      <c r="CR133" s="1422">
        <v>0</v>
      </c>
      <c r="CS133" s="1420">
        <v>27375.55</v>
      </c>
      <c r="CT133" s="1422">
        <v>28400</v>
      </c>
      <c r="CU133" s="1420">
        <v>13267854.91</v>
      </c>
      <c r="CV133" s="1420">
        <v>12733443.800000001</v>
      </c>
      <c r="CW133" s="1420">
        <v>4926443.41</v>
      </c>
      <c r="CX133" s="1420">
        <v>5051466.92</v>
      </c>
      <c r="CY133" s="1420">
        <v>789297.68</v>
      </c>
      <c r="CZ133" s="1420">
        <v>995959.46</v>
      </c>
      <c r="DA133" s="1420">
        <v>400975.47</v>
      </c>
      <c r="DB133" s="1420">
        <v>382752.75</v>
      </c>
      <c r="DC133" s="1422">
        <v>0</v>
      </c>
      <c r="DD133" s="1422">
        <v>0</v>
      </c>
      <c r="DE133" s="1420">
        <v>494529.11</v>
      </c>
      <c r="DF133" s="1420">
        <v>516634.96</v>
      </c>
      <c r="DG133" s="1420">
        <v>264968.65000000002</v>
      </c>
      <c r="DH133" s="1420">
        <v>276853.24</v>
      </c>
      <c r="DI133" s="1420">
        <v>6876214.3200000003</v>
      </c>
      <c r="DJ133" s="1420">
        <v>7223667.3300000001</v>
      </c>
      <c r="DK133" s="1420">
        <v>388953.33</v>
      </c>
      <c r="DL133" s="1420">
        <v>277688.26</v>
      </c>
      <c r="DM133" s="1420">
        <v>295003.78000000003</v>
      </c>
      <c r="DN133" s="1420">
        <v>339394.09</v>
      </c>
      <c r="DO133" s="1420">
        <v>1213267.1100000001</v>
      </c>
      <c r="DP133" s="1420">
        <v>1062162.01</v>
      </c>
      <c r="DQ133" s="1420">
        <v>524324.52</v>
      </c>
      <c r="DR133" s="1420">
        <v>480101.45</v>
      </c>
      <c r="DS133" s="1420">
        <v>35518.18</v>
      </c>
      <c r="DT133" s="1422">
        <v>14000</v>
      </c>
      <c r="DU133" s="1420">
        <v>2457066.92</v>
      </c>
      <c r="DV133" s="1420">
        <v>2173345.81</v>
      </c>
      <c r="DW133" s="1420">
        <v>470023.69</v>
      </c>
      <c r="DX133" s="1420">
        <v>485838.89</v>
      </c>
      <c r="DY133" s="1420">
        <v>641509.27</v>
      </c>
      <c r="DZ133" s="1420">
        <v>761108.81</v>
      </c>
      <c r="EA133" s="1420">
        <v>678483.98</v>
      </c>
      <c r="EB133" s="1420">
        <v>687196.23</v>
      </c>
      <c r="EC133" s="1420">
        <v>1790016.94</v>
      </c>
      <c r="ED133" s="1420">
        <v>1934143.93</v>
      </c>
      <c r="EE133" s="1420">
        <v>833343.39</v>
      </c>
      <c r="EF133" s="1420">
        <v>812863.59</v>
      </c>
      <c r="EG133" s="1420">
        <v>90856.44</v>
      </c>
      <c r="EH133" s="1422">
        <v>0</v>
      </c>
      <c r="EI133" s="1420">
        <v>8512.66</v>
      </c>
      <c r="EJ133" s="1420">
        <v>1658.28</v>
      </c>
      <c r="EK133" s="1422">
        <v>0</v>
      </c>
      <c r="EL133" s="1422">
        <v>0</v>
      </c>
      <c r="EM133" s="1420">
        <v>932712.49</v>
      </c>
      <c r="EN133" s="1420">
        <v>814521.87</v>
      </c>
      <c r="EO133" s="1420">
        <v>41118.75</v>
      </c>
      <c r="EP133" s="1420">
        <v>457233.99</v>
      </c>
      <c r="EQ133" s="1420">
        <v>961519.28</v>
      </c>
      <c r="ER133" s="1420">
        <v>912086.2</v>
      </c>
      <c r="ES133" s="1422">
        <v>0</v>
      </c>
      <c r="ET133" s="1422">
        <v>0</v>
      </c>
      <c r="EU133" s="1420">
        <v>13058648.699999999</v>
      </c>
      <c r="EV133" s="1420">
        <v>13514999.130000001</v>
      </c>
      <c r="EW133" s="1420">
        <v>337547.75</v>
      </c>
      <c r="EX133" s="1420">
        <v>705907.15</v>
      </c>
      <c r="EY133" s="1420">
        <v>961519.28</v>
      </c>
      <c r="EZ133" s="1420">
        <v>912086.2</v>
      </c>
      <c r="FA133" s="1420">
        <v>11759581.67</v>
      </c>
      <c r="FB133" s="1420">
        <v>11897005.779999999</v>
      </c>
      <c r="FC133" s="1420">
        <v>464391.11</v>
      </c>
      <c r="FD133" s="1439"/>
      <c r="FE133" s="1420">
        <v>11295190.560000001</v>
      </c>
      <c r="FF133" s="1439"/>
      <c r="FG133" s="1422">
        <v>8770</v>
      </c>
      <c r="FH133" s="1439"/>
      <c r="FI133" s="1420">
        <v>105.75</v>
      </c>
      <c r="FJ133" s="1439"/>
      <c r="FK133" s="1422">
        <v>41484</v>
      </c>
      <c r="FL133" s="1439"/>
      <c r="FM133" s="1420">
        <v>113.3</v>
      </c>
      <c r="FN133" s="1439"/>
      <c r="FO133" s="1422">
        <v>43419</v>
      </c>
      <c r="FP133" s="1439"/>
      <c r="FQ133" s="1420">
        <v>2646914.27</v>
      </c>
      <c r="FR133" s="1439"/>
      <c r="FS133" s="1420">
        <v>147897.75</v>
      </c>
      <c r="FT133" s="1439"/>
      <c r="FU133" s="1422">
        <v>0</v>
      </c>
      <c r="FV133" s="1439"/>
      <c r="FW133" s="1420">
        <v>2499016.52</v>
      </c>
      <c r="FX133" s="1439"/>
      <c r="FY133" s="1420">
        <v>835008.96</v>
      </c>
      <c r="FZ133" s="1439"/>
      <c r="GA133" s="1422">
        <v>0</v>
      </c>
      <c r="GB133" s="1439"/>
    </row>
    <row r="134" spans="1:184" ht="12.75" customHeight="1" thickBot="1">
      <c r="A134" s="1418" t="s">
        <v>318</v>
      </c>
      <c r="B134" s="1418" t="s">
        <v>319</v>
      </c>
      <c r="C134" s="1420">
        <v>120.81</v>
      </c>
      <c r="D134" s="1439"/>
      <c r="E134" s="1420">
        <v>485.86</v>
      </c>
      <c r="F134" s="1439"/>
      <c r="G134" s="1421">
        <v>0</v>
      </c>
      <c r="H134" s="1439"/>
      <c r="I134" s="1420">
        <v>516.47</v>
      </c>
      <c r="J134" s="1439"/>
      <c r="K134" s="1420">
        <v>543.04999999999995</v>
      </c>
      <c r="L134" s="1439"/>
      <c r="M134" s="1422">
        <v>33982515</v>
      </c>
      <c r="N134" s="1439"/>
      <c r="O134" s="1422">
        <v>25</v>
      </c>
      <c r="P134" s="1439"/>
      <c r="Q134" s="1422">
        <v>25</v>
      </c>
      <c r="R134" s="1439"/>
      <c r="S134" s="1422">
        <v>0</v>
      </c>
      <c r="T134" s="1439"/>
      <c r="U134" s="1422">
        <v>0</v>
      </c>
      <c r="V134" s="1439"/>
      <c r="W134" s="1422">
        <v>14</v>
      </c>
      <c r="X134" s="1439"/>
      <c r="Y134" s="1422">
        <v>39</v>
      </c>
      <c r="Z134" s="1439"/>
      <c r="AA134" s="1420">
        <v>6488662.8600000003</v>
      </c>
      <c r="AB134" s="1455"/>
      <c r="AC134" s="1424">
        <v>1215116.46</v>
      </c>
      <c r="AD134" s="1422">
        <v>1280728</v>
      </c>
      <c r="AE134" s="1420">
        <v>355445.63</v>
      </c>
      <c r="AF134" s="1422">
        <v>233345</v>
      </c>
      <c r="AG134" s="1420">
        <v>677.2</v>
      </c>
      <c r="AH134" s="1456">
        <v>0</v>
      </c>
      <c r="AI134" s="1428">
        <v>2415752</v>
      </c>
      <c r="AJ134" s="1422">
        <v>2281717</v>
      </c>
      <c r="AK134" s="1422">
        <v>42460</v>
      </c>
      <c r="AL134" s="1422">
        <v>0</v>
      </c>
      <c r="AM134" s="1422">
        <v>0</v>
      </c>
      <c r="AN134" s="1422">
        <v>0</v>
      </c>
      <c r="AO134" s="1422">
        <v>25538</v>
      </c>
      <c r="AP134" s="1422">
        <v>77414</v>
      </c>
      <c r="AQ134" s="1422">
        <v>0</v>
      </c>
      <c r="AR134" s="1422">
        <v>0</v>
      </c>
      <c r="AS134" s="1422">
        <v>0</v>
      </c>
      <c r="AT134" s="1422">
        <v>0</v>
      </c>
      <c r="AU134" s="1422">
        <v>33943</v>
      </c>
      <c r="AV134" s="1422">
        <v>27154</v>
      </c>
      <c r="AW134" s="1422">
        <v>0</v>
      </c>
      <c r="AX134" s="1422">
        <v>0</v>
      </c>
      <c r="AY134" s="1420">
        <v>4088932.29</v>
      </c>
      <c r="AZ134" s="1422">
        <v>3900358</v>
      </c>
      <c r="BA134" s="1422">
        <v>0</v>
      </c>
      <c r="BB134" s="1422">
        <v>0</v>
      </c>
      <c r="BC134" s="1422">
        <v>22461</v>
      </c>
      <c r="BD134" s="1422">
        <v>21946</v>
      </c>
      <c r="BE134" s="1420">
        <v>1185.27</v>
      </c>
      <c r="BF134" s="1422">
        <v>2200</v>
      </c>
      <c r="BG134" s="1422">
        <v>250</v>
      </c>
      <c r="BH134" s="1422">
        <v>200</v>
      </c>
      <c r="BI134" s="1422">
        <v>54729</v>
      </c>
      <c r="BJ134" s="1422">
        <v>87542</v>
      </c>
      <c r="BK134" s="1422">
        <v>2637</v>
      </c>
      <c r="BL134" s="1422">
        <v>2691</v>
      </c>
      <c r="BM134" s="1422">
        <v>383904</v>
      </c>
      <c r="BN134" s="1422">
        <v>406824</v>
      </c>
      <c r="BO134" s="1420">
        <v>2224.6999999999998</v>
      </c>
      <c r="BP134" s="1422">
        <v>0</v>
      </c>
      <c r="BQ134" s="1420">
        <v>4062.52</v>
      </c>
      <c r="BR134" s="1422">
        <v>1600</v>
      </c>
      <c r="BS134" s="1420">
        <v>2642.27</v>
      </c>
      <c r="BT134" s="1422">
        <v>2500</v>
      </c>
      <c r="BU134" s="1422">
        <v>0</v>
      </c>
      <c r="BV134" s="1422">
        <v>0</v>
      </c>
      <c r="BW134" s="1422">
        <v>221616</v>
      </c>
      <c r="BX134" s="1422">
        <v>243000</v>
      </c>
      <c r="BY134" s="1422">
        <v>0</v>
      </c>
      <c r="BZ134" s="1422">
        <v>0</v>
      </c>
      <c r="CA134" s="1422">
        <v>179154</v>
      </c>
      <c r="CB134" s="1422">
        <v>50001</v>
      </c>
      <c r="CC134" s="1420">
        <v>874865.76</v>
      </c>
      <c r="CD134" s="1422">
        <v>818504</v>
      </c>
      <c r="CE134" s="1420">
        <v>870912.58</v>
      </c>
      <c r="CF134" s="1422">
        <v>815055</v>
      </c>
      <c r="CG134" s="1420">
        <v>166822.5</v>
      </c>
      <c r="CH134" s="1422">
        <v>0</v>
      </c>
      <c r="CI134" s="1422">
        <v>0</v>
      </c>
      <c r="CJ134" s="1422">
        <v>0</v>
      </c>
      <c r="CK134" s="1422">
        <v>5600</v>
      </c>
      <c r="CL134" s="1422">
        <v>5400</v>
      </c>
      <c r="CM134" s="1422">
        <v>0</v>
      </c>
      <c r="CN134" s="1422">
        <v>0</v>
      </c>
      <c r="CO134" s="1420">
        <v>2769.34</v>
      </c>
      <c r="CP134" s="1422">
        <v>5000</v>
      </c>
      <c r="CQ134" s="1422">
        <v>0</v>
      </c>
      <c r="CR134" s="1422">
        <v>0</v>
      </c>
      <c r="CS134" s="1420">
        <v>175191.84</v>
      </c>
      <c r="CT134" s="1422">
        <v>10400</v>
      </c>
      <c r="CU134" s="1420">
        <v>6009902.4699999997</v>
      </c>
      <c r="CV134" s="1422">
        <v>5544317</v>
      </c>
      <c r="CW134" s="1420">
        <v>2249799.4900000002</v>
      </c>
      <c r="CX134" s="1420">
        <v>2156777.13</v>
      </c>
      <c r="CY134" s="1420">
        <v>237439.58</v>
      </c>
      <c r="CZ134" s="1420">
        <v>223312.19</v>
      </c>
      <c r="DA134" s="1420">
        <v>136229.99</v>
      </c>
      <c r="DB134" s="1420">
        <v>139318.37</v>
      </c>
      <c r="DC134" s="1422">
        <v>0</v>
      </c>
      <c r="DD134" s="1422">
        <v>0</v>
      </c>
      <c r="DE134" s="1420">
        <v>190685.42</v>
      </c>
      <c r="DF134" s="1420">
        <v>216056.94</v>
      </c>
      <c r="DG134" s="1420">
        <v>201643.53</v>
      </c>
      <c r="DH134" s="1420">
        <v>172170.5</v>
      </c>
      <c r="DI134" s="1420">
        <v>3015798.01</v>
      </c>
      <c r="DJ134" s="1420">
        <v>2907635.13</v>
      </c>
      <c r="DK134" s="1420">
        <v>128714.86</v>
      </c>
      <c r="DL134" s="1420">
        <v>125453.24</v>
      </c>
      <c r="DM134" s="1420">
        <v>145249.21</v>
      </c>
      <c r="DN134" s="1420">
        <v>130309.44</v>
      </c>
      <c r="DO134" s="1420">
        <v>532076.97</v>
      </c>
      <c r="DP134" s="1420">
        <v>566071.49</v>
      </c>
      <c r="DQ134" s="1420">
        <v>361118.92</v>
      </c>
      <c r="DR134" s="1420">
        <v>195745.37</v>
      </c>
      <c r="DS134" s="1420">
        <v>15415.38</v>
      </c>
      <c r="DT134" s="1422">
        <v>13500</v>
      </c>
      <c r="DU134" s="1420">
        <v>1182575.3400000001</v>
      </c>
      <c r="DV134" s="1420">
        <v>1031079.54</v>
      </c>
      <c r="DW134" s="1420">
        <v>297055.35999999999</v>
      </c>
      <c r="DX134" s="1420">
        <v>364802.69</v>
      </c>
      <c r="DY134" s="1420">
        <v>254980.11</v>
      </c>
      <c r="DZ134" s="1420">
        <v>257958.28</v>
      </c>
      <c r="EA134" s="1420">
        <v>183535.29</v>
      </c>
      <c r="EB134" s="1420">
        <v>180809.1</v>
      </c>
      <c r="EC134" s="1420">
        <v>735570.76</v>
      </c>
      <c r="ED134" s="1420">
        <v>803570.07</v>
      </c>
      <c r="EE134" s="1420">
        <v>374455.33</v>
      </c>
      <c r="EF134" s="1420">
        <v>352636.89</v>
      </c>
      <c r="EG134" s="1420">
        <v>13501.99</v>
      </c>
      <c r="EH134" s="1422">
        <v>14000</v>
      </c>
      <c r="EI134" s="1420">
        <v>63751.69</v>
      </c>
      <c r="EJ134" s="1420">
        <v>62453.05</v>
      </c>
      <c r="EK134" s="1422">
        <v>0</v>
      </c>
      <c r="EL134" s="1422">
        <v>0</v>
      </c>
      <c r="EM134" s="1420">
        <v>451709.01</v>
      </c>
      <c r="EN134" s="1420">
        <v>429089.94</v>
      </c>
      <c r="EO134" s="1420">
        <v>1874071.86</v>
      </c>
      <c r="EP134" s="1422">
        <v>94717</v>
      </c>
      <c r="EQ134" s="1420">
        <v>398116.65</v>
      </c>
      <c r="ER134" s="1420">
        <v>405789.76</v>
      </c>
      <c r="ES134" s="1422">
        <v>0</v>
      </c>
      <c r="ET134" s="1422">
        <v>0</v>
      </c>
      <c r="EU134" s="1420">
        <v>7657841.6299999999</v>
      </c>
      <c r="EV134" s="1420">
        <v>5671881.4400000004</v>
      </c>
      <c r="EW134" s="1420">
        <v>2055709.84</v>
      </c>
      <c r="EX134" s="1422">
        <v>160717</v>
      </c>
      <c r="EY134" s="1420">
        <v>398116.65</v>
      </c>
      <c r="EZ134" s="1420">
        <v>405789.76</v>
      </c>
      <c r="FA134" s="1420">
        <v>5204015.1399999997</v>
      </c>
      <c r="FB134" s="1420">
        <v>5105374.68</v>
      </c>
      <c r="FC134" s="1420">
        <v>456491.31</v>
      </c>
      <c r="FD134" s="1439"/>
      <c r="FE134" s="1420">
        <v>4747523.83</v>
      </c>
      <c r="FF134" s="1439"/>
      <c r="FG134" s="1422">
        <v>9771</v>
      </c>
      <c r="FH134" s="1439"/>
      <c r="FI134" s="1420">
        <v>44.2</v>
      </c>
      <c r="FJ134" s="1439"/>
      <c r="FK134" s="1422">
        <v>39443</v>
      </c>
      <c r="FL134" s="1439"/>
      <c r="FM134" s="1420">
        <v>48.24</v>
      </c>
      <c r="FN134" s="1439"/>
      <c r="FO134" s="1422">
        <v>41475</v>
      </c>
      <c r="FP134" s="1439"/>
      <c r="FQ134" s="1420">
        <v>482491.08</v>
      </c>
      <c r="FR134" s="1439"/>
      <c r="FS134" s="1420">
        <v>45700.73</v>
      </c>
      <c r="FT134" s="1439"/>
      <c r="FU134" s="1422">
        <v>0</v>
      </c>
      <c r="FV134" s="1439"/>
      <c r="FW134" s="1420">
        <v>436790.35</v>
      </c>
      <c r="FX134" s="1439"/>
      <c r="FY134" s="1420">
        <v>1074920.33</v>
      </c>
      <c r="FZ134" s="1439"/>
      <c r="GA134" s="1422">
        <v>0</v>
      </c>
      <c r="GB134" s="1439"/>
    </row>
    <row r="135" spans="1:184" ht="12.75" customHeight="1" thickBot="1">
      <c r="A135" s="1418" t="s">
        <v>320</v>
      </c>
      <c r="B135" s="1418" t="s">
        <v>321</v>
      </c>
      <c r="C135" s="1420">
        <v>228.29</v>
      </c>
      <c r="D135" s="1439"/>
      <c r="E135" s="1420">
        <v>1060.48</v>
      </c>
      <c r="F135" s="1439"/>
      <c r="G135" s="1421">
        <v>-0.03</v>
      </c>
      <c r="H135" s="1439"/>
      <c r="I135" s="1420">
        <v>1111.8699999999999</v>
      </c>
      <c r="J135" s="1439"/>
      <c r="K135" s="1420">
        <v>1118.94</v>
      </c>
      <c r="L135" s="1439"/>
      <c r="M135" s="1422">
        <v>75110940</v>
      </c>
      <c r="N135" s="1439"/>
      <c r="O135" s="1422">
        <v>25</v>
      </c>
      <c r="P135" s="1439"/>
      <c r="Q135" s="1422">
        <v>25</v>
      </c>
      <c r="R135" s="1439"/>
      <c r="S135" s="1422">
        <v>0</v>
      </c>
      <c r="T135" s="1439"/>
      <c r="U135" s="1422">
        <v>0</v>
      </c>
      <c r="V135" s="1439"/>
      <c r="W135" s="1422">
        <v>13</v>
      </c>
      <c r="X135" s="1439"/>
      <c r="Y135" s="1422">
        <v>38</v>
      </c>
      <c r="Z135" s="1439"/>
      <c r="AA135" s="1420">
        <v>10733894.210000001</v>
      </c>
      <c r="AB135" s="1455"/>
      <c r="AC135" s="1424">
        <v>2651246.7599999998</v>
      </c>
      <c r="AD135" s="1422">
        <v>2688500</v>
      </c>
      <c r="AE135" s="1420">
        <v>703284.32</v>
      </c>
      <c r="AF135" s="1422">
        <v>700344</v>
      </c>
      <c r="AG135" s="1420">
        <v>3550.73</v>
      </c>
      <c r="AH135" s="1456">
        <v>4000</v>
      </c>
      <c r="AI135" s="1428">
        <v>4828004</v>
      </c>
      <c r="AJ135" s="1422">
        <v>4904753</v>
      </c>
      <c r="AK135" s="1422">
        <v>72887</v>
      </c>
      <c r="AL135" s="1422">
        <v>30000</v>
      </c>
      <c r="AM135" s="1422">
        <v>0</v>
      </c>
      <c r="AN135" s="1422">
        <v>0</v>
      </c>
      <c r="AO135" s="1422">
        <v>23369</v>
      </c>
      <c r="AP135" s="1422">
        <v>4639</v>
      </c>
      <c r="AQ135" s="1422">
        <v>0</v>
      </c>
      <c r="AR135" s="1422">
        <v>0</v>
      </c>
      <c r="AS135" s="1422">
        <v>0</v>
      </c>
      <c r="AT135" s="1422">
        <v>0</v>
      </c>
      <c r="AU135" s="1422">
        <v>0</v>
      </c>
      <c r="AV135" s="1422">
        <v>0</v>
      </c>
      <c r="AW135" s="1422">
        <v>0</v>
      </c>
      <c r="AX135" s="1422">
        <v>0</v>
      </c>
      <c r="AY135" s="1420">
        <v>8282341.8099999996</v>
      </c>
      <c r="AZ135" s="1422">
        <v>8332236</v>
      </c>
      <c r="BA135" s="1422">
        <v>0</v>
      </c>
      <c r="BB135" s="1422">
        <v>0</v>
      </c>
      <c r="BC135" s="1422">
        <v>46279</v>
      </c>
      <c r="BD135" s="1422">
        <v>47357</v>
      </c>
      <c r="BE135" s="1422">
        <v>12595</v>
      </c>
      <c r="BF135" s="1422">
        <v>19500</v>
      </c>
      <c r="BG135" s="1422">
        <v>1450</v>
      </c>
      <c r="BH135" s="1422">
        <v>1000</v>
      </c>
      <c r="BI135" s="1422">
        <v>82885</v>
      </c>
      <c r="BJ135" s="1422">
        <v>60000</v>
      </c>
      <c r="BK135" s="1422">
        <v>9083</v>
      </c>
      <c r="BL135" s="1422">
        <v>10000</v>
      </c>
      <c r="BM135" s="1422">
        <v>332816</v>
      </c>
      <c r="BN135" s="1422">
        <v>340032</v>
      </c>
      <c r="BO135" s="1420">
        <v>13538.79</v>
      </c>
      <c r="BP135" s="1422">
        <v>8500</v>
      </c>
      <c r="BQ135" s="1422">
        <v>3250</v>
      </c>
      <c r="BR135" s="1422">
        <v>2437</v>
      </c>
      <c r="BS135" s="1420">
        <v>5048.04</v>
      </c>
      <c r="BT135" s="1422">
        <v>5000</v>
      </c>
      <c r="BU135" s="1422">
        <v>0</v>
      </c>
      <c r="BV135" s="1422">
        <v>0</v>
      </c>
      <c r="BW135" s="1420">
        <v>267784.59999999998</v>
      </c>
      <c r="BX135" s="1422">
        <v>247860</v>
      </c>
      <c r="BY135" s="1422">
        <v>0</v>
      </c>
      <c r="BZ135" s="1422">
        <v>0</v>
      </c>
      <c r="CA135" s="1420">
        <v>344648.33</v>
      </c>
      <c r="CB135" s="1422">
        <v>218000</v>
      </c>
      <c r="CC135" s="1420">
        <v>1119377.76</v>
      </c>
      <c r="CD135" s="1422">
        <v>959686</v>
      </c>
      <c r="CE135" s="1420">
        <v>2476833.39</v>
      </c>
      <c r="CF135" s="1422">
        <v>1498304</v>
      </c>
      <c r="CG135" s="1422">
        <v>0</v>
      </c>
      <c r="CH135" s="1422">
        <v>0</v>
      </c>
      <c r="CI135" s="1422">
        <v>0</v>
      </c>
      <c r="CJ135" s="1422">
        <v>0</v>
      </c>
      <c r="CK135" s="1422">
        <v>2571</v>
      </c>
      <c r="CL135" s="1422">
        <v>2500</v>
      </c>
      <c r="CM135" s="1422">
        <v>0</v>
      </c>
      <c r="CN135" s="1422">
        <v>0</v>
      </c>
      <c r="CO135" s="1422">
        <v>0</v>
      </c>
      <c r="CP135" s="1422">
        <v>13700</v>
      </c>
      <c r="CQ135" s="1422">
        <v>0</v>
      </c>
      <c r="CR135" s="1422">
        <v>0</v>
      </c>
      <c r="CS135" s="1422">
        <v>2571</v>
      </c>
      <c r="CT135" s="1422">
        <v>16200</v>
      </c>
      <c r="CU135" s="1420">
        <v>11881123.960000001</v>
      </c>
      <c r="CV135" s="1422">
        <v>10806426</v>
      </c>
      <c r="CW135" s="1420">
        <v>4521459.93</v>
      </c>
      <c r="CX135" s="1420">
        <v>4418317.9800000004</v>
      </c>
      <c r="CY135" s="1420">
        <v>556360.72</v>
      </c>
      <c r="CZ135" s="1420">
        <v>604407.54</v>
      </c>
      <c r="DA135" s="1420">
        <v>221990.03</v>
      </c>
      <c r="DB135" s="1420">
        <v>146266.57</v>
      </c>
      <c r="DC135" s="1422">
        <v>0</v>
      </c>
      <c r="DD135" s="1422">
        <v>0</v>
      </c>
      <c r="DE135" s="1420">
        <v>254274.4</v>
      </c>
      <c r="DF135" s="1420">
        <v>220776.87</v>
      </c>
      <c r="DG135" s="1420">
        <v>172358.09</v>
      </c>
      <c r="DH135" s="1420">
        <v>161997.32</v>
      </c>
      <c r="DI135" s="1420">
        <v>5726443.1699999999</v>
      </c>
      <c r="DJ135" s="1420">
        <v>5551766.2800000003</v>
      </c>
      <c r="DK135" s="1420">
        <v>285338.44</v>
      </c>
      <c r="DL135" s="1420">
        <v>274540.2</v>
      </c>
      <c r="DM135" s="1420">
        <v>173023.05</v>
      </c>
      <c r="DN135" s="1420">
        <v>177536.19</v>
      </c>
      <c r="DO135" s="1420">
        <v>1133278.5900000001</v>
      </c>
      <c r="DP135" s="1420">
        <v>1169097.21</v>
      </c>
      <c r="DQ135" s="1420">
        <v>399269.44</v>
      </c>
      <c r="DR135" s="1420">
        <v>403922.34</v>
      </c>
      <c r="DS135" s="1420">
        <v>42845.45</v>
      </c>
      <c r="DT135" s="1422">
        <v>48685</v>
      </c>
      <c r="DU135" s="1420">
        <v>2033754.97</v>
      </c>
      <c r="DV135" s="1420">
        <v>2073780.94</v>
      </c>
      <c r="DW135" s="1420">
        <v>610754.31000000006</v>
      </c>
      <c r="DX135" s="1420">
        <v>591653.62</v>
      </c>
      <c r="DY135" s="1420">
        <v>876713.43</v>
      </c>
      <c r="DZ135" s="1420">
        <v>926645.93</v>
      </c>
      <c r="EA135" s="1420">
        <v>469582.57</v>
      </c>
      <c r="EB135" s="1420">
        <v>476194.02</v>
      </c>
      <c r="EC135" s="1420">
        <v>1957050.31</v>
      </c>
      <c r="ED135" s="1420">
        <v>1994493.57</v>
      </c>
      <c r="EE135" s="1420">
        <v>635302.07999999996</v>
      </c>
      <c r="EF135" s="1420">
        <v>629931.31999999995</v>
      </c>
      <c r="EG135" s="1422">
        <v>0</v>
      </c>
      <c r="EH135" s="1422">
        <v>0</v>
      </c>
      <c r="EI135" s="1420">
        <v>154244.84</v>
      </c>
      <c r="EJ135" s="1420">
        <v>141567.67999999999</v>
      </c>
      <c r="EK135" s="1422">
        <v>0</v>
      </c>
      <c r="EL135" s="1422">
        <v>0</v>
      </c>
      <c r="EM135" s="1420">
        <v>789546.92</v>
      </c>
      <c r="EN135" s="1422">
        <v>771499</v>
      </c>
      <c r="EO135" s="1420">
        <v>916922.78</v>
      </c>
      <c r="EP135" s="1422">
        <v>70000</v>
      </c>
      <c r="EQ135" s="1420">
        <v>564314.17000000004</v>
      </c>
      <c r="ER135" s="1422">
        <v>551881</v>
      </c>
      <c r="ES135" s="1420">
        <v>2772.55</v>
      </c>
      <c r="ET135" s="1422">
        <v>0</v>
      </c>
      <c r="EU135" s="1420">
        <v>11990804.869999999</v>
      </c>
      <c r="EV135" s="1420">
        <v>11013420.789999999</v>
      </c>
      <c r="EW135" s="1420">
        <v>1172958.3</v>
      </c>
      <c r="EX135" s="1422">
        <v>303108</v>
      </c>
      <c r="EY135" s="1420">
        <v>564314.17000000004</v>
      </c>
      <c r="EZ135" s="1422">
        <v>551881</v>
      </c>
      <c r="FA135" s="1420">
        <v>10253532.4</v>
      </c>
      <c r="FB135" s="1420">
        <v>10158431.789999999</v>
      </c>
      <c r="FC135" s="1420">
        <v>995013.74</v>
      </c>
      <c r="FD135" s="1439"/>
      <c r="FE135" s="1420">
        <v>9258518.6600000001</v>
      </c>
      <c r="FF135" s="1439"/>
      <c r="FG135" s="1422">
        <v>8730</v>
      </c>
      <c r="FH135" s="1439"/>
      <c r="FI135" s="1420">
        <v>82.46</v>
      </c>
      <c r="FJ135" s="1439"/>
      <c r="FK135" s="1422">
        <v>41041</v>
      </c>
      <c r="FL135" s="1439"/>
      <c r="FM135" s="1420">
        <v>89.92</v>
      </c>
      <c r="FN135" s="1439"/>
      <c r="FO135" s="1422">
        <v>43097</v>
      </c>
      <c r="FP135" s="1439"/>
      <c r="FQ135" s="1420">
        <v>1498065.13</v>
      </c>
      <c r="FR135" s="1439"/>
      <c r="FS135" s="1420">
        <v>38447.25</v>
      </c>
      <c r="FT135" s="1439"/>
      <c r="FU135" s="1422">
        <v>0</v>
      </c>
      <c r="FV135" s="1439"/>
      <c r="FW135" s="1420">
        <v>1459617.88</v>
      </c>
      <c r="FX135" s="1439"/>
      <c r="FY135" s="1420">
        <v>373964.54</v>
      </c>
      <c r="FZ135" s="1439"/>
      <c r="GA135" s="1422">
        <v>0</v>
      </c>
      <c r="GB135" s="1439"/>
    </row>
    <row r="136" spans="1:184" ht="12.75" customHeight="1" thickBot="1">
      <c r="A136" s="1418" t="s">
        <v>322</v>
      </c>
      <c r="B136" s="1418" t="s">
        <v>323</v>
      </c>
      <c r="C136" s="1420">
        <v>78.77</v>
      </c>
      <c r="D136" s="1439"/>
      <c r="E136" s="1420">
        <v>389.25</v>
      </c>
      <c r="F136" s="1439"/>
      <c r="G136" s="1421">
        <v>0.03</v>
      </c>
      <c r="H136" s="1439"/>
      <c r="I136" s="1420">
        <v>405.24</v>
      </c>
      <c r="J136" s="1439"/>
      <c r="K136" s="1420">
        <v>409.84</v>
      </c>
      <c r="L136" s="1439"/>
      <c r="M136" s="1422">
        <v>33804816</v>
      </c>
      <c r="N136" s="1439"/>
      <c r="O136" s="1422">
        <v>25</v>
      </c>
      <c r="P136" s="1439"/>
      <c r="Q136" s="1422">
        <v>25</v>
      </c>
      <c r="R136" s="1439"/>
      <c r="S136" s="1422">
        <v>0</v>
      </c>
      <c r="T136" s="1439"/>
      <c r="U136" s="1422">
        <v>0</v>
      </c>
      <c r="V136" s="1439"/>
      <c r="W136" s="1422">
        <v>13</v>
      </c>
      <c r="X136" s="1439"/>
      <c r="Y136" s="1422">
        <v>38</v>
      </c>
      <c r="Z136" s="1439"/>
      <c r="AA136" s="1420">
        <v>2765156.16</v>
      </c>
      <c r="AB136" s="1455"/>
      <c r="AC136" s="1424">
        <v>1182689.6499999999</v>
      </c>
      <c r="AD136" s="1422">
        <v>1175618</v>
      </c>
      <c r="AE136" s="1420">
        <v>407029.47</v>
      </c>
      <c r="AF136" s="1422">
        <v>332936</v>
      </c>
      <c r="AG136" s="1420">
        <v>1513.21</v>
      </c>
      <c r="AH136" s="1456">
        <v>500</v>
      </c>
      <c r="AI136" s="1428">
        <v>1670334</v>
      </c>
      <c r="AJ136" s="1422">
        <v>1643358</v>
      </c>
      <c r="AK136" s="1422">
        <v>16041</v>
      </c>
      <c r="AL136" s="1422">
        <v>0</v>
      </c>
      <c r="AM136" s="1422">
        <v>28492</v>
      </c>
      <c r="AN136" s="1422">
        <v>0</v>
      </c>
      <c r="AO136" s="1422">
        <v>0</v>
      </c>
      <c r="AP136" s="1422">
        <v>18125</v>
      </c>
      <c r="AQ136" s="1422">
        <v>0</v>
      </c>
      <c r="AR136" s="1422">
        <v>0</v>
      </c>
      <c r="AS136" s="1422">
        <v>0</v>
      </c>
      <c r="AT136" s="1422">
        <v>0</v>
      </c>
      <c r="AU136" s="1422">
        <v>0</v>
      </c>
      <c r="AV136" s="1422">
        <v>0</v>
      </c>
      <c r="AW136" s="1422">
        <v>0</v>
      </c>
      <c r="AX136" s="1422">
        <v>0</v>
      </c>
      <c r="AY136" s="1420">
        <v>3306099.33</v>
      </c>
      <c r="AZ136" s="1422">
        <v>3170537</v>
      </c>
      <c r="BA136" s="1422">
        <v>0</v>
      </c>
      <c r="BB136" s="1422">
        <v>0</v>
      </c>
      <c r="BC136" s="1422">
        <v>16951</v>
      </c>
      <c r="BD136" s="1422">
        <v>17119</v>
      </c>
      <c r="BE136" s="1420">
        <v>17363.400000000001</v>
      </c>
      <c r="BF136" s="1422">
        <v>3600</v>
      </c>
      <c r="BG136" s="1422">
        <v>1802</v>
      </c>
      <c r="BH136" s="1422">
        <v>0</v>
      </c>
      <c r="BI136" s="1422">
        <v>42743</v>
      </c>
      <c r="BJ136" s="1422">
        <v>41616</v>
      </c>
      <c r="BK136" s="1422">
        <v>1758</v>
      </c>
      <c r="BL136" s="1422">
        <v>0</v>
      </c>
      <c r="BM136" s="1422">
        <v>98704</v>
      </c>
      <c r="BN136" s="1422">
        <v>104236</v>
      </c>
      <c r="BO136" s="1422">
        <v>0</v>
      </c>
      <c r="BP136" s="1422">
        <v>0</v>
      </c>
      <c r="BQ136" s="1422">
        <v>1625</v>
      </c>
      <c r="BR136" s="1422">
        <v>0</v>
      </c>
      <c r="BS136" s="1420">
        <v>1639.76</v>
      </c>
      <c r="BT136" s="1422">
        <v>1500</v>
      </c>
      <c r="BU136" s="1422">
        <v>0</v>
      </c>
      <c r="BV136" s="1422">
        <v>0</v>
      </c>
      <c r="BW136" s="1422">
        <v>0</v>
      </c>
      <c r="BX136" s="1422">
        <v>0</v>
      </c>
      <c r="BY136" s="1422">
        <v>0</v>
      </c>
      <c r="BZ136" s="1422">
        <v>0</v>
      </c>
      <c r="CA136" s="1422">
        <v>13112</v>
      </c>
      <c r="CB136" s="1422">
        <v>11556</v>
      </c>
      <c r="CC136" s="1420">
        <v>195698.16</v>
      </c>
      <c r="CD136" s="1422">
        <v>179627</v>
      </c>
      <c r="CE136" s="1420">
        <v>419169.29</v>
      </c>
      <c r="CF136" s="1422">
        <v>335101</v>
      </c>
      <c r="CG136" s="1422">
        <v>0</v>
      </c>
      <c r="CH136" s="1422">
        <v>0</v>
      </c>
      <c r="CI136" s="1422">
        <v>0</v>
      </c>
      <c r="CJ136" s="1422">
        <v>0</v>
      </c>
      <c r="CK136" s="1422">
        <v>0</v>
      </c>
      <c r="CL136" s="1422">
        <v>0</v>
      </c>
      <c r="CM136" s="1422">
        <v>0</v>
      </c>
      <c r="CN136" s="1422">
        <v>0</v>
      </c>
      <c r="CO136" s="1420">
        <v>14292.24</v>
      </c>
      <c r="CP136" s="1422">
        <v>0</v>
      </c>
      <c r="CQ136" s="1422">
        <v>0</v>
      </c>
      <c r="CR136" s="1422">
        <v>0</v>
      </c>
      <c r="CS136" s="1420">
        <v>14292.24</v>
      </c>
      <c r="CT136" s="1422">
        <v>0</v>
      </c>
      <c r="CU136" s="1420">
        <v>3935259.02</v>
      </c>
      <c r="CV136" s="1422">
        <v>3685265</v>
      </c>
      <c r="CW136" s="1420">
        <v>1483306.02</v>
      </c>
      <c r="CX136" s="1420">
        <v>1555699.89</v>
      </c>
      <c r="CY136" s="1420">
        <v>150835.34</v>
      </c>
      <c r="CZ136" s="1420">
        <v>149846.5</v>
      </c>
      <c r="DA136" s="1420">
        <v>159260.85999999999</v>
      </c>
      <c r="DB136" s="1420">
        <v>163414.74</v>
      </c>
      <c r="DC136" s="1422">
        <v>0</v>
      </c>
      <c r="DD136" s="1422">
        <v>0</v>
      </c>
      <c r="DE136" s="1422">
        <v>41474</v>
      </c>
      <c r="DF136" s="1420">
        <v>38947.64</v>
      </c>
      <c r="DG136" s="1420">
        <v>47391.199999999997</v>
      </c>
      <c r="DH136" s="1420">
        <v>52227.89</v>
      </c>
      <c r="DI136" s="1420">
        <v>1882267.42</v>
      </c>
      <c r="DJ136" s="1420">
        <v>1960136.66</v>
      </c>
      <c r="DK136" s="1420">
        <v>99361.35</v>
      </c>
      <c r="DL136" s="1420">
        <v>123658.75</v>
      </c>
      <c r="DM136" s="1420">
        <v>98697.59</v>
      </c>
      <c r="DN136" s="1420">
        <v>86951.08</v>
      </c>
      <c r="DO136" s="1420">
        <v>376352.99</v>
      </c>
      <c r="DP136" s="1420">
        <v>380351.95</v>
      </c>
      <c r="DQ136" s="1420">
        <v>212227.57</v>
      </c>
      <c r="DR136" s="1420">
        <v>133890.68</v>
      </c>
      <c r="DS136" s="1420">
        <v>11640.3</v>
      </c>
      <c r="DT136" s="1422">
        <v>12250</v>
      </c>
      <c r="DU136" s="1420">
        <v>798279.8</v>
      </c>
      <c r="DV136" s="1420">
        <v>737102.46</v>
      </c>
      <c r="DW136" s="1420">
        <v>170504.68</v>
      </c>
      <c r="DX136" s="1420">
        <v>180013.22</v>
      </c>
      <c r="DY136" s="1420">
        <v>285769.42</v>
      </c>
      <c r="DZ136" s="1420">
        <v>317763.15999999997</v>
      </c>
      <c r="EA136" s="1420">
        <v>153771.20000000001</v>
      </c>
      <c r="EB136" s="1420">
        <v>143524.70000000001</v>
      </c>
      <c r="EC136" s="1420">
        <v>610045.30000000005</v>
      </c>
      <c r="ED136" s="1420">
        <v>641301.07999999996</v>
      </c>
      <c r="EE136" s="1422">
        <v>167872</v>
      </c>
      <c r="EF136" s="1420">
        <v>170484.79</v>
      </c>
      <c r="EG136" s="1422">
        <v>0</v>
      </c>
      <c r="EH136" s="1422">
        <v>0</v>
      </c>
      <c r="EI136" s="1420">
        <v>79.37</v>
      </c>
      <c r="EJ136" s="1422">
        <v>100</v>
      </c>
      <c r="EK136" s="1422">
        <v>0</v>
      </c>
      <c r="EL136" s="1422">
        <v>0</v>
      </c>
      <c r="EM136" s="1420">
        <v>167951.37</v>
      </c>
      <c r="EN136" s="1420">
        <v>170584.79</v>
      </c>
      <c r="EO136" s="1420">
        <v>37110.980000000003</v>
      </c>
      <c r="EP136" s="1422">
        <v>60000</v>
      </c>
      <c r="EQ136" s="1420">
        <v>224442.9</v>
      </c>
      <c r="ER136" s="1420">
        <v>209361.89</v>
      </c>
      <c r="ES136" s="1422">
        <v>0</v>
      </c>
      <c r="ET136" s="1422">
        <v>0</v>
      </c>
      <c r="EU136" s="1420">
        <v>3720097.77</v>
      </c>
      <c r="EV136" s="1420">
        <v>3778486.88</v>
      </c>
      <c r="EW136" s="1420">
        <v>135086.20000000001</v>
      </c>
      <c r="EX136" s="1422">
        <v>60000</v>
      </c>
      <c r="EY136" s="1420">
        <v>224442.9</v>
      </c>
      <c r="EZ136" s="1420">
        <v>209361.89</v>
      </c>
      <c r="FA136" s="1420">
        <v>3360568.67</v>
      </c>
      <c r="FB136" s="1420">
        <v>3509124.99</v>
      </c>
      <c r="FC136" s="1420">
        <v>334465.67</v>
      </c>
      <c r="FD136" s="1439"/>
      <c r="FE136" s="1422">
        <v>3026103</v>
      </c>
      <c r="FF136" s="1439"/>
      <c r="FG136" s="1422">
        <v>7774</v>
      </c>
      <c r="FH136" s="1439"/>
      <c r="FI136" s="1420">
        <v>29.39</v>
      </c>
      <c r="FJ136" s="1439"/>
      <c r="FK136" s="1422">
        <v>40188</v>
      </c>
      <c r="FL136" s="1439"/>
      <c r="FM136" s="1420">
        <v>33.39</v>
      </c>
      <c r="FN136" s="1439"/>
      <c r="FO136" s="1422">
        <v>42416</v>
      </c>
      <c r="FP136" s="1439"/>
      <c r="FQ136" s="1420">
        <v>727215.03</v>
      </c>
      <c r="FR136" s="1439"/>
      <c r="FS136" s="1420">
        <v>9723.39</v>
      </c>
      <c r="FT136" s="1439"/>
      <c r="FU136" s="1422">
        <v>0</v>
      </c>
      <c r="FV136" s="1439"/>
      <c r="FW136" s="1420">
        <v>717491.64</v>
      </c>
      <c r="FX136" s="1439"/>
      <c r="FY136" s="1420">
        <v>240514.42</v>
      </c>
      <c r="FZ136" s="1439"/>
      <c r="GA136" s="1422">
        <v>0</v>
      </c>
      <c r="GB136" s="1439"/>
    </row>
    <row r="137" spans="1:184" ht="12.75" customHeight="1" thickBot="1">
      <c r="A137" s="1418" t="s">
        <v>324</v>
      </c>
      <c r="B137" s="1418" t="s">
        <v>325</v>
      </c>
      <c r="C137" s="1420">
        <v>206.88</v>
      </c>
      <c r="D137" s="1439"/>
      <c r="E137" s="1420">
        <v>1744.08</v>
      </c>
      <c r="F137" s="1439"/>
      <c r="G137" s="1421">
        <v>-0.01</v>
      </c>
      <c r="H137" s="1439"/>
      <c r="I137" s="1420">
        <v>1823.32</v>
      </c>
      <c r="J137" s="1439"/>
      <c r="K137" s="1420">
        <v>1852.17</v>
      </c>
      <c r="L137" s="1439"/>
      <c r="M137" s="1422">
        <v>113538998</v>
      </c>
      <c r="N137" s="1439"/>
      <c r="O137" s="1420">
        <v>25.16</v>
      </c>
      <c r="P137" s="1439"/>
      <c r="Q137" s="1422">
        <v>25</v>
      </c>
      <c r="R137" s="1439"/>
      <c r="S137" s="1420">
        <v>0.16</v>
      </c>
      <c r="T137" s="1439"/>
      <c r="U137" s="1422">
        <v>0</v>
      </c>
      <c r="V137" s="1439"/>
      <c r="W137" s="1420">
        <v>15.24</v>
      </c>
      <c r="X137" s="1439"/>
      <c r="Y137" s="1420">
        <v>40.4</v>
      </c>
      <c r="Z137" s="1439"/>
      <c r="AA137" s="1420">
        <v>26464169.440000001</v>
      </c>
      <c r="AB137" s="1455"/>
      <c r="AC137" s="1424">
        <v>3735922.67</v>
      </c>
      <c r="AD137" s="1420">
        <v>4388019.25</v>
      </c>
      <c r="AE137" s="1420">
        <v>6663281.6699999999</v>
      </c>
      <c r="AF137" s="1422">
        <v>357300</v>
      </c>
      <c r="AG137" s="1420">
        <v>171.2</v>
      </c>
      <c r="AH137" s="1456">
        <v>0</v>
      </c>
      <c r="AI137" s="1428">
        <v>8445502</v>
      </c>
      <c r="AJ137" s="1422">
        <v>8475946</v>
      </c>
      <c r="AK137" s="1422">
        <v>57724</v>
      </c>
      <c r="AL137" s="1422">
        <v>0</v>
      </c>
      <c r="AM137" s="1422">
        <v>0</v>
      </c>
      <c r="AN137" s="1422">
        <v>0</v>
      </c>
      <c r="AO137" s="1422">
        <v>35807</v>
      </c>
      <c r="AP137" s="1422">
        <v>0</v>
      </c>
      <c r="AQ137" s="1422">
        <v>0</v>
      </c>
      <c r="AR137" s="1422">
        <v>0</v>
      </c>
      <c r="AS137" s="1422">
        <v>0</v>
      </c>
      <c r="AT137" s="1422">
        <v>0</v>
      </c>
      <c r="AU137" s="1422">
        <v>25687</v>
      </c>
      <c r="AV137" s="1422">
        <v>20549</v>
      </c>
      <c r="AW137" s="1420">
        <v>823.09</v>
      </c>
      <c r="AX137" s="1422">
        <v>0</v>
      </c>
      <c r="AY137" s="1420">
        <v>18964918.629999999</v>
      </c>
      <c r="AZ137" s="1420">
        <v>13241814.25</v>
      </c>
      <c r="BA137" s="1420">
        <v>299702.24</v>
      </c>
      <c r="BB137" s="1420">
        <v>300509.73</v>
      </c>
      <c r="BC137" s="1422">
        <v>76606</v>
      </c>
      <c r="BD137" s="1422">
        <v>77653</v>
      </c>
      <c r="BE137" s="1420">
        <v>13770.5</v>
      </c>
      <c r="BF137" s="1422">
        <v>12400</v>
      </c>
      <c r="BG137" s="1422">
        <v>1724</v>
      </c>
      <c r="BH137" s="1422">
        <v>0</v>
      </c>
      <c r="BI137" s="1422">
        <v>53266</v>
      </c>
      <c r="BJ137" s="1422">
        <v>58030</v>
      </c>
      <c r="BK137" s="1422">
        <v>18752</v>
      </c>
      <c r="BL137" s="1422">
        <v>18752</v>
      </c>
      <c r="BM137" s="1422">
        <v>502448</v>
      </c>
      <c r="BN137" s="1422">
        <v>521686</v>
      </c>
      <c r="BO137" s="1420">
        <v>14321.7</v>
      </c>
      <c r="BP137" s="1422">
        <v>0</v>
      </c>
      <c r="BQ137" s="1420">
        <v>70146.039999999994</v>
      </c>
      <c r="BR137" s="1420">
        <v>25187.5</v>
      </c>
      <c r="BS137" s="1420">
        <v>6693.15</v>
      </c>
      <c r="BT137" s="1422">
        <v>6500</v>
      </c>
      <c r="BU137" s="1422">
        <v>0</v>
      </c>
      <c r="BV137" s="1422">
        <v>0</v>
      </c>
      <c r="BW137" s="1420">
        <v>1801.41</v>
      </c>
      <c r="BX137" s="1422">
        <v>0</v>
      </c>
      <c r="BY137" s="1422">
        <v>0</v>
      </c>
      <c r="BZ137" s="1422">
        <v>0</v>
      </c>
      <c r="CA137" s="1420">
        <v>4173994.46</v>
      </c>
      <c r="CB137" s="1422">
        <v>215758</v>
      </c>
      <c r="CC137" s="1420">
        <v>5233225.5</v>
      </c>
      <c r="CD137" s="1420">
        <v>1236476.23</v>
      </c>
      <c r="CE137" s="1420">
        <v>2956477.75</v>
      </c>
      <c r="CF137" s="1420">
        <v>1966230.29</v>
      </c>
      <c r="CG137" s="1420">
        <v>643853.55000000005</v>
      </c>
      <c r="CH137" s="1420">
        <v>111531.24</v>
      </c>
      <c r="CI137" s="1422">
        <v>0</v>
      </c>
      <c r="CJ137" s="1422">
        <v>0</v>
      </c>
      <c r="CK137" s="1422">
        <v>0</v>
      </c>
      <c r="CL137" s="1422">
        <v>0</v>
      </c>
      <c r="CM137" s="1422">
        <v>0</v>
      </c>
      <c r="CN137" s="1422">
        <v>0</v>
      </c>
      <c r="CO137" s="1422">
        <v>0</v>
      </c>
      <c r="CP137" s="1422">
        <v>0</v>
      </c>
      <c r="CQ137" s="1422">
        <v>0</v>
      </c>
      <c r="CR137" s="1422">
        <v>0</v>
      </c>
      <c r="CS137" s="1420">
        <v>643853.55000000005</v>
      </c>
      <c r="CT137" s="1420">
        <v>111531.24</v>
      </c>
      <c r="CU137" s="1420">
        <v>27798475.43</v>
      </c>
      <c r="CV137" s="1420">
        <v>16556052.01</v>
      </c>
      <c r="CW137" s="1420">
        <v>5844333.5700000003</v>
      </c>
      <c r="CX137" s="1420">
        <v>5602803.6200000001</v>
      </c>
      <c r="CY137" s="1420">
        <v>995965.79</v>
      </c>
      <c r="CZ137" s="1420">
        <v>848226.69</v>
      </c>
      <c r="DA137" s="1420">
        <v>479532.68</v>
      </c>
      <c r="DB137" s="1420">
        <v>423718.83</v>
      </c>
      <c r="DC137" s="1420">
        <v>373734.02</v>
      </c>
      <c r="DD137" s="1420">
        <v>389044.07</v>
      </c>
      <c r="DE137" s="1420">
        <v>744095.03</v>
      </c>
      <c r="DF137" s="1420">
        <v>687004.11</v>
      </c>
      <c r="DG137" s="1420">
        <v>725398.23</v>
      </c>
      <c r="DH137" s="1420">
        <v>673005.77</v>
      </c>
      <c r="DI137" s="1420">
        <v>9163059.3200000003</v>
      </c>
      <c r="DJ137" s="1420">
        <v>8623803.0899999999</v>
      </c>
      <c r="DK137" s="1420">
        <v>358224.26</v>
      </c>
      <c r="DL137" s="1420">
        <v>308095.57</v>
      </c>
      <c r="DM137" s="1420">
        <v>460569.31</v>
      </c>
      <c r="DN137" s="1420">
        <v>318159.2</v>
      </c>
      <c r="DO137" s="1420">
        <v>1577012.59</v>
      </c>
      <c r="DP137" s="1420">
        <v>1613388.94</v>
      </c>
      <c r="DQ137" s="1420">
        <v>1077236.58</v>
      </c>
      <c r="DR137" s="1420">
        <v>957288.1</v>
      </c>
      <c r="DS137" s="1420">
        <v>24609.200000000001</v>
      </c>
      <c r="DT137" s="1422">
        <v>25000</v>
      </c>
      <c r="DU137" s="1420">
        <v>3497651.94</v>
      </c>
      <c r="DV137" s="1420">
        <v>3221931.81</v>
      </c>
      <c r="DW137" s="1420">
        <v>731905.48</v>
      </c>
      <c r="DX137" s="1420">
        <v>631001.19999999995</v>
      </c>
      <c r="DY137" s="1420">
        <v>1145035.6100000001</v>
      </c>
      <c r="DZ137" s="1420">
        <v>943261.36</v>
      </c>
      <c r="EA137" s="1420">
        <v>1024663.75</v>
      </c>
      <c r="EB137" s="1420">
        <v>912499.93</v>
      </c>
      <c r="EC137" s="1420">
        <v>2901604.84</v>
      </c>
      <c r="ED137" s="1420">
        <v>2486762.4900000002</v>
      </c>
      <c r="EE137" s="1420">
        <v>892334.13</v>
      </c>
      <c r="EF137" s="1422">
        <v>887000</v>
      </c>
      <c r="EG137" s="1422">
        <v>0</v>
      </c>
      <c r="EH137" s="1422">
        <v>0</v>
      </c>
      <c r="EI137" s="1422">
        <v>0</v>
      </c>
      <c r="EJ137" s="1422">
        <v>5000</v>
      </c>
      <c r="EK137" s="1422">
        <v>0</v>
      </c>
      <c r="EL137" s="1422">
        <v>0</v>
      </c>
      <c r="EM137" s="1420">
        <v>892334.13</v>
      </c>
      <c r="EN137" s="1422">
        <v>892000</v>
      </c>
      <c r="EO137" s="1420">
        <v>6554906.8700000001</v>
      </c>
      <c r="EP137" s="1422">
        <v>0</v>
      </c>
      <c r="EQ137" s="1420">
        <v>789024.88</v>
      </c>
      <c r="ER137" s="1420">
        <v>1406798.68</v>
      </c>
      <c r="ES137" s="1420">
        <v>48325.99</v>
      </c>
      <c r="ET137" s="1422">
        <v>0</v>
      </c>
      <c r="EU137" s="1420">
        <v>23846907.969999999</v>
      </c>
      <c r="EV137" s="1420">
        <v>16631296.07</v>
      </c>
      <c r="EW137" s="1420">
        <v>6931069.0800000001</v>
      </c>
      <c r="EX137" s="1420">
        <v>308296.24</v>
      </c>
      <c r="EY137" s="1420">
        <v>789024.88</v>
      </c>
      <c r="EZ137" s="1420">
        <v>1406798.68</v>
      </c>
      <c r="FA137" s="1420">
        <v>16126814.01</v>
      </c>
      <c r="FB137" s="1420">
        <v>14916201.15</v>
      </c>
      <c r="FC137" s="1420">
        <v>1202344.93</v>
      </c>
      <c r="FD137" s="1439"/>
      <c r="FE137" s="1420">
        <v>14924469.08</v>
      </c>
      <c r="FF137" s="1439"/>
      <c r="FG137" s="1422">
        <v>8557</v>
      </c>
      <c r="FH137" s="1439"/>
      <c r="FI137" s="1420">
        <v>133.08000000000001</v>
      </c>
      <c r="FJ137" s="1439"/>
      <c r="FK137" s="1422">
        <v>41904</v>
      </c>
      <c r="FL137" s="1439"/>
      <c r="FM137" s="1420">
        <v>144.38999999999999</v>
      </c>
      <c r="FN137" s="1439"/>
      <c r="FO137" s="1422">
        <v>44072</v>
      </c>
      <c r="FP137" s="1439"/>
      <c r="FQ137" s="1420">
        <v>552082.65</v>
      </c>
      <c r="FR137" s="1439"/>
      <c r="FS137" s="1420">
        <v>2082.65</v>
      </c>
      <c r="FT137" s="1439"/>
      <c r="FU137" s="1422">
        <v>0</v>
      </c>
      <c r="FV137" s="1439"/>
      <c r="FW137" s="1422">
        <v>550000</v>
      </c>
      <c r="FX137" s="1439"/>
      <c r="FY137" s="1420">
        <v>9956528.6799999997</v>
      </c>
      <c r="FZ137" s="1439"/>
      <c r="GA137" s="1420">
        <v>97176.34</v>
      </c>
      <c r="GB137" s="1439"/>
    </row>
    <row r="138" spans="1:184" ht="12.75" customHeight="1" thickBot="1">
      <c r="A138" s="1418" t="s">
        <v>326</v>
      </c>
      <c r="B138" s="1418" t="s">
        <v>327</v>
      </c>
      <c r="C138" s="1420">
        <v>154.29</v>
      </c>
      <c r="D138" s="1439"/>
      <c r="E138" s="1420">
        <v>722.66</v>
      </c>
      <c r="F138" s="1439"/>
      <c r="G138" s="1421">
        <v>-0.17</v>
      </c>
      <c r="H138" s="1439"/>
      <c r="I138" s="1420">
        <v>754.05</v>
      </c>
      <c r="J138" s="1439"/>
      <c r="K138" s="1420">
        <v>762.26</v>
      </c>
      <c r="L138" s="1439"/>
      <c r="M138" s="1422">
        <v>48347620</v>
      </c>
      <c r="N138" s="1439"/>
      <c r="O138" s="1422">
        <v>27</v>
      </c>
      <c r="P138" s="1439"/>
      <c r="Q138" s="1422">
        <v>25</v>
      </c>
      <c r="R138" s="1439"/>
      <c r="S138" s="1422">
        <v>2</v>
      </c>
      <c r="T138" s="1439"/>
      <c r="U138" s="1422">
        <v>0</v>
      </c>
      <c r="V138" s="1439"/>
      <c r="W138" s="1422">
        <v>14</v>
      </c>
      <c r="X138" s="1439"/>
      <c r="Y138" s="1422">
        <v>41</v>
      </c>
      <c r="Z138" s="1439"/>
      <c r="AA138" s="1420">
        <v>4111631.76</v>
      </c>
      <c r="AB138" s="1455"/>
      <c r="AC138" s="1424">
        <v>1861338.44</v>
      </c>
      <c r="AD138" s="1422">
        <v>1896000</v>
      </c>
      <c r="AE138" s="1420">
        <v>247819.8</v>
      </c>
      <c r="AF138" s="1422">
        <v>91300</v>
      </c>
      <c r="AG138" s="1422">
        <v>0</v>
      </c>
      <c r="AH138" s="1456">
        <v>0</v>
      </c>
      <c r="AI138" s="1428">
        <v>3454820</v>
      </c>
      <c r="AJ138" s="1422">
        <v>3438963</v>
      </c>
      <c r="AK138" s="1422">
        <v>0</v>
      </c>
      <c r="AL138" s="1422">
        <v>0</v>
      </c>
      <c r="AM138" s="1422">
        <v>0</v>
      </c>
      <c r="AN138" s="1422">
        <v>0</v>
      </c>
      <c r="AO138" s="1422">
        <v>90797</v>
      </c>
      <c r="AP138" s="1422">
        <v>27863</v>
      </c>
      <c r="AQ138" s="1422">
        <v>0</v>
      </c>
      <c r="AR138" s="1422">
        <v>0</v>
      </c>
      <c r="AS138" s="1422">
        <v>0</v>
      </c>
      <c r="AT138" s="1422">
        <v>0</v>
      </c>
      <c r="AU138" s="1422">
        <v>3487</v>
      </c>
      <c r="AV138" s="1422">
        <v>2790</v>
      </c>
      <c r="AW138" s="1422">
        <v>0</v>
      </c>
      <c r="AX138" s="1422">
        <v>0</v>
      </c>
      <c r="AY138" s="1420">
        <v>5658262.2400000002</v>
      </c>
      <c r="AZ138" s="1422">
        <v>5456916</v>
      </c>
      <c r="BA138" s="1422">
        <v>0</v>
      </c>
      <c r="BB138" s="1422">
        <v>0</v>
      </c>
      <c r="BC138" s="1422">
        <v>31527</v>
      </c>
      <c r="BD138" s="1422">
        <v>31920</v>
      </c>
      <c r="BE138" s="1420">
        <v>10356.290000000001</v>
      </c>
      <c r="BF138" s="1422">
        <v>9600</v>
      </c>
      <c r="BG138" s="1422">
        <v>0</v>
      </c>
      <c r="BH138" s="1422">
        <v>0</v>
      </c>
      <c r="BI138" s="1422">
        <v>3779</v>
      </c>
      <c r="BJ138" s="1422">
        <v>1575</v>
      </c>
      <c r="BK138" s="1422">
        <v>293</v>
      </c>
      <c r="BL138" s="1422">
        <v>1000</v>
      </c>
      <c r="BM138" s="1422">
        <v>383571</v>
      </c>
      <c r="BN138" s="1422">
        <v>484921</v>
      </c>
      <c r="BO138" s="1420">
        <v>15998.71</v>
      </c>
      <c r="BP138" s="1422">
        <v>15000</v>
      </c>
      <c r="BQ138" s="1422">
        <v>0</v>
      </c>
      <c r="BR138" s="1422">
        <v>0</v>
      </c>
      <c r="BS138" s="1420">
        <v>2717.57</v>
      </c>
      <c r="BT138" s="1422">
        <v>2700</v>
      </c>
      <c r="BU138" s="1422">
        <v>0</v>
      </c>
      <c r="BV138" s="1422">
        <v>0</v>
      </c>
      <c r="BW138" s="1422">
        <v>52600</v>
      </c>
      <c r="BX138" s="1422">
        <v>53000</v>
      </c>
      <c r="BY138" s="1422">
        <v>0</v>
      </c>
      <c r="BZ138" s="1422">
        <v>0</v>
      </c>
      <c r="CA138" s="1422">
        <v>85485</v>
      </c>
      <c r="CB138" s="1422">
        <v>141289</v>
      </c>
      <c r="CC138" s="1420">
        <v>586327.56999999995</v>
      </c>
      <c r="CD138" s="1422">
        <v>741005</v>
      </c>
      <c r="CE138" s="1420">
        <v>1287292.1000000001</v>
      </c>
      <c r="CF138" s="1422">
        <v>1203678</v>
      </c>
      <c r="CG138" s="1422">
        <v>0</v>
      </c>
      <c r="CH138" s="1422">
        <v>0</v>
      </c>
      <c r="CI138" s="1422">
        <v>0</v>
      </c>
      <c r="CJ138" s="1422">
        <v>0</v>
      </c>
      <c r="CK138" s="1422">
        <v>0</v>
      </c>
      <c r="CL138" s="1422">
        <v>0</v>
      </c>
      <c r="CM138" s="1422">
        <v>0</v>
      </c>
      <c r="CN138" s="1422">
        <v>0</v>
      </c>
      <c r="CO138" s="1422">
        <v>0</v>
      </c>
      <c r="CP138" s="1422">
        <v>0</v>
      </c>
      <c r="CQ138" s="1422">
        <v>0</v>
      </c>
      <c r="CR138" s="1422">
        <v>0</v>
      </c>
      <c r="CS138" s="1422">
        <v>0</v>
      </c>
      <c r="CT138" s="1422">
        <v>0</v>
      </c>
      <c r="CU138" s="1420">
        <v>7531881.9100000001</v>
      </c>
      <c r="CV138" s="1422">
        <v>7401599</v>
      </c>
      <c r="CW138" s="1420">
        <v>2964270.07</v>
      </c>
      <c r="CX138" s="1422">
        <v>2746733</v>
      </c>
      <c r="CY138" s="1420">
        <v>622827.39</v>
      </c>
      <c r="CZ138" s="1422">
        <v>634786</v>
      </c>
      <c r="DA138" s="1420">
        <v>241172.72</v>
      </c>
      <c r="DB138" s="1422">
        <v>207509</v>
      </c>
      <c r="DC138" s="1422">
        <v>0</v>
      </c>
      <c r="DD138" s="1422">
        <v>0</v>
      </c>
      <c r="DE138" s="1420">
        <v>237034.9</v>
      </c>
      <c r="DF138" s="1420">
        <v>206570.91</v>
      </c>
      <c r="DG138" s="1420">
        <v>71786.3</v>
      </c>
      <c r="DH138" s="1422">
        <v>81004</v>
      </c>
      <c r="DI138" s="1420">
        <v>4137091.38</v>
      </c>
      <c r="DJ138" s="1420">
        <v>3876602.91</v>
      </c>
      <c r="DK138" s="1420">
        <v>283837.69</v>
      </c>
      <c r="DL138" s="1422">
        <v>201746</v>
      </c>
      <c r="DM138" s="1420">
        <v>161119.93</v>
      </c>
      <c r="DN138" s="1422">
        <v>163984</v>
      </c>
      <c r="DO138" s="1420">
        <v>658468.15</v>
      </c>
      <c r="DP138" s="1420">
        <v>781956.76</v>
      </c>
      <c r="DQ138" s="1420">
        <v>331440.44</v>
      </c>
      <c r="DR138" s="1422">
        <v>313397</v>
      </c>
      <c r="DS138" s="1420">
        <v>27386.95</v>
      </c>
      <c r="DT138" s="1422">
        <v>12000</v>
      </c>
      <c r="DU138" s="1420">
        <v>1462253.16</v>
      </c>
      <c r="DV138" s="1420">
        <v>1473083.76</v>
      </c>
      <c r="DW138" s="1420">
        <v>341661.72</v>
      </c>
      <c r="DX138" s="1420">
        <v>326793.96999999997</v>
      </c>
      <c r="DY138" s="1420">
        <v>727057.33</v>
      </c>
      <c r="DZ138" s="1420">
        <v>848760.05</v>
      </c>
      <c r="EA138" s="1420">
        <v>345656.34</v>
      </c>
      <c r="EB138" s="1422">
        <v>356139</v>
      </c>
      <c r="EC138" s="1420">
        <v>1414375.39</v>
      </c>
      <c r="ED138" s="1420">
        <v>1531693.02</v>
      </c>
      <c r="EE138" s="1420">
        <v>350241.46</v>
      </c>
      <c r="EF138" s="1422">
        <v>336218</v>
      </c>
      <c r="EG138" s="1422">
        <v>0</v>
      </c>
      <c r="EH138" s="1422">
        <v>0</v>
      </c>
      <c r="EI138" s="1420">
        <v>1604.72</v>
      </c>
      <c r="EJ138" s="1422">
        <v>3228</v>
      </c>
      <c r="EK138" s="1422">
        <v>0</v>
      </c>
      <c r="EL138" s="1422">
        <v>0</v>
      </c>
      <c r="EM138" s="1420">
        <v>351846.18</v>
      </c>
      <c r="EN138" s="1422">
        <v>339446</v>
      </c>
      <c r="EO138" s="1420">
        <v>61246.43</v>
      </c>
      <c r="EP138" s="1422">
        <v>1280544</v>
      </c>
      <c r="EQ138" s="1420">
        <v>261113.16</v>
      </c>
      <c r="ER138" s="1422">
        <v>263470</v>
      </c>
      <c r="ES138" s="1422">
        <v>0</v>
      </c>
      <c r="ET138" s="1422">
        <v>0</v>
      </c>
      <c r="EU138" s="1420">
        <v>7687925.7000000002</v>
      </c>
      <c r="EV138" s="1420">
        <v>8764839.6899999995</v>
      </c>
      <c r="EW138" s="1420">
        <v>235887.31</v>
      </c>
      <c r="EX138" s="1420">
        <v>1384685.24</v>
      </c>
      <c r="EY138" s="1420">
        <v>261113.16</v>
      </c>
      <c r="EZ138" s="1422">
        <v>263470</v>
      </c>
      <c r="FA138" s="1420">
        <v>7190925.2300000004</v>
      </c>
      <c r="FB138" s="1420">
        <v>7116684.4500000002</v>
      </c>
      <c r="FC138" s="1420">
        <v>253930.87</v>
      </c>
      <c r="FD138" s="1439"/>
      <c r="FE138" s="1420">
        <v>6936994.3600000003</v>
      </c>
      <c r="FF138" s="1439"/>
      <c r="FG138" s="1422">
        <v>9599</v>
      </c>
      <c r="FH138" s="1439"/>
      <c r="FI138" s="1420">
        <v>65.900000000000006</v>
      </c>
      <c r="FJ138" s="1439"/>
      <c r="FK138" s="1422">
        <v>39942</v>
      </c>
      <c r="FL138" s="1439"/>
      <c r="FM138" s="1420">
        <v>72.400000000000006</v>
      </c>
      <c r="FN138" s="1439"/>
      <c r="FO138" s="1422">
        <v>42862</v>
      </c>
      <c r="FP138" s="1439"/>
      <c r="FQ138" s="1420">
        <v>555848.56000000006</v>
      </c>
      <c r="FR138" s="1439"/>
      <c r="FS138" s="1420">
        <v>58292.02</v>
      </c>
      <c r="FT138" s="1439"/>
      <c r="FU138" s="1422">
        <v>0</v>
      </c>
      <c r="FV138" s="1439"/>
      <c r="FW138" s="1420">
        <v>497556.54</v>
      </c>
      <c r="FX138" s="1439"/>
      <c r="FY138" s="1420">
        <v>1281507.72</v>
      </c>
      <c r="FZ138" s="1439"/>
      <c r="GA138" s="1422">
        <v>0</v>
      </c>
      <c r="GB138" s="1439"/>
    </row>
    <row r="139" spans="1:184" ht="12.75" customHeight="1" thickBot="1">
      <c r="A139" s="1418" t="s">
        <v>328</v>
      </c>
      <c r="B139" s="1418" t="s">
        <v>329</v>
      </c>
      <c r="C139" s="1420">
        <v>242.99</v>
      </c>
      <c r="D139" s="1439"/>
      <c r="E139" s="1420">
        <v>710.34</v>
      </c>
      <c r="F139" s="1439"/>
      <c r="G139" s="1421">
        <v>0.01</v>
      </c>
      <c r="H139" s="1439"/>
      <c r="I139" s="1420">
        <v>748.51</v>
      </c>
      <c r="J139" s="1439"/>
      <c r="K139" s="1420">
        <v>721.22</v>
      </c>
      <c r="L139" s="1439"/>
      <c r="M139" s="1422">
        <v>55974893</v>
      </c>
      <c r="N139" s="1439"/>
      <c r="O139" s="1422">
        <v>25</v>
      </c>
      <c r="P139" s="1439"/>
      <c r="Q139" s="1422">
        <v>25</v>
      </c>
      <c r="R139" s="1439"/>
      <c r="S139" s="1422">
        <v>0</v>
      </c>
      <c r="T139" s="1439"/>
      <c r="U139" s="1422">
        <v>0</v>
      </c>
      <c r="V139" s="1439"/>
      <c r="W139" s="1422">
        <v>17</v>
      </c>
      <c r="X139" s="1439"/>
      <c r="Y139" s="1422">
        <v>42</v>
      </c>
      <c r="Z139" s="1439"/>
      <c r="AA139" s="1420">
        <v>12385570.689999999</v>
      </c>
      <c r="AB139" s="1455"/>
      <c r="AC139" s="1424">
        <v>2210752.31</v>
      </c>
      <c r="AD139" s="1420">
        <v>2108774.0299999998</v>
      </c>
      <c r="AE139" s="1420">
        <v>586524.4</v>
      </c>
      <c r="AF139" s="1420">
        <v>444252.91</v>
      </c>
      <c r="AG139" s="1422">
        <v>0</v>
      </c>
      <c r="AH139" s="1456">
        <v>0</v>
      </c>
      <c r="AI139" s="1428">
        <v>3028707</v>
      </c>
      <c r="AJ139" s="1422">
        <v>3252221</v>
      </c>
      <c r="AK139" s="1422">
        <v>2454</v>
      </c>
      <c r="AL139" s="1422">
        <v>0</v>
      </c>
      <c r="AM139" s="1422">
        <v>165121</v>
      </c>
      <c r="AN139" s="1422">
        <v>0</v>
      </c>
      <c r="AO139" s="1422">
        <v>0</v>
      </c>
      <c r="AP139" s="1422">
        <v>0</v>
      </c>
      <c r="AQ139" s="1422">
        <v>0</v>
      </c>
      <c r="AR139" s="1422">
        <v>0</v>
      </c>
      <c r="AS139" s="1422">
        <v>0</v>
      </c>
      <c r="AT139" s="1422">
        <v>0</v>
      </c>
      <c r="AU139" s="1422">
        <v>0</v>
      </c>
      <c r="AV139" s="1422">
        <v>0</v>
      </c>
      <c r="AW139" s="1420">
        <v>267.31</v>
      </c>
      <c r="AX139" s="1422">
        <v>0</v>
      </c>
      <c r="AY139" s="1420">
        <v>5993826.0199999996</v>
      </c>
      <c r="AZ139" s="1420">
        <v>5805247.9400000004</v>
      </c>
      <c r="BA139" s="1422">
        <v>0</v>
      </c>
      <c r="BB139" s="1422">
        <v>0</v>
      </c>
      <c r="BC139" s="1422">
        <v>29830</v>
      </c>
      <c r="BD139" s="1422">
        <v>31893</v>
      </c>
      <c r="BE139" s="1422">
        <v>5600</v>
      </c>
      <c r="BF139" s="1422">
        <v>3000</v>
      </c>
      <c r="BG139" s="1422">
        <v>150</v>
      </c>
      <c r="BH139" s="1422">
        <v>0</v>
      </c>
      <c r="BI139" s="1422">
        <v>21981</v>
      </c>
      <c r="BJ139" s="1422">
        <v>12103</v>
      </c>
      <c r="BK139" s="1422">
        <v>0</v>
      </c>
      <c r="BL139" s="1422">
        <v>0</v>
      </c>
      <c r="BM139" s="1422">
        <v>167152</v>
      </c>
      <c r="BN139" s="1422">
        <v>200376</v>
      </c>
      <c r="BO139" s="1420">
        <v>2954.6</v>
      </c>
      <c r="BP139" s="1422">
        <v>0</v>
      </c>
      <c r="BQ139" s="1422">
        <v>0</v>
      </c>
      <c r="BR139" s="1422">
        <v>0</v>
      </c>
      <c r="BS139" s="1420">
        <v>2737.87</v>
      </c>
      <c r="BT139" s="1422">
        <v>2500</v>
      </c>
      <c r="BU139" s="1422">
        <v>0</v>
      </c>
      <c r="BV139" s="1422">
        <v>0</v>
      </c>
      <c r="BW139" s="1422">
        <v>194400</v>
      </c>
      <c r="BX139" s="1422">
        <v>194400</v>
      </c>
      <c r="BY139" s="1422">
        <v>0</v>
      </c>
      <c r="BZ139" s="1422">
        <v>0</v>
      </c>
      <c r="CA139" s="1422">
        <v>45209</v>
      </c>
      <c r="CB139" s="1422">
        <v>44846</v>
      </c>
      <c r="CC139" s="1420">
        <v>470014.47</v>
      </c>
      <c r="CD139" s="1422">
        <v>489118</v>
      </c>
      <c r="CE139" s="1420">
        <v>1044492.86</v>
      </c>
      <c r="CF139" s="1420">
        <v>983524.36</v>
      </c>
      <c r="CG139" s="1420">
        <v>4994.93</v>
      </c>
      <c r="CH139" s="1422">
        <v>0</v>
      </c>
      <c r="CI139" s="1422">
        <v>0</v>
      </c>
      <c r="CJ139" s="1422">
        <v>0</v>
      </c>
      <c r="CK139" s="1422">
        <v>0</v>
      </c>
      <c r="CL139" s="1422">
        <v>0</v>
      </c>
      <c r="CM139" s="1422">
        <v>0</v>
      </c>
      <c r="CN139" s="1422">
        <v>0</v>
      </c>
      <c r="CO139" s="1422">
        <v>0</v>
      </c>
      <c r="CP139" s="1422">
        <v>0</v>
      </c>
      <c r="CQ139" s="1422">
        <v>0</v>
      </c>
      <c r="CR139" s="1422">
        <v>0</v>
      </c>
      <c r="CS139" s="1420">
        <v>4994.93</v>
      </c>
      <c r="CT139" s="1422">
        <v>0</v>
      </c>
      <c r="CU139" s="1420">
        <v>7513328.2800000003</v>
      </c>
      <c r="CV139" s="1420">
        <v>7277890.2999999998</v>
      </c>
      <c r="CW139" s="1420">
        <v>2583952.15</v>
      </c>
      <c r="CX139" s="1420">
        <v>2783410.15</v>
      </c>
      <c r="CY139" s="1420">
        <v>277304.28000000003</v>
      </c>
      <c r="CZ139" s="1420">
        <v>273554.17</v>
      </c>
      <c r="DA139" s="1420">
        <v>224951.88</v>
      </c>
      <c r="DB139" s="1420">
        <v>177835.77</v>
      </c>
      <c r="DC139" s="1422">
        <v>0</v>
      </c>
      <c r="DD139" s="1422">
        <v>0</v>
      </c>
      <c r="DE139" s="1420">
        <v>391927.44</v>
      </c>
      <c r="DF139" s="1420">
        <v>419788.74</v>
      </c>
      <c r="DG139" s="1420">
        <v>39004.81</v>
      </c>
      <c r="DH139" s="1420">
        <v>47883.39</v>
      </c>
      <c r="DI139" s="1420">
        <v>3517140.56</v>
      </c>
      <c r="DJ139" s="1420">
        <v>3702472.22</v>
      </c>
      <c r="DK139" s="1420">
        <v>220005.32</v>
      </c>
      <c r="DL139" s="1420">
        <v>268145.73</v>
      </c>
      <c r="DM139" s="1420">
        <v>92172.75</v>
      </c>
      <c r="DN139" s="1420">
        <v>94569.84</v>
      </c>
      <c r="DO139" s="1420">
        <v>832029.62</v>
      </c>
      <c r="DP139" s="1420">
        <v>924570.04</v>
      </c>
      <c r="DQ139" s="1420">
        <v>389802.62</v>
      </c>
      <c r="DR139" s="1420">
        <v>292052.64</v>
      </c>
      <c r="DS139" s="1420">
        <v>14229.43</v>
      </c>
      <c r="DT139" s="1420">
        <v>18260.400000000001</v>
      </c>
      <c r="DU139" s="1420">
        <v>1548239.74</v>
      </c>
      <c r="DV139" s="1420">
        <v>1597598.65</v>
      </c>
      <c r="DW139" s="1420">
        <v>287476.46000000002</v>
      </c>
      <c r="DX139" s="1420">
        <v>287734.83</v>
      </c>
      <c r="DY139" s="1420">
        <v>413119.21</v>
      </c>
      <c r="DZ139" s="1420">
        <v>392295.6</v>
      </c>
      <c r="EA139" s="1420">
        <v>206718.46</v>
      </c>
      <c r="EB139" s="1420">
        <v>264903.51</v>
      </c>
      <c r="EC139" s="1420">
        <v>907314.13</v>
      </c>
      <c r="ED139" s="1420">
        <v>944933.94</v>
      </c>
      <c r="EE139" s="1420">
        <v>359259.79</v>
      </c>
      <c r="EF139" s="1420">
        <v>339465.91</v>
      </c>
      <c r="EG139" s="1422">
        <v>0</v>
      </c>
      <c r="EH139" s="1422">
        <v>0</v>
      </c>
      <c r="EI139" s="1420">
        <v>690.66</v>
      </c>
      <c r="EJ139" s="1422">
        <v>2000</v>
      </c>
      <c r="EK139" s="1422">
        <v>0</v>
      </c>
      <c r="EL139" s="1422">
        <v>0</v>
      </c>
      <c r="EM139" s="1420">
        <v>359950.45</v>
      </c>
      <c r="EN139" s="1420">
        <v>341465.91</v>
      </c>
      <c r="EO139" s="1420">
        <v>236227.84</v>
      </c>
      <c r="EP139" s="1420">
        <v>417855.78</v>
      </c>
      <c r="EQ139" s="1420">
        <v>604629.5</v>
      </c>
      <c r="ER139" s="1420">
        <v>419328.44</v>
      </c>
      <c r="ES139" s="1420">
        <v>8730.94</v>
      </c>
      <c r="ET139" s="1422">
        <v>0</v>
      </c>
      <c r="EU139" s="1420">
        <v>7182233.1600000001</v>
      </c>
      <c r="EV139" s="1420">
        <v>7423654.9400000004</v>
      </c>
      <c r="EW139" s="1420">
        <v>518471.18</v>
      </c>
      <c r="EX139" s="1420">
        <v>503982.05</v>
      </c>
      <c r="EY139" s="1420">
        <v>604629.5</v>
      </c>
      <c r="EZ139" s="1420">
        <v>419328.44</v>
      </c>
      <c r="FA139" s="1420">
        <v>6059132.4800000004</v>
      </c>
      <c r="FB139" s="1420">
        <v>6500344.4500000002</v>
      </c>
      <c r="FC139" s="1420">
        <v>477293.42</v>
      </c>
      <c r="FD139" s="1439"/>
      <c r="FE139" s="1420">
        <v>5581839.0599999996</v>
      </c>
      <c r="FF139" s="1439"/>
      <c r="FG139" s="1422">
        <v>7857</v>
      </c>
      <c r="FH139" s="1439"/>
      <c r="FI139" s="1420">
        <v>50.83</v>
      </c>
      <c r="FJ139" s="1439"/>
      <c r="FK139" s="1422">
        <v>40563</v>
      </c>
      <c r="FL139" s="1439"/>
      <c r="FM139" s="1420">
        <v>56.75</v>
      </c>
      <c r="FN139" s="1439"/>
      <c r="FO139" s="1422">
        <v>42244</v>
      </c>
      <c r="FP139" s="1439"/>
      <c r="FQ139" s="1420">
        <v>3222576.01</v>
      </c>
      <c r="FR139" s="1439"/>
      <c r="FS139" s="1420">
        <v>64008.93</v>
      </c>
      <c r="FT139" s="1439"/>
      <c r="FU139" s="1422">
        <v>0</v>
      </c>
      <c r="FV139" s="1439"/>
      <c r="FW139" s="1420">
        <v>3158567.08</v>
      </c>
      <c r="FX139" s="1439"/>
      <c r="FY139" s="1420">
        <v>486210.01</v>
      </c>
      <c r="FZ139" s="1439"/>
      <c r="GA139" s="1420">
        <v>3824.42</v>
      </c>
      <c r="GB139" s="1439"/>
    </row>
    <row r="140" spans="1:184" ht="12.75" customHeight="1" thickBot="1">
      <c r="A140" s="1418" t="s">
        <v>330</v>
      </c>
      <c r="B140" s="1418" t="s">
        <v>331</v>
      </c>
      <c r="C140" s="1420">
        <v>182.52</v>
      </c>
      <c r="D140" s="1439"/>
      <c r="E140" s="1420">
        <v>9341.77</v>
      </c>
      <c r="F140" s="1439"/>
      <c r="G140" s="1421">
        <v>0.19</v>
      </c>
      <c r="H140" s="1439"/>
      <c r="I140" s="1420">
        <v>9976.48</v>
      </c>
      <c r="J140" s="1439"/>
      <c r="K140" s="1420">
        <v>9854.86</v>
      </c>
      <c r="L140" s="1439"/>
      <c r="M140" s="1422">
        <v>587509160</v>
      </c>
      <c r="N140" s="1439"/>
      <c r="O140" s="1422">
        <v>25</v>
      </c>
      <c r="P140" s="1439"/>
      <c r="Q140" s="1422">
        <v>25</v>
      </c>
      <c r="R140" s="1439"/>
      <c r="S140" s="1422">
        <v>0</v>
      </c>
      <c r="T140" s="1439"/>
      <c r="U140" s="1422">
        <v>0</v>
      </c>
      <c r="V140" s="1439"/>
      <c r="W140" s="1420">
        <v>14.5</v>
      </c>
      <c r="X140" s="1439"/>
      <c r="Y140" s="1420">
        <v>39.5</v>
      </c>
      <c r="Z140" s="1439"/>
      <c r="AA140" s="1420">
        <v>58859340.969999999</v>
      </c>
      <c r="AB140" s="1455"/>
      <c r="AC140" s="1424">
        <v>21506591.149999999</v>
      </c>
      <c r="AD140" s="1422">
        <v>28553000</v>
      </c>
      <c r="AE140" s="1420">
        <v>4346048.54</v>
      </c>
      <c r="AF140" s="1420">
        <v>1671045.6</v>
      </c>
      <c r="AG140" s="1420">
        <v>935.75</v>
      </c>
      <c r="AH140" s="1456">
        <v>0</v>
      </c>
      <c r="AI140" s="1428">
        <v>45516036</v>
      </c>
      <c r="AJ140" s="1422">
        <v>46956836</v>
      </c>
      <c r="AK140" s="1422">
        <v>202022</v>
      </c>
      <c r="AL140" s="1422">
        <v>0</v>
      </c>
      <c r="AM140" s="1422">
        <v>730364</v>
      </c>
      <c r="AN140" s="1422">
        <v>0</v>
      </c>
      <c r="AO140" s="1422">
        <v>0</v>
      </c>
      <c r="AP140" s="1422">
        <v>0</v>
      </c>
      <c r="AQ140" s="1422">
        <v>0</v>
      </c>
      <c r="AR140" s="1422">
        <v>0</v>
      </c>
      <c r="AS140" s="1422">
        <v>0</v>
      </c>
      <c r="AT140" s="1422">
        <v>0</v>
      </c>
      <c r="AU140" s="1422">
        <v>306981</v>
      </c>
      <c r="AV140" s="1422">
        <v>245584</v>
      </c>
      <c r="AW140" s="1422">
        <v>0</v>
      </c>
      <c r="AX140" s="1422">
        <v>0</v>
      </c>
      <c r="AY140" s="1420">
        <v>72608978.439999998</v>
      </c>
      <c r="AZ140" s="1420">
        <v>77426465.599999994</v>
      </c>
      <c r="BA140" s="1422">
        <v>0</v>
      </c>
      <c r="BB140" s="1422">
        <v>0</v>
      </c>
      <c r="BC140" s="1422">
        <v>407597</v>
      </c>
      <c r="BD140" s="1422">
        <v>424057</v>
      </c>
      <c r="BE140" s="1420">
        <v>55772.03</v>
      </c>
      <c r="BF140" s="1422">
        <v>34800</v>
      </c>
      <c r="BG140" s="1422">
        <v>14244</v>
      </c>
      <c r="BH140" s="1422">
        <v>11550</v>
      </c>
      <c r="BI140" s="1422">
        <v>523802</v>
      </c>
      <c r="BJ140" s="1422">
        <v>786348</v>
      </c>
      <c r="BK140" s="1422">
        <v>38090</v>
      </c>
      <c r="BL140" s="1422">
        <v>38090</v>
      </c>
      <c r="BM140" s="1422">
        <v>1903268</v>
      </c>
      <c r="BN140" s="1422">
        <v>1783960</v>
      </c>
      <c r="BO140" s="1420">
        <v>236754.13</v>
      </c>
      <c r="BP140" s="1422">
        <v>72372</v>
      </c>
      <c r="BQ140" s="1420">
        <v>109211.9</v>
      </c>
      <c r="BR140" s="1422">
        <v>19500</v>
      </c>
      <c r="BS140" s="1420">
        <v>27600.29</v>
      </c>
      <c r="BT140" s="1422">
        <v>27000</v>
      </c>
      <c r="BU140" s="1422">
        <v>0</v>
      </c>
      <c r="BV140" s="1422">
        <v>0</v>
      </c>
      <c r="BW140" s="1422">
        <v>882550</v>
      </c>
      <c r="BX140" s="1422">
        <v>874800</v>
      </c>
      <c r="BY140" s="1422">
        <v>0</v>
      </c>
      <c r="BZ140" s="1422">
        <v>0</v>
      </c>
      <c r="CA140" s="1420">
        <v>4643997.92</v>
      </c>
      <c r="CB140" s="1420">
        <v>11167307.26</v>
      </c>
      <c r="CC140" s="1420">
        <v>8842887.2699999996</v>
      </c>
      <c r="CD140" s="1420">
        <v>15239784.26</v>
      </c>
      <c r="CE140" s="1420">
        <v>7614514.1100000003</v>
      </c>
      <c r="CF140" s="1420">
        <v>8721659.6199999992</v>
      </c>
      <c r="CG140" s="1420">
        <v>6053.86</v>
      </c>
      <c r="CH140" s="1422">
        <v>0</v>
      </c>
      <c r="CI140" s="1422">
        <v>0</v>
      </c>
      <c r="CJ140" s="1422">
        <v>0</v>
      </c>
      <c r="CK140" s="1422">
        <v>0</v>
      </c>
      <c r="CL140" s="1422">
        <v>0</v>
      </c>
      <c r="CM140" s="1420">
        <v>128458.13</v>
      </c>
      <c r="CN140" s="1422">
        <v>0</v>
      </c>
      <c r="CO140" s="1422">
        <v>0</v>
      </c>
      <c r="CP140" s="1422">
        <v>0</v>
      </c>
      <c r="CQ140" s="1422">
        <v>0</v>
      </c>
      <c r="CR140" s="1422">
        <v>0</v>
      </c>
      <c r="CS140" s="1420">
        <v>134511.99</v>
      </c>
      <c r="CT140" s="1422">
        <v>0</v>
      </c>
      <c r="CU140" s="1420">
        <v>89200891.810000002</v>
      </c>
      <c r="CV140" s="1420">
        <v>101387909.48</v>
      </c>
      <c r="CW140" s="1420">
        <v>32839149.670000002</v>
      </c>
      <c r="CX140" s="1420">
        <v>32510871.670000002</v>
      </c>
      <c r="CY140" s="1420">
        <v>8091047.2400000002</v>
      </c>
      <c r="CZ140" s="1420">
        <v>9008827.5700000003</v>
      </c>
      <c r="DA140" s="1420">
        <v>2362325.1</v>
      </c>
      <c r="DB140" s="1420">
        <v>2313195.0299999998</v>
      </c>
      <c r="DC140" s="1422">
        <v>0</v>
      </c>
      <c r="DD140" s="1422">
        <v>0</v>
      </c>
      <c r="DE140" s="1420">
        <v>750546.05</v>
      </c>
      <c r="DF140" s="1420">
        <v>623124.91</v>
      </c>
      <c r="DG140" s="1420">
        <v>2744273.3</v>
      </c>
      <c r="DH140" s="1420">
        <v>3336506.31</v>
      </c>
      <c r="DI140" s="1420">
        <v>46787341.359999999</v>
      </c>
      <c r="DJ140" s="1420">
        <v>47792525.490000002</v>
      </c>
      <c r="DK140" s="1420">
        <v>1034709.7</v>
      </c>
      <c r="DL140" s="1420">
        <v>1159376.51</v>
      </c>
      <c r="DM140" s="1420">
        <v>1711134.26</v>
      </c>
      <c r="DN140" s="1420">
        <v>2048932.96</v>
      </c>
      <c r="DO140" s="1420">
        <v>7191336.0800000001</v>
      </c>
      <c r="DP140" s="1420">
        <v>7179383.9900000002</v>
      </c>
      <c r="DQ140" s="1420">
        <v>3480510.2</v>
      </c>
      <c r="DR140" s="1420">
        <v>3593429.88</v>
      </c>
      <c r="DS140" s="1420">
        <v>86053.51</v>
      </c>
      <c r="DT140" s="1422">
        <v>50000</v>
      </c>
      <c r="DU140" s="1420">
        <v>13503743.75</v>
      </c>
      <c r="DV140" s="1420">
        <v>14031123.34</v>
      </c>
      <c r="DW140" s="1420">
        <v>3984223.95</v>
      </c>
      <c r="DX140" s="1420">
        <v>4236009.12</v>
      </c>
      <c r="DY140" s="1420">
        <v>7209230.7300000004</v>
      </c>
      <c r="DZ140" s="1420">
        <v>7016200.3200000003</v>
      </c>
      <c r="EA140" s="1420">
        <v>4013358.73</v>
      </c>
      <c r="EB140" s="1420">
        <v>4118079.55</v>
      </c>
      <c r="EC140" s="1420">
        <v>15206813.41</v>
      </c>
      <c r="ED140" s="1420">
        <v>15370288.99</v>
      </c>
      <c r="EE140" s="1420">
        <v>3497949.73</v>
      </c>
      <c r="EF140" s="1420">
        <v>3606149.63</v>
      </c>
      <c r="EG140" s="1420">
        <v>468232.54</v>
      </c>
      <c r="EH140" s="1422">
        <v>0</v>
      </c>
      <c r="EI140" s="1420">
        <v>11118.01</v>
      </c>
      <c r="EJ140" s="1422">
        <v>15000</v>
      </c>
      <c r="EK140" s="1422">
        <v>0</v>
      </c>
      <c r="EL140" s="1422">
        <v>0</v>
      </c>
      <c r="EM140" s="1420">
        <v>3977300.28</v>
      </c>
      <c r="EN140" s="1420">
        <v>3621149.63</v>
      </c>
      <c r="EO140" s="1420">
        <v>10473482.32</v>
      </c>
      <c r="EP140" s="1422">
        <v>20021551</v>
      </c>
      <c r="EQ140" s="1420">
        <v>2668807.79</v>
      </c>
      <c r="ER140" s="1422">
        <v>4050564</v>
      </c>
      <c r="ES140" s="1420">
        <v>333612.59999999998</v>
      </c>
      <c r="ET140" s="1422">
        <v>0</v>
      </c>
      <c r="EU140" s="1420">
        <v>92951101.510000005</v>
      </c>
      <c r="EV140" s="1420">
        <v>104887202.45</v>
      </c>
      <c r="EW140" s="1420">
        <v>11864608.23</v>
      </c>
      <c r="EX140" s="1422">
        <v>21196141</v>
      </c>
      <c r="EY140" s="1420">
        <v>2668807.79</v>
      </c>
      <c r="EZ140" s="1422">
        <v>4050564</v>
      </c>
      <c r="FA140" s="1420">
        <v>78417685.489999995</v>
      </c>
      <c r="FB140" s="1420">
        <v>79640497.450000003</v>
      </c>
      <c r="FC140" s="1420">
        <v>5280611.62</v>
      </c>
      <c r="FD140" s="1439"/>
      <c r="FE140" s="1420">
        <v>73137073.870000005</v>
      </c>
      <c r="FF140" s="1439"/>
      <c r="FG140" s="1422">
        <v>7829</v>
      </c>
      <c r="FH140" s="1439"/>
      <c r="FI140" s="1420">
        <v>616.34</v>
      </c>
      <c r="FJ140" s="1439"/>
      <c r="FK140" s="1422">
        <v>49445</v>
      </c>
      <c r="FL140" s="1439"/>
      <c r="FM140" s="1420">
        <v>682.15</v>
      </c>
      <c r="FN140" s="1439"/>
      <c r="FO140" s="1422">
        <v>51704</v>
      </c>
      <c r="FP140" s="1439"/>
      <c r="FQ140" s="1420">
        <v>6148741.8600000003</v>
      </c>
      <c r="FR140" s="1439"/>
      <c r="FS140" s="1420">
        <v>234386.1</v>
      </c>
      <c r="FT140" s="1439"/>
      <c r="FU140" s="1422">
        <v>0</v>
      </c>
      <c r="FV140" s="1439"/>
      <c r="FW140" s="1420">
        <v>5914355.7599999998</v>
      </c>
      <c r="FX140" s="1439"/>
      <c r="FY140" s="1420">
        <v>10907943.1</v>
      </c>
      <c r="FZ140" s="1439"/>
      <c r="GA140" s="1422">
        <v>0</v>
      </c>
      <c r="GB140" s="1439"/>
    </row>
    <row r="141" spans="1:184" ht="12.75" customHeight="1" thickBot="1">
      <c r="A141" s="1418" t="s">
        <v>332</v>
      </c>
      <c r="B141" s="1418" t="s">
        <v>333</v>
      </c>
      <c r="C141" s="1420">
        <v>739.93</v>
      </c>
      <c r="D141" s="1439"/>
      <c r="E141" s="1420">
        <v>2223.33</v>
      </c>
      <c r="F141" s="1439"/>
      <c r="G141" s="1421">
        <v>-0.05</v>
      </c>
      <c r="H141" s="1439"/>
      <c r="I141" s="1420">
        <v>2313.9699999999998</v>
      </c>
      <c r="J141" s="1439"/>
      <c r="K141" s="1420">
        <v>2342.0100000000002</v>
      </c>
      <c r="L141" s="1439"/>
      <c r="M141" s="1422">
        <v>157248944</v>
      </c>
      <c r="N141" s="1439"/>
      <c r="O141" s="1422">
        <v>25</v>
      </c>
      <c r="P141" s="1439"/>
      <c r="Q141" s="1422">
        <v>25</v>
      </c>
      <c r="R141" s="1439"/>
      <c r="S141" s="1422">
        <v>0</v>
      </c>
      <c r="T141" s="1439"/>
      <c r="U141" s="1422">
        <v>0</v>
      </c>
      <c r="V141" s="1439"/>
      <c r="W141" s="1420">
        <v>7.1</v>
      </c>
      <c r="X141" s="1439"/>
      <c r="Y141" s="1420">
        <v>32.1</v>
      </c>
      <c r="Z141" s="1439"/>
      <c r="AA141" s="1422">
        <v>7855000</v>
      </c>
      <c r="AB141" s="1455"/>
      <c r="AC141" s="1424">
        <v>4613277.04</v>
      </c>
      <c r="AD141" s="1420">
        <v>5339319.9000000004</v>
      </c>
      <c r="AE141" s="1420">
        <v>802958.45</v>
      </c>
      <c r="AF141" s="1422">
        <v>546375</v>
      </c>
      <c r="AG141" s="1422">
        <v>150000</v>
      </c>
      <c r="AH141" s="1456">
        <v>75000</v>
      </c>
      <c r="AI141" s="1428">
        <v>10321564</v>
      </c>
      <c r="AJ141" s="1422">
        <v>10275422</v>
      </c>
      <c r="AK141" s="1422">
        <v>148052</v>
      </c>
      <c r="AL141" s="1422">
        <v>0</v>
      </c>
      <c r="AM141" s="1422">
        <v>0</v>
      </c>
      <c r="AN141" s="1422">
        <v>0</v>
      </c>
      <c r="AO141" s="1422">
        <v>0</v>
      </c>
      <c r="AP141" s="1422">
        <v>0</v>
      </c>
      <c r="AQ141" s="1422">
        <v>0</v>
      </c>
      <c r="AR141" s="1422">
        <v>0</v>
      </c>
      <c r="AS141" s="1422">
        <v>189739</v>
      </c>
      <c r="AT141" s="1422">
        <v>190000</v>
      </c>
      <c r="AU141" s="1422">
        <v>46953</v>
      </c>
      <c r="AV141" s="1422">
        <v>37562</v>
      </c>
      <c r="AW141" s="1422">
        <v>0</v>
      </c>
      <c r="AX141" s="1422">
        <v>0</v>
      </c>
      <c r="AY141" s="1420">
        <v>16272543.49</v>
      </c>
      <c r="AZ141" s="1420">
        <v>16463678.9</v>
      </c>
      <c r="BA141" s="1422">
        <v>0</v>
      </c>
      <c r="BB141" s="1422">
        <v>0</v>
      </c>
      <c r="BC141" s="1422">
        <v>96866</v>
      </c>
      <c r="BD141" s="1420">
        <v>98202.1</v>
      </c>
      <c r="BE141" s="1420">
        <v>392511.46</v>
      </c>
      <c r="BF141" s="1422">
        <v>200000</v>
      </c>
      <c r="BG141" s="1422">
        <v>1900</v>
      </c>
      <c r="BH141" s="1422">
        <v>0</v>
      </c>
      <c r="BI141" s="1422">
        <v>79594</v>
      </c>
      <c r="BJ141" s="1422">
        <v>79594</v>
      </c>
      <c r="BK141" s="1422">
        <v>39262</v>
      </c>
      <c r="BL141" s="1422">
        <v>39262</v>
      </c>
      <c r="BM141" s="1422">
        <v>669600</v>
      </c>
      <c r="BN141" s="1422">
        <v>697774</v>
      </c>
      <c r="BO141" s="1420">
        <v>20250.34</v>
      </c>
      <c r="BP141" s="1422">
        <v>20000</v>
      </c>
      <c r="BQ141" s="1422">
        <v>0</v>
      </c>
      <c r="BR141" s="1422">
        <v>0</v>
      </c>
      <c r="BS141" s="1422">
        <v>0</v>
      </c>
      <c r="BT141" s="1422">
        <v>8000</v>
      </c>
      <c r="BU141" s="1422">
        <v>0</v>
      </c>
      <c r="BV141" s="1422">
        <v>0</v>
      </c>
      <c r="BW141" s="1422">
        <v>101228</v>
      </c>
      <c r="BX141" s="1422">
        <v>97500</v>
      </c>
      <c r="BY141" s="1422">
        <v>0</v>
      </c>
      <c r="BZ141" s="1422">
        <v>0</v>
      </c>
      <c r="CA141" s="1420">
        <v>478594.8</v>
      </c>
      <c r="CB141" s="1422">
        <v>103661</v>
      </c>
      <c r="CC141" s="1420">
        <v>1879806.6</v>
      </c>
      <c r="CD141" s="1420">
        <v>1343993.1</v>
      </c>
      <c r="CE141" s="1420">
        <v>3823097.37</v>
      </c>
      <c r="CF141" s="1420">
        <v>2732839.91</v>
      </c>
      <c r="CG141" s="1422">
        <v>0</v>
      </c>
      <c r="CH141" s="1422">
        <v>0</v>
      </c>
      <c r="CI141" s="1422">
        <v>0</v>
      </c>
      <c r="CJ141" s="1422">
        <v>0</v>
      </c>
      <c r="CK141" s="1422">
        <v>0</v>
      </c>
      <c r="CL141" s="1422">
        <v>0</v>
      </c>
      <c r="CM141" s="1422">
        <v>0</v>
      </c>
      <c r="CN141" s="1422">
        <v>0</v>
      </c>
      <c r="CO141" s="1422">
        <v>0</v>
      </c>
      <c r="CP141" s="1422">
        <v>0</v>
      </c>
      <c r="CQ141" s="1422">
        <v>0</v>
      </c>
      <c r="CR141" s="1422">
        <v>0</v>
      </c>
      <c r="CS141" s="1422">
        <v>0</v>
      </c>
      <c r="CT141" s="1422">
        <v>0</v>
      </c>
      <c r="CU141" s="1420">
        <v>21975447.460000001</v>
      </c>
      <c r="CV141" s="1420">
        <v>20540511.91</v>
      </c>
      <c r="CW141" s="1420">
        <v>8138224.9100000001</v>
      </c>
      <c r="CX141" s="1420">
        <v>7624016.1200000001</v>
      </c>
      <c r="CY141" s="1420">
        <v>1496456.98</v>
      </c>
      <c r="CZ141" s="1422">
        <v>1481925</v>
      </c>
      <c r="DA141" s="1420">
        <v>698777.69</v>
      </c>
      <c r="DB141" s="1422">
        <v>799567</v>
      </c>
      <c r="DC141" s="1422">
        <v>0</v>
      </c>
      <c r="DD141" s="1422">
        <v>0</v>
      </c>
      <c r="DE141" s="1420">
        <v>948379.06</v>
      </c>
      <c r="DF141" s="1422">
        <v>851591</v>
      </c>
      <c r="DG141" s="1420">
        <v>692059.38</v>
      </c>
      <c r="DH141" s="1420">
        <v>779341.42</v>
      </c>
      <c r="DI141" s="1420">
        <v>11973898.02</v>
      </c>
      <c r="DJ141" s="1420">
        <v>11536440.539999999</v>
      </c>
      <c r="DK141" s="1420">
        <v>352361.46</v>
      </c>
      <c r="DL141" s="1420">
        <v>393020.07</v>
      </c>
      <c r="DM141" s="1420">
        <v>380564.83</v>
      </c>
      <c r="DN141" s="1420">
        <v>533686.56000000006</v>
      </c>
      <c r="DO141" s="1420">
        <v>2092257.87</v>
      </c>
      <c r="DP141" s="1420">
        <v>2151076.37</v>
      </c>
      <c r="DQ141" s="1420">
        <v>1516266.26</v>
      </c>
      <c r="DR141" s="1422">
        <v>1416412</v>
      </c>
      <c r="DS141" s="1420">
        <v>84688.53</v>
      </c>
      <c r="DT141" s="1422">
        <v>2000</v>
      </c>
      <c r="DU141" s="1420">
        <v>4426138.95</v>
      </c>
      <c r="DV141" s="1422">
        <v>4496195</v>
      </c>
      <c r="DW141" s="1420">
        <v>631033.69999999995</v>
      </c>
      <c r="DX141" s="1422">
        <v>715474</v>
      </c>
      <c r="DY141" s="1420">
        <v>1763766.58</v>
      </c>
      <c r="DZ141" s="1420">
        <v>1378525.65</v>
      </c>
      <c r="EA141" s="1420">
        <v>963747.83</v>
      </c>
      <c r="EB141" s="1422">
        <v>962420</v>
      </c>
      <c r="EC141" s="1420">
        <v>3358548.11</v>
      </c>
      <c r="ED141" s="1420">
        <v>3056419.65</v>
      </c>
      <c r="EE141" s="1420">
        <v>1157557.57</v>
      </c>
      <c r="EF141" s="1422">
        <v>1140919</v>
      </c>
      <c r="EG141" s="1422">
        <v>0</v>
      </c>
      <c r="EH141" s="1422">
        <v>0</v>
      </c>
      <c r="EI141" s="1420">
        <v>222576.22</v>
      </c>
      <c r="EJ141" s="1422">
        <v>129288</v>
      </c>
      <c r="EK141" s="1422">
        <v>0</v>
      </c>
      <c r="EL141" s="1422">
        <v>0</v>
      </c>
      <c r="EM141" s="1420">
        <v>1380133.79</v>
      </c>
      <c r="EN141" s="1422">
        <v>1270207</v>
      </c>
      <c r="EO141" s="1420">
        <v>1564560.63</v>
      </c>
      <c r="EP141" s="1422">
        <v>1428545</v>
      </c>
      <c r="EQ141" s="1420">
        <v>498092.5</v>
      </c>
      <c r="ER141" s="1420">
        <v>497077.5</v>
      </c>
      <c r="ES141" s="1422">
        <v>0</v>
      </c>
      <c r="ET141" s="1422">
        <v>0</v>
      </c>
      <c r="EU141" s="1422">
        <v>23201372</v>
      </c>
      <c r="EV141" s="1420">
        <v>22284884.690000001</v>
      </c>
      <c r="EW141" s="1420">
        <v>2260549.34</v>
      </c>
      <c r="EX141" s="1422">
        <v>1850628</v>
      </c>
      <c r="EY141" s="1420">
        <v>498092.5</v>
      </c>
      <c r="EZ141" s="1420">
        <v>497077.5</v>
      </c>
      <c r="FA141" s="1420">
        <v>20442730.16</v>
      </c>
      <c r="FB141" s="1420">
        <v>19937179.190000001</v>
      </c>
      <c r="FC141" s="1420">
        <v>895360.18</v>
      </c>
      <c r="FD141" s="1439"/>
      <c r="FE141" s="1420">
        <v>19547369.98</v>
      </c>
      <c r="FF141" s="1439"/>
      <c r="FG141" s="1422">
        <v>8791</v>
      </c>
      <c r="FH141" s="1439"/>
      <c r="FI141" s="1420">
        <v>159.51</v>
      </c>
      <c r="FJ141" s="1439"/>
      <c r="FK141" s="1422">
        <v>48129</v>
      </c>
      <c r="FL141" s="1439"/>
      <c r="FM141" s="1420">
        <v>175.33</v>
      </c>
      <c r="FN141" s="1439"/>
      <c r="FO141" s="1422">
        <v>49801</v>
      </c>
      <c r="FP141" s="1439"/>
      <c r="FQ141" s="1420">
        <v>1815506.95</v>
      </c>
      <c r="FR141" s="1439"/>
      <c r="FS141" s="1420">
        <v>193395.19</v>
      </c>
      <c r="FT141" s="1439"/>
      <c r="FU141" s="1422">
        <v>0</v>
      </c>
      <c r="FV141" s="1439"/>
      <c r="FW141" s="1420">
        <v>1622111.76</v>
      </c>
      <c r="FX141" s="1439"/>
      <c r="FY141" s="1420">
        <v>5323505.07</v>
      </c>
      <c r="FZ141" s="1439"/>
      <c r="GA141" s="1422">
        <v>0</v>
      </c>
      <c r="GB141" s="1439"/>
    </row>
    <row r="142" spans="1:184" ht="12.75" customHeight="1" thickBot="1">
      <c r="A142" s="1418" t="s">
        <v>334</v>
      </c>
      <c r="B142" s="1418" t="s">
        <v>335</v>
      </c>
      <c r="C142" s="1420">
        <v>141.81</v>
      </c>
      <c r="D142" s="1439"/>
      <c r="E142" s="1420">
        <v>763.31</v>
      </c>
      <c r="F142" s="1439"/>
      <c r="G142" s="1421">
        <v>-0.1</v>
      </c>
      <c r="H142" s="1439"/>
      <c r="I142" s="1420">
        <v>812.61</v>
      </c>
      <c r="J142" s="1439"/>
      <c r="K142" s="1420">
        <v>845.76</v>
      </c>
      <c r="L142" s="1439"/>
      <c r="M142" s="1422">
        <v>96654994</v>
      </c>
      <c r="N142" s="1439"/>
      <c r="O142" s="1420">
        <v>30.8</v>
      </c>
      <c r="P142" s="1439"/>
      <c r="Q142" s="1422">
        <v>25</v>
      </c>
      <c r="R142" s="1439"/>
      <c r="S142" s="1420">
        <v>5.8</v>
      </c>
      <c r="T142" s="1439"/>
      <c r="U142" s="1422">
        <v>0</v>
      </c>
      <c r="V142" s="1439"/>
      <c r="W142" s="1420">
        <v>3.1</v>
      </c>
      <c r="X142" s="1439"/>
      <c r="Y142" s="1420">
        <v>33.9</v>
      </c>
      <c r="Z142" s="1439"/>
      <c r="AA142" s="1420">
        <v>2562919.25</v>
      </c>
      <c r="AB142" s="1455"/>
      <c r="AC142" s="1424">
        <v>2947610.74</v>
      </c>
      <c r="AD142" s="1422">
        <v>3114887</v>
      </c>
      <c r="AE142" s="1420">
        <v>663493.67000000004</v>
      </c>
      <c r="AF142" s="1420">
        <v>364140.74</v>
      </c>
      <c r="AG142" s="1420">
        <v>80.959999999999994</v>
      </c>
      <c r="AH142" s="1456">
        <v>17000</v>
      </c>
      <c r="AI142" s="1428">
        <v>2774753</v>
      </c>
      <c r="AJ142" s="1422">
        <v>2621067</v>
      </c>
      <c r="AK142" s="1422">
        <v>18109</v>
      </c>
      <c r="AL142" s="1422">
        <v>0</v>
      </c>
      <c r="AM142" s="1422">
        <v>0</v>
      </c>
      <c r="AN142" s="1422">
        <v>0</v>
      </c>
      <c r="AO142" s="1422">
        <v>81250</v>
      </c>
      <c r="AP142" s="1422">
        <v>97321</v>
      </c>
      <c r="AQ142" s="1422">
        <v>0</v>
      </c>
      <c r="AR142" s="1422">
        <v>0</v>
      </c>
      <c r="AS142" s="1422">
        <v>0</v>
      </c>
      <c r="AT142" s="1422">
        <v>0</v>
      </c>
      <c r="AU142" s="1422">
        <v>0</v>
      </c>
      <c r="AV142" s="1422">
        <v>0</v>
      </c>
      <c r="AW142" s="1422">
        <v>0</v>
      </c>
      <c r="AX142" s="1422">
        <v>0</v>
      </c>
      <c r="AY142" s="1420">
        <v>6485297.3700000001</v>
      </c>
      <c r="AZ142" s="1420">
        <v>6214415.7400000002</v>
      </c>
      <c r="BA142" s="1422">
        <v>0</v>
      </c>
      <c r="BB142" s="1422">
        <v>0</v>
      </c>
      <c r="BC142" s="1422">
        <v>34981</v>
      </c>
      <c r="BD142" s="1422">
        <v>34501</v>
      </c>
      <c r="BE142" s="1420">
        <v>7800.85</v>
      </c>
      <c r="BF142" s="1422">
        <v>0</v>
      </c>
      <c r="BG142" s="1422">
        <v>50</v>
      </c>
      <c r="BH142" s="1422">
        <v>0</v>
      </c>
      <c r="BI142" s="1422">
        <v>105841</v>
      </c>
      <c r="BJ142" s="1422">
        <v>78382</v>
      </c>
      <c r="BK142" s="1422">
        <v>0</v>
      </c>
      <c r="BL142" s="1422">
        <v>0</v>
      </c>
      <c r="BM142" s="1422">
        <v>269824</v>
      </c>
      <c r="BN142" s="1422">
        <v>264132</v>
      </c>
      <c r="BO142" s="1420">
        <v>96182.85</v>
      </c>
      <c r="BP142" s="1422">
        <v>40000</v>
      </c>
      <c r="BQ142" s="1420">
        <v>2437.52</v>
      </c>
      <c r="BR142" s="1422">
        <v>1500</v>
      </c>
      <c r="BS142" s="1420">
        <v>3396.22</v>
      </c>
      <c r="BT142" s="1422">
        <v>3200</v>
      </c>
      <c r="BU142" s="1422">
        <v>0</v>
      </c>
      <c r="BV142" s="1422">
        <v>0</v>
      </c>
      <c r="BW142" s="1422">
        <v>292740</v>
      </c>
      <c r="BX142" s="1422">
        <v>306600</v>
      </c>
      <c r="BY142" s="1422">
        <v>0</v>
      </c>
      <c r="BZ142" s="1422">
        <v>0</v>
      </c>
      <c r="CA142" s="1422">
        <v>11030</v>
      </c>
      <c r="CB142" s="1422">
        <v>7817</v>
      </c>
      <c r="CC142" s="1420">
        <v>824283.44</v>
      </c>
      <c r="CD142" s="1422">
        <v>736132</v>
      </c>
      <c r="CE142" s="1420">
        <v>1593493.75</v>
      </c>
      <c r="CF142" s="1420">
        <v>1903531.76</v>
      </c>
      <c r="CG142" s="1422">
        <v>0</v>
      </c>
      <c r="CH142" s="1422">
        <v>0</v>
      </c>
      <c r="CI142" s="1422">
        <v>0</v>
      </c>
      <c r="CJ142" s="1422">
        <v>0</v>
      </c>
      <c r="CK142" s="1422">
        <v>0</v>
      </c>
      <c r="CL142" s="1422">
        <v>0</v>
      </c>
      <c r="CM142" s="1422">
        <v>0</v>
      </c>
      <c r="CN142" s="1422">
        <v>0</v>
      </c>
      <c r="CO142" s="1422">
        <v>0</v>
      </c>
      <c r="CP142" s="1422">
        <v>0</v>
      </c>
      <c r="CQ142" s="1422">
        <v>0</v>
      </c>
      <c r="CR142" s="1422">
        <v>0</v>
      </c>
      <c r="CS142" s="1422">
        <v>0</v>
      </c>
      <c r="CT142" s="1422">
        <v>0</v>
      </c>
      <c r="CU142" s="1420">
        <v>8903074.5600000005</v>
      </c>
      <c r="CV142" s="1420">
        <v>8854079.5</v>
      </c>
      <c r="CW142" s="1420">
        <v>3211281.49</v>
      </c>
      <c r="CX142" s="1420">
        <v>3029550.22</v>
      </c>
      <c r="CY142" s="1420">
        <v>610409.43999999994</v>
      </c>
      <c r="CZ142" s="1420">
        <v>655128.02</v>
      </c>
      <c r="DA142" s="1420">
        <v>175136.04</v>
      </c>
      <c r="DB142" s="1420">
        <v>215919.28</v>
      </c>
      <c r="DC142" s="1422">
        <v>0</v>
      </c>
      <c r="DD142" s="1422">
        <v>0</v>
      </c>
      <c r="DE142" s="1420">
        <v>494937.7</v>
      </c>
      <c r="DF142" s="1420">
        <v>450549.22</v>
      </c>
      <c r="DG142" s="1420">
        <v>490483.94</v>
      </c>
      <c r="DH142" s="1420">
        <v>473648.99</v>
      </c>
      <c r="DI142" s="1420">
        <v>4982248.6100000003</v>
      </c>
      <c r="DJ142" s="1420">
        <v>4824795.7300000004</v>
      </c>
      <c r="DK142" s="1420">
        <v>208286.41</v>
      </c>
      <c r="DL142" s="1420">
        <v>245430.36</v>
      </c>
      <c r="DM142" s="1420">
        <v>189039.63</v>
      </c>
      <c r="DN142" s="1420">
        <v>152831.69</v>
      </c>
      <c r="DO142" s="1420">
        <v>955070.93</v>
      </c>
      <c r="DP142" s="1420">
        <v>809073.25</v>
      </c>
      <c r="DQ142" s="1420">
        <v>332664.19</v>
      </c>
      <c r="DR142" s="1420">
        <v>307685.52</v>
      </c>
      <c r="DS142" s="1420">
        <v>34039.58</v>
      </c>
      <c r="DT142" s="1422">
        <v>33660</v>
      </c>
      <c r="DU142" s="1420">
        <v>1719100.74</v>
      </c>
      <c r="DV142" s="1420">
        <v>1548680.82</v>
      </c>
      <c r="DW142" s="1420">
        <v>255327.66</v>
      </c>
      <c r="DX142" s="1420">
        <v>266918.78999999998</v>
      </c>
      <c r="DY142" s="1420">
        <v>592747.59</v>
      </c>
      <c r="DZ142" s="1420">
        <v>575231.19999999995</v>
      </c>
      <c r="EA142" s="1420">
        <v>398879.81</v>
      </c>
      <c r="EB142" s="1420">
        <v>409607.91</v>
      </c>
      <c r="EC142" s="1420">
        <v>1246955.06</v>
      </c>
      <c r="ED142" s="1420">
        <v>1251757.8999999999</v>
      </c>
      <c r="EE142" s="1420">
        <v>433004.98</v>
      </c>
      <c r="EF142" s="1420">
        <v>409478.18</v>
      </c>
      <c r="EG142" s="1422">
        <v>0</v>
      </c>
      <c r="EH142" s="1422">
        <v>0</v>
      </c>
      <c r="EI142" s="1420">
        <v>25385.200000000001</v>
      </c>
      <c r="EJ142" s="1420">
        <v>6299.61</v>
      </c>
      <c r="EK142" s="1422">
        <v>0</v>
      </c>
      <c r="EL142" s="1422">
        <v>0</v>
      </c>
      <c r="EM142" s="1420">
        <v>458390.18</v>
      </c>
      <c r="EN142" s="1420">
        <v>415777.79</v>
      </c>
      <c r="EO142" s="1420">
        <v>459736.12</v>
      </c>
      <c r="EP142" s="1422">
        <v>1207866</v>
      </c>
      <c r="EQ142" s="1420">
        <v>127582.64</v>
      </c>
      <c r="ER142" s="1420">
        <v>157722.32999999999</v>
      </c>
      <c r="ES142" s="1422">
        <v>0</v>
      </c>
      <c r="ET142" s="1422">
        <v>0</v>
      </c>
      <c r="EU142" s="1420">
        <v>8994013.3499999996</v>
      </c>
      <c r="EV142" s="1420">
        <v>9406600.5700000003</v>
      </c>
      <c r="EW142" s="1420">
        <v>556999.69999999995</v>
      </c>
      <c r="EX142" s="1420">
        <v>1278783.96</v>
      </c>
      <c r="EY142" s="1420">
        <v>127582.64</v>
      </c>
      <c r="EZ142" s="1420">
        <v>157722.32999999999</v>
      </c>
      <c r="FA142" s="1420">
        <v>8309431.0099999998</v>
      </c>
      <c r="FB142" s="1420">
        <v>7970094.2800000003</v>
      </c>
      <c r="FC142" s="1420">
        <v>609995.54</v>
      </c>
      <c r="FD142" s="1439"/>
      <c r="FE142" s="1420">
        <v>7699435.4699999997</v>
      </c>
      <c r="FF142" s="1439"/>
      <c r="FG142" s="1422">
        <v>10086</v>
      </c>
      <c r="FH142" s="1439"/>
      <c r="FI142" s="1420">
        <v>69.77</v>
      </c>
      <c r="FJ142" s="1439"/>
      <c r="FK142" s="1422">
        <v>41075</v>
      </c>
      <c r="FL142" s="1439"/>
      <c r="FM142" s="1420">
        <v>75.209999999999994</v>
      </c>
      <c r="FN142" s="1439"/>
      <c r="FO142" s="1422">
        <v>43483</v>
      </c>
      <c r="FP142" s="1439"/>
      <c r="FQ142" s="1420">
        <v>730125.79</v>
      </c>
      <c r="FR142" s="1439"/>
      <c r="FS142" s="1420">
        <v>9237.7999999999993</v>
      </c>
      <c r="FT142" s="1439"/>
      <c r="FU142" s="1422">
        <v>0</v>
      </c>
      <c r="FV142" s="1439"/>
      <c r="FW142" s="1420">
        <v>720887.99</v>
      </c>
      <c r="FX142" s="1439"/>
      <c r="FY142" s="1420">
        <v>709450.18</v>
      </c>
      <c r="FZ142" s="1439"/>
      <c r="GA142" s="1422">
        <v>0</v>
      </c>
      <c r="GB142" s="1439"/>
    </row>
    <row r="143" spans="1:184" ht="12.75" customHeight="1" thickBot="1">
      <c r="A143" s="1418" t="s">
        <v>336</v>
      </c>
      <c r="B143" s="1418" t="s">
        <v>337</v>
      </c>
      <c r="C143" s="1420">
        <v>264.3</v>
      </c>
      <c r="D143" s="1439"/>
      <c r="E143" s="1420">
        <v>759.56</v>
      </c>
      <c r="F143" s="1439"/>
      <c r="G143" s="1421">
        <v>-0.14000000000000001</v>
      </c>
      <c r="H143" s="1439"/>
      <c r="I143" s="1420">
        <v>812.16</v>
      </c>
      <c r="J143" s="1439"/>
      <c r="K143" s="1420">
        <v>829.1</v>
      </c>
      <c r="L143" s="1439"/>
      <c r="M143" s="1422">
        <v>59440083</v>
      </c>
      <c r="N143" s="1439"/>
      <c r="O143" s="1422">
        <v>25</v>
      </c>
      <c r="P143" s="1439"/>
      <c r="Q143" s="1422">
        <v>25</v>
      </c>
      <c r="R143" s="1439"/>
      <c r="S143" s="1422">
        <v>0</v>
      </c>
      <c r="T143" s="1439"/>
      <c r="U143" s="1422">
        <v>0</v>
      </c>
      <c r="V143" s="1439"/>
      <c r="W143" s="1420">
        <v>11.98</v>
      </c>
      <c r="X143" s="1439"/>
      <c r="Y143" s="1420">
        <v>36.979999999999997</v>
      </c>
      <c r="Z143" s="1439"/>
      <c r="AA143" s="1422">
        <v>7790000</v>
      </c>
      <c r="AB143" s="1455"/>
      <c r="AC143" s="1424">
        <v>2051852.2</v>
      </c>
      <c r="AD143" s="1420">
        <v>2117396.23</v>
      </c>
      <c r="AE143" s="1420">
        <v>321952.94</v>
      </c>
      <c r="AF143" s="1422">
        <v>135277</v>
      </c>
      <c r="AG143" s="1420">
        <v>91.06</v>
      </c>
      <c r="AH143" s="1456">
        <v>100</v>
      </c>
      <c r="AI143" s="1428">
        <v>3573025</v>
      </c>
      <c r="AJ143" s="1422">
        <v>3529825</v>
      </c>
      <c r="AK143" s="1422">
        <v>74355</v>
      </c>
      <c r="AL143" s="1422">
        <v>0</v>
      </c>
      <c r="AM143" s="1422">
        <v>0</v>
      </c>
      <c r="AN143" s="1422">
        <v>0</v>
      </c>
      <c r="AO143" s="1422">
        <v>92092</v>
      </c>
      <c r="AP143" s="1422">
        <v>49428</v>
      </c>
      <c r="AQ143" s="1422">
        <v>0</v>
      </c>
      <c r="AR143" s="1422">
        <v>0</v>
      </c>
      <c r="AS143" s="1422">
        <v>0</v>
      </c>
      <c r="AT143" s="1422">
        <v>0</v>
      </c>
      <c r="AU143" s="1422">
        <v>27741</v>
      </c>
      <c r="AV143" s="1422">
        <v>22193</v>
      </c>
      <c r="AW143" s="1422">
        <v>0</v>
      </c>
      <c r="AX143" s="1422">
        <v>0</v>
      </c>
      <c r="AY143" s="1420">
        <v>6141109.2000000002</v>
      </c>
      <c r="AZ143" s="1420">
        <v>5854219.2300000004</v>
      </c>
      <c r="BA143" s="1422">
        <v>0</v>
      </c>
      <c r="BB143" s="1422">
        <v>0</v>
      </c>
      <c r="BC143" s="1422">
        <v>34292</v>
      </c>
      <c r="BD143" s="1422">
        <v>34455</v>
      </c>
      <c r="BE143" s="1420">
        <v>22335.75</v>
      </c>
      <c r="BF143" s="1422">
        <v>0</v>
      </c>
      <c r="BG143" s="1422">
        <v>450</v>
      </c>
      <c r="BH143" s="1422">
        <v>0</v>
      </c>
      <c r="BI143" s="1422">
        <v>42540</v>
      </c>
      <c r="BJ143" s="1422">
        <v>58403</v>
      </c>
      <c r="BK143" s="1422">
        <v>0</v>
      </c>
      <c r="BL143" s="1422">
        <v>0</v>
      </c>
      <c r="BM143" s="1422">
        <v>275776</v>
      </c>
      <c r="BN143" s="1422">
        <v>275264</v>
      </c>
      <c r="BO143" s="1420">
        <v>70620.81</v>
      </c>
      <c r="BP143" s="1422">
        <v>0</v>
      </c>
      <c r="BQ143" s="1422">
        <v>22750</v>
      </c>
      <c r="BR143" s="1420">
        <v>28453.52</v>
      </c>
      <c r="BS143" s="1420">
        <v>2938.13</v>
      </c>
      <c r="BT143" s="1422">
        <v>2938</v>
      </c>
      <c r="BU143" s="1422">
        <v>0</v>
      </c>
      <c r="BV143" s="1422">
        <v>0</v>
      </c>
      <c r="BW143" s="1422">
        <v>0</v>
      </c>
      <c r="BX143" s="1422">
        <v>0</v>
      </c>
      <c r="BY143" s="1422">
        <v>0</v>
      </c>
      <c r="BZ143" s="1422">
        <v>0</v>
      </c>
      <c r="CA143" s="1420">
        <v>97752.53</v>
      </c>
      <c r="CB143" s="1422">
        <v>115279</v>
      </c>
      <c r="CC143" s="1420">
        <v>569455.22</v>
      </c>
      <c r="CD143" s="1420">
        <v>514792.52</v>
      </c>
      <c r="CE143" s="1420">
        <v>1973927.71</v>
      </c>
      <c r="CF143" s="1420">
        <v>1243349.06</v>
      </c>
      <c r="CG143" s="1420">
        <v>6561.91</v>
      </c>
      <c r="CH143" s="1422">
        <v>0</v>
      </c>
      <c r="CI143" s="1422">
        <v>0</v>
      </c>
      <c r="CJ143" s="1422">
        <v>0</v>
      </c>
      <c r="CK143" s="1422">
        <v>0</v>
      </c>
      <c r="CL143" s="1422">
        <v>0</v>
      </c>
      <c r="CM143" s="1422">
        <v>0</v>
      </c>
      <c r="CN143" s="1422">
        <v>0</v>
      </c>
      <c r="CO143" s="1422">
        <v>0</v>
      </c>
      <c r="CP143" s="1422">
        <v>0</v>
      </c>
      <c r="CQ143" s="1422">
        <v>0</v>
      </c>
      <c r="CR143" s="1422">
        <v>0</v>
      </c>
      <c r="CS143" s="1420">
        <v>6561.91</v>
      </c>
      <c r="CT143" s="1422">
        <v>0</v>
      </c>
      <c r="CU143" s="1420">
        <v>8691054.0399999991</v>
      </c>
      <c r="CV143" s="1420">
        <v>7612360.8099999996</v>
      </c>
      <c r="CW143" s="1420">
        <v>2744687.67</v>
      </c>
      <c r="CX143" s="1420">
        <v>2294775.25</v>
      </c>
      <c r="CY143" s="1420">
        <v>628192.93999999994</v>
      </c>
      <c r="CZ143" s="1420">
        <v>624582.74</v>
      </c>
      <c r="DA143" s="1420">
        <v>237971.38</v>
      </c>
      <c r="DB143" s="1420">
        <v>278243.17</v>
      </c>
      <c r="DC143" s="1422">
        <v>0</v>
      </c>
      <c r="DD143" s="1422">
        <v>0</v>
      </c>
      <c r="DE143" s="1420">
        <v>440751.46</v>
      </c>
      <c r="DF143" s="1420">
        <v>437874.88</v>
      </c>
      <c r="DG143" s="1420">
        <v>362074.92</v>
      </c>
      <c r="DH143" s="1420">
        <v>396381.77</v>
      </c>
      <c r="DI143" s="1420">
        <v>4413678.37</v>
      </c>
      <c r="DJ143" s="1420">
        <v>4031857.81</v>
      </c>
      <c r="DK143" s="1420">
        <v>204670.02</v>
      </c>
      <c r="DL143" s="1420">
        <v>183722.3</v>
      </c>
      <c r="DM143" s="1420">
        <v>195743.12</v>
      </c>
      <c r="DN143" s="1420">
        <v>187300.08</v>
      </c>
      <c r="DO143" s="1420">
        <v>877032.88</v>
      </c>
      <c r="DP143" s="1420">
        <v>841867.34</v>
      </c>
      <c r="DQ143" s="1420">
        <v>476705.2</v>
      </c>
      <c r="DR143" s="1420">
        <v>356426.69</v>
      </c>
      <c r="DS143" s="1420">
        <v>19097.61</v>
      </c>
      <c r="DT143" s="1422">
        <v>4242</v>
      </c>
      <c r="DU143" s="1420">
        <v>1773248.83</v>
      </c>
      <c r="DV143" s="1420">
        <v>1573558.41</v>
      </c>
      <c r="DW143" s="1420">
        <v>408244.83</v>
      </c>
      <c r="DX143" s="1420">
        <v>301931.34000000003</v>
      </c>
      <c r="DY143" s="1420">
        <v>409297.62</v>
      </c>
      <c r="DZ143" s="1420">
        <v>336385.15</v>
      </c>
      <c r="EA143" s="1420">
        <v>348397.44</v>
      </c>
      <c r="EB143" s="1420">
        <v>349469.41</v>
      </c>
      <c r="EC143" s="1420">
        <v>1165939.8899999999</v>
      </c>
      <c r="ED143" s="1420">
        <v>987785.9</v>
      </c>
      <c r="EE143" s="1420">
        <v>414434.31</v>
      </c>
      <c r="EF143" s="1420">
        <v>406216.92</v>
      </c>
      <c r="EG143" s="1420">
        <v>16551.849999999999</v>
      </c>
      <c r="EH143" s="1422">
        <v>0</v>
      </c>
      <c r="EI143" s="1420">
        <v>3090.67</v>
      </c>
      <c r="EJ143" s="1422">
        <v>2282</v>
      </c>
      <c r="EK143" s="1422">
        <v>0</v>
      </c>
      <c r="EL143" s="1422">
        <v>0</v>
      </c>
      <c r="EM143" s="1420">
        <v>434076.83</v>
      </c>
      <c r="EN143" s="1420">
        <v>408498.92</v>
      </c>
      <c r="EO143" s="1420">
        <v>24133.17</v>
      </c>
      <c r="EP143" s="1420">
        <v>22963.64</v>
      </c>
      <c r="EQ143" s="1420">
        <v>491842.72</v>
      </c>
      <c r="ER143" s="1420">
        <v>575273.76</v>
      </c>
      <c r="ES143" s="1420">
        <v>435.2</v>
      </c>
      <c r="ET143" s="1422">
        <v>0</v>
      </c>
      <c r="EU143" s="1420">
        <v>8303355.0099999998</v>
      </c>
      <c r="EV143" s="1420">
        <v>7599938.4400000004</v>
      </c>
      <c r="EW143" s="1420">
        <v>174571.72</v>
      </c>
      <c r="EX143" s="1420">
        <v>65681.64</v>
      </c>
      <c r="EY143" s="1420">
        <v>491842.72</v>
      </c>
      <c r="EZ143" s="1420">
        <v>575273.76</v>
      </c>
      <c r="FA143" s="1420">
        <v>7636940.5700000003</v>
      </c>
      <c r="FB143" s="1420">
        <v>6958983.04</v>
      </c>
      <c r="FC143" s="1420">
        <v>250674.86</v>
      </c>
      <c r="FD143" s="1439"/>
      <c r="FE143" s="1420">
        <v>7386265.71</v>
      </c>
      <c r="FF143" s="1439"/>
      <c r="FG143" s="1422">
        <v>9724</v>
      </c>
      <c r="FH143" s="1439"/>
      <c r="FI143" s="1420">
        <v>54.1</v>
      </c>
      <c r="FJ143" s="1439"/>
      <c r="FK143" s="1422">
        <v>43355</v>
      </c>
      <c r="FL143" s="1439"/>
      <c r="FM143" s="1420">
        <v>58.47</v>
      </c>
      <c r="FN143" s="1439"/>
      <c r="FO143" s="1422">
        <v>45503</v>
      </c>
      <c r="FP143" s="1439"/>
      <c r="FQ143" s="1420">
        <v>965326.69</v>
      </c>
      <c r="FR143" s="1439"/>
      <c r="FS143" s="1420">
        <v>39833.919999999998</v>
      </c>
      <c r="FT143" s="1439"/>
      <c r="FU143" s="1422">
        <v>0</v>
      </c>
      <c r="FV143" s="1439"/>
      <c r="FW143" s="1420">
        <v>925492.77</v>
      </c>
      <c r="FX143" s="1439"/>
      <c r="FY143" s="1420">
        <v>452346.09</v>
      </c>
      <c r="FZ143" s="1439"/>
      <c r="GA143" s="1422">
        <v>0</v>
      </c>
      <c r="GB143" s="1439"/>
    </row>
    <row r="144" spans="1:184" ht="12.75" customHeight="1" thickBot="1">
      <c r="A144" s="1418" t="s">
        <v>338</v>
      </c>
      <c r="B144" s="1418" t="s">
        <v>339</v>
      </c>
      <c r="C144" s="1420">
        <v>79.069999999999993</v>
      </c>
      <c r="D144" s="1439"/>
      <c r="E144" s="1420">
        <v>906.19</v>
      </c>
      <c r="F144" s="1439"/>
      <c r="G144" s="1421">
        <v>-0.03</v>
      </c>
      <c r="H144" s="1439"/>
      <c r="I144" s="1420">
        <v>938.87</v>
      </c>
      <c r="J144" s="1439"/>
      <c r="K144" s="1420">
        <v>922.65</v>
      </c>
      <c r="L144" s="1439"/>
      <c r="M144" s="1422">
        <v>35884728</v>
      </c>
      <c r="N144" s="1439"/>
      <c r="O144" s="1422">
        <v>25</v>
      </c>
      <c r="P144" s="1439"/>
      <c r="Q144" s="1422">
        <v>25</v>
      </c>
      <c r="R144" s="1439"/>
      <c r="S144" s="1422">
        <v>0</v>
      </c>
      <c r="T144" s="1439"/>
      <c r="U144" s="1422">
        <v>0</v>
      </c>
      <c r="V144" s="1439"/>
      <c r="W144" s="1422">
        <v>22</v>
      </c>
      <c r="X144" s="1439"/>
      <c r="Y144" s="1422">
        <v>47</v>
      </c>
      <c r="Z144" s="1439"/>
      <c r="AA144" s="1420">
        <v>6956599.3399999999</v>
      </c>
      <c r="AB144" s="1455"/>
      <c r="AC144" s="1424">
        <v>1519402.69</v>
      </c>
      <c r="AD144" s="1422">
        <v>1761000</v>
      </c>
      <c r="AE144" s="1420">
        <v>746638.04</v>
      </c>
      <c r="AF144" s="1422">
        <v>196900</v>
      </c>
      <c r="AG144" s="1420">
        <v>17273.12</v>
      </c>
      <c r="AH144" s="1456">
        <v>17500</v>
      </c>
      <c r="AI144" s="1428">
        <v>4733602</v>
      </c>
      <c r="AJ144" s="1422">
        <v>4874439</v>
      </c>
      <c r="AK144" s="1422">
        <v>11771</v>
      </c>
      <c r="AL144" s="1422">
        <v>22000</v>
      </c>
      <c r="AM144" s="1422">
        <v>96127</v>
      </c>
      <c r="AN144" s="1422">
        <v>0</v>
      </c>
      <c r="AO144" s="1422">
        <v>0</v>
      </c>
      <c r="AP144" s="1422">
        <v>0</v>
      </c>
      <c r="AQ144" s="1422">
        <v>0</v>
      </c>
      <c r="AR144" s="1422">
        <v>0</v>
      </c>
      <c r="AS144" s="1422">
        <v>0</v>
      </c>
      <c r="AT144" s="1422">
        <v>0</v>
      </c>
      <c r="AU144" s="1422">
        <v>99074</v>
      </c>
      <c r="AV144" s="1422">
        <v>79259</v>
      </c>
      <c r="AW144" s="1422">
        <v>0</v>
      </c>
      <c r="AX144" s="1422">
        <v>0</v>
      </c>
      <c r="AY144" s="1420">
        <v>7223887.8499999996</v>
      </c>
      <c r="AZ144" s="1422">
        <v>6951098</v>
      </c>
      <c r="BA144" s="1422">
        <v>0</v>
      </c>
      <c r="BB144" s="1422">
        <v>0</v>
      </c>
      <c r="BC144" s="1422">
        <v>38161</v>
      </c>
      <c r="BD144" s="1422">
        <v>39746</v>
      </c>
      <c r="BE144" s="1420">
        <v>3297.66</v>
      </c>
      <c r="BF144" s="1422">
        <v>10340</v>
      </c>
      <c r="BG144" s="1422">
        <v>100</v>
      </c>
      <c r="BH144" s="1422">
        <v>300</v>
      </c>
      <c r="BI144" s="1422">
        <v>46156</v>
      </c>
      <c r="BJ144" s="1422">
        <v>48082</v>
      </c>
      <c r="BK144" s="1422">
        <v>0</v>
      </c>
      <c r="BL144" s="1422">
        <v>0</v>
      </c>
      <c r="BM144" s="1422">
        <v>213776</v>
      </c>
      <c r="BN144" s="1422">
        <v>214038</v>
      </c>
      <c r="BO144" s="1420">
        <v>56607.49</v>
      </c>
      <c r="BP144" s="1422">
        <v>0</v>
      </c>
      <c r="BQ144" s="1422">
        <v>27625</v>
      </c>
      <c r="BR144" s="1422">
        <v>19500</v>
      </c>
      <c r="BS144" s="1420">
        <v>2672.41</v>
      </c>
      <c r="BT144" s="1422">
        <v>3300</v>
      </c>
      <c r="BU144" s="1422">
        <v>0</v>
      </c>
      <c r="BV144" s="1422">
        <v>0</v>
      </c>
      <c r="BW144" s="1422">
        <v>0</v>
      </c>
      <c r="BX144" s="1422">
        <v>0</v>
      </c>
      <c r="BY144" s="1422">
        <v>0</v>
      </c>
      <c r="BZ144" s="1422">
        <v>0</v>
      </c>
      <c r="CA144" s="1420">
        <v>293154.17</v>
      </c>
      <c r="CB144" s="1422">
        <v>172993</v>
      </c>
      <c r="CC144" s="1420">
        <v>681549.73</v>
      </c>
      <c r="CD144" s="1422">
        <v>508299</v>
      </c>
      <c r="CE144" s="1420">
        <v>1144852.83</v>
      </c>
      <c r="CF144" s="1420">
        <v>846887.76</v>
      </c>
      <c r="CG144" s="1422">
        <v>0</v>
      </c>
      <c r="CH144" s="1422">
        <v>0</v>
      </c>
      <c r="CI144" s="1422">
        <v>0</v>
      </c>
      <c r="CJ144" s="1422">
        <v>0</v>
      </c>
      <c r="CK144" s="1420">
        <v>4240.59</v>
      </c>
      <c r="CL144" s="1420">
        <v>4442.5600000000004</v>
      </c>
      <c r="CM144" s="1422">
        <v>0</v>
      </c>
      <c r="CN144" s="1422">
        <v>0</v>
      </c>
      <c r="CO144" s="1422">
        <v>0</v>
      </c>
      <c r="CP144" s="1422">
        <v>0</v>
      </c>
      <c r="CQ144" s="1422">
        <v>0</v>
      </c>
      <c r="CR144" s="1422">
        <v>0</v>
      </c>
      <c r="CS144" s="1420">
        <v>4240.59</v>
      </c>
      <c r="CT144" s="1420">
        <v>4442.5600000000004</v>
      </c>
      <c r="CU144" s="1422">
        <v>9054531</v>
      </c>
      <c r="CV144" s="1420">
        <v>8310727.3200000003</v>
      </c>
      <c r="CW144" s="1420">
        <v>4059017.72</v>
      </c>
      <c r="CX144" s="1420">
        <v>3704082.97</v>
      </c>
      <c r="CY144" s="1420">
        <v>387738.91</v>
      </c>
      <c r="CZ144" s="1420">
        <v>407658.85</v>
      </c>
      <c r="DA144" s="1420">
        <v>277942.15999999997</v>
      </c>
      <c r="DB144" s="1420">
        <v>234445.76</v>
      </c>
      <c r="DC144" s="1422">
        <v>0</v>
      </c>
      <c r="DD144" s="1422">
        <v>0</v>
      </c>
      <c r="DE144" s="1420">
        <v>201872.38</v>
      </c>
      <c r="DF144" s="1420">
        <v>128849.03</v>
      </c>
      <c r="DG144" s="1420">
        <v>142926.26999999999</v>
      </c>
      <c r="DH144" s="1420">
        <v>127518.19</v>
      </c>
      <c r="DI144" s="1420">
        <v>5069497.4400000004</v>
      </c>
      <c r="DJ144" s="1420">
        <v>4602554.8</v>
      </c>
      <c r="DK144" s="1420">
        <v>552447.54</v>
      </c>
      <c r="DL144" s="1420">
        <v>191915.48</v>
      </c>
      <c r="DM144" s="1420">
        <v>173534.8</v>
      </c>
      <c r="DN144" s="1422">
        <v>156732</v>
      </c>
      <c r="DO144" s="1420">
        <v>693885.04</v>
      </c>
      <c r="DP144" s="1420">
        <v>690692.52</v>
      </c>
      <c r="DQ144" s="1420">
        <v>510524.44</v>
      </c>
      <c r="DR144" s="1420">
        <v>459771.5</v>
      </c>
      <c r="DS144" s="1420">
        <v>5185.38</v>
      </c>
      <c r="DT144" s="1420">
        <v>19442.560000000001</v>
      </c>
      <c r="DU144" s="1420">
        <v>1935577.2</v>
      </c>
      <c r="DV144" s="1420">
        <v>1518554.06</v>
      </c>
      <c r="DW144" s="1420">
        <v>390704.69</v>
      </c>
      <c r="DX144" s="1420">
        <v>397974.55</v>
      </c>
      <c r="DY144" s="1420">
        <v>541380.36</v>
      </c>
      <c r="DZ144" s="1420">
        <v>601700.80000000005</v>
      </c>
      <c r="EA144" s="1420">
        <v>358479.53</v>
      </c>
      <c r="EB144" s="1420">
        <v>327739.12</v>
      </c>
      <c r="EC144" s="1420">
        <v>1290564.58</v>
      </c>
      <c r="ED144" s="1420">
        <v>1327414.47</v>
      </c>
      <c r="EE144" s="1420">
        <v>429136.12</v>
      </c>
      <c r="EF144" s="1422">
        <v>365800</v>
      </c>
      <c r="EG144" s="1422">
        <v>0</v>
      </c>
      <c r="EH144" s="1422">
        <v>0</v>
      </c>
      <c r="EI144" s="1420">
        <v>791.5</v>
      </c>
      <c r="EJ144" s="1422">
        <v>2000</v>
      </c>
      <c r="EK144" s="1422">
        <v>0</v>
      </c>
      <c r="EL144" s="1422">
        <v>0</v>
      </c>
      <c r="EM144" s="1420">
        <v>429927.62</v>
      </c>
      <c r="EN144" s="1422">
        <v>367800</v>
      </c>
      <c r="EO144" s="1420">
        <v>283028.34000000003</v>
      </c>
      <c r="EP144" s="1422">
        <v>77600</v>
      </c>
      <c r="EQ144" s="1420">
        <v>441561.26</v>
      </c>
      <c r="ER144" s="1422">
        <v>441740</v>
      </c>
      <c r="ES144" s="1422">
        <v>0</v>
      </c>
      <c r="ET144" s="1422">
        <v>0</v>
      </c>
      <c r="EU144" s="1420">
        <v>9450156.4399999995</v>
      </c>
      <c r="EV144" s="1420">
        <v>8335663.3300000001</v>
      </c>
      <c r="EW144" s="1420">
        <v>506134.92</v>
      </c>
      <c r="EX144" s="1420">
        <v>202666.66</v>
      </c>
      <c r="EY144" s="1420">
        <v>441561.26</v>
      </c>
      <c r="EZ144" s="1422">
        <v>441740</v>
      </c>
      <c r="FA144" s="1420">
        <v>8502460.2599999998</v>
      </c>
      <c r="FB144" s="1420">
        <v>7691256.6699999999</v>
      </c>
      <c r="FC144" s="1420">
        <v>748576.2</v>
      </c>
      <c r="FD144" s="1439"/>
      <c r="FE144" s="1420">
        <v>7753884.0599999996</v>
      </c>
      <c r="FF144" s="1439"/>
      <c r="FG144" s="1422">
        <v>8556</v>
      </c>
      <c r="FH144" s="1439"/>
      <c r="FI144" s="1420">
        <v>69.25</v>
      </c>
      <c r="FJ144" s="1439"/>
      <c r="FK144" s="1422">
        <v>47252</v>
      </c>
      <c r="FL144" s="1439"/>
      <c r="FM144" s="1420">
        <v>74.819999999999993</v>
      </c>
      <c r="FN144" s="1439"/>
      <c r="FO144" s="1422">
        <v>50024</v>
      </c>
      <c r="FP144" s="1439"/>
      <c r="FQ144" s="1420">
        <v>884324.1</v>
      </c>
      <c r="FR144" s="1439"/>
      <c r="FS144" s="1420">
        <v>20196.5</v>
      </c>
      <c r="FT144" s="1439"/>
      <c r="FU144" s="1422">
        <v>0</v>
      </c>
      <c r="FV144" s="1439"/>
      <c r="FW144" s="1420">
        <v>864127.6</v>
      </c>
      <c r="FX144" s="1439"/>
      <c r="FY144" s="1420">
        <v>231894.27</v>
      </c>
      <c r="FZ144" s="1439"/>
      <c r="GA144" s="1422">
        <v>0</v>
      </c>
      <c r="GB144" s="1439"/>
    </row>
    <row r="145" spans="1:184" ht="12.75" customHeight="1" thickBot="1">
      <c r="A145" s="1418" t="s">
        <v>340</v>
      </c>
      <c r="B145" s="1418" t="s">
        <v>341</v>
      </c>
      <c r="C145" s="1420">
        <v>280.5</v>
      </c>
      <c r="D145" s="1439"/>
      <c r="E145" s="1420">
        <v>970.53</v>
      </c>
      <c r="F145" s="1439"/>
      <c r="G145" s="1421">
        <v>0</v>
      </c>
      <c r="H145" s="1439"/>
      <c r="I145" s="1420">
        <v>1029.98</v>
      </c>
      <c r="J145" s="1439"/>
      <c r="K145" s="1420">
        <v>1022.93</v>
      </c>
      <c r="L145" s="1439"/>
      <c r="M145" s="1422">
        <v>45472906</v>
      </c>
      <c r="N145" s="1439"/>
      <c r="O145" s="1420">
        <v>25.1</v>
      </c>
      <c r="P145" s="1439"/>
      <c r="Q145" s="1422">
        <v>25</v>
      </c>
      <c r="R145" s="1439"/>
      <c r="S145" s="1420">
        <v>0.1</v>
      </c>
      <c r="T145" s="1439"/>
      <c r="U145" s="1422">
        <v>0</v>
      </c>
      <c r="V145" s="1439"/>
      <c r="W145" s="1420">
        <v>23.9</v>
      </c>
      <c r="X145" s="1439"/>
      <c r="Y145" s="1422">
        <v>49</v>
      </c>
      <c r="Z145" s="1439"/>
      <c r="AA145" s="1420">
        <v>7015394.21</v>
      </c>
      <c r="AB145" s="1455"/>
      <c r="AC145" s="1424">
        <v>2035767.82</v>
      </c>
      <c r="AD145" s="1422">
        <v>2116035</v>
      </c>
      <c r="AE145" s="1420">
        <v>588082.19999999995</v>
      </c>
      <c r="AF145" s="1422">
        <v>242838</v>
      </c>
      <c r="AG145" s="1420">
        <v>20899.28</v>
      </c>
      <c r="AH145" s="1456">
        <v>20899</v>
      </c>
      <c r="AI145" s="1428">
        <v>5089152</v>
      </c>
      <c r="AJ145" s="1422">
        <v>5240211</v>
      </c>
      <c r="AK145" s="1422">
        <v>34693</v>
      </c>
      <c r="AL145" s="1422">
        <v>0</v>
      </c>
      <c r="AM145" s="1422">
        <v>60817</v>
      </c>
      <c r="AN145" s="1422">
        <v>0</v>
      </c>
      <c r="AO145" s="1422">
        <v>0</v>
      </c>
      <c r="AP145" s="1422">
        <v>0</v>
      </c>
      <c r="AQ145" s="1422">
        <v>0</v>
      </c>
      <c r="AR145" s="1422">
        <v>0</v>
      </c>
      <c r="AS145" s="1422">
        <v>0</v>
      </c>
      <c r="AT145" s="1422">
        <v>0</v>
      </c>
      <c r="AU145" s="1422">
        <v>32742</v>
      </c>
      <c r="AV145" s="1422">
        <v>26194</v>
      </c>
      <c r="AW145" s="1422">
        <v>0</v>
      </c>
      <c r="AX145" s="1422">
        <v>0</v>
      </c>
      <c r="AY145" s="1420">
        <v>7862153.2999999998</v>
      </c>
      <c r="AZ145" s="1422">
        <v>7646177</v>
      </c>
      <c r="BA145" s="1422">
        <v>0</v>
      </c>
      <c r="BB145" s="1422">
        <v>0</v>
      </c>
      <c r="BC145" s="1422">
        <v>42308</v>
      </c>
      <c r="BD145" s="1422">
        <v>43906</v>
      </c>
      <c r="BE145" s="1420">
        <v>6697.66</v>
      </c>
      <c r="BF145" s="1422">
        <v>9400</v>
      </c>
      <c r="BG145" s="1422">
        <v>50</v>
      </c>
      <c r="BH145" s="1422">
        <v>0</v>
      </c>
      <c r="BI145" s="1422">
        <v>48593</v>
      </c>
      <c r="BJ145" s="1422">
        <v>66361</v>
      </c>
      <c r="BK145" s="1422">
        <v>0</v>
      </c>
      <c r="BL145" s="1422">
        <v>0</v>
      </c>
      <c r="BM145" s="1422">
        <v>313472</v>
      </c>
      <c r="BN145" s="1422">
        <v>331936</v>
      </c>
      <c r="BO145" s="1420">
        <v>44204.480000000003</v>
      </c>
      <c r="BP145" s="1422">
        <v>0</v>
      </c>
      <c r="BQ145" s="1420">
        <v>39812.519999999997</v>
      </c>
      <c r="BR145" s="1422">
        <v>33313</v>
      </c>
      <c r="BS145" s="1420">
        <v>3952.9</v>
      </c>
      <c r="BT145" s="1422">
        <v>3500</v>
      </c>
      <c r="BU145" s="1422">
        <v>0</v>
      </c>
      <c r="BV145" s="1422">
        <v>0</v>
      </c>
      <c r="BW145" s="1422">
        <v>287054</v>
      </c>
      <c r="BX145" s="1422">
        <v>286740</v>
      </c>
      <c r="BY145" s="1422">
        <v>0</v>
      </c>
      <c r="BZ145" s="1422">
        <v>0</v>
      </c>
      <c r="CA145" s="1422">
        <v>158686</v>
      </c>
      <c r="CB145" s="1422">
        <v>148747</v>
      </c>
      <c r="CC145" s="1420">
        <v>944830.56</v>
      </c>
      <c r="CD145" s="1422">
        <v>923903</v>
      </c>
      <c r="CE145" s="1420">
        <v>1447666.18</v>
      </c>
      <c r="CF145" s="1422">
        <v>938152</v>
      </c>
      <c r="CG145" s="1420">
        <v>135852.92000000001</v>
      </c>
      <c r="CH145" s="1422">
        <v>0</v>
      </c>
      <c r="CI145" s="1422">
        <v>0</v>
      </c>
      <c r="CJ145" s="1422">
        <v>0</v>
      </c>
      <c r="CK145" s="1422">
        <v>0</v>
      </c>
      <c r="CL145" s="1422">
        <v>0</v>
      </c>
      <c r="CM145" s="1422">
        <v>0</v>
      </c>
      <c r="CN145" s="1422">
        <v>0</v>
      </c>
      <c r="CO145" s="1422">
        <v>0</v>
      </c>
      <c r="CP145" s="1422">
        <v>0</v>
      </c>
      <c r="CQ145" s="1422">
        <v>0</v>
      </c>
      <c r="CR145" s="1422">
        <v>0</v>
      </c>
      <c r="CS145" s="1420">
        <v>135852.92000000001</v>
      </c>
      <c r="CT145" s="1422">
        <v>0</v>
      </c>
      <c r="CU145" s="1420">
        <v>10390502.960000001</v>
      </c>
      <c r="CV145" s="1422">
        <v>9508232</v>
      </c>
      <c r="CW145" s="1420">
        <v>4308027.79</v>
      </c>
      <c r="CX145" s="1422">
        <v>4052306</v>
      </c>
      <c r="CY145" s="1420">
        <v>476439.36</v>
      </c>
      <c r="CZ145" s="1422">
        <v>447940</v>
      </c>
      <c r="DA145" s="1420">
        <v>239662.47</v>
      </c>
      <c r="DB145" s="1422">
        <v>264735</v>
      </c>
      <c r="DC145" s="1422">
        <v>0</v>
      </c>
      <c r="DD145" s="1422">
        <v>0</v>
      </c>
      <c r="DE145" s="1420">
        <v>277129.45</v>
      </c>
      <c r="DF145" s="1422">
        <v>284067</v>
      </c>
      <c r="DG145" s="1420">
        <v>198433.21</v>
      </c>
      <c r="DH145" s="1422">
        <v>240892</v>
      </c>
      <c r="DI145" s="1420">
        <v>5499692.2800000003</v>
      </c>
      <c r="DJ145" s="1422">
        <v>5289940</v>
      </c>
      <c r="DK145" s="1420">
        <v>288332.03999999998</v>
      </c>
      <c r="DL145" s="1420">
        <v>302653.03999999998</v>
      </c>
      <c r="DM145" s="1420">
        <v>314843.18</v>
      </c>
      <c r="DN145" s="1422">
        <v>269797</v>
      </c>
      <c r="DO145" s="1420">
        <v>900311.51</v>
      </c>
      <c r="DP145" s="1422">
        <v>961870</v>
      </c>
      <c r="DQ145" s="1420">
        <v>522857.34</v>
      </c>
      <c r="DR145" s="1422">
        <v>578013</v>
      </c>
      <c r="DS145" s="1420">
        <v>15976.99</v>
      </c>
      <c r="DT145" s="1422">
        <v>5805</v>
      </c>
      <c r="DU145" s="1420">
        <v>2042321.06</v>
      </c>
      <c r="DV145" s="1420">
        <v>2118138.04</v>
      </c>
      <c r="DW145" s="1420">
        <v>416867.4</v>
      </c>
      <c r="DX145" s="1420">
        <v>431002.35</v>
      </c>
      <c r="DY145" s="1420">
        <v>479478.98</v>
      </c>
      <c r="DZ145" s="1422">
        <v>691375</v>
      </c>
      <c r="EA145" s="1420">
        <v>415692.61</v>
      </c>
      <c r="EB145" s="1422">
        <v>411626</v>
      </c>
      <c r="EC145" s="1420">
        <v>1312038.99</v>
      </c>
      <c r="ED145" s="1420">
        <v>1534003.35</v>
      </c>
      <c r="EE145" s="1420">
        <v>518727.62</v>
      </c>
      <c r="EF145" s="1422">
        <v>506381</v>
      </c>
      <c r="EG145" s="1422">
        <v>0</v>
      </c>
      <c r="EH145" s="1422">
        <v>0</v>
      </c>
      <c r="EI145" s="1420">
        <v>141.61000000000001</v>
      </c>
      <c r="EJ145" s="1422">
        <v>2000</v>
      </c>
      <c r="EK145" s="1422">
        <v>0</v>
      </c>
      <c r="EL145" s="1422">
        <v>0</v>
      </c>
      <c r="EM145" s="1420">
        <v>518869.23</v>
      </c>
      <c r="EN145" s="1422">
        <v>508381</v>
      </c>
      <c r="EO145" s="1420">
        <v>15671.33</v>
      </c>
      <c r="EP145" s="1422">
        <v>654</v>
      </c>
      <c r="EQ145" s="1420">
        <v>503243.69</v>
      </c>
      <c r="ER145" s="1422">
        <v>514164</v>
      </c>
      <c r="ES145" s="1422">
        <v>0</v>
      </c>
      <c r="ET145" s="1422">
        <v>0</v>
      </c>
      <c r="EU145" s="1420">
        <v>9891836.5800000001</v>
      </c>
      <c r="EV145" s="1420">
        <v>9965280.3900000006</v>
      </c>
      <c r="EW145" s="1420">
        <v>256383.18</v>
      </c>
      <c r="EX145" s="1422">
        <v>305845</v>
      </c>
      <c r="EY145" s="1420">
        <v>503243.69</v>
      </c>
      <c r="EZ145" s="1422">
        <v>514164</v>
      </c>
      <c r="FA145" s="1420">
        <v>9132209.7100000009</v>
      </c>
      <c r="FB145" s="1420">
        <v>9145271.3900000006</v>
      </c>
      <c r="FC145" s="1420">
        <v>739513.42</v>
      </c>
      <c r="FD145" s="1439"/>
      <c r="FE145" s="1420">
        <v>8392696.2899999991</v>
      </c>
      <c r="FF145" s="1439"/>
      <c r="FG145" s="1422">
        <v>8647</v>
      </c>
      <c r="FH145" s="1439"/>
      <c r="FI145" s="1420">
        <v>59.99</v>
      </c>
      <c r="FJ145" s="1439"/>
      <c r="FK145" s="1422">
        <v>50861</v>
      </c>
      <c r="FL145" s="1439"/>
      <c r="FM145" s="1420">
        <v>66.430000000000007</v>
      </c>
      <c r="FN145" s="1439"/>
      <c r="FO145" s="1422">
        <v>53200</v>
      </c>
      <c r="FP145" s="1439"/>
      <c r="FQ145" s="1420">
        <v>2277136.4300000002</v>
      </c>
      <c r="FR145" s="1439"/>
      <c r="FS145" s="1420">
        <v>74524.350000000006</v>
      </c>
      <c r="FT145" s="1439"/>
      <c r="FU145" s="1422">
        <v>0</v>
      </c>
      <c r="FV145" s="1439"/>
      <c r="FW145" s="1420">
        <v>2202612.08</v>
      </c>
      <c r="FX145" s="1439"/>
      <c r="FY145" s="1420">
        <v>998678.82</v>
      </c>
      <c r="FZ145" s="1439"/>
      <c r="GA145" s="1420">
        <v>20905.66</v>
      </c>
      <c r="GB145" s="1439"/>
    </row>
    <row r="146" spans="1:184" ht="12.75" customHeight="1" thickBot="1">
      <c r="A146" s="1418" t="s">
        <v>342</v>
      </c>
      <c r="B146" s="1418" t="s">
        <v>343</v>
      </c>
      <c r="C146" s="1420">
        <v>196.66</v>
      </c>
      <c r="D146" s="1439"/>
      <c r="E146" s="1420">
        <v>3935.94</v>
      </c>
      <c r="F146" s="1439"/>
      <c r="G146" s="1421">
        <v>-7.0000000000000007E-2</v>
      </c>
      <c r="H146" s="1439"/>
      <c r="I146" s="1420">
        <v>4230.03</v>
      </c>
      <c r="J146" s="1439"/>
      <c r="K146" s="1420">
        <v>4346.28</v>
      </c>
      <c r="L146" s="1439"/>
      <c r="M146" s="1422">
        <v>337982982</v>
      </c>
      <c r="N146" s="1439"/>
      <c r="O146" s="1422">
        <v>25</v>
      </c>
      <c r="P146" s="1439"/>
      <c r="Q146" s="1422">
        <v>25</v>
      </c>
      <c r="R146" s="1439"/>
      <c r="S146" s="1422">
        <v>0</v>
      </c>
      <c r="T146" s="1439"/>
      <c r="U146" s="1422">
        <v>0</v>
      </c>
      <c r="V146" s="1439"/>
      <c r="W146" s="1420">
        <v>13.9</v>
      </c>
      <c r="X146" s="1439"/>
      <c r="Y146" s="1420">
        <v>38.9</v>
      </c>
      <c r="Z146" s="1439"/>
      <c r="AA146" s="1420">
        <v>21203898.010000002</v>
      </c>
      <c r="AB146" s="1455"/>
      <c r="AC146" s="1424">
        <v>12068412.869999999</v>
      </c>
      <c r="AD146" s="1422">
        <v>12948965</v>
      </c>
      <c r="AE146" s="1420">
        <v>2045923.43</v>
      </c>
      <c r="AF146" s="1420">
        <v>2045285.56</v>
      </c>
      <c r="AG146" s="1420">
        <v>86362.46</v>
      </c>
      <c r="AH146" s="1456">
        <v>80000</v>
      </c>
      <c r="AI146" s="1428">
        <v>18126093</v>
      </c>
      <c r="AJ146" s="1422">
        <v>17722417</v>
      </c>
      <c r="AK146" s="1422">
        <v>288551</v>
      </c>
      <c r="AL146" s="1422">
        <v>0</v>
      </c>
      <c r="AM146" s="1422">
        <v>0</v>
      </c>
      <c r="AN146" s="1422">
        <v>0</v>
      </c>
      <c r="AO146" s="1422">
        <v>0</v>
      </c>
      <c r="AP146" s="1422">
        <v>301425</v>
      </c>
      <c r="AQ146" s="1422">
        <v>0</v>
      </c>
      <c r="AR146" s="1422">
        <v>0</v>
      </c>
      <c r="AS146" s="1422">
        <v>0</v>
      </c>
      <c r="AT146" s="1422">
        <v>0</v>
      </c>
      <c r="AU146" s="1422">
        <v>0</v>
      </c>
      <c r="AV146" s="1422">
        <v>0</v>
      </c>
      <c r="AW146" s="1420">
        <v>5506.91</v>
      </c>
      <c r="AX146" s="1422">
        <v>0</v>
      </c>
      <c r="AY146" s="1420">
        <v>32620849.670000002</v>
      </c>
      <c r="AZ146" s="1420">
        <v>33098092.559999999</v>
      </c>
      <c r="BA146" s="1420">
        <v>424721.05</v>
      </c>
      <c r="BB146" s="1422">
        <v>0</v>
      </c>
      <c r="BC146" s="1422">
        <v>179762</v>
      </c>
      <c r="BD146" s="1422">
        <v>180037</v>
      </c>
      <c r="BE146" s="1420">
        <v>41775.06</v>
      </c>
      <c r="BF146" s="1422">
        <v>0</v>
      </c>
      <c r="BG146" s="1422">
        <v>1250</v>
      </c>
      <c r="BH146" s="1422">
        <v>0</v>
      </c>
      <c r="BI146" s="1422">
        <v>310616</v>
      </c>
      <c r="BJ146" s="1422">
        <v>324871</v>
      </c>
      <c r="BK146" s="1422">
        <v>11720</v>
      </c>
      <c r="BL146" s="1422">
        <v>11960</v>
      </c>
      <c r="BM146" s="1422">
        <v>1476592</v>
      </c>
      <c r="BN146" s="1422">
        <v>1463352</v>
      </c>
      <c r="BO146" s="1420">
        <v>584930.18999999994</v>
      </c>
      <c r="BP146" s="1422">
        <v>228978</v>
      </c>
      <c r="BQ146" s="1420">
        <v>942938.04</v>
      </c>
      <c r="BR146" s="1422">
        <v>494666</v>
      </c>
      <c r="BS146" s="1420">
        <v>15867.15</v>
      </c>
      <c r="BT146" s="1422">
        <v>15900</v>
      </c>
      <c r="BU146" s="1422">
        <v>0</v>
      </c>
      <c r="BV146" s="1422">
        <v>0</v>
      </c>
      <c r="BW146" s="1422">
        <v>793152</v>
      </c>
      <c r="BX146" s="1422">
        <v>0</v>
      </c>
      <c r="BY146" s="1422">
        <v>0</v>
      </c>
      <c r="BZ146" s="1422">
        <v>0</v>
      </c>
      <c r="CA146" s="1422">
        <v>238712</v>
      </c>
      <c r="CB146" s="1422">
        <v>209841</v>
      </c>
      <c r="CC146" s="1420">
        <v>5022035.49</v>
      </c>
      <c r="CD146" s="1422">
        <v>2929605</v>
      </c>
      <c r="CE146" s="1420">
        <v>13695775.74</v>
      </c>
      <c r="CF146" s="1420">
        <v>6506222.9800000004</v>
      </c>
      <c r="CG146" s="1420">
        <v>6785.5</v>
      </c>
      <c r="CH146" s="1422">
        <v>0</v>
      </c>
      <c r="CI146" s="1422">
        <v>0</v>
      </c>
      <c r="CJ146" s="1422">
        <v>0</v>
      </c>
      <c r="CK146" s="1420">
        <v>52931.69</v>
      </c>
      <c r="CL146" s="1422">
        <v>60000</v>
      </c>
      <c r="CM146" s="1422">
        <v>0</v>
      </c>
      <c r="CN146" s="1422">
        <v>0</v>
      </c>
      <c r="CO146" s="1420">
        <v>301489.34999999998</v>
      </c>
      <c r="CP146" s="1422">
        <v>0</v>
      </c>
      <c r="CQ146" s="1422">
        <v>0</v>
      </c>
      <c r="CR146" s="1422">
        <v>0</v>
      </c>
      <c r="CS146" s="1420">
        <v>361206.54</v>
      </c>
      <c r="CT146" s="1422">
        <v>60000</v>
      </c>
      <c r="CU146" s="1420">
        <v>51699867.439999998</v>
      </c>
      <c r="CV146" s="1420">
        <v>42593920.539999999</v>
      </c>
      <c r="CW146" s="1420">
        <v>15908005.76</v>
      </c>
      <c r="CX146" s="1420">
        <v>15839043.640000001</v>
      </c>
      <c r="CY146" s="1420">
        <v>3160287.47</v>
      </c>
      <c r="CZ146" s="1420">
        <v>3394114.17</v>
      </c>
      <c r="DA146" s="1420">
        <v>1476762.63</v>
      </c>
      <c r="DB146" s="1420">
        <v>1255434.92</v>
      </c>
      <c r="DC146" s="1420">
        <v>584112.75</v>
      </c>
      <c r="DD146" s="1420">
        <v>1044123.08</v>
      </c>
      <c r="DE146" s="1420">
        <v>1778698.87</v>
      </c>
      <c r="DF146" s="1420">
        <v>1263510.17</v>
      </c>
      <c r="DG146" s="1420">
        <v>1446715.7</v>
      </c>
      <c r="DH146" s="1420">
        <v>1346845.96</v>
      </c>
      <c r="DI146" s="1420">
        <v>24354583.18</v>
      </c>
      <c r="DJ146" s="1420">
        <v>24143071.940000001</v>
      </c>
      <c r="DK146" s="1420">
        <v>1561328.09</v>
      </c>
      <c r="DL146" s="1420">
        <v>629859.69999999995</v>
      </c>
      <c r="DM146" s="1420">
        <v>1509261.5</v>
      </c>
      <c r="DN146" s="1420">
        <v>1438913.94</v>
      </c>
      <c r="DO146" s="1420">
        <v>4775052.91</v>
      </c>
      <c r="DP146" s="1420">
        <v>3834924.76</v>
      </c>
      <c r="DQ146" s="1420">
        <v>1575561.03</v>
      </c>
      <c r="DR146" s="1420">
        <v>1347092.03</v>
      </c>
      <c r="DS146" s="1420">
        <v>113045.96</v>
      </c>
      <c r="DT146" s="1422">
        <v>110528</v>
      </c>
      <c r="DU146" s="1420">
        <v>9534249.4900000002</v>
      </c>
      <c r="DV146" s="1420">
        <v>7361318.4299999997</v>
      </c>
      <c r="DW146" s="1420">
        <v>2286764.52</v>
      </c>
      <c r="DX146" s="1420">
        <v>1894090.5</v>
      </c>
      <c r="DY146" s="1420">
        <v>5222525.18</v>
      </c>
      <c r="DZ146" s="1420">
        <v>3705464.59</v>
      </c>
      <c r="EA146" s="1420">
        <v>2366626.56</v>
      </c>
      <c r="EB146" s="1420">
        <v>2469943.27</v>
      </c>
      <c r="EC146" s="1420">
        <v>9875916.2599999998</v>
      </c>
      <c r="ED146" s="1420">
        <v>8069498.3600000003</v>
      </c>
      <c r="EE146" s="1420">
        <v>2732768.44</v>
      </c>
      <c r="EF146" s="1420">
        <v>2348285.88</v>
      </c>
      <c r="EG146" s="1422">
        <v>0</v>
      </c>
      <c r="EH146" s="1422">
        <v>0</v>
      </c>
      <c r="EI146" s="1422">
        <v>3250</v>
      </c>
      <c r="EJ146" s="1422">
        <v>1000</v>
      </c>
      <c r="EK146" s="1422">
        <v>0</v>
      </c>
      <c r="EL146" s="1422">
        <v>0</v>
      </c>
      <c r="EM146" s="1420">
        <v>2736018.44</v>
      </c>
      <c r="EN146" s="1420">
        <v>2349285.88</v>
      </c>
      <c r="EO146" s="1420">
        <v>4250704.4800000004</v>
      </c>
      <c r="EP146" s="1422">
        <v>398736</v>
      </c>
      <c r="EQ146" s="1420">
        <v>1472559.39</v>
      </c>
      <c r="ER146" s="1422">
        <v>1546054</v>
      </c>
      <c r="ES146" s="1420">
        <v>181598.87</v>
      </c>
      <c r="ET146" s="1422">
        <v>0</v>
      </c>
      <c r="EU146" s="1420">
        <v>52405630.109999999</v>
      </c>
      <c r="EV146" s="1420">
        <v>43867964.609999999</v>
      </c>
      <c r="EW146" s="1420">
        <v>5077970.34</v>
      </c>
      <c r="EX146" s="1420">
        <v>576300.04</v>
      </c>
      <c r="EY146" s="1420">
        <v>1472559.39</v>
      </c>
      <c r="EZ146" s="1422">
        <v>1546054</v>
      </c>
      <c r="FA146" s="1420">
        <v>45855100.380000003</v>
      </c>
      <c r="FB146" s="1420">
        <v>41745610.57</v>
      </c>
      <c r="FC146" s="1420">
        <v>2757034.24</v>
      </c>
      <c r="FD146" s="1439"/>
      <c r="FE146" s="1420">
        <v>43098066.140000001</v>
      </c>
      <c r="FF146" s="1439"/>
      <c r="FG146" s="1422">
        <v>10949</v>
      </c>
      <c r="FH146" s="1439"/>
      <c r="FI146" s="1420">
        <v>323.60000000000002</v>
      </c>
      <c r="FJ146" s="1439"/>
      <c r="FK146" s="1422">
        <v>44255</v>
      </c>
      <c r="FL146" s="1439"/>
      <c r="FM146" s="1420">
        <v>352.85</v>
      </c>
      <c r="FN146" s="1439"/>
      <c r="FO146" s="1422">
        <v>47288</v>
      </c>
      <c r="FP146" s="1439"/>
      <c r="FQ146" s="1420">
        <v>8760347.7400000002</v>
      </c>
      <c r="FR146" s="1439"/>
      <c r="FS146" s="1420">
        <v>127986.26</v>
      </c>
      <c r="FT146" s="1439"/>
      <c r="FU146" s="1422">
        <v>0</v>
      </c>
      <c r="FV146" s="1439"/>
      <c r="FW146" s="1420">
        <v>8632361.4800000004</v>
      </c>
      <c r="FX146" s="1439"/>
      <c r="FY146" s="1420">
        <v>2563306.88</v>
      </c>
      <c r="FZ146" s="1439"/>
      <c r="GA146" s="1422">
        <v>0</v>
      </c>
      <c r="GB146" s="1439"/>
    </row>
    <row r="147" spans="1:184" ht="12.75" customHeight="1" thickBot="1">
      <c r="A147" s="1418" t="s">
        <v>344</v>
      </c>
      <c r="B147" s="1418" t="s">
        <v>345</v>
      </c>
      <c r="C147" s="1420">
        <v>67.72</v>
      </c>
      <c r="D147" s="1439"/>
      <c r="E147" s="1420">
        <v>427.82</v>
      </c>
      <c r="F147" s="1439"/>
      <c r="G147" s="1421">
        <v>0.11</v>
      </c>
      <c r="H147" s="1439"/>
      <c r="I147" s="1420">
        <v>455.12</v>
      </c>
      <c r="J147" s="1439"/>
      <c r="K147" s="1420">
        <v>447.67</v>
      </c>
      <c r="L147" s="1439"/>
      <c r="M147" s="1422">
        <v>118626131</v>
      </c>
      <c r="N147" s="1439"/>
      <c r="O147" s="1422">
        <v>27</v>
      </c>
      <c r="P147" s="1439"/>
      <c r="Q147" s="1422">
        <v>25</v>
      </c>
      <c r="R147" s="1439"/>
      <c r="S147" s="1422">
        <v>2</v>
      </c>
      <c r="T147" s="1439"/>
      <c r="U147" s="1422">
        <v>0</v>
      </c>
      <c r="V147" s="1439"/>
      <c r="W147" s="1422">
        <v>12</v>
      </c>
      <c r="X147" s="1439"/>
      <c r="Y147" s="1422">
        <v>39</v>
      </c>
      <c r="Z147" s="1439"/>
      <c r="AA147" s="1422">
        <v>4810000</v>
      </c>
      <c r="AB147" s="1455"/>
      <c r="AC147" s="1424">
        <v>3871162.07</v>
      </c>
      <c r="AD147" s="1420">
        <v>4415936.75</v>
      </c>
      <c r="AE147" s="1420">
        <v>417470.76</v>
      </c>
      <c r="AF147" s="1422">
        <v>283807</v>
      </c>
      <c r="AG147" s="1422">
        <v>0</v>
      </c>
      <c r="AH147" s="1456">
        <v>0</v>
      </c>
      <c r="AI147" s="1428">
        <v>0</v>
      </c>
      <c r="AJ147" s="1422">
        <v>0</v>
      </c>
      <c r="AK147" s="1422">
        <v>0</v>
      </c>
      <c r="AL147" s="1422">
        <v>0</v>
      </c>
      <c r="AM147" s="1422">
        <v>45700</v>
      </c>
      <c r="AN147" s="1422">
        <v>0</v>
      </c>
      <c r="AO147" s="1422">
        <v>0</v>
      </c>
      <c r="AP147" s="1422">
        <v>0</v>
      </c>
      <c r="AQ147" s="1422">
        <v>0</v>
      </c>
      <c r="AR147" s="1422">
        <v>0</v>
      </c>
      <c r="AS147" s="1422">
        <v>0</v>
      </c>
      <c r="AT147" s="1422">
        <v>0</v>
      </c>
      <c r="AU147" s="1422">
        <v>0</v>
      </c>
      <c r="AV147" s="1422">
        <v>0</v>
      </c>
      <c r="AW147" s="1422">
        <v>0</v>
      </c>
      <c r="AX147" s="1422">
        <v>0</v>
      </c>
      <c r="AY147" s="1420">
        <v>4334332.83</v>
      </c>
      <c r="AZ147" s="1420">
        <v>4699743.75</v>
      </c>
      <c r="BA147" s="1422">
        <v>0</v>
      </c>
      <c r="BB147" s="1422">
        <v>0</v>
      </c>
      <c r="BC147" s="1422">
        <v>18516</v>
      </c>
      <c r="BD147" s="1422">
        <v>19233</v>
      </c>
      <c r="BE147" s="1420">
        <v>13894.51</v>
      </c>
      <c r="BF147" s="1422">
        <v>0</v>
      </c>
      <c r="BG147" s="1422">
        <v>100</v>
      </c>
      <c r="BH147" s="1422">
        <v>0</v>
      </c>
      <c r="BI147" s="1422">
        <v>0</v>
      </c>
      <c r="BJ147" s="1422">
        <v>0</v>
      </c>
      <c r="BK147" s="1422">
        <v>0</v>
      </c>
      <c r="BL147" s="1422">
        <v>0</v>
      </c>
      <c r="BM147" s="1422">
        <v>96224</v>
      </c>
      <c r="BN147" s="1422">
        <v>102212</v>
      </c>
      <c r="BO147" s="1420">
        <v>67954.22</v>
      </c>
      <c r="BP147" s="1422">
        <v>31000</v>
      </c>
      <c r="BQ147" s="1420">
        <v>3250.32</v>
      </c>
      <c r="BR147" s="1422">
        <v>3000</v>
      </c>
      <c r="BS147" s="1420">
        <v>1531.84</v>
      </c>
      <c r="BT147" s="1422">
        <v>0</v>
      </c>
      <c r="BU147" s="1422">
        <v>0</v>
      </c>
      <c r="BV147" s="1422">
        <v>0</v>
      </c>
      <c r="BW147" s="1422">
        <v>0</v>
      </c>
      <c r="BX147" s="1422">
        <v>0</v>
      </c>
      <c r="BY147" s="1422">
        <v>0</v>
      </c>
      <c r="BZ147" s="1422">
        <v>0</v>
      </c>
      <c r="CA147" s="1422">
        <v>0</v>
      </c>
      <c r="CB147" s="1422">
        <v>0</v>
      </c>
      <c r="CC147" s="1420">
        <v>201470.89</v>
      </c>
      <c r="CD147" s="1422">
        <v>155445</v>
      </c>
      <c r="CE147" s="1420">
        <v>218347.23</v>
      </c>
      <c r="CF147" s="1422">
        <v>248906</v>
      </c>
      <c r="CG147" s="1422">
        <v>0</v>
      </c>
      <c r="CH147" s="1422">
        <v>0</v>
      </c>
      <c r="CI147" s="1422">
        <v>0</v>
      </c>
      <c r="CJ147" s="1422">
        <v>0</v>
      </c>
      <c r="CK147" s="1422">
        <v>0</v>
      </c>
      <c r="CL147" s="1422">
        <v>0</v>
      </c>
      <c r="CM147" s="1422">
        <v>0</v>
      </c>
      <c r="CN147" s="1422">
        <v>0</v>
      </c>
      <c r="CO147" s="1422">
        <v>0</v>
      </c>
      <c r="CP147" s="1422">
        <v>0</v>
      </c>
      <c r="CQ147" s="1422">
        <v>0</v>
      </c>
      <c r="CR147" s="1422">
        <v>0</v>
      </c>
      <c r="CS147" s="1422">
        <v>0</v>
      </c>
      <c r="CT147" s="1422">
        <v>0</v>
      </c>
      <c r="CU147" s="1420">
        <v>4754150.95</v>
      </c>
      <c r="CV147" s="1420">
        <v>5104094.75</v>
      </c>
      <c r="CW147" s="1420">
        <v>1834645.33</v>
      </c>
      <c r="CX147" s="1420">
        <v>1722132.99</v>
      </c>
      <c r="CY147" s="1420">
        <v>293073.46000000002</v>
      </c>
      <c r="CZ147" s="1420">
        <v>425867.59</v>
      </c>
      <c r="DA147" s="1420">
        <v>219683.71</v>
      </c>
      <c r="DB147" s="1420">
        <v>212239.69</v>
      </c>
      <c r="DC147" s="1422">
        <v>0</v>
      </c>
      <c r="DD147" s="1422">
        <v>0</v>
      </c>
      <c r="DE147" s="1420">
        <v>27317.15</v>
      </c>
      <c r="DF147" s="1420">
        <v>20279.63</v>
      </c>
      <c r="DG147" s="1420">
        <v>79073.61</v>
      </c>
      <c r="DH147" s="1420">
        <v>96434.78</v>
      </c>
      <c r="DI147" s="1420">
        <v>2453793.2599999998</v>
      </c>
      <c r="DJ147" s="1420">
        <v>2476954.6800000002</v>
      </c>
      <c r="DK147" s="1420">
        <v>184219.61</v>
      </c>
      <c r="DL147" s="1420">
        <v>183655.31</v>
      </c>
      <c r="DM147" s="1420">
        <v>92030.92</v>
      </c>
      <c r="DN147" s="1420">
        <v>96023.91</v>
      </c>
      <c r="DO147" s="1420">
        <v>434168.53</v>
      </c>
      <c r="DP147" s="1420">
        <v>447026.08</v>
      </c>
      <c r="DQ147" s="1420">
        <v>85285.17</v>
      </c>
      <c r="DR147" s="1420">
        <v>80265.08</v>
      </c>
      <c r="DS147" s="1420">
        <v>12053.82</v>
      </c>
      <c r="DT147" s="1422">
        <v>9050</v>
      </c>
      <c r="DU147" s="1420">
        <v>807758.05</v>
      </c>
      <c r="DV147" s="1420">
        <v>816020.38</v>
      </c>
      <c r="DW147" s="1420">
        <v>121580.92</v>
      </c>
      <c r="DX147" s="1420">
        <v>148909.47</v>
      </c>
      <c r="DY147" s="1420">
        <v>260607.07</v>
      </c>
      <c r="DZ147" s="1420">
        <v>261498.3</v>
      </c>
      <c r="EA147" s="1420">
        <v>204208.67</v>
      </c>
      <c r="EB147" s="1420">
        <v>219023.42</v>
      </c>
      <c r="EC147" s="1420">
        <v>586396.66</v>
      </c>
      <c r="ED147" s="1420">
        <v>629431.18999999994</v>
      </c>
      <c r="EE147" s="1420">
        <v>213445.58</v>
      </c>
      <c r="EF147" s="1420">
        <v>210691.09</v>
      </c>
      <c r="EG147" s="1422">
        <v>0</v>
      </c>
      <c r="EH147" s="1422">
        <v>0</v>
      </c>
      <c r="EI147" s="1422">
        <v>0</v>
      </c>
      <c r="EJ147" s="1422">
        <v>0</v>
      </c>
      <c r="EK147" s="1422">
        <v>0</v>
      </c>
      <c r="EL147" s="1422">
        <v>0</v>
      </c>
      <c r="EM147" s="1420">
        <v>213445.58</v>
      </c>
      <c r="EN147" s="1420">
        <v>210691.09</v>
      </c>
      <c r="EO147" s="1420">
        <v>768083.35</v>
      </c>
      <c r="EP147" s="1422">
        <v>55000</v>
      </c>
      <c r="EQ147" s="1420">
        <v>1179327.42</v>
      </c>
      <c r="ER147" s="1420">
        <v>681973.76000000001</v>
      </c>
      <c r="ES147" s="1422">
        <v>0</v>
      </c>
      <c r="ET147" s="1422">
        <v>0</v>
      </c>
      <c r="EU147" s="1420">
        <v>6008804.3200000003</v>
      </c>
      <c r="EV147" s="1420">
        <v>4870071.0999999996</v>
      </c>
      <c r="EW147" s="1420">
        <v>927036.13</v>
      </c>
      <c r="EX147" s="1420">
        <v>151086.21</v>
      </c>
      <c r="EY147" s="1420">
        <v>1179327.42</v>
      </c>
      <c r="EZ147" s="1420">
        <v>681973.76000000001</v>
      </c>
      <c r="FA147" s="1420">
        <v>3902440.77</v>
      </c>
      <c r="FB147" s="1420">
        <v>4037011.13</v>
      </c>
      <c r="FC147" s="1420">
        <v>188102.63</v>
      </c>
      <c r="FD147" s="1439"/>
      <c r="FE147" s="1420">
        <v>3714338.14</v>
      </c>
      <c r="FF147" s="1439"/>
      <c r="FG147" s="1422">
        <v>8682</v>
      </c>
      <c r="FH147" s="1439"/>
      <c r="FI147" s="1420">
        <v>40.520000000000003</v>
      </c>
      <c r="FJ147" s="1439"/>
      <c r="FK147" s="1422">
        <v>39440</v>
      </c>
      <c r="FL147" s="1439"/>
      <c r="FM147" s="1420">
        <v>43.4</v>
      </c>
      <c r="FN147" s="1439"/>
      <c r="FO147" s="1422">
        <v>41531</v>
      </c>
      <c r="FP147" s="1439"/>
      <c r="FQ147" s="1420">
        <v>1200883.92</v>
      </c>
      <c r="FR147" s="1439"/>
      <c r="FS147" s="1420">
        <v>34227.33</v>
      </c>
      <c r="FT147" s="1439"/>
      <c r="FU147" s="1422">
        <v>0</v>
      </c>
      <c r="FV147" s="1439"/>
      <c r="FW147" s="1420">
        <v>1166656.5900000001</v>
      </c>
      <c r="FX147" s="1439"/>
      <c r="FY147" s="1420">
        <v>379752.65</v>
      </c>
      <c r="FZ147" s="1439"/>
      <c r="GA147" s="1422">
        <v>0</v>
      </c>
      <c r="GB147" s="1439"/>
    </row>
    <row r="148" spans="1:184" ht="12.75" customHeight="1" thickBot="1">
      <c r="A148" s="1418" t="s">
        <v>346</v>
      </c>
      <c r="B148" s="1418" t="s">
        <v>347</v>
      </c>
      <c r="C148" s="1420">
        <v>117.02</v>
      </c>
      <c r="D148" s="1439"/>
      <c r="E148" s="1420">
        <v>2720.1</v>
      </c>
      <c r="F148" s="1439"/>
      <c r="G148" s="1421">
        <v>-0.05</v>
      </c>
      <c r="H148" s="1439"/>
      <c r="I148" s="1420">
        <v>2902.31</v>
      </c>
      <c r="J148" s="1439"/>
      <c r="K148" s="1420">
        <v>2998.18</v>
      </c>
      <c r="L148" s="1439"/>
      <c r="M148" s="1422">
        <v>151709149</v>
      </c>
      <c r="N148" s="1439"/>
      <c r="O148" s="1422">
        <v>25</v>
      </c>
      <c r="P148" s="1439"/>
      <c r="Q148" s="1422">
        <v>25</v>
      </c>
      <c r="R148" s="1439"/>
      <c r="S148" s="1422">
        <v>0</v>
      </c>
      <c r="T148" s="1439"/>
      <c r="U148" s="1422">
        <v>0</v>
      </c>
      <c r="V148" s="1439"/>
      <c r="W148" s="1420">
        <v>8.39</v>
      </c>
      <c r="X148" s="1439"/>
      <c r="Y148" s="1420">
        <v>33.39</v>
      </c>
      <c r="Z148" s="1439"/>
      <c r="AA148" s="1422">
        <v>15045000</v>
      </c>
      <c r="AB148" s="1455"/>
      <c r="AC148" s="1441">
        <v>4641140</v>
      </c>
      <c r="AD148" s="1422">
        <v>4632000</v>
      </c>
      <c r="AE148" s="1420">
        <v>1006555.62</v>
      </c>
      <c r="AF148" s="1420">
        <v>506987.9</v>
      </c>
      <c r="AG148" s="1422">
        <v>0</v>
      </c>
      <c r="AH148" s="1456">
        <v>0</v>
      </c>
      <c r="AI148" s="1428">
        <v>14446192</v>
      </c>
      <c r="AJ148" s="1422">
        <v>14188858</v>
      </c>
      <c r="AK148" s="1422">
        <v>200871</v>
      </c>
      <c r="AL148" s="1422">
        <v>200000</v>
      </c>
      <c r="AM148" s="1422">
        <v>0</v>
      </c>
      <c r="AN148" s="1422">
        <v>0</v>
      </c>
      <c r="AO148" s="1422">
        <v>213064</v>
      </c>
      <c r="AP148" s="1422">
        <v>254239</v>
      </c>
      <c r="AQ148" s="1422">
        <v>0</v>
      </c>
      <c r="AR148" s="1422">
        <v>0</v>
      </c>
      <c r="AS148" s="1422">
        <v>0</v>
      </c>
      <c r="AT148" s="1422">
        <v>0</v>
      </c>
      <c r="AU148" s="1422">
        <v>32697</v>
      </c>
      <c r="AV148" s="1422">
        <v>26157</v>
      </c>
      <c r="AW148" s="1422">
        <v>0</v>
      </c>
      <c r="AX148" s="1422">
        <v>0</v>
      </c>
      <c r="AY148" s="1420">
        <v>20540519.620000001</v>
      </c>
      <c r="AZ148" s="1420">
        <v>19808241.899999999</v>
      </c>
      <c r="BA148" s="1422">
        <v>0</v>
      </c>
      <c r="BB148" s="1422">
        <v>0</v>
      </c>
      <c r="BC148" s="1422">
        <v>124005</v>
      </c>
      <c r="BD148" s="1422">
        <v>123555</v>
      </c>
      <c r="BE148" s="1420">
        <v>27599.49</v>
      </c>
      <c r="BF148" s="1422">
        <v>46600</v>
      </c>
      <c r="BG148" s="1422">
        <v>300</v>
      </c>
      <c r="BH148" s="1422">
        <v>300</v>
      </c>
      <c r="BI148" s="1422">
        <v>364289</v>
      </c>
      <c r="BJ148" s="1420">
        <v>350135.2</v>
      </c>
      <c r="BK148" s="1422">
        <v>22561</v>
      </c>
      <c r="BL148" s="1422">
        <v>19180</v>
      </c>
      <c r="BM148" s="1422">
        <v>2452224</v>
      </c>
      <c r="BN148" s="1422">
        <v>2424752</v>
      </c>
      <c r="BO148" s="1420">
        <v>12282.44</v>
      </c>
      <c r="BP148" s="1422">
        <v>0</v>
      </c>
      <c r="BQ148" s="1420">
        <v>173085.44</v>
      </c>
      <c r="BR148" s="1420">
        <v>173875.49</v>
      </c>
      <c r="BS148" s="1420">
        <v>13073.07</v>
      </c>
      <c r="BT148" s="1422">
        <v>0</v>
      </c>
      <c r="BU148" s="1422">
        <v>0</v>
      </c>
      <c r="BV148" s="1422">
        <v>0</v>
      </c>
      <c r="BW148" s="1422">
        <v>179560</v>
      </c>
      <c r="BX148" s="1422">
        <v>194400</v>
      </c>
      <c r="BY148" s="1422">
        <v>0</v>
      </c>
      <c r="BZ148" s="1422">
        <v>0</v>
      </c>
      <c r="CA148" s="1422">
        <v>309212</v>
      </c>
      <c r="CB148" s="1422">
        <v>282918</v>
      </c>
      <c r="CC148" s="1420">
        <v>3678191.44</v>
      </c>
      <c r="CD148" s="1420">
        <v>3615715.69</v>
      </c>
      <c r="CE148" s="1420">
        <v>9206676.5899999999</v>
      </c>
      <c r="CF148" s="1420">
        <v>6015696.1399999997</v>
      </c>
      <c r="CG148" s="1420">
        <v>4104.3100000000004</v>
      </c>
      <c r="CH148" s="1422">
        <v>0</v>
      </c>
      <c r="CI148" s="1422">
        <v>0</v>
      </c>
      <c r="CJ148" s="1422">
        <v>0</v>
      </c>
      <c r="CK148" s="1422">
        <v>108414</v>
      </c>
      <c r="CL148" s="1422">
        <v>52000</v>
      </c>
      <c r="CM148" s="1420">
        <v>293.5</v>
      </c>
      <c r="CN148" s="1422">
        <v>0</v>
      </c>
      <c r="CO148" s="1420">
        <v>21619.33</v>
      </c>
      <c r="CP148" s="1422">
        <v>0</v>
      </c>
      <c r="CQ148" s="1422">
        <v>0</v>
      </c>
      <c r="CR148" s="1422">
        <v>0</v>
      </c>
      <c r="CS148" s="1420">
        <v>134431.14000000001</v>
      </c>
      <c r="CT148" s="1422">
        <v>52000</v>
      </c>
      <c r="CU148" s="1420">
        <v>33559818.789999999</v>
      </c>
      <c r="CV148" s="1420">
        <v>29491653.73</v>
      </c>
      <c r="CW148" s="1420">
        <v>10783657.699999999</v>
      </c>
      <c r="CX148" s="1420">
        <v>10555249.26</v>
      </c>
      <c r="CY148" s="1420">
        <v>2235962.2400000002</v>
      </c>
      <c r="CZ148" s="1422">
        <v>2510710</v>
      </c>
      <c r="DA148" s="1420">
        <v>850370.2</v>
      </c>
      <c r="DB148" s="1420">
        <v>749354.49</v>
      </c>
      <c r="DC148" s="1422">
        <v>0</v>
      </c>
      <c r="DD148" s="1422">
        <v>0</v>
      </c>
      <c r="DE148" s="1420">
        <v>3854927.48</v>
      </c>
      <c r="DF148" s="1420">
        <v>3109752.03</v>
      </c>
      <c r="DG148" s="1420">
        <v>1364499.53</v>
      </c>
      <c r="DH148" s="1420">
        <v>1478931.34</v>
      </c>
      <c r="DI148" s="1420">
        <v>19089417.149999999</v>
      </c>
      <c r="DJ148" s="1420">
        <v>18403997.120000001</v>
      </c>
      <c r="DK148" s="1420">
        <v>816378.15</v>
      </c>
      <c r="DL148" s="1420">
        <v>826657.38</v>
      </c>
      <c r="DM148" s="1420">
        <v>443743.97</v>
      </c>
      <c r="DN148" s="1420">
        <v>371656.29</v>
      </c>
      <c r="DO148" s="1420">
        <v>3904165.57</v>
      </c>
      <c r="DP148" s="1420">
        <v>4569530.6100000003</v>
      </c>
      <c r="DQ148" s="1420">
        <v>944549.07</v>
      </c>
      <c r="DR148" s="1420">
        <v>1128040.93</v>
      </c>
      <c r="DS148" s="1420">
        <v>179431.85</v>
      </c>
      <c r="DT148" s="1422">
        <v>97000</v>
      </c>
      <c r="DU148" s="1420">
        <v>6288268.6100000003</v>
      </c>
      <c r="DV148" s="1420">
        <v>6992885.21</v>
      </c>
      <c r="DW148" s="1420">
        <v>1152939.08</v>
      </c>
      <c r="DX148" s="1420">
        <v>1351744.82</v>
      </c>
      <c r="DY148" s="1420">
        <v>2396632.5099999998</v>
      </c>
      <c r="DZ148" s="1420">
        <v>3133287.67</v>
      </c>
      <c r="EA148" s="1420">
        <v>1533785.04</v>
      </c>
      <c r="EB148" s="1420">
        <v>1564458.3</v>
      </c>
      <c r="EC148" s="1420">
        <v>5083356.63</v>
      </c>
      <c r="ED148" s="1420">
        <v>6049490.79</v>
      </c>
      <c r="EE148" s="1420">
        <v>1812768.31</v>
      </c>
      <c r="EF148" s="1422">
        <v>269610</v>
      </c>
      <c r="EG148" s="1422">
        <v>0</v>
      </c>
      <c r="EH148" s="1422">
        <v>0</v>
      </c>
      <c r="EI148" s="1420">
        <v>37754.06</v>
      </c>
      <c r="EJ148" s="1422">
        <v>55000</v>
      </c>
      <c r="EK148" s="1422">
        <v>0</v>
      </c>
      <c r="EL148" s="1422">
        <v>0</v>
      </c>
      <c r="EM148" s="1420">
        <v>1850522.37</v>
      </c>
      <c r="EN148" s="1422">
        <v>324610</v>
      </c>
      <c r="EO148" s="1420">
        <v>27291.38</v>
      </c>
      <c r="EP148" s="1422">
        <v>0</v>
      </c>
      <c r="EQ148" s="1420">
        <v>386021.23</v>
      </c>
      <c r="ER148" s="1420">
        <v>1024768.76</v>
      </c>
      <c r="ES148" s="1422">
        <v>0</v>
      </c>
      <c r="ET148" s="1422">
        <v>0</v>
      </c>
      <c r="EU148" s="1420">
        <v>32724877.370000001</v>
      </c>
      <c r="EV148" s="1420">
        <v>32795751.879999999</v>
      </c>
      <c r="EW148" s="1420">
        <v>687446.38</v>
      </c>
      <c r="EX148" s="1420">
        <v>242596.72</v>
      </c>
      <c r="EY148" s="1420">
        <v>386021.23</v>
      </c>
      <c r="EZ148" s="1420">
        <v>1024768.76</v>
      </c>
      <c r="FA148" s="1420">
        <v>31651409.760000002</v>
      </c>
      <c r="FB148" s="1420">
        <v>31528386.399999999</v>
      </c>
      <c r="FC148" s="1420">
        <v>677232.24</v>
      </c>
      <c r="FD148" s="1439"/>
      <c r="FE148" s="1420">
        <v>30974177.52</v>
      </c>
      <c r="FF148" s="1439"/>
      <c r="FG148" s="1422">
        <v>11387</v>
      </c>
      <c r="FH148" s="1439"/>
      <c r="FI148" s="1420">
        <v>209.28</v>
      </c>
      <c r="FJ148" s="1439"/>
      <c r="FK148" s="1422">
        <v>43144</v>
      </c>
      <c r="FL148" s="1439"/>
      <c r="FM148" s="1420">
        <v>232.49</v>
      </c>
      <c r="FN148" s="1439"/>
      <c r="FO148" s="1422">
        <v>46601</v>
      </c>
      <c r="FP148" s="1439"/>
      <c r="FQ148" s="1420">
        <v>5109785.16</v>
      </c>
      <c r="FR148" s="1439"/>
      <c r="FS148" s="1420">
        <v>593568.74</v>
      </c>
      <c r="FT148" s="1439"/>
      <c r="FU148" s="1422">
        <v>0</v>
      </c>
      <c r="FV148" s="1439"/>
      <c r="FW148" s="1420">
        <v>4516216.42</v>
      </c>
      <c r="FX148" s="1439"/>
      <c r="FY148" s="1420">
        <v>558485.9</v>
      </c>
      <c r="FZ148" s="1439"/>
      <c r="GA148" s="1422">
        <v>0</v>
      </c>
      <c r="GB148" s="1439"/>
    </row>
    <row r="149" spans="1:184" ht="12.75" customHeight="1" thickBot="1">
      <c r="A149" s="1418" t="s">
        <v>348</v>
      </c>
      <c r="B149" s="1418" t="s">
        <v>349</v>
      </c>
      <c r="C149" s="1420">
        <v>371.3</v>
      </c>
      <c r="D149" s="1439"/>
      <c r="E149" s="1420">
        <v>1225.07</v>
      </c>
      <c r="F149" s="1439"/>
      <c r="G149" s="1421">
        <v>0.01</v>
      </c>
      <c r="H149" s="1439"/>
      <c r="I149" s="1420">
        <v>1300.98</v>
      </c>
      <c r="J149" s="1439"/>
      <c r="K149" s="1420">
        <v>1272.44</v>
      </c>
      <c r="L149" s="1439"/>
      <c r="M149" s="1422">
        <v>65355406</v>
      </c>
      <c r="N149" s="1439"/>
      <c r="O149" s="1420">
        <v>26.6</v>
      </c>
      <c r="P149" s="1439"/>
      <c r="Q149" s="1422">
        <v>25</v>
      </c>
      <c r="R149" s="1439"/>
      <c r="S149" s="1420">
        <v>1.6</v>
      </c>
      <c r="T149" s="1439"/>
      <c r="U149" s="1422">
        <v>0</v>
      </c>
      <c r="V149" s="1439"/>
      <c r="W149" s="1420">
        <v>9.4</v>
      </c>
      <c r="X149" s="1439"/>
      <c r="Y149" s="1422">
        <v>36</v>
      </c>
      <c r="Z149" s="1439"/>
      <c r="AA149" s="1420">
        <v>6692438.4299999997</v>
      </c>
      <c r="AB149" s="1455"/>
      <c r="AC149" s="1424">
        <v>1717645.11</v>
      </c>
      <c r="AD149" s="1422">
        <v>1806770</v>
      </c>
      <c r="AE149" s="1420">
        <v>1052567.55</v>
      </c>
      <c r="AF149" s="1422">
        <v>980353</v>
      </c>
      <c r="AG149" s="1422">
        <v>0</v>
      </c>
      <c r="AH149" s="1456">
        <v>0</v>
      </c>
      <c r="AI149" s="1428">
        <v>6095970</v>
      </c>
      <c r="AJ149" s="1422">
        <v>6374052</v>
      </c>
      <c r="AK149" s="1422">
        <v>0</v>
      </c>
      <c r="AL149" s="1422">
        <v>0</v>
      </c>
      <c r="AM149" s="1422">
        <v>169939</v>
      </c>
      <c r="AN149" s="1422">
        <v>108444</v>
      </c>
      <c r="AO149" s="1422">
        <v>0</v>
      </c>
      <c r="AP149" s="1422">
        <v>0</v>
      </c>
      <c r="AQ149" s="1422">
        <v>0</v>
      </c>
      <c r="AR149" s="1422">
        <v>0</v>
      </c>
      <c r="AS149" s="1422">
        <v>0</v>
      </c>
      <c r="AT149" s="1422">
        <v>0</v>
      </c>
      <c r="AU149" s="1422">
        <v>0</v>
      </c>
      <c r="AV149" s="1422">
        <v>0</v>
      </c>
      <c r="AW149" s="1422">
        <v>0</v>
      </c>
      <c r="AX149" s="1422">
        <v>0</v>
      </c>
      <c r="AY149" s="1420">
        <v>9036121.6600000001</v>
      </c>
      <c r="AZ149" s="1422">
        <v>9269619</v>
      </c>
      <c r="BA149" s="1422">
        <v>0</v>
      </c>
      <c r="BB149" s="1422">
        <v>0</v>
      </c>
      <c r="BC149" s="1422">
        <v>52628</v>
      </c>
      <c r="BD149" s="1422">
        <v>55059</v>
      </c>
      <c r="BE149" s="1422">
        <v>9000</v>
      </c>
      <c r="BF149" s="1422">
        <v>0</v>
      </c>
      <c r="BG149" s="1422">
        <v>650</v>
      </c>
      <c r="BH149" s="1422">
        <v>0</v>
      </c>
      <c r="BI149" s="1422">
        <v>26816</v>
      </c>
      <c r="BJ149" s="1422">
        <v>5098</v>
      </c>
      <c r="BK149" s="1422">
        <v>4981</v>
      </c>
      <c r="BL149" s="1422">
        <v>0</v>
      </c>
      <c r="BM149" s="1422">
        <v>943392</v>
      </c>
      <c r="BN149" s="1422">
        <v>1014024</v>
      </c>
      <c r="BO149" s="1420">
        <v>83512.210000000006</v>
      </c>
      <c r="BP149" s="1422">
        <v>70000</v>
      </c>
      <c r="BQ149" s="1422">
        <v>26000</v>
      </c>
      <c r="BR149" s="1422">
        <v>26000</v>
      </c>
      <c r="BS149" s="1420">
        <v>5580.28</v>
      </c>
      <c r="BT149" s="1422">
        <v>5000</v>
      </c>
      <c r="BU149" s="1422">
        <v>0</v>
      </c>
      <c r="BV149" s="1422">
        <v>0</v>
      </c>
      <c r="BW149" s="1422">
        <v>184680</v>
      </c>
      <c r="BX149" s="1420">
        <v>148220.26</v>
      </c>
      <c r="BY149" s="1422">
        <v>0</v>
      </c>
      <c r="BZ149" s="1422">
        <v>0</v>
      </c>
      <c r="CA149" s="1420">
        <v>218057.99</v>
      </c>
      <c r="CB149" s="1422">
        <v>102826</v>
      </c>
      <c r="CC149" s="1420">
        <v>1555297.48</v>
      </c>
      <c r="CD149" s="1420">
        <v>1426227.26</v>
      </c>
      <c r="CE149" s="1420">
        <v>2639342.4700000002</v>
      </c>
      <c r="CF149" s="1420">
        <v>3512216.14</v>
      </c>
      <c r="CG149" s="1420">
        <v>-196923.2</v>
      </c>
      <c r="CH149" s="1422">
        <v>0</v>
      </c>
      <c r="CI149" s="1422">
        <v>0</v>
      </c>
      <c r="CJ149" s="1422">
        <v>0</v>
      </c>
      <c r="CK149" s="1420">
        <v>6893.32</v>
      </c>
      <c r="CL149" s="1422">
        <v>0</v>
      </c>
      <c r="CM149" s="1422">
        <v>2875</v>
      </c>
      <c r="CN149" s="1422">
        <v>0</v>
      </c>
      <c r="CO149" s="1422">
        <v>2050</v>
      </c>
      <c r="CP149" s="1422">
        <v>0</v>
      </c>
      <c r="CQ149" s="1422">
        <v>0</v>
      </c>
      <c r="CR149" s="1422">
        <v>0</v>
      </c>
      <c r="CS149" s="1420">
        <v>-185104.88</v>
      </c>
      <c r="CT149" s="1422">
        <v>0</v>
      </c>
      <c r="CU149" s="1420">
        <v>13045656.73</v>
      </c>
      <c r="CV149" s="1420">
        <v>14208062.4</v>
      </c>
      <c r="CW149" s="1420">
        <v>4663338.84</v>
      </c>
      <c r="CX149" s="1420">
        <v>5732142.6799999997</v>
      </c>
      <c r="CY149" s="1420">
        <v>527105.52</v>
      </c>
      <c r="CZ149" s="1420">
        <v>613513.92000000004</v>
      </c>
      <c r="DA149" s="1420">
        <v>225357.33</v>
      </c>
      <c r="DB149" s="1420">
        <v>182575.59</v>
      </c>
      <c r="DC149" s="1422">
        <v>0</v>
      </c>
      <c r="DD149" s="1422">
        <v>0</v>
      </c>
      <c r="DE149" s="1420">
        <v>1078889.6299999999</v>
      </c>
      <c r="DF149" s="1420">
        <v>1131969.8400000001</v>
      </c>
      <c r="DG149" s="1420">
        <v>198781.63</v>
      </c>
      <c r="DH149" s="1420">
        <v>205265.8</v>
      </c>
      <c r="DI149" s="1420">
        <v>6693472.9500000002</v>
      </c>
      <c r="DJ149" s="1420">
        <v>7865467.8300000001</v>
      </c>
      <c r="DK149" s="1420">
        <v>239331.95</v>
      </c>
      <c r="DL149" s="1420">
        <v>346844.08</v>
      </c>
      <c r="DM149" s="1420">
        <v>223180.19</v>
      </c>
      <c r="DN149" s="1420">
        <v>490802.93</v>
      </c>
      <c r="DO149" s="1420">
        <v>1202128.69</v>
      </c>
      <c r="DP149" s="1420">
        <v>1739870.25</v>
      </c>
      <c r="DQ149" s="1420">
        <v>936224.13</v>
      </c>
      <c r="DR149" s="1420">
        <v>1160157.6200000001</v>
      </c>
      <c r="DS149" s="1420">
        <v>25401.279999999999</v>
      </c>
      <c r="DT149" s="1422">
        <v>27881</v>
      </c>
      <c r="DU149" s="1420">
        <v>2626266.2400000002</v>
      </c>
      <c r="DV149" s="1420">
        <v>3765555.88</v>
      </c>
      <c r="DW149" s="1420">
        <v>582277.76</v>
      </c>
      <c r="DX149" s="1420">
        <v>687845.64</v>
      </c>
      <c r="DY149" s="1420">
        <v>1091373.71</v>
      </c>
      <c r="DZ149" s="1420">
        <v>1121552.72</v>
      </c>
      <c r="EA149" s="1420">
        <v>426177.8</v>
      </c>
      <c r="EB149" s="1420">
        <v>421621.62</v>
      </c>
      <c r="EC149" s="1420">
        <v>2099829.27</v>
      </c>
      <c r="ED149" s="1420">
        <v>2231019.98</v>
      </c>
      <c r="EE149" s="1420">
        <v>780607.32</v>
      </c>
      <c r="EF149" s="1420">
        <v>728020.93</v>
      </c>
      <c r="EG149" s="1422">
        <v>0</v>
      </c>
      <c r="EH149" s="1422">
        <v>0</v>
      </c>
      <c r="EI149" s="1420">
        <v>4797.55</v>
      </c>
      <c r="EJ149" s="1422">
        <v>10625</v>
      </c>
      <c r="EK149" s="1422">
        <v>0</v>
      </c>
      <c r="EL149" s="1422">
        <v>0</v>
      </c>
      <c r="EM149" s="1420">
        <v>785404.87</v>
      </c>
      <c r="EN149" s="1420">
        <v>738645.93</v>
      </c>
      <c r="EO149" s="1420">
        <v>215869.96</v>
      </c>
      <c r="EP149" s="1422">
        <v>116642</v>
      </c>
      <c r="EQ149" s="1420">
        <v>506723.26</v>
      </c>
      <c r="ER149" s="1422">
        <v>562000</v>
      </c>
      <c r="ES149" s="1420">
        <v>94045.46</v>
      </c>
      <c r="ET149" s="1422">
        <v>4300</v>
      </c>
      <c r="EU149" s="1420">
        <v>13021612.01</v>
      </c>
      <c r="EV149" s="1420">
        <v>15283631.619999999</v>
      </c>
      <c r="EW149" s="1420">
        <v>834524.68</v>
      </c>
      <c r="EX149" s="1420">
        <v>938030.33</v>
      </c>
      <c r="EY149" s="1420">
        <v>506723.26</v>
      </c>
      <c r="EZ149" s="1422">
        <v>562000</v>
      </c>
      <c r="FA149" s="1420">
        <v>11680364.07</v>
      </c>
      <c r="FB149" s="1420">
        <v>13783601.289999999</v>
      </c>
      <c r="FC149" s="1420">
        <v>949226.32</v>
      </c>
      <c r="FD149" s="1439"/>
      <c r="FE149" s="1420">
        <v>10731137.75</v>
      </c>
      <c r="FF149" s="1439"/>
      <c r="FG149" s="1422">
        <v>8759</v>
      </c>
      <c r="FH149" s="1439"/>
      <c r="FI149" s="1420">
        <v>80.239999999999995</v>
      </c>
      <c r="FJ149" s="1439"/>
      <c r="FK149" s="1422">
        <v>42923</v>
      </c>
      <c r="FL149" s="1439"/>
      <c r="FM149" s="1420">
        <v>89.73</v>
      </c>
      <c r="FN149" s="1439"/>
      <c r="FO149" s="1422">
        <v>44792</v>
      </c>
      <c r="FP149" s="1439"/>
      <c r="FQ149" s="1420">
        <v>2558905.7999999998</v>
      </c>
      <c r="FR149" s="1439"/>
      <c r="FS149" s="1420">
        <v>188776.2</v>
      </c>
      <c r="FT149" s="1439"/>
      <c r="FU149" s="1422">
        <v>0</v>
      </c>
      <c r="FV149" s="1439"/>
      <c r="FW149" s="1420">
        <v>2370129.6</v>
      </c>
      <c r="FX149" s="1439"/>
      <c r="FY149" s="1420">
        <v>193046.58</v>
      </c>
      <c r="FZ149" s="1439"/>
      <c r="GA149" s="1422">
        <v>0</v>
      </c>
      <c r="GB149" s="1439"/>
    </row>
    <row r="150" spans="1:184" ht="12.75" customHeight="1" thickBot="1">
      <c r="A150" s="1418" t="s">
        <v>350</v>
      </c>
      <c r="B150" s="1418" t="s">
        <v>351</v>
      </c>
      <c r="C150" s="1420">
        <v>111.41</v>
      </c>
      <c r="D150" s="1439"/>
      <c r="E150" s="1420">
        <v>1296.18</v>
      </c>
      <c r="F150" s="1439"/>
      <c r="G150" s="1421">
        <v>-0.03</v>
      </c>
      <c r="H150" s="1439"/>
      <c r="I150" s="1420">
        <v>1395.16</v>
      </c>
      <c r="J150" s="1439"/>
      <c r="K150" s="1420">
        <v>1408.61</v>
      </c>
      <c r="L150" s="1439"/>
      <c r="M150" s="1422">
        <v>40959407</v>
      </c>
      <c r="N150" s="1439"/>
      <c r="O150" s="1422">
        <v>30</v>
      </c>
      <c r="P150" s="1439"/>
      <c r="Q150" s="1422">
        <v>25</v>
      </c>
      <c r="R150" s="1439"/>
      <c r="S150" s="1422">
        <v>5</v>
      </c>
      <c r="T150" s="1439"/>
      <c r="U150" s="1422">
        <v>0</v>
      </c>
      <c r="V150" s="1439"/>
      <c r="W150" s="1422">
        <v>0</v>
      </c>
      <c r="X150" s="1439"/>
      <c r="Y150" s="1422">
        <v>30</v>
      </c>
      <c r="Z150" s="1439"/>
      <c r="AA150" s="1422">
        <v>0</v>
      </c>
      <c r="AB150" s="1455"/>
      <c r="AC150" s="1424">
        <v>1039989.68</v>
      </c>
      <c r="AD150" s="1422">
        <v>1031397</v>
      </c>
      <c r="AE150" s="1420">
        <v>681933.06</v>
      </c>
      <c r="AF150" s="1422">
        <v>267086</v>
      </c>
      <c r="AG150" s="1422">
        <v>0</v>
      </c>
      <c r="AH150" s="1456">
        <v>0</v>
      </c>
      <c r="AI150" s="1428">
        <v>7154115</v>
      </c>
      <c r="AJ150" s="1422">
        <v>7677291</v>
      </c>
      <c r="AK150" s="1422">
        <v>17244</v>
      </c>
      <c r="AL150" s="1422">
        <v>38132</v>
      </c>
      <c r="AM150" s="1422">
        <v>0</v>
      </c>
      <c r="AN150" s="1422">
        <v>0</v>
      </c>
      <c r="AO150" s="1422">
        <v>47281</v>
      </c>
      <c r="AP150" s="1422">
        <v>0</v>
      </c>
      <c r="AQ150" s="1422">
        <v>0</v>
      </c>
      <c r="AR150" s="1422">
        <v>0</v>
      </c>
      <c r="AS150" s="1422">
        <v>0</v>
      </c>
      <c r="AT150" s="1422">
        <v>0</v>
      </c>
      <c r="AU150" s="1422">
        <v>83876</v>
      </c>
      <c r="AV150" s="1422">
        <v>67100</v>
      </c>
      <c r="AW150" s="1422">
        <v>0</v>
      </c>
      <c r="AX150" s="1422">
        <v>0</v>
      </c>
      <c r="AY150" s="1420">
        <v>9024438.7400000002</v>
      </c>
      <c r="AZ150" s="1422">
        <v>9081006</v>
      </c>
      <c r="BA150" s="1422">
        <v>0</v>
      </c>
      <c r="BB150" s="1422">
        <v>0</v>
      </c>
      <c r="BC150" s="1422">
        <v>58260</v>
      </c>
      <c r="BD150" s="1422">
        <v>59878</v>
      </c>
      <c r="BE150" s="1420">
        <v>3399.46</v>
      </c>
      <c r="BF150" s="1422">
        <v>3800</v>
      </c>
      <c r="BG150" s="1422">
        <v>250</v>
      </c>
      <c r="BH150" s="1422">
        <v>0</v>
      </c>
      <c r="BI150" s="1422">
        <v>18649</v>
      </c>
      <c r="BJ150" s="1422">
        <v>26694</v>
      </c>
      <c r="BK150" s="1422">
        <v>6446</v>
      </c>
      <c r="BL150" s="1422">
        <v>0</v>
      </c>
      <c r="BM150" s="1422">
        <v>466240</v>
      </c>
      <c r="BN150" s="1422">
        <v>477158</v>
      </c>
      <c r="BO150" s="1420">
        <v>14558.16</v>
      </c>
      <c r="BP150" s="1422">
        <v>0</v>
      </c>
      <c r="BQ150" s="1420">
        <v>28166.76</v>
      </c>
      <c r="BR150" s="1422">
        <v>21125</v>
      </c>
      <c r="BS150" s="1420">
        <v>5447.21</v>
      </c>
      <c r="BT150" s="1422">
        <v>0</v>
      </c>
      <c r="BU150" s="1422">
        <v>0</v>
      </c>
      <c r="BV150" s="1422">
        <v>0</v>
      </c>
      <c r="BW150" s="1422">
        <v>0</v>
      </c>
      <c r="BX150" s="1422">
        <v>0</v>
      </c>
      <c r="BY150" s="1422">
        <v>0</v>
      </c>
      <c r="BZ150" s="1422">
        <v>0</v>
      </c>
      <c r="CA150" s="1420">
        <v>201750.94</v>
      </c>
      <c r="CB150" s="1422">
        <v>13692</v>
      </c>
      <c r="CC150" s="1420">
        <v>803167.53</v>
      </c>
      <c r="CD150" s="1422">
        <v>602347</v>
      </c>
      <c r="CE150" s="1420">
        <v>2401547.31</v>
      </c>
      <c r="CF150" s="1420">
        <v>937052.66</v>
      </c>
      <c r="CG150" s="1422">
        <v>0</v>
      </c>
      <c r="CH150" s="1422">
        <v>0</v>
      </c>
      <c r="CI150" s="1422">
        <v>0</v>
      </c>
      <c r="CJ150" s="1422">
        <v>0</v>
      </c>
      <c r="CK150" s="1422">
        <v>0</v>
      </c>
      <c r="CL150" s="1422">
        <v>0</v>
      </c>
      <c r="CM150" s="1422">
        <v>500</v>
      </c>
      <c r="CN150" s="1422">
        <v>0</v>
      </c>
      <c r="CO150" s="1422">
        <v>0</v>
      </c>
      <c r="CP150" s="1422">
        <v>0</v>
      </c>
      <c r="CQ150" s="1422">
        <v>0</v>
      </c>
      <c r="CR150" s="1422">
        <v>0</v>
      </c>
      <c r="CS150" s="1422">
        <v>500</v>
      </c>
      <c r="CT150" s="1422">
        <v>0</v>
      </c>
      <c r="CU150" s="1420">
        <v>12229653.58</v>
      </c>
      <c r="CV150" s="1420">
        <v>10620405.66</v>
      </c>
      <c r="CW150" s="1420">
        <v>4758441.8899999997</v>
      </c>
      <c r="CX150" s="1420">
        <v>4675928.0999999996</v>
      </c>
      <c r="CY150" s="1420">
        <v>961728.35</v>
      </c>
      <c r="CZ150" s="1420">
        <v>806618.15</v>
      </c>
      <c r="DA150" s="1420">
        <v>326983.21000000002</v>
      </c>
      <c r="DB150" s="1422">
        <v>328895</v>
      </c>
      <c r="DC150" s="1422">
        <v>0</v>
      </c>
      <c r="DD150" s="1422">
        <v>0</v>
      </c>
      <c r="DE150" s="1420">
        <v>514047.86</v>
      </c>
      <c r="DF150" s="1420">
        <v>419499.39</v>
      </c>
      <c r="DG150" s="1420">
        <v>387981.76</v>
      </c>
      <c r="DH150" s="1420">
        <v>431420.39</v>
      </c>
      <c r="DI150" s="1420">
        <v>6949183.0700000003</v>
      </c>
      <c r="DJ150" s="1420">
        <v>6662361.0300000003</v>
      </c>
      <c r="DK150" s="1420">
        <v>339073.91</v>
      </c>
      <c r="DL150" s="1422">
        <v>357276</v>
      </c>
      <c r="DM150" s="1420">
        <v>341698.56</v>
      </c>
      <c r="DN150" s="1422">
        <v>312343</v>
      </c>
      <c r="DO150" s="1420">
        <v>1138132.93</v>
      </c>
      <c r="DP150" s="1422">
        <v>1283301</v>
      </c>
      <c r="DQ150" s="1420">
        <v>535911.4</v>
      </c>
      <c r="DR150" s="1422">
        <v>551510</v>
      </c>
      <c r="DS150" s="1420">
        <v>10830.58</v>
      </c>
      <c r="DT150" s="1422">
        <v>10000</v>
      </c>
      <c r="DU150" s="1420">
        <v>2365647.38</v>
      </c>
      <c r="DV150" s="1422">
        <v>2514430</v>
      </c>
      <c r="DW150" s="1420">
        <v>451454.92</v>
      </c>
      <c r="DX150" s="1422">
        <v>468642</v>
      </c>
      <c r="DY150" s="1420">
        <v>757760.14</v>
      </c>
      <c r="DZ150" s="1420">
        <v>770591.82</v>
      </c>
      <c r="EA150" s="1420">
        <v>694584.34</v>
      </c>
      <c r="EB150" s="1422">
        <v>720208</v>
      </c>
      <c r="EC150" s="1420">
        <v>1903799.4</v>
      </c>
      <c r="ED150" s="1420">
        <v>1959441.82</v>
      </c>
      <c r="EE150" s="1420">
        <v>659866.74</v>
      </c>
      <c r="EF150" s="1422">
        <v>38351</v>
      </c>
      <c r="EG150" s="1420">
        <v>29914.61</v>
      </c>
      <c r="EH150" s="1422">
        <v>0</v>
      </c>
      <c r="EI150" s="1422">
        <v>0</v>
      </c>
      <c r="EJ150" s="1420">
        <v>6591.42</v>
      </c>
      <c r="EK150" s="1422">
        <v>0</v>
      </c>
      <c r="EL150" s="1422">
        <v>0</v>
      </c>
      <c r="EM150" s="1420">
        <v>689781.35</v>
      </c>
      <c r="EN150" s="1420">
        <v>44942.42</v>
      </c>
      <c r="EO150" s="1420">
        <v>822751.97</v>
      </c>
      <c r="EP150" s="1422">
        <v>0</v>
      </c>
      <c r="EQ150" s="1422">
        <v>0</v>
      </c>
      <c r="ER150" s="1422">
        <v>0</v>
      </c>
      <c r="ES150" s="1422">
        <v>0</v>
      </c>
      <c r="ET150" s="1422">
        <v>0</v>
      </c>
      <c r="EU150" s="1420">
        <v>12731163.17</v>
      </c>
      <c r="EV150" s="1420">
        <v>11181175.27</v>
      </c>
      <c r="EW150" s="1420">
        <v>1293214.26</v>
      </c>
      <c r="EX150" s="1420">
        <v>300394.65000000002</v>
      </c>
      <c r="EY150" s="1422">
        <v>0</v>
      </c>
      <c r="EZ150" s="1422">
        <v>0</v>
      </c>
      <c r="FA150" s="1420">
        <v>11437948.91</v>
      </c>
      <c r="FB150" s="1420">
        <v>10880780.619999999</v>
      </c>
      <c r="FC150" s="1420">
        <v>313006.33</v>
      </c>
      <c r="FD150" s="1439"/>
      <c r="FE150" s="1420">
        <v>11124942.58</v>
      </c>
      <c r="FF150" s="1439"/>
      <c r="FG150" s="1422">
        <v>8582</v>
      </c>
      <c r="FH150" s="1439"/>
      <c r="FI150" s="1420">
        <v>95.34</v>
      </c>
      <c r="FJ150" s="1439"/>
      <c r="FK150" s="1422">
        <v>43476</v>
      </c>
      <c r="FL150" s="1439"/>
      <c r="FM150" s="1420">
        <v>106.78</v>
      </c>
      <c r="FN150" s="1439"/>
      <c r="FO150" s="1422">
        <v>46149</v>
      </c>
      <c r="FP150" s="1439"/>
      <c r="FQ150" s="1420">
        <v>4864294.38</v>
      </c>
      <c r="FR150" s="1439"/>
      <c r="FS150" s="1420">
        <v>97544.05</v>
      </c>
      <c r="FT150" s="1439"/>
      <c r="FU150" s="1422">
        <v>0</v>
      </c>
      <c r="FV150" s="1439"/>
      <c r="FW150" s="1420">
        <v>4766750.33</v>
      </c>
      <c r="FX150" s="1439"/>
      <c r="FY150" s="1420">
        <v>1279042.1200000001</v>
      </c>
      <c r="FZ150" s="1439"/>
      <c r="GA150" s="1422">
        <v>0</v>
      </c>
      <c r="GB150" s="1439"/>
    </row>
    <row r="151" spans="1:184" ht="12.75" customHeight="1" thickBot="1">
      <c r="A151" s="1418" t="s">
        <v>352</v>
      </c>
      <c r="B151" s="1418" t="s">
        <v>353</v>
      </c>
      <c r="C151" s="1420">
        <v>135.56</v>
      </c>
      <c r="D151" s="1439"/>
      <c r="E151" s="1420">
        <v>928.09</v>
      </c>
      <c r="F151" s="1439"/>
      <c r="G151" s="1421">
        <v>-0.03</v>
      </c>
      <c r="H151" s="1439"/>
      <c r="I151" s="1420">
        <v>984.41</v>
      </c>
      <c r="J151" s="1439"/>
      <c r="K151" s="1420">
        <v>1018.64</v>
      </c>
      <c r="L151" s="1439"/>
      <c r="M151" s="1422">
        <v>41118813</v>
      </c>
      <c r="N151" s="1439"/>
      <c r="O151" s="1422">
        <v>25</v>
      </c>
      <c r="P151" s="1439"/>
      <c r="Q151" s="1422">
        <v>25</v>
      </c>
      <c r="R151" s="1439"/>
      <c r="S151" s="1422">
        <v>0</v>
      </c>
      <c r="T151" s="1439"/>
      <c r="U151" s="1422">
        <v>0</v>
      </c>
      <c r="V151" s="1439"/>
      <c r="W151" s="1420">
        <v>11.7</v>
      </c>
      <c r="X151" s="1439"/>
      <c r="Y151" s="1420">
        <v>36.700000000000003</v>
      </c>
      <c r="Z151" s="1439"/>
      <c r="AA151" s="1422">
        <v>3955000</v>
      </c>
      <c r="AB151" s="1455"/>
      <c r="AC151" s="1424">
        <v>1353414.33</v>
      </c>
      <c r="AD151" s="1422">
        <v>1300068</v>
      </c>
      <c r="AE151" s="1420">
        <v>617828.21</v>
      </c>
      <c r="AF151" s="1422">
        <v>583130</v>
      </c>
      <c r="AG151" s="1422">
        <v>0</v>
      </c>
      <c r="AH151" s="1456">
        <v>0</v>
      </c>
      <c r="AI151" s="1428">
        <v>5185582</v>
      </c>
      <c r="AJ151" s="1422">
        <v>5038169</v>
      </c>
      <c r="AK151" s="1422">
        <v>26950</v>
      </c>
      <c r="AL151" s="1422">
        <v>0</v>
      </c>
      <c r="AM151" s="1422">
        <v>0</v>
      </c>
      <c r="AN151" s="1422">
        <v>0</v>
      </c>
      <c r="AO151" s="1422">
        <v>18129</v>
      </c>
      <c r="AP151" s="1422">
        <v>103711</v>
      </c>
      <c r="AQ151" s="1422">
        <v>0</v>
      </c>
      <c r="AR151" s="1422">
        <v>0</v>
      </c>
      <c r="AS151" s="1422">
        <v>0</v>
      </c>
      <c r="AT151" s="1422">
        <v>0</v>
      </c>
      <c r="AU151" s="1422">
        <v>35966</v>
      </c>
      <c r="AV151" s="1422">
        <v>28773</v>
      </c>
      <c r="AW151" s="1420">
        <v>216.86</v>
      </c>
      <c r="AX151" s="1422">
        <v>0</v>
      </c>
      <c r="AY151" s="1420">
        <v>7238086.4000000004</v>
      </c>
      <c r="AZ151" s="1422">
        <v>7053851</v>
      </c>
      <c r="BA151" s="1422">
        <v>0</v>
      </c>
      <c r="BB151" s="1422">
        <v>0</v>
      </c>
      <c r="BC151" s="1422">
        <v>42131</v>
      </c>
      <c r="BD151" s="1422">
        <v>41739</v>
      </c>
      <c r="BE151" s="1422">
        <v>3600</v>
      </c>
      <c r="BF151" s="1422">
        <v>0</v>
      </c>
      <c r="BG151" s="1422">
        <v>250</v>
      </c>
      <c r="BH151" s="1422">
        <v>0</v>
      </c>
      <c r="BI151" s="1422">
        <v>18893</v>
      </c>
      <c r="BJ151" s="1422">
        <v>20476</v>
      </c>
      <c r="BK151" s="1422">
        <v>2930</v>
      </c>
      <c r="BL151" s="1422">
        <v>2392</v>
      </c>
      <c r="BM151" s="1422">
        <v>317936</v>
      </c>
      <c r="BN151" s="1422">
        <v>313214</v>
      </c>
      <c r="BO151" s="1422">
        <v>4173</v>
      </c>
      <c r="BP151" s="1422">
        <v>0</v>
      </c>
      <c r="BQ151" s="1420">
        <v>21124.36</v>
      </c>
      <c r="BR151" s="1422">
        <v>0</v>
      </c>
      <c r="BS151" s="1420">
        <v>3468.81</v>
      </c>
      <c r="BT151" s="1422">
        <v>3400</v>
      </c>
      <c r="BU151" s="1422">
        <v>0</v>
      </c>
      <c r="BV151" s="1422">
        <v>0</v>
      </c>
      <c r="BW151" s="1422">
        <v>194012</v>
      </c>
      <c r="BX151" s="1422">
        <v>194400</v>
      </c>
      <c r="BY151" s="1422">
        <v>0</v>
      </c>
      <c r="BZ151" s="1422">
        <v>0</v>
      </c>
      <c r="CA151" s="1420">
        <v>1187517.92</v>
      </c>
      <c r="CB151" s="1420">
        <v>84922.97</v>
      </c>
      <c r="CC151" s="1420">
        <v>1796036.09</v>
      </c>
      <c r="CD151" s="1420">
        <v>660543.97</v>
      </c>
      <c r="CE151" s="1420">
        <v>1835057.73</v>
      </c>
      <c r="CF151" s="1420">
        <v>909456.87</v>
      </c>
      <c r="CG151" s="1420">
        <v>25013.22</v>
      </c>
      <c r="CH151" s="1422">
        <v>0</v>
      </c>
      <c r="CI151" s="1422">
        <v>0</v>
      </c>
      <c r="CJ151" s="1422">
        <v>0</v>
      </c>
      <c r="CK151" s="1422">
        <v>0</v>
      </c>
      <c r="CL151" s="1422">
        <v>0</v>
      </c>
      <c r="CM151" s="1422">
        <v>0</v>
      </c>
      <c r="CN151" s="1422">
        <v>0</v>
      </c>
      <c r="CO151" s="1422">
        <v>0</v>
      </c>
      <c r="CP151" s="1422">
        <v>0</v>
      </c>
      <c r="CQ151" s="1422">
        <v>0</v>
      </c>
      <c r="CR151" s="1422">
        <v>0</v>
      </c>
      <c r="CS151" s="1420">
        <v>25013.22</v>
      </c>
      <c r="CT151" s="1422">
        <v>0</v>
      </c>
      <c r="CU151" s="1420">
        <v>10894193.439999999</v>
      </c>
      <c r="CV151" s="1420">
        <v>8623851.8399999999</v>
      </c>
      <c r="CW151" s="1420">
        <v>4102924.65</v>
      </c>
      <c r="CX151" s="1420">
        <v>3860958.35</v>
      </c>
      <c r="CY151" s="1420">
        <v>629614.43999999994</v>
      </c>
      <c r="CZ151" s="1420">
        <v>541815.04000000004</v>
      </c>
      <c r="DA151" s="1420">
        <v>346939.82</v>
      </c>
      <c r="DB151" s="1420">
        <v>301135.64</v>
      </c>
      <c r="DC151" s="1422">
        <v>0</v>
      </c>
      <c r="DD151" s="1422">
        <v>0</v>
      </c>
      <c r="DE151" s="1420">
        <v>386938.68</v>
      </c>
      <c r="DF151" s="1420">
        <v>317342.94</v>
      </c>
      <c r="DG151" s="1420">
        <v>115144.21</v>
      </c>
      <c r="DH151" s="1420">
        <v>108144.02</v>
      </c>
      <c r="DI151" s="1420">
        <v>5581561.7999999998</v>
      </c>
      <c r="DJ151" s="1420">
        <v>5129395.99</v>
      </c>
      <c r="DK151" s="1420">
        <v>292662.96999999997</v>
      </c>
      <c r="DL151" s="1420">
        <v>304783.65000000002</v>
      </c>
      <c r="DM151" s="1420">
        <v>152262.56</v>
      </c>
      <c r="DN151" s="1420">
        <v>155991.21</v>
      </c>
      <c r="DO151" s="1420">
        <v>861221.66</v>
      </c>
      <c r="DP151" s="1420">
        <v>973458.23</v>
      </c>
      <c r="DQ151" s="1420">
        <v>376848.84</v>
      </c>
      <c r="DR151" s="1420">
        <v>289657.2</v>
      </c>
      <c r="DS151" s="1420">
        <v>19032.849999999999</v>
      </c>
      <c r="DT151" s="1422">
        <v>17900</v>
      </c>
      <c r="DU151" s="1420">
        <v>1702028.88</v>
      </c>
      <c r="DV151" s="1420">
        <v>1741790.29</v>
      </c>
      <c r="DW151" s="1422">
        <v>371307</v>
      </c>
      <c r="DX151" s="1420">
        <v>358773.36</v>
      </c>
      <c r="DY151" s="1420">
        <v>465376.71</v>
      </c>
      <c r="DZ151" s="1420">
        <v>408694.68</v>
      </c>
      <c r="EA151" s="1420">
        <v>452572.49</v>
      </c>
      <c r="EB151" s="1420">
        <v>473627.52</v>
      </c>
      <c r="EC151" s="1420">
        <v>1289256.2</v>
      </c>
      <c r="ED151" s="1420">
        <v>1241095.56</v>
      </c>
      <c r="EE151" s="1420">
        <v>473571.47</v>
      </c>
      <c r="EF151" s="1420">
        <v>417445.32</v>
      </c>
      <c r="EG151" s="1422">
        <v>0</v>
      </c>
      <c r="EH151" s="1422">
        <v>16500</v>
      </c>
      <c r="EI151" s="1422">
        <v>0</v>
      </c>
      <c r="EJ151" s="1422">
        <v>1</v>
      </c>
      <c r="EK151" s="1422">
        <v>0</v>
      </c>
      <c r="EL151" s="1422">
        <v>0</v>
      </c>
      <c r="EM151" s="1420">
        <v>473571.47</v>
      </c>
      <c r="EN151" s="1420">
        <v>433946.32</v>
      </c>
      <c r="EO151" s="1420">
        <v>4238067.8899999997</v>
      </c>
      <c r="EP151" s="1420">
        <v>4503.34</v>
      </c>
      <c r="EQ151" s="1420">
        <v>374605.76</v>
      </c>
      <c r="ER151" s="1422">
        <v>371789</v>
      </c>
      <c r="ES151" s="1422">
        <v>0</v>
      </c>
      <c r="ET151" s="1422">
        <v>0</v>
      </c>
      <c r="EU151" s="1422">
        <v>13659092</v>
      </c>
      <c r="EV151" s="1420">
        <v>8922520.5</v>
      </c>
      <c r="EW151" s="1420">
        <v>4569126.74</v>
      </c>
      <c r="EX151" s="1420">
        <v>70998.5</v>
      </c>
      <c r="EY151" s="1420">
        <v>374605.76</v>
      </c>
      <c r="EZ151" s="1422">
        <v>371789</v>
      </c>
      <c r="FA151" s="1420">
        <v>8715359.5</v>
      </c>
      <c r="FB151" s="1422">
        <v>8479733</v>
      </c>
      <c r="FC151" s="1420">
        <v>477596.34</v>
      </c>
      <c r="FD151" s="1439"/>
      <c r="FE151" s="1420">
        <v>8237763.1600000001</v>
      </c>
      <c r="FF151" s="1439"/>
      <c r="FG151" s="1422">
        <v>8876</v>
      </c>
      <c r="FH151" s="1439"/>
      <c r="FI151" s="1420">
        <v>72.03</v>
      </c>
      <c r="FJ151" s="1439"/>
      <c r="FK151" s="1422">
        <v>43540</v>
      </c>
      <c r="FL151" s="1439"/>
      <c r="FM151" s="1420">
        <v>76.819999999999993</v>
      </c>
      <c r="FN151" s="1439"/>
      <c r="FO151" s="1422">
        <v>45334</v>
      </c>
      <c r="FP151" s="1439"/>
      <c r="FQ151" s="1420">
        <v>3249153.51</v>
      </c>
      <c r="FR151" s="1439"/>
      <c r="FS151" s="1420">
        <v>118963.71</v>
      </c>
      <c r="FT151" s="1439"/>
      <c r="FU151" s="1422">
        <v>0</v>
      </c>
      <c r="FV151" s="1439"/>
      <c r="FW151" s="1420">
        <v>3130189.8</v>
      </c>
      <c r="FX151" s="1439"/>
      <c r="FY151" s="1422">
        <v>0</v>
      </c>
      <c r="FZ151" s="1439"/>
      <c r="GA151" s="1422">
        <v>0</v>
      </c>
      <c r="GB151" s="1439"/>
    </row>
    <row r="152" spans="1:184" ht="12.75" customHeight="1" thickBot="1">
      <c r="A152" s="1418" t="s">
        <v>354</v>
      </c>
      <c r="B152" s="1418" t="s">
        <v>355</v>
      </c>
      <c r="C152" s="1420">
        <v>52.47</v>
      </c>
      <c r="D152" s="1439"/>
      <c r="E152" s="1420">
        <v>1299.47</v>
      </c>
      <c r="F152" s="1439"/>
      <c r="G152" s="1421">
        <v>-0.12</v>
      </c>
      <c r="H152" s="1439"/>
      <c r="I152" s="1420">
        <v>1369.91</v>
      </c>
      <c r="J152" s="1439"/>
      <c r="K152" s="1420">
        <v>1474.78</v>
      </c>
      <c r="L152" s="1439"/>
      <c r="M152" s="1422">
        <v>74512991</v>
      </c>
      <c r="N152" s="1439"/>
      <c r="O152" s="1422">
        <v>25</v>
      </c>
      <c r="P152" s="1439"/>
      <c r="Q152" s="1422">
        <v>25</v>
      </c>
      <c r="R152" s="1439"/>
      <c r="S152" s="1422">
        <v>0</v>
      </c>
      <c r="T152" s="1439"/>
      <c r="U152" s="1422">
        <v>0</v>
      </c>
      <c r="V152" s="1439"/>
      <c r="W152" s="1420">
        <v>13.2</v>
      </c>
      <c r="X152" s="1439"/>
      <c r="Y152" s="1420">
        <v>38.200000000000003</v>
      </c>
      <c r="Z152" s="1439"/>
      <c r="AA152" s="1422">
        <v>10205000</v>
      </c>
      <c r="AB152" s="1455"/>
      <c r="AC152" s="1424">
        <v>2512322.2200000002</v>
      </c>
      <c r="AD152" s="1422">
        <v>2537000</v>
      </c>
      <c r="AE152" s="1420">
        <v>449182.68</v>
      </c>
      <c r="AF152" s="1422">
        <v>368698</v>
      </c>
      <c r="AG152" s="1422">
        <v>0</v>
      </c>
      <c r="AH152" s="1456">
        <v>0</v>
      </c>
      <c r="AI152" s="1428">
        <v>7141888</v>
      </c>
      <c r="AJ152" s="1422">
        <v>6682447</v>
      </c>
      <c r="AK152" s="1422">
        <v>110942</v>
      </c>
      <c r="AL152" s="1422">
        <v>0</v>
      </c>
      <c r="AM152" s="1422">
        <v>0</v>
      </c>
      <c r="AN152" s="1422">
        <v>0</v>
      </c>
      <c r="AO152" s="1422">
        <v>252484</v>
      </c>
      <c r="AP152" s="1422">
        <v>271534</v>
      </c>
      <c r="AQ152" s="1422">
        <v>0</v>
      </c>
      <c r="AR152" s="1422">
        <v>0</v>
      </c>
      <c r="AS152" s="1422">
        <v>0</v>
      </c>
      <c r="AT152" s="1422">
        <v>0</v>
      </c>
      <c r="AU152" s="1422">
        <v>114154</v>
      </c>
      <c r="AV152" s="1422">
        <v>91323</v>
      </c>
      <c r="AW152" s="1422">
        <v>0</v>
      </c>
      <c r="AX152" s="1422">
        <v>0</v>
      </c>
      <c r="AY152" s="1420">
        <v>10580972.9</v>
      </c>
      <c r="AZ152" s="1422">
        <v>9951002</v>
      </c>
      <c r="BA152" s="1422">
        <v>0</v>
      </c>
      <c r="BB152" s="1422">
        <v>0</v>
      </c>
      <c r="BC152" s="1422">
        <v>60997</v>
      </c>
      <c r="BD152" s="1422">
        <v>58755</v>
      </c>
      <c r="BE152" s="1420">
        <v>46950.53</v>
      </c>
      <c r="BF152" s="1422">
        <v>20600</v>
      </c>
      <c r="BG152" s="1422">
        <v>50</v>
      </c>
      <c r="BH152" s="1422">
        <v>0</v>
      </c>
      <c r="BI152" s="1422">
        <v>41808</v>
      </c>
      <c r="BJ152" s="1422">
        <v>36352</v>
      </c>
      <c r="BK152" s="1422">
        <v>6739</v>
      </c>
      <c r="BL152" s="1422">
        <v>0</v>
      </c>
      <c r="BM152" s="1422">
        <v>1221152</v>
      </c>
      <c r="BN152" s="1422">
        <v>2083164</v>
      </c>
      <c r="BO152" s="1420">
        <v>340466.64</v>
      </c>
      <c r="BP152" s="1422">
        <v>0</v>
      </c>
      <c r="BQ152" s="1420">
        <v>25458.560000000001</v>
      </c>
      <c r="BR152" s="1422">
        <v>3250</v>
      </c>
      <c r="BS152" s="1420">
        <v>6159.21</v>
      </c>
      <c r="BT152" s="1422">
        <v>10000</v>
      </c>
      <c r="BU152" s="1422">
        <v>0</v>
      </c>
      <c r="BV152" s="1422">
        <v>0</v>
      </c>
      <c r="BW152" s="1422">
        <v>165839</v>
      </c>
      <c r="BX152" s="1422">
        <v>194400</v>
      </c>
      <c r="BY152" s="1422">
        <v>0</v>
      </c>
      <c r="BZ152" s="1422">
        <v>0</v>
      </c>
      <c r="CA152" s="1420">
        <v>808799.6</v>
      </c>
      <c r="CB152" s="1422">
        <v>5303867</v>
      </c>
      <c r="CC152" s="1420">
        <v>2724419.54</v>
      </c>
      <c r="CD152" s="1422">
        <v>7710388</v>
      </c>
      <c r="CE152" s="1420">
        <v>5458967.9500000002</v>
      </c>
      <c r="CF152" s="1422">
        <v>5375330</v>
      </c>
      <c r="CG152" s="1422">
        <v>0</v>
      </c>
      <c r="CH152" s="1422">
        <v>0</v>
      </c>
      <c r="CI152" s="1422">
        <v>0</v>
      </c>
      <c r="CJ152" s="1422">
        <v>0</v>
      </c>
      <c r="CK152" s="1422">
        <v>15000</v>
      </c>
      <c r="CL152" s="1422">
        <v>34600</v>
      </c>
      <c r="CM152" s="1422">
        <v>0</v>
      </c>
      <c r="CN152" s="1422">
        <v>0</v>
      </c>
      <c r="CO152" s="1422">
        <v>16900</v>
      </c>
      <c r="CP152" s="1422">
        <v>0</v>
      </c>
      <c r="CQ152" s="1422">
        <v>0</v>
      </c>
      <c r="CR152" s="1422">
        <v>0</v>
      </c>
      <c r="CS152" s="1422">
        <v>31900</v>
      </c>
      <c r="CT152" s="1422">
        <v>34600</v>
      </c>
      <c r="CU152" s="1420">
        <v>18796260.390000001</v>
      </c>
      <c r="CV152" s="1422">
        <v>23071320</v>
      </c>
      <c r="CW152" s="1420">
        <v>4824234.78</v>
      </c>
      <c r="CX152" s="1422">
        <v>4896037</v>
      </c>
      <c r="CY152" s="1420">
        <v>1258376.99</v>
      </c>
      <c r="CZ152" s="1422">
        <v>844200</v>
      </c>
      <c r="DA152" s="1420">
        <v>372253.09</v>
      </c>
      <c r="DB152" s="1422">
        <v>337167</v>
      </c>
      <c r="DC152" s="1422">
        <v>0</v>
      </c>
      <c r="DD152" s="1422">
        <v>0</v>
      </c>
      <c r="DE152" s="1420">
        <v>1204014.8799999999</v>
      </c>
      <c r="DF152" s="1422">
        <v>1660120</v>
      </c>
      <c r="DG152" s="1420">
        <v>773973.77</v>
      </c>
      <c r="DH152" s="1422">
        <v>671450</v>
      </c>
      <c r="DI152" s="1420">
        <v>8432853.5099999998</v>
      </c>
      <c r="DJ152" s="1422">
        <v>8408974</v>
      </c>
      <c r="DK152" s="1420">
        <v>627418.80000000005</v>
      </c>
      <c r="DL152" s="1422">
        <v>652895</v>
      </c>
      <c r="DM152" s="1420">
        <v>126388.54</v>
      </c>
      <c r="DN152" s="1422">
        <v>104215</v>
      </c>
      <c r="DO152" s="1420">
        <v>1637541.97</v>
      </c>
      <c r="DP152" s="1422">
        <v>1595654</v>
      </c>
      <c r="DQ152" s="1420">
        <v>328162.52</v>
      </c>
      <c r="DR152" s="1422">
        <v>352197</v>
      </c>
      <c r="DS152" s="1420">
        <v>49535.23</v>
      </c>
      <c r="DT152" s="1422">
        <v>60945</v>
      </c>
      <c r="DU152" s="1420">
        <v>2769047.06</v>
      </c>
      <c r="DV152" s="1422">
        <v>2765906</v>
      </c>
      <c r="DW152" s="1420">
        <v>903776.63</v>
      </c>
      <c r="DX152" s="1422">
        <v>985987</v>
      </c>
      <c r="DY152" s="1420">
        <v>2652062.27</v>
      </c>
      <c r="DZ152" s="1422">
        <v>3263134</v>
      </c>
      <c r="EA152" s="1420">
        <v>568238.91</v>
      </c>
      <c r="EB152" s="1422">
        <v>596167</v>
      </c>
      <c r="EC152" s="1420">
        <v>4124077.81</v>
      </c>
      <c r="ED152" s="1422">
        <v>4845288</v>
      </c>
      <c r="EE152" s="1420">
        <v>1062026.45</v>
      </c>
      <c r="EF152" s="1422">
        <v>1114474</v>
      </c>
      <c r="EG152" s="1422">
        <v>0</v>
      </c>
      <c r="EH152" s="1422">
        <v>0</v>
      </c>
      <c r="EI152" s="1420">
        <v>333.31</v>
      </c>
      <c r="EJ152" s="1422">
        <v>5000</v>
      </c>
      <c r="EK152" s="1422">
        <v>0</v>
      </c>
      <c r="EL152" s="1422">
        <v>0</v>
      </c>
      <c r="EM152" s="1420">
        <v>1062359.76</v>
      </c>
      <c r="EN152" s="1422">
        <v>1119474</v>
      </c>
      <c r="EO152" s="1420">
        <v>1530941.4</v>
      </c>
      <c r="EP152" s="1422">
        <v>8241615</v>
      </c>
      <c r="EQ152" s="1420">
        <v>560332.71</v>
      </c>
      <c r="ER152" s="1422">
        <v>677500</v>
      </c>
      <c r="ES152" s="1420">
        <v>17585.37</v>
      </c>
      <c r="ET152" s="1422">
        <v>0</v>
      </c>
      <c r="EU152" s="1420">
        <v>18497197.620000001</v>
      </c>
      <c r="EV152" s="1422">
        <v>26058757</v>
      </c>
      <c r="EW152" s="1420">
        <v>1668330.94</v>
      </c>
      <c r="EX152" s="1422">
        <v>8297115</v>
      </c>
      <c r="EY152" s="1420">
        <v>560332.71</v>
      </c>
      <c r="EZ152" s="1422">
        <v>677500</v>
      </c>
      <c r="FA152" s="1420">
        <v>16268533.970000001</v>
      </c>
      <c r="FB152" s="1422">
        <v>17084142</v>
      </c>
      <c r="FC152" s="1420">
        <v>391190.25</v>
      </c>
      <c r="FD152" s="1439"/>
      <c r="FE152" s="1420">
        <v>15877343.720000001</v>
      </c>
      <c r="FF152" s="1439"/>
      <c r="FG152" s="1422">
        <v>12218</v>
      </c>
      <c r="FH152" s="1439"/>
      <c r="FI152" s="1420">
        <v>110.04</v>
      </c>
      <c r="FJ152" s="1439"/>
      <c r="FK152" s="1422">
        <v>41886</v>
      </c>
      <c r="FL152" s="1439"/>
      <c r="FM152" s="1420">
        <v>119.9</v>
      </c>
      <c r="FN152" s="1439"/>
      <c r="FO152" s="1422">
        <v>43699</v>
      </c>
      <c r="FP152" s="1439"/>
      <c r="FQ152" s="1420">
        <v>3083674.06</v>
      </c>
      <c r="FR152" s="1439"/>
      <c r="FS152" s="1420">
        <v>980543.93</v>
      </c>
      <c r="FT152" s="1439"/>
      <c r="FU152" s="1422">
        <v>0</v>
      </c>
      <c r="FV152" s="1439"/>
      <c r="FW152" s="1420">
        <v>2103130.13</v>
      </c>
      <c r="FX152" s="1439"/>
      <c r="FY152" s="1420">
        <v>3414889.08</v>
      </c>
      <c r="FZ152" s="1439"/>
      <c r="GA152" s="1422">
        <v>0</v>
      </c>
      <c r="GB152" s="1439"/>
    </row>
    <row r="153" spans="1:184" ht="12.75" customHeight="1" thickBot="1">
      <c r="A153" s="1418" t="s">
        <v>356</v>
      </c>
      <c r="B153" s="1418" t="s">
        <v>357</v>
      </c>
      <c r="C153" s="1420">
        <v>232.21</v>
      </c>
      <c r="D153" s="1439"/>
      <c r="E153" s="1420">
        <v>589.58000000000004</v>
      </c>
      <c r="F153" s="1439"/>
      <c r="G153" s="1421">
        <v>-0.32</v>
      </c>
      <c r="H153" s="1439"/>
      <c r="I153" s="1420">
        <v>632.11</v>
      </c>
      <c r="J153" s="1439"/>
      <c r="K153" s="1420">
        <v>688.03</v>
      </c>
      <c r="L153" s="1439"/>
      <c r="M153" s="1422">
        <v>56271493</v>
      </c>
      <c r="N153" s="1439"/>
      <c r="O153" s="1422">
        <v>25</v>
      </c>
      <c r="P153" s="1439"/>
      <c r="Q153" s="1422">
        <v>25</v>
      </c>
      <c r="R153" s="1439"/>
      <c r="S153" s="1422">
        <v>0</v>
      </c>
      <c r="T153" s="1439"/>
      <c r="U153" s="1422">
        <v>0</v>
      </c>
      <c r="V153" s="1439"/>
      <c r="W153" s="1420">
        <v>10.9</v>
      </c>
      <c r="X153" s="1439"/>
      <c r="Y153" s="1420">
        <v>35.9</v>
      </c>
      <c r="Z153" s="1439"/>
      <c r="AA153" s="1422">
        <v>1670000</v>
      </c>
      <c r="AB153" s="1455"/>
      <c r="AC153" s="1424">
        <v>1994702.55</v>
      </c>
      <c r="AD153" s="1422">
        <v>1204000</v>
      </c>
      <c r="AE153" s="1420">
        <v>298541.95</v>
      </c>
      <c r="AF153" s="1422">
        <v>130000</v>
      </c>
      <c r="AG153" s="1422">
        <v>0</v>
      </c>
      <c r="AH153" s="1456">
        <v>0</v>
      </c>
      <c r="AI153" s="1428">
        <v>2695758</v>
      </c>
      <c r="AJ153" s="1422">
        <v>2491310</v>
      </c>
      <c r="AK153" s="1422">
        <v>63712</v>
      </c>
      <c r="AL153" s="1422">
        <v>0</v>
      </c>
      <c r="AM153" s="1422">
        <v>0</v>
      </c>
      <c r="AN153" s="1422">
        <v>0</v>
      </c>
      <c r="AO153" s="1422">
        <v>140637</v>
      </c>
      <c r="AP153" s="1422">
        <v>170865</v>
      </c>
      <c r="AQ153" s="1422">
        <v>0</v>
      </c>
      <c r="AR153" s="1422">
        <v>0</v>
      </c>
      <c r="AS153" s="1422">
        <v>0</v>
      </c>
      <c r="AT153" s="1422">
        <v>0</v>
      </c>
      <c r="AU153" s="1422">
        <v>32873</v>
      </c>
      <c r="AV153" s="1422">
        <v>26298</v>
      </c>
      <c r="AW153" s="1422">
        <v>0</v>
      </c>
      <c r="AX153" s="1422">
        <v>0</v>
      </c>
      <c r="AY153" s="1420">
        <v>5226224.5</v>
      </c>
      <c r="AZ153" s="1422">
        <v>4022473</v>
      </c>
      <c r="BA153" s="1422">
        <v>0</v>
      </c>
      <c r="BB153" s="1422">
        <v>0</v>
      </c>
      <c r="BC153" s="1422">
        <v>28457</v>
      </c>
      <c r="BD153" s="1422">
        <v>26802</v>
      </c>
      <c r="BE153" s="1420">
        <v>10909.83</v>
      </c>
      <c r="BF153" s="1422">
        <v>0</v>
      </c>
      <c r="BG153" s="1422">
        <v>50</v>
      </c>
      <c r="BH153" s="1422">
        <v>0</v>
      </c>
      <c r="BI153" s="1422">
        <v>34698</v>
      </c>
      <c r="BJ153" s="1422">
        <v>43564</v>
      </c>
      <c r="BK153" s="1422">
        <v>0</v>
      </c>
      <c r="BL153" s="1422">
        <v>0</v>
      </c>
      <c r="BM153" s="1422">
        <v>538656</v>
      </c>
      <c r="BN153" s="1422">
        <v>499928</v>
      </c>
      <c r="BO153" s="1420">
        <v>2818.62</v>
      </c>
      <c r="BP153" s="1422">
        <v>0</v>
      </c>
      <c r="BQ153" s="1422">
        <v>6500</v>
      </c>
      <c r="BR153" s="1422">
        <v>0</v>
      </c>
      <c r="BS153" s="1420">
        <v>3102.92</v>
      </c>
      <c r="BT153" s="1422">
        <v>0</v>
      </c>
      <c r="BU153" s="1422">
        <v>0</v>
      </c>
      <c r="BV153" s="1422">
        <v>0</v>
      </c>
      <c r="BW153" s="1422">
        <v>153879</v>
      </c>
      <c r="BX153" s="1422">
        <v>155520</v>
      </c>
      <c r="BY153" s="1422">
        <v>0</v>
      </c>
      <c r="BZ153" s="1422">
        <v>0</v>
      </c>
      <c r="CA153" s="1422">
        <v>25206</v>
      </c>
      <c r="CB153" s="1422">
        <v>21552</v>
      </c>
      <c r="CC153" s="1420">
        <v>804277.37</v>
      </c>
      <c r="CD153" s="1422">
        <v>747366</v>
      </c>
      <c r="CE153" s="1420">
        <v>1250787.3400000001</v>
      </c>
      <c r="CF153" s="1420">
        <v>1721355.73</v>
      </c>
      <c r="CG153" s="1420">
        <v>26569.88</v>
      </c>
      <c r="CH153" s="1422">
        <v>0</v>
      </c>
      <c r="CI153" s="1422">
        <v>0</v>
      </c>
      <c r="CJ153" s="1422">
        <v>0</v>
      </c>
      <c r="CK153" s="1422">
        <v>0</v>
      </c>
      <c r="CL153" s="1422">
        <v>0</v>
      </c>
      <c r="CM153" s="1422">
        <v>0</v>
      </c>
      <c r="CN153" s="1422">
        <v>0</v>
      </c>
      <c r="CO153" s="1422">
        <v>0</v>
      </c>
      <c r="CP153" s="1422">
        <v>0</v>
      </c>
      <c r="CQ153" s="1422">
        <v>0</v>
      </c>
      <c r="CR153" s="1422">
        <v>0</v>
      </c>
      <c r="CS153" s="1420">
        <v>26569.88</v>
      </c>
      <c r="CT153" s="1422">
        <v>0</v>
      </c>
      <c r="CU153" s="1420">
        <v>7307859.0899999999</v>
      </c>
      <c r="CV153" s="1420">
        <v>6491194.7300000004</v>
      </c>
      <c r="CW153" s="1420">
        <v>2857049.23</v>
      </c>
      <c r="CX153" s="1420">
        <v>1967640.25</v>
      </c>
      <c r="CY153" s="1420">
        <v>308825.95</v>
      </c>
      <c r="CZ153" s="1420">
        <v>324688.43</v>
      </c>
      <c r="DA153" s="1420">
        <v>219460.78</v>
      </c>
      <c r="DB153" s="1420">
        <v>163135.74</v>
      </c>
      <c r="DC153" s="1422">
        <v>0</v>
      </c>
      <c r="DD153" s="1422">
        <v>0</v>
      </c>
      <c r="DE153" s="1422">
        <v>330403</v>
      </c>
      <c r="DF153" s="1420">
        <v>463332.54</v>
      </c>
      <c r="DG153" s="1420">
        <v>383521.32</v>
      </c>
      <c r="DH153" s="1420">
        <v>380062.69</v>
      </c>
      <c r="DI153" s="1420">
        <v>4099260.28</v>
      </c>
      <c r="DJ153" s="1420">
        <v>3298859.65</v>
      </c>
      <c r="DK153" s="1420">
        <v>299798.13</v>
      </c>
      <c r="DL153" s="1420">
        <v>286793.65000000002</v>
      </c>
      <c r="DM153" s="1420">
        <v>265272.37</v>
      </c>
      <c r="DN153" s="1420">
        <v>158838.25</v>
      </c>
      <c r="DO153" s="1420">
        <v>853775.03</v>
      </c>
      <c r="DP153" s="1420">
        <v>488183.03999999998</v>
      </c>
      <c r="DQ153" s="1420">
        <v>193592.93</v>
      </c>
      <c r="DR153" s="1420">
        <v>177838.6</v>
      </c>
      <c r="DS153" s="1420">
        <v>16760.73</v>
      </c>
      <c r="DT153" s="1422">
        <v>0</v>
      </c>
      <c r="DU153" s="1420">
        <v>1629199.19</v>
      </c>
      <c r="DV153" s="1420">
        <v>1111653.54</v>
      </c>
      <c r="DW153" s="1420">
        <v>446062.87</v>
      </c>
      <c r="DX153" s="1420">
        <v>382609.78</v>
      </c>
      <c r="DY153" s="1420">
        <v>710512.35</v>
      </c>
      <c r="DZ153" s="1420">
        <v>716022.55</v>
      </c>
      <c r="EA153" s="1420">
        <v>308242.58</v>
      </c>
      <c r="EB153" s="1420">
        <v>267629.59999999998</v>
      </c>
      <c r="EC153" s="1420">
        <v>1464817.8</v>
      </c>
      <c r="ED153" s="1420">
        <v>1366261.93</v>
      </c>
      <c r="EE153" s="1420">
        <v>557448.46</v>
      </c>
      <c r="EF153" s="1420">
        <v>560524.34</v>
      </c>
      <c r="EG153" s="1422">
        <v>0</v>
      </c>
      <c r="EH153" s="1422">
        <v>0</v>
      </c>
      <c r="EI153" s="1420">
        <v>348.53</v>
      </c>
      <c r="EJ153" s="1422">
        <v>10000</v>
      </c>
      <c r="EK153" s="1422">
        <v>0</v>
      </c>
      <c r="EL153" s="1422">
        <v>0</v>
      </c>
      <c r="EM153" s="1420">
        <v>557796.99</v>
      </c>
      <c r="EN153" s="1420">
        <v>570524.34</v>
      </c>
      <c r="EO153" s="1420">
        <v>31897.81</v>
      </c>
      <c r="EP153" s="1422">
        <v>0</v>
      </c>
      <c r="EQ153" s="1420">
        <v>140862.5</v>
      </c>
      <c r="ER153" s="1422">
        <v>143243</v>
      </c>
      <c r="ES153" s="1420">
        <v>35628.379999999997</v>
      </c>
      <c r="ET153" s="1422">
        <v>0</v>
      </c>
      <c r="EU153" s="1420">
        <v>7959462.9500000002</v>
      </c>
      <c r="EV153" s="1420">
        <v>6490542.46</v>
      </c>
      <c r="EW153" s="1420">
        <v>53299.06</v>
      </c>
      <c r="EX153" s="1422">
        <v>0</v>
      </c>
      <c r="EY153" s="1420">
        <v>140862.5</v>
      </c>
      <c r="EZ153" s="1422">
        <v>143243</v>
      </c>
      <c r="FA153" s="1420">
        <v>7765301.3899999997</v>
      </c>
      <c r="FB153" s="1420">
        <v>6347299.46</v>
      </c>
      <c r="FC153" s="1420">
        <v>364712.02</v>
      </c>
      <c r="FD153" s="1439"/>
      <c r="FE153" s="1420">
        <v>7400589.3700000001</v>
      </c>
      <c r="FF153" s="1439"/>
      <c r="FG153" s="1422">
        <v>12552</v>
      </c>
      <c r="FH153" s="1439"/>
      <c r="FI153" s="1420">
        <v>62.52</v>
      </c>
      <c r="FJ153" s="1439"/>
      <c r="FK153" s="1422">
        <v>42312</v>
      </c>
      <c r="FL153" s="1439"/>
      <c r="FM153" s="1420">
        <v>69.09</v>
      </c>
      <c r="FN153" s="1439"/>
      <c r="FO153" s="1422">
        <v>44131</v>
      </c>
      <c r="FP153" s="1439"/>
      <c r="FQ153" s="1420">
        <v>465955.01</v>
      </c>
      <c r="FR153" s="1439"/>
      <c r="FS153" s="1420">
        <v>34329.17</v>
      </c>
      <c r="FT153" s="1439"/>
      <c r="FU153" s="1422">
        <v>0</v>
      </c>
      <c r="FV153" s="1439"/>
      <c r="FW153" s="1420">
        <v>431625.84</v>
      </c>
      <c r="FX153" s="1439"/>
      <c r="FY153" s="1420">
        <v>12906.89</v>
      </c>
      <c r="FZ153" s="1439"/>
      <c r="GA153" s="1422">
        <v>0</v>
      </c>
      <c r="GB153" s="1439"/>
    </row>
    <row r="154" spans="1:184" ht="12.75" customHeight="1" thickBot="1">
      <c r="A154" s="1418" t="s">
        <v>358</v>
      </c>
      <c r="B154" s="1418" t="s">
        <v>359</v>
      </c>
      <c r="C154" s="1420">
        <v>403.45</v>
      </c>
      <c r="D154" s="1439"/>
      <c r="E154" s="1420">
        <v>515.26</v>
      </c>
      <c r="F154" s="1439"/>
      <c r="G154" s="1421">
        <v>-0.24</v>
      </c>
      <c r="H154" s="1439"/>
      <c r="I154" s="1420">
        <v>540.15</v>
      </c>
      <c r="J154" s="1439"/>
      <c r="K154" s="1420">
        <v>533.37</v>
      </c>
      <c r="L154" s="1439"/>
      <c r="M154" s="1422">
        <v>46479871</v>
      </c>
      <c r="N154" s="1439"/>
      <c r="O154" s="1422">
        <v>25</v>
      </c>
      <c r="P154" s="1439"/>
      <c r="Q154" s="1422">
        <v>25</v>
      </c>
      <c r="R154" s="1439"/>
      <c r="S154" s="1422">
        <v>0</v>
      </c>
      <c r="T154" s="1439"/>
      <c r="U154" s="1422">
        <v>0</v>
      </c>
      <c r="V154" s="1439"/>
      <c r="W154" s="1420">
        <v>10.9</v>
      </c>
      <c r="X154" s="1439"/>
      <c r="Y154" s="1420">
        <v>35.9</v>
      </c>
      <c r="Z154" s="1439"/>
      <c r="AA154" s="1420">
        <v>1597544.63</v>
      </c>
      <c r="AB154" s="1455"/>
      <c r="AC154" s="1424">
        <v>1352967.93</v>
      </c>
      <c r="AD154" s="1422">
        <v>1135000</v>
      </c>
      <c r="AE154" s="1420">
        <v>212531.59</v>
      </c>
      <c r="AF154" s="1422">
        <v>37800</v>
      </c>
      <c r="AG154" s="1422">
        <v>6000</v>
      </c>
      <c r="AH154" s="1456">
        <v>6000</v>
      </c>
      <c r="AI154" s="1428">
        <v>1965045</v>
      </c>
      <c r="AJ154" s="1422">
        <v>2092915</v>
      </c>
      <c r="AK154" s="1422">
        <v>69249</v>
      </c>
      <c r="AL154" s="1422">
        <v>0</v>
      </c>
      <c r="AM154" s="1422">
        <v>0</v>
      </c>
      <c r="AN154" s="1422">
        <v>0</v>
      </c>
      <c r="AO154" s="1422">
        <v>203096</v>
      </c>
      <c r="AP154" s="1422">
        <v>0</v>
      </c>
      <c r="AQ154" s="1422">
        <v>0</v>
      </c>
      <c r="AR154" s="1422">
        <v>0</v>
      </c>
      <c r="AS154" s="1422">
        <v>0</v>
      </c>
      <c r="AT154" s="1422">
        <v>0</v>
      </c>
      <c r="AU154" s="1422">
        <v>4823</v>
      </c>
      <c r="AV154" s="1422">
        <v>3858</v>
      </c>
      <c r="AW154" s="1422">
        <v>0</v>
      </c>
      <c r="AX154" s="1422">
        <v>0</v>
      </c>
      <c r="AY154" s="1420">
        <v>3813712.52</v>
      </c>
      <c r="AZ154" s="1422">
        <v>3275573</v>
      </c>
      <c r="BA154" s="1422">
        <v>0</v>
      </c>
      <c r="BB154" s="1422">
        <v>0</v>
      </c>
      <c r="BC154" s="1422">
        <v>22060</v>
      </c>
      <c r="BD154" s="1422">
        <v>22789</v>
      </c>
      <c r="BE154" s="1420">
        <v>164469.89000000001</v>
      </c>
      <c r="BF154" s="1422">
        <v>5200</v>
      </c>
      <c r="BG154" s="1422">
        <v>1850</v>
      </c>
      <c r="BH154" s="1422">
        <v>0</v>
      </c>
      <c r="BI154" s="1422">
        <v>17308</v>
      </c>
      <c r="BJ154" s="1422">
        <v>15500</v>
      </c>
      <c r="BK154" s="1422">
        <v>5860</v>
      </c>
      <c r="BL154" s="1422">
        <v>5860</v>
      </c>
      <c r="BM154" s="1422">
        <v>430528</v>
      </c>
      <c r="BN154" s="1422">
        <v>482724</v>
      </c>
      <c r="BO154" s="1420">
        <v>3295.01</v>
      </c>
      <c r="BP154" s="1422">
        <v>0</v>
      </c>
      <c r="BQ154" s="1420">
        <v>32500.32</v>
      </c>
      <c r="BR154" s="1422">
        <v>17875</v>
      </c>
      <c r="BS154" s="1420">
        <v>2218.92</v>
      </c>
      <c r="BT154" s="1422">
        <v>2200</v>
      </c>
      <c r="BU154" s="1422">
        <v>0</v>
      </c>
      <c r="BV154" s="1422">
        <v>0</v>
      </c>
      <c r="BW154" s="1422">
        <v>116640</v>
      </c>
      <c r="BX154" s="1422">
        <v>116640</v>
      </c>
      <c r="BY154" s="1422">
        <v>0</v>
      </c>
      <c r="BZ154" s="1422">
        <v>0</v>
      </c>
      <c r="CA154" s="1422">
        <v>14137</v>
      </c>
      <c r="CB154" s="1422">
        <v>77132</v>
      </c>
      <c r="CC154" s="1420">
        <v>810867.14</v>
      </c>
      <c r="CD154" s="1422">
        <v>745920</v>
      </c>
      <c r="CE154" s="1420">
        <v>1120765.18</v>
      </c>
      <c r="CF154" s="1422">
        <v>1626383</v>
      </c>
      <c r="CG154" s="1422">
        <v>0</v>
      </c>
      <c r="CH154" s="1422">
        <v>0</v>
      </c>
      <c r="CI154" s="1422">
        <v>0</v>
      </c>
      <c r="CJ154" s="1422">
        <v>0</v>
      </c>
      <c r="CK154" s="1422">
        <v>0</v>
      </c>
      <c r="CL154" s="1422">
        <v>0</v>
      </c>
      <c r="CM154" s="1422">
        <v>0</v>
      </c>
      <c r="CN154" s="1422">
        <v>0</v>
      </c>
      <c r="CO154" s="1422">
        <v>0</v>
      </c>
      <c r="CP154" s="1422">
        <v>0</v>
      </c>
      <c r="CQ154" s="1422">
        <v>0</v>
      </c>
      <c r="CR154" s="1422">
        <v>0</v>
      </c>
      <c r="CS154" s="1422">
        <v>0</v>
      </c>
      <c r="CT154" s="1422">
        <v>0</v>
      </c>
      <c r="CU154" s="1420">
        <v>5745344.8399999999</v>
      </c>
      <c r="CV154" s="1422">
        <v>5647876</v>
      </c>
      <c r="CW154" s="1420">
        <v>2576290.59</v>
      </c>
      <c r="CX154" s="1422">
        <v>1966510</v>
      </c>
      <c r="CY154" s="1420">
        <v>240117.05</v>
      </c>
      <c r="CZ154" s="1422">
        <v>185121</v>
      </c>
      <c r="DA154" s="1420">
        <v>159112.04</v>
      </c>
      <c r="DB154" s="1422">
        <v>150010</v>
      </c>
      <c r="DC154" s="1422">
        <v>0</v>
      </c>
      <c r="DD154" s="1422">
        <v>0</v>
      </c>
      <c r="DE154" s="1422">
        <v>166274</v>
      </c>
      <c r="DF154" s="1422">
        <v>187027</v>
      </c>
      <c r="DG154" s="1420">
        <v>113419.16</v>
      </c>
      <c r="DH154" s="1422">
        <v>65430</v>
      </c>
      <c r="DI154" s="1420">
        <v>3255212.84</v>
      </c>
      <c r="DJ154" s="1422">
        <v>2554098</v>
      </c>
      <c r="DK154" s="1420">
        <v>315860.7</v>
      </c>
      <c r="DL154" s="1422">
        <v>310373</v>
      </c>
      <c r="DM154" s="1420">
        <v>80948.259999999995</v>
      </c>
      <c r="DN154" s="1422">
        <v>97498</v>
      </c>
      <c r="DO154" s="1420">
        <v>541785.12</v>
      </c>
      <c r="DP154" s="1422">
        <v>561995</v>
      </c>
      <c r="DQ154" s="1420">
        <v>121202.77</v>
      </c>
      <c r="DR154" s="1422">
        <v>136180</v>
      </c>
      <c r="DS154" s="1420">
        <v>10406.379999999999</v>
      </c>
      <c r="DT154" s="1422">
        <v>13815</v>
      </c>
      <c r="DU154" s="1420">
        <v>1070203.23</v>
      </c>
      <c r="DV154" s="1422">
        <v>1119861</v>
      </c>
      <c r="DW154" s="1420">
        <v>217741.58</v>
      </c>
      <c r="DX154" s="1422">
        <v>229324</v>
      </c>
      <c r="DY154" s="1420">
        <v>758652.18</v>
      </c>
      <c r="DZ154" s="1422">
        <v>701357</v>
      </c>
      <c r="EA154" s="1420">
        <v>233043.49</v>
      </c>
      <c r="EB154" s="1422">
        <v>230500</v>
      </c>
      <c r="EC154" s="1420">
        <v>1209437.25</v>
      </c>
      <c r="ED154" s="1422">
        <v>1161181</v>
      </c>
      <c r="EE154" s="1420">
        <v>317565.7</v>
      </c>
      <c r="EF154" s="1422">
        <v>285756</v>
      </c>
      <c r="EG154" s="1420">
        <v>10321.25</v>
      </c>
      <c r="EH154" s="1422">
        <v>0</v>
      </c>
      <c r="EI154" s="1422">
        <v>0</v>
      </c>
      <c r="EJ154" s="1422">
        <v>400</v>
      </c>
      <c r="EK154" s="1422">
        <v>0</v>
      </c>
      <c r="EL154" s="1422">
        <v>0</v>
      </c>
      <c r="EM154" s="1420">
        <v>327886.95</v>
      </c>
      <c r="EN154" s="1422">
        <v>286156</v>
      </c>
      <c r="EO154" s="1422">
        <v>0</v>
      </c>
      <c r="EP154" s="1422">
        <v>766614</v>
      </c>
      <c r="EQ154" s="1420">
        <v>139285.5</v>
      </c>
      <c r="ER154" s="1422">
        <v>138595</v>
      </c>
      <c r="ES154" s="1422">
        <v>0</v>
      </c>
      <c r="ET154" s="1422">
        <v>0</v>
      </c>
      <c r="EU154" s="1420">
        <v>6002025.7699999996</v>
      </c>
      <c r="EV154" s="1422">
        <v>6026505</v>
      </c>
      <c r="EW154" s="1420">
        <v>30821.19</v>
      </c>
      <c r="EX154" s="1422">
        <v>803310</v>
      </c>
      <c r="EY154" s="1420">
        <v>139285.5</v>
      </c>
      <c r="EZ154" s="1422">
        <v>138595</v>
      </c>
      <c r="FA154" s="1420">
        <v>5831919.0800000001</v>
      </c>
      <c r="FB154" s="1422">
        <v>5084600</v>
      </c>
      <c r="FC154" s="1420">
        <v>315857.63</v>
      </c>
      <c r="FD154" s="1439"/>
      <c r="FE154" s="1420">
        <v>5516061.4500000002</v>
      </c>
      <c r="FF154" s="1439"/>
      <c r="FG154" s="1422">
        <v>10705</v>
      </c>
      <c r="FH154" s="1439"/>
      <c r="FI154" s="1420">
        <v>47.62</v>
      </c>
      <c r="FJ154" s="1439"/>
      <c r="FK154" s="1422">
        <v>42303</v>
      </c>
      <c r="FL154" s="1439"/>
      <c r="FM154" s="1420">
        <v>53.81</v>
      </c>
      <c r="FN154" s="1439"/>
      <c r="FO154" s="1422">
        <v>43849</v>
      </c>
      <c r="FP154" s="1439"/>
      <c r="FQ154" s="1420">
        <v>1688527.36</v>
      </c>
      <c r="FR154" s="1439"/>
      <c r="FS154" s="1420">
        <v>19468.11</v>
      </c>
      <c r="FT154" s="1439"/>
      <c r="FU154" s="1422">
        <v>0</v>
      </c>
      <c r="FV154" s="1439"/>
      <c r="FW154" s="1420">
        <v>1669059.25</v>
      </c>
      <c r="FX154" s="1439"/>
      <c r="FY154" s="1420">
        <v>528661.03</v>
      </c>
      <c r="FZ154" s="1439"/>
      <c r="GA154" s="1422">
        <v>0</v>
      </c>
      <c r="GB154" s="1439"/>
    </row>
    <row r="155" spans="1:184" ht="12.75" customHeight="1" thickBot="1">
      <c r="A155" s="1418" t="s">
        <v>360</v>
      </c>
      <c r="B155" s="1418" t="s">
        <v>361</v>
      </c>
      <c r="C155" s="1420">
        <v>320.97000000000003</v>
      </c>
      <c r="D155" s="1439"/>
      <c r="E155" s="1420">
        <v>536.45000000000005</v>
      </c>
      <c r="F155" s="1439"/>
      <c r="G155" s="1421">
        <v>-0.02</v>
      </c>
      <c r="H155" s="1439"/>
      <c r="I155" s="1420">
        <v>572.23</v>
      </c>
      <c r="J155" s="1439"/>
      <c r="K155" s="1420">
        <v>549.94000000000005</v>
      </c>
      <c r="L155" s="1439"/>
      <c r="M155" s="1422">
        <v>30651069</v>
      </c>
      <c r="N155" s="1439"/>
      <c r="O155" s="1422">
        <v>25</v>
      </c>
      <c r="P155" s="1439"/>
      <c r="Q155" s="1422">
        <v>25</v>
      </c>
      <c r="R155" s="1439"/>
      <c r="S155" s="1422">
        <v>0</v>
      </c>
      <c r="T155" s="1439"/>
      <c r="U155" s="1422">
        <v>0</v>
      </c>
      <c r="V155" s="1439"/>
      <c r="W155" s="1420">
        <v>8.6999999999999993</v>
      </c>
      <c r="X155" s="1439"/>
      <c r="Y155" s="1420">
        <v>33.700000000000003</v>
      </c>
      <c r="Z155" s="1439"/>
      <c r="AA155" s="1420">
        <v>2432779.0099999998</v>
      </c>
      <c r="AB155" s="1455"/>
      <c r="AC155" s="1424">
        <v>951092.04</v>
      </c>
      <c r="AD155" s="1422">
        <v>775000</v>
      </c>
      <c r="AE155" s="1420">
        <v>182833.89</v>
      </c>
      <c r="AF155" s="1422">
        <v>87500</v>
      </c>
      <c r="AG155" s="1420">
        <v>267.11</v>
      </c>
      <c r="AH155" s="1456">
        <v>0</v>
      </c>
      <c r="AI155" s="1428">
        <v>2294538</v>
      </c>
      <c r="AJ155" s="1422">
        <v>2462314</v>
      </c>
      <c r="AK155" s="1422">
        <v>31844</v>
      </c>
      <c r="AL155" s="1422">
        <v>0</v>
      </c>
      <c r="AM155" s="1422">
        <v>132401</v>
      </c>
      <c r="AN155" s="1422">
        <v>0</v>
      </c>
      <c r="AO155" s="1422">
        <v>0</v>
      </c>
      <c r="AP155" s="1422">
        <v>0</v>
      </c>
      <c r="AQ155" s="1422">
        <v>0</v>
      </c>
      <c r="AR155" s="1422">
        <v>0</v>
      </c>
      <c r="AS155" s="1422">
        <v>0</v>
      </c>
      <c r="AT155" s="1422">
        <v>0</v>
      </c>
      <c r="AU155" s="1422">
        <v>43193</v>
      </c>
      <c r="AV155" s="1422">
        <v>34555</v>
      </c>
      <c r="AW155" s="1422">
        <v>0</v>
      </c>
      <c r="AX155" s="1422">
        <v>0</v>
      </c>
      <c r="AY155" s="1420">
        <v>3636169.04</v>
      </c>
      <c r="AZ155" s="1422">
        <v>3359369</v>
      </c>
      <c r="BA155" s="1422">
        <v>0</v>
      </c>
      <c r="BB155" s="1422">
        <v>0</v>
      </c>
      <c r="BC155" s="1422">
        <v>22746</v>
      </c>
      <c r="BD155" s="1422">
        <v>24111</v>
      </c>
      <c r="BE155" s="1420">
        <v>112670.75</v>
      </c>
      <c r="BF155" s="1422">
        <v>183400</v>
      </c>
      <c r="BG155" s="1422">
        <v>50</v>
      </c>
      <c r="BH155" s="1422">
        <v>0</v>
      </c>
      <c r="BI155" s="1422">
        <v>32707</v>
      </c>
      <c r="BJ155" s="1422">
        <v>61470</v>
      </c>
      <c r="BK155" s="1422">
        <v>586</v>
      </c>
      <c r="BL155" s="1422">
        <v>598</v>
      </c>
      <c r="BM155" s="1422">
        <v>423584</v>
      </c>
      <c r="BN155" s="1422">
        <v>462484</v>
      </c>
      <c r="BO155" s="1420">
        <v>3288.9</v>
      </c>
      <c r="BP155" s="1422">
        <v>0</v>
      </c>
      <c r="BQ155" s="1422">
        <v>0</v>
      </c>
      <c r="BR155" s="1422">
        <v>0</v>
      </c>
      <c r="BS155" s="1420">
        <v>2419.21</v>
      </c>
      <c r="BT155" s="1422">
        <v>3500</v>
      </c>
      <c r="BU155" s="1422">
        <v>0</v>
      </c>
      <c r="BV155" s="1422">
        <v>0</v>
      </c>
      <c r="BW155" s="1422">
        <v>0</v>
      </c>
      <c r="BX155" s="1422">
        <v>0</v>
      </c>
      <c r="BY155" s="1422">
        <v>0</v>
      </c>
      <c r="BZ155" s="1422">
        <v>0</v>
      </c>
      <c r="CA155" s="1422">
        <v>20582</v>
      </c>
      <c r="CB155" s="1422">
        <v>20004</v>
      </c>
      <c r="CC155" s="1420">
        <v>618633.86</v>
      </c>
      <c r="CD155" s="1422">
        <v>755567</v>
      </c>
      <c r="CE155" s="1420">
        <v>1706382.29</v>
      </c>
      <c r="CF155" s="1420">
        <v>1281833.74</v>
      </c>
      <c r="CG155" s="1422">
        <v>0</v>
      </c>
      <c r="CH155" s="1422">
        <v>0</v>
      </c>
      <c r="CI155" s="1422">
        <v>0</v>
      </c>
      <c r="CJ155" s="1422">
        <v>0</v>
      </c>
      <c r="CK155" s="1422">
        <v>0</v>
      </c>
      <c r="CL155" s="1422">
        <v>0</v>
      </c>
      <c r="CM155" s="1422">
        <v>13400</v>
      </c>
      <c r="CN155" s="1422">
        <v>0</v>
      </c>
      <c r="CO155" s="1420">
        <v>25219.42</v>
      </c>
      <c r="CP155" s="1422">
        <v>0</v>
      </c>
      <c r="CQ155" s="1422">
        <v>0</v>
      </c>
      <c r="CR155" s="1422">
        <v>0</v>
      </c>
      <c r="CS155" s="1420">
        <v>38619.42</v>
      </c>
      <c r="CT155" s="1422">
        <v>0</v>
      </c>
      <c r="CU155" s="1420">
        <v>5999804.6100000003</v>
      </c>
      <c r="CV155" s="1420">
        <v>5396769.7400000002</v>
      </c>
      <c r="CW155" s="1420">
        <v>1968985.89</v>
      </c>
      <c r="CX155" s="1420">
        <v>1867095.08</v>
      </c>
      <c r="CY155" s="1420">
        <v>399166.71</v>
      </c>
      <c r="CZ155" s="1420">
        <v>397867.02</v>
      </c>
      <c r="DA155" s="1420">
        <v>140171.89000000001</v>
      </c>
      <c r="DB155" s="1420">
        <v>156632.66</v>
      </c>
      <c r="DC155" s="1422">
        <v>0</v>
      </c>
      <c r="DD155" s="1422">
        <v>0</v>
      </c>
      <c r="DE155" s="1420">
        <v>397156.71</v>
      </c>
      <c r="DF155" s="1420">
        <v>359220.6</v>
      </c>
      <c r="DG155" s="1420">
        <v>88709.63</v>
      </c>
      <c r="DH155" s="1420">
        <v>100142.23</v>
      </c>
      <c r="DI155" s="1420">
        <v>2994190.83</v>
      </c>
      <c r="DJ155" s="1420">
        <v>2880957.59</v>
      </c>
      <c r="DK155" s="1420">
        <v>163994.03</v>
      </c>
      <c r="DL155" s="1420">
        <v>148892.76</v>
      </c>
      <c r="DM155" s="1420">
        <v>79104.009999999995</v>
      </c>
      <c r="DN155" s="1420">
        <v>92867.14</v>
      </c>
      <c r="DO155" s="1420">
        <v>560548.56999999995</v>
      </c>
      <c r="DP155" s="1420">
        <v>609658.31000000006</v>
      </c>
      <c r="DQ155" s="1420">
        <v>348896.07</v>
      </c>
      <c r="DR155" s="1420">
        <v>312214.42</v>
      </c>
      <c r="DS155" s="1420">
        <v>14556.24</v>
      </c>
      <c r="DT155" s="1420">
        <v>8649.5</v>
      </c>
      <c r="DU155" s="1420">
        <v>1167098.92</v>
      </c>
      <c r="DV155" s="1420">
        <v>1172282.1299999999</v>
      </c>
      <c r="DW155" s="1420">
        <v>246006.5</v>
      </c>
      <c r="DX155" s="1420">
        <v>254861.18</v>
      </c>
      <c r="DY155" s="1420">
        <v>451929.66</v>
      </c>
      <c r="DZ155" s="1420">
        <v>414870.68</v>
      </c>
      <c r="EA155" s="1420">
        <v>185099.81</v>
      </c>
      <c r="EB155" s="1420">
        <v>206484.78</v>
      </c>
      <c r="EC155" s="1420">
        <v>883035.97</v>
      </c>
      <c r="ED155" s="1420">
        <v>876216.64</v>
      </c>
      <c r="EE155" s="1420">
        <v>348292.78</v>
      </c>
      <c r="EF155" s="1420">
        <v>380267.33</v>
      </c>
      <c r="EG155" s="1420">
        <v>7286.03</v>
      </c>
      <c r="EH155" s="1422">
        <v>0</v>
      </c>
      <c r="EI155" s="1420">
        <v>845.12</v>
      </c>
      <c r="EJ155" s="1420">
        <v>3560.95</v>
      </c>
      <c r="EK155" s="1422">
        <v>0</v>
      </c>
      <c r="EL155" s="1422">
        <v>0</v>
      </c>
      <c r="EM155" s="1420">
        <v>356423.93</v>
      </c>
      <c r="EN155" s="1420">
        <v>383828.28</v>
      </c>
      <c r="EO155" s="1422">
        <v>133200</v>
      </c>
      <c r="EP155" s="1422">
        <v>0</v>
      </c>
      <c r="EQ155" s="1420">
        <v>309592.59000000003</v>
      </c>
      <c r="ER155" s="1420">
        <v>251025.88</v>
      </c>
      <c r="ES155" s="1422">
        <v>13777</v>
      </c>
      <c r="ET155" s="1422">
        <v>0</v>
      </c>
      <c r="EU155" s="1420">
        <v>5857319.2400000002</v>
      </c>
      <c r="EV155" s="1420">
        <v>5564310.5199999996</v>
      </c>
      <c r="EW155" s="1420">
        <v>192607.88</v>
      </c>
      <c r="EX155" s="1422">
        <v>17000</v>
      </c>
      <c r="EY155" s="1420">
        <v>309592.59000000003</v>
      </c>
      <c r="EZ155" s="1420">
        <v>251025.88</v>
      </c>
      <c r="FA155" s="1420">
        <v>5355118.7699999996</v>
      </c>
      <c r="FB155" s="1420">
        <v>5296284.6399999997</v>
      </c>
      <c r="FC155" s="1420">
        <v>153578.04999999999</v>
      </c>
      <c r="FD155" s="1439"/>
      <c r="FE155" s="1420">
        <v>5201540.72</v>
      </c>
      <c r="FF155" s="1439"/>
      <c r="FG155" s="1422">
        <v>9696</v>
      </c>
      <c r="FH155" s="1439"/>
      <c r="FI155" s="1420">
        <v>45.92</v>
      </c>
      <c r="FJ155" s="1439"/>
      <c r="FK155" s="1422">
        <v>38777</v>
      </c>
      <c r="FL155" s="1439"/>
      <c r="FM155" s="1420">
        <v>49.08</v>
      </c>
      <c r="FN155" s="1439"/>
      <c r="FO155" s="1422">
        <v>40820</v>
      </c>
      <c r="FP155" s="1439"/>
      <c r="FQ155" s="1420">
        <v>1454726.03</v>
      </c>
      <c r="FR155" s="1439"/>
      <c r="FS155" s="1420">
        <v>12500.82</v>
      </c>
      <c r="FT155" s="1439"/>
      <c r="FU155" s="1422">
        <v>0</v>
      </c>
      <c r="FV155" s="1439"/>
      <c r="FW155" s="1420">
        <v>1442225.21</v>
      </c>
      <c r="FX155" s="1439"/>
      <c r="FY155" s="1422">
        <v>0</v>
      </c>
      <c r="FZ155" s="1439"/>
      <c r="GA155" s="1422">
        <v>0</v>
      </c>
      <c r="GB155" s="1439"/>
    </row>
    <row r="156" spans="1:184" ht="12.75" customHeight="1" thickBot="1">
      <c r="A156" s="1418" t="s">
        <v>362</v>
      </c>
      <c r="B156" s="1418" t="s">
        <v>363</v>
      </c>
      <c r="C156" s="1420">
        <v>315.93</v>
      </c>
      <c r="D156" s="1439"/>
      <c r="E156" s="1420">
        <v>473.14</v>
      </c>
      <c r="F156" s="1439"/>
      <c r="G156" s="1421">
        <v>-0.16</v>
      </c>
      <c r="H156" s="1439"/>
      <c r="I156" s="1420">
        <v>501.95</v>
      </c>
      <c r="J156" s="1439"/>
      <c r="K156" s="1420">
        <v>534.77</v>
      </c>
      <c r="L156" s="1439"/>
      <c r="M156" s="1422">
        <v>64148827</v>
      </c>
      <c r="N156" s="1439"/>
      <c r="O156" s="1422">
        <v>25</v>
      </c>
      <c r="P156" s="1439"/>
      <c r="Q156" s="1422">
        <v>25</v>
      </c>
      <c r="R156" s="1439"/>
      <c r="S156" s="1422">
        <v>0</v>
      </c>
      <c r="T156" s="1439"/>
      <c r="U156" s="1422">
        <v>0</v>
      </c>
      <c r="V156" s="1439"/>
      <c r="W156" s="1422">
        <v>9</v>
      </c>
      <c r="X156" s="1439"/>
      <c r="Y156" s="1422">
        <v>34</v>
      </c>
      <c r="Z156" s="1439"/>
      <c r="AA156" s="1420">
        <v>4157776.17</v>
      </c>
      <c r="AB156" s="1455"/>
      <c r="AC156" s="1424">
        <v>1961518.1</v>
      </c>
      <c r="AD156" s="1420">
        <v>1909028.24</v>
      </c>
      <c r="AE156" s="1420">
        <v>301204.68</v>
      </c>
      <c r="AF156" s="1422">
        <v>131800</v>
      </c>
      <c r="AG156" s="1420">
        <v>274.56</v>
      </c>
      <c r="AH156" s="1456">
        <v>300</v>
      </c>
      <c r="AI156" s="1428">
        <v>1362118</v>
      </c>
      <c r="AJ156" s="1422">
        <v>1141996</v>
      </c>
      <c r="AK156" s="1422">
        <v>62478</v>
      </c>
      <c r="AL156" s="1422">
        <v>60000</v>
      </c>
      <c r="AM156" s="1422">
        <v>0</v>
      </c>
      <c r="AN156" s="1422">
        <v>0</v>
      </c>
      <c r="AO156" s="1422">
        <v>88026</v>
      </c>
      <c r="AP156" s="1422">
        <v>94556</v>
      </c>
      <c r="AQ156" s="1422">
        <v>0</v>
      </c>
      <c r="AR156" s="1422">
        <v>0</v>
      </c>
      <c r="AS156" s="1422">
        <v>0</v>
      </c>
      <c r="AT156" s="1422">
        <v>0</v>
      </c>
      <c r="AU156" s="1422">
        <v>0</v>
      </c>
      <c r="AV156" s="1422">
        <v>0</v>
      </c>
      <c r="AW156" s="1422">
        <v>0</v>
      </c>
      <c r="AX156" s="1422">
        <v>0</v>
      </c>
      <c r="AY156" s="1420">
        <v>3775619.34</v>
      </c>
      <c r="AZ156" s="1420">
        <v>3337680.24</v>
      </c>
      <c r="BA156" s="1422">
        <v>0</v>
      </c>
      <c r="BB156" s="1422">
        <v>0</v>
      </c>
      <c r="BC156" s="1422">
        <v>22118</v>
      </c>
      <c r="BD156" s="1420">
        <v>21359.1</v>
      </c>
      <c r="BE156" s="1420">
        <v>3728.71</v>
      </c>
      <c r="BF156" s="1422">
        <v>0</v>
      </c>
      <c r="BG156" s="1422">
        <v>0</v>
      </c>
      <c r="BH156" s="1422">
        <v>0</v>
      </c>
      <c r="BI156" s="1422">
        <v>17877</v>
      </c>
      <c r="BJ156" s="1420">
        <v>10901.32</v>
      </c>
      <c r="BK156" s="1422">
        <v>0</v>
      </c>
      <c r="BL156" s="1422">
        <v>0</v>
      </c>
      <c r="BM156" s="1422">
        <v>167152</v>
      </c>
      <c r="BN156" s="1422">
        <v>156354</v>
      </c>
      <c r="BO156" s="1420">
        <v>124030.36</v>
      </c>
      <c r="BP156" s="1422">
        <v>0</v>
      </c>
      <c r="BQ156" s="1422">
        <v>0</v>
      </c>
      <c r="BR156" s="1422">
        <v>0</v>
      </c>
      <c r="BS156" s="1420">
        <v>1998.57</v>
      </c>
      <c r="BT156" s="1422">
        <v>2100</v>
      </c>
      <c r="BU156" s="1422">
        <v>0</v>
      </c>
      <c r="BV156" s="1422">
        <v>0</v>
      </c>
      <c r="BW156" s="1422">
        <v>0</v>
      </c>
      <c r="BX156" s="1422">
        <v>0</v>
      </c>
      <c r="BY156" s="1422">
        <v>0</v>
      </c>
      <c r="BZ156" s="1422">
        <v>0</v>
      </c>
      <c r="CA156" s="1422">
        <v>2303</v>
      </c>
      <c r="CB156" s="1422">
        <v>1842</v>
      </c>
      <c r="CC156" s="1420">
        <v>339207.64</v>
      </c>
      <c r="CD156" s="1420">
        <v>192556.42</v>
      </c>
      <c r="CE156" s="1420">
        <v>1332532.83</v>
      </c>
      <c r="CF156" s="1420">
        <v>1264554.1100000001</v>
      </c>
      <c r="CG156" s="1422">
        <v>0</v>
      </c>
      <c r="CH156" s="1422">
        <v>0</v>
      </c>
      <c r="CI156" s="1422">
        <v>0</v>
      </c>
      <c r="CJ156" s="1422">
        <v>0</v>
      </c>
      <c r="CK156" s="1422">
        <v>0</v>
      </c>
      <c r="CL156" s="1422">
        <v>0</v>
      </c>
      <c r="CM156" s="1422">
        <v>0</v>
      </c>
      <c r="CN156" s="1422">
        <v>0</v>
      </c>
      <c r="CO156" s="1422">
        <v>0</v>
      </c>
      <c r="CP156" s="1422">
        <v>0</v>
      </c>
      <c r="CQ156" s="1422">
        <v>0</v>
      </c>
      <c r="CR156" s="1422">
        <v>0</v>
      </c>
      <c r="CS156" s="1422">
        <v>0</v>
      </c>
      <c r="CT156" s="1422">
        <v>0</v>
      </c>
      <c r="CU156" s="1420">
        <v>5447359.8099999996</v>
      </c>
      <c r="CV156" s="1420">
        <v>4794790.7699999996</v>
      </c>
      <c r="CW156" s="1420">
        <v>1850333.9</v>
      </c>
      <c r="CX156" s="1420">
        <v>1634977.69</v>
      </c>
      <c r="CY156" s="1420">
        <v>437091.44</v>
      </c>
      <c r="CZ156" s="1420">
        <v>214533.01</v>
      </c>
      <c r="DA156" s="1420">
        <v>203463.36</v>
      </c>
      <c r="DB156" s="1422">
        <v>198934</v>
      </c>
      <c r="DC156" s="1422">
        <v>0</v>
      </c>
      <c r="DD156" s="1422">
        <v>0</v>
      </c>
      <c r="DE156" s="1420">
        <v>102044.89</v>
      </c>
      <c r="DF156" s="1420">
        <v>149598.01</v>
      </c>
      <c r="DG156" s="1420">
        <v>263379.12</v>
      </c>
      <c r="DH156" s="1420">
        <v>253300.68</v>
      </c>
      <c r="DI156" s="1420">
        <v>2856312.71</v>
      </c>
      <c r="DJ156" s="1420">
        <v>2451343.39</v>
      </c>
      <c r="DK156" s="1420">
        <v>138774.87</v>
      </c>
      <c r="DL156" s="1420">
        <v>140858.64000000001</v>
      </c>
      <c r="DM156" s="1420">
        <v>53507.13</v>
      </c>
      <c r="DN156" s="1420">
        <v>54030.84</v>
      </c>
      <c r="DO156" s="1420">
        <v>439633.02</v>
      </c>
      <c r="DP156" s="1420">
        <v>528546.4</v>
      </c>
      <c r="DQ156" s="1420">
        <v>277139.65999999997</v>
      </c>
      <c r="DR156" s="1420">
        <v>239279.12</v>
      </c>
      <c r="DS156" s="1420">
        <v>13538.41</v>
      </c>
      <c r="DT156" s="1420">
        <v>14592.38</v>
      </c>
      <c r="DU156" s="1420">
        <v>922593.09</v>
      </c>
      <c r="DV156" s="1420">
        <v>977307.38</v>
      </c>
      <c r="DW156" s="1420">
        <v>190389.89</v>
      </c>
      <c r="DX156" s="1420">
        <v>189951.41</v>
      </c>
      <c r="DY156" s="1420">
        <v>427001.23</v>
      </c>
      <c r="DZ156" s="1420">
        <v>372931.12</v>
      </c>
      <c r="EA156" s="1420">
        <v>266519.28000000003</v>
      </c>
      <c r="EB156" s="1420">
        <v>226863.1</v>
      </c>
      <c r="EC156" s="1420">
        <v>883910.4</v>
      </c>
      <c r="ED156" s="1420">
        <v>789745.63</v>
      </c>
      <c r="EE156" s="1420">
        <v>335432.94</v>
      </c>
      <c r="EF156" s="1420">
        <v>298118.64</v>
      </c>
      <c r="EG156" s="1420">
        <v>12900.43</v>
      </c>
      <c r="EH156" s="1422">
        <v>0</v>
      </c>
      <c r="EI156" s="1422">
        <v>0</v>
      </c>
      <c r="EJ156" s="1422">
        <v>500</v>
      </c>
      <c r="EK156" s="1422">
        <v>0</v>
      </c>
      <c r="EL156" s="1422">
        <v>0</v>
      </c>
      <c r="EM156" s="1420">
        <v>348333.37</v>
      </c>
      <c r="EN156" s="1420">
        <v>298618.64</v>
      </c>
      <c r="EO156" s="1422">
        <v>14500</v>
      </c>
      <c r="EP156" s="1422">
        <v>177598</v>
      </c>
      <c r="EQ156" s="1420">
        <v>274764.37</v>
      </c>
      <c r="ER156" s="1420">
        <v>279640.44</v>
      </c>
      <c r="ES156" s="1422">
        <v>0</v>
      </c>
      <c r="ET156" s="1422">
        <v>0</v>
      </c>
      <c r="EU156" s="1420">
        <v>5300413.9400000004</v>
      </c>
      <c r="EV156" s="1420">
        <v>4974253.4800000004</v>
      </c>
      <c r="EW156" s="1420">
        <v>139136.69</v>
      </c>
      <c r="EX156" s="1422">
        <v>204098</v>
      </c>
      <c r="EY156" s="1420">
        <v>274764.37</v>
      </c>
      <c r="EZ156" s="1420">
        <v>279640.44</v>
      </c>
      <c r="FA156" s="1420">
        <v>4886512.88</v>
      </c>
      <c r="FB156" s="1420">
        <v>4490515.04</v>
      </c>
      <c r="FC156" s="1420">
        <v>207816.26</v>
      </c>
      <c r="FD156" s="1439"/>
      <c r="FE156" s="1420">
        <v>4678696.62</v>
      </c>
      <c r="FF156" s="1439"/>
      <c r="FG156" s="1422">
        <v>9888</v>
      </c>
      <c r="FH156" s="1439"/>
      <c r="FI156" s="1420">
        <v>42.6</v>
      </c>
      <c r="FJ156" s="1439"/>
      <c r="FK156" s="1422">
        <v>42443</v>
      </c>
      <c r="FL156" s="1439"/>
      <c r="FM156" s="1420">
        <v>46.75</v>
      </c>
      <c r="FN156" s="1439"/>
      <c r="FO156" s="1422">
        <v>45536</v>
      </c>
      <c r="FP156" s="1439"/>
      <c r="FQ156" s="1420">
        <v>1735857.96</v>
      </c>
      <c r="FR156" s="1439"/>
      <c r="FS156" s="1420">
        <v>8318.94</v>
      </c>
      <c r="FT156" s="1439"/>
      <c r="FU156" s="1422">
        <v>0</v>
      </c>
      <c r="FV156" s="1439"/>
      <c r="FW156" s="1420">
        <v>1727539.02</v>
      </c>
      <c r="FX156" s="1439"/>
      <c r="FY156" s="1420">
        <v>1854280.8</v>
      </c>
      <c r="FZ156" s="1439"/>
      <c r="GA156" s="1422">
        <v>0</v>
      </c>
      <c r="GB156" s="1439"/>
    </row>
    <row r="157" spans="1:184" ht="12.75" customHeight="1" thickBot="1">
      <c r="A157" s="1418" t="s">
        <v>364</v>
      </c>
      <c r="B157" s="1418" t="s">
        <v>365</v>
      </c>
      <c r="C157" s="1420">
        <v>237.52</v>
      </c>
      <c r="D157" s="1439"/>
      <c r="E157" s="1420">
        <v>1010.67</v>
      </c>
      <c r="F157" s="1439"/>
      <c r="G157" s="1421">
        <v>0.02</v>
      </c>
      <c r="H157" s="1439"/>
      <c r="I157" s="1420">
        <v>1045.3599999999999</v>
      </c>
      <c r="J157" s="1439"/>
      <c r="K157" s="1420">
        <v>990.3</v>
      </c>
      <c r="L157" s="1439"/>
      <c r="M157" s="1422">
        <v>50146739</v>
      </c>
      <c r="N157" s="1439"/>
      <c r="O157" s="1422">
        <v>25</v>
      </c>
      <c r="P157" s="1439"/>
      <c r="Q157" s="1422">
        <v>25</v>
      </c>
      <c r="R157" s="1439"/>
      <c r="S157" s="1422">
        <v>0</v>
      </c>
      <c r="T157" s="1439"/>
      <c r="U157" s="1422">
        <v>0</v>
      </c>
      <c r="V157" s="1439"/>
      <c r="W157" s="1420">
        <v>10.1</v>
      </c>
      <c r="X157" s="1439"/>
      <c r="Y157" s="1420">
        <v>35.1</v>
      </c>
      <c r="Z157" s="1439"/>
      <c r="AA157" s="1422">
        <v>5865000</v>
      </c>
      <c r="AB157" s="1455"/>
      <c r="AC157" s="1424">
        <v>1626363.17</v>
      </c>
      <c r="AD157" s="1422">
        <v>1392748</v>
      </c>
      <c r="AE157" s="1420">
        <v>343202.63</v>
      </c>
      <c r="AF157" s="1422">
        <v>236520</v>
      </c>
      <c r="AG157" s="1420">
        <v>61849.919999999998</v>
      </c>
      <c r="AH157" s="1456">
        <v>50000</v>
      </c>
      <c r="AI157" s="1428">
        <v>4716125</v>
      </c>
      <c r="AJ157" s="1422">
        <v>5129460</v>
      </c>
      <c r="AK157" s="1422">
        <v>22255</v>
      </c>
      <c r="AL157" s="1422">
        <v>25000</v>
      </c>
      <c r="AM157" s="1422">
        <v>329323</v>
      </c>
      <c r="AN157" s="1422">
        <v>0</v>
      </c>
      <c r="AO157" s="1422">
        <v>0</v>
      </c>
      <c r="AP157" s="1422">
        <v>0</v>
      </c>
      <c r="AQ157" s="1422">
        <v>0</v>
      </c>
      <c r="AR157" s="1422">
        <v>0</v>
      </c>
      <c r="AS157" s="1422">
        <v>0</v>
      </c>
      <c r="AT157" s="1422">
        <v>0</v>
      </c>
      <c r="AU157" s="1422">
        <v>33627</v>
      </c>
      <c r="AV157" s="1422">
        <v>26902</v>
      </c>
      <c r="AW157" s="1422">
        <v>0</v>
      </c>
      <c r="AX157" s="1422">
        <v>0</v>
      </c>
      <c r="AY157" s="1420">
        <v>7132745.7199999997</v>
      </c>
      <c r="AZ157" s="1422">
        <v>6860630</v>
      </c>
      <c r="BA157" s="1422">
        <v>0</v>
      </c>
      <c r="BB157" s="1422">
        <v>0</v>
      </c>
      <c r="BC157" s="1422">
        <v>40959</v>
      </c>
      <c r="BD157" s="1422">
        <v>44143</v>
      </c>
      <c r="BE157" s="1420">
        <v>10887.15</v>
      </c>
      <c r="BF157" s="1422">
        <v>0</v>
      </c>
      <c r="BG157" s="1422">
        <v>300</v>
      </c>
      <c r="BH157" s="1422">
        <v>300</v>
      </c>
      <c r="BI157" s="1422">
        <v>7354</v>
      </c>
      <c r="BJ157" s="1422">
        <v>1285</v>
      </c>
      <c r="BK157" s="1422">
        <v>6153</v>
      </c>
      <c r="BL157" s="1422">
        <v>0</v>
      </c>
      <c r="BM157" s="1422">
        <v>710272</v>
      </c>
      <c r="BN157" s="1422">
        <v>804540</v>
      </c>
      <c r="BO157" s="1420">
        <v>-1295.72</v>
      </c>
      <c r="BP157" s="1422">
        <v>0</v>
      </c>
      <c r="BQ157" s="1422">
        <v>0</v>
      </c>
      <c r="BR157" s="1422">
        <v>0</v>
      </c>
      <c r="BS157" s="1420">
        <v>3813.78</v>
      </c>
      <c r="BT157" s="1422">
        <v>3900</v>
      </c>
      <c r="BU157" s="1422">
        <v>0</v>
      </c>
      <c r="BV157" s="1422">
        <v>0</v>
      </c>
      <c r="BW157" s="1422">
        <v>0</v>
      </c>
      <c r="BX157" s="1422">
        <v>0</v>
      </c>
      <c r="BY157" s="1422">
        <v>0</v>
      </c>
      <c r="BZ157" s="1422">
        <v>0</v>
      </c>
      <c r="CA157" s="1420">
        <v>321908.08</v>
      </c>
      <c r="CB157" s="1422">
        <v>108852</v>
      </c>
      <c r="CC157" s="1420">
        <v>1100351.29</v>
      </c>
      <c r="CD157" s="1422">
        <v>963020</v>
      </c>
      <c r="CE157" s="1420">
        <v>1924913.61</v>
      </c>
      <c r="CF157" s="1420">
        <v>1207900.6000000001</v>
      </c>
      <c r="CG157" s="1422">
        <v>0</v>
      </c>
      <c r="CH157" s="1422">
        <v>0</v>
      </c>
      <c r="CI157" s="1422">
        <v>0</v>
      </c>
      <c r="CJ157" s="1422">
        <v>0</v>
      </c>
      <c r="CK157" s="1422">
        <v>0</v>
      </c>
      <c r="CL157" s="1422">
        <v>0</v>
      </c>
      <c r="CM157" s="1422">
        <v>0</v>
      </c>
      <c r="CN157" s="1422">
        <v>0</v>
      </c>
      <c r="CO157" s="1420">
        <v>18146.07</v>
      </c>
      <c r="CP157" s="1422">
        <v>32813</v>
      </c>
      <c r="CQ157" s="1420">
        <v>13618.03</v>
      </c>
      <c r="CR157" s="1422">
        <v>0</v>
      </c>
      <c r="CS157" s="1420">
        <v>31764.1</v>
      </c>
      <c r="CT157" s="1422">
        <v>32813</v>
      </c>
      <c r="CU157" s="1420">
        <v>10189774.720000001</v>
      </c>
      <c r="CV157" s="1420">
        <v>9064363.5999999996</v>
      </c>
      <c r="CW157" s="1420">
        <v>3200603.76</v>
      </c>
      <c r="CX157" s="1420">
        <v>3169080.12</v>
      </c>
      <c r="CY157" s="1420">
        <v>527199.37</v>
      </c>
      <c r="CZ157" s="1420">
        <v>456805.08</v>
      </c>
      <c r="DA157" s="1420">
        <v>315652.56</v>
      </c>
      <c r="DB157" s="1420">
        <v>289300.09999999998</v>
      </c>
      <c r="DC157" s="1422">
        <v>0</v>
      </c>
      <c r="DD157" s="1422">
        <v>0</v>
      </c>
      <c r="DE157" s="1420">
        <v>378417.28</v>
      </c>
      <c r="DF157" s="1420">
        <v>438693.58</v>
      </c>
      <c r="DG157" s="1420">
        <v>166914.39000000001</v>
      </c>
      <c r="DH157" s="1420">
        <v>193306.34</v>
      </c>
      <c r="DI157" s="1420">
        <v>4588787.3600000003</v>
      </c>
      <c r="DJ157" s="1420">
        <v>4547185.22</v>
      </c>
      <c r="DK157" s="1420">
        <v>206389.14</v>
      </c>
      <c r="DL157" s="1420">
        <v>213952.91</v>
      </c>
      <c r="DM157" s="1420">
        <v>659331.23</v>
      </c>
      <c r="DN157" s="1420">
        <v>536475.97</v>
      </c>
      <c r="DO157" s="1420">
        <v>873043.73</v>
      </c>
      <c r="DP157" s="1420">
        <v>652574.78</v>
      </c>
      <c r="DQ157" s="1420">
        <v>271693.81</v>
      </c>
      <c r="DR157" s="1420">
        <v>275275.75</v>
      </c>
      <c r="DS157" s="1420">
        <v>4234.9799999999996</v>
      </c>
      <c r="DT157" s="1422">
        <v>4500</v>
      </c>
      <c r="DU157" s="1420">
        <v>2014692.89</v>
      </c>
      <c r="DV157" s="1420">
        <v>1682779.41</v>
      </c>
      <c r="DW157" s="1420">
        <v>339801.61</v>
      </c>
      <c r="DX157" s="1420">
        <v>498880.16</v>
      </c>
      <c r="DY157" s="1420">
        <v>1398169.44</v>
      </c>
      <c r="DZ157" s="1420">
        <v>938910.86</v>
      </c>
      <c r="EA157" s="1420">
        <v>421161.82</v>
      </c>
      <c r="EB157" s="1420">
        <v>381327.09</v>
      </c>
      <c r="EC157" s="1420">
        <v>2159132.87</v>
      </c>
      <c r="ED157" s="1420">
        <v>1819118.11</v>
      </c>
      <c r="EE157" s="1420">
        <v>526768.09</v>
      </c>
      <c r="EF157" s="1422">
        <v>557220</v>
      </c>
      <c r="EG157" s="1422">
        <v>0</v>
      </c>
      <c r="EH157" s="1422">
        <v>0</v>
      </c>
      <c r="EI157" s="1422">
        <v>0</v>
      </c>
      <c r="EJ157" s="1420">
        <v>1525.06</v>
      </c>
      <c r="EK157" s="1422">
        <v>0</v>
      </c>
      <c r="EL157" s="1422">
        <v>0</v>
      </c>
      <c r="EM157" s="1420">
        <v>526768.09</v>
      </c>
      <c r="EN157" s="1420">
        <v>558745.06000000006</v>
      </c>
      <c r="EO157" s="1420">
        <v>949815.38</v>
      </c>
      <c r="EP157" s="1420">
        <v>10803.6</v>
      </c>
      <c r="EQ157" s="1420">
        <v>385436.76</v>
      </c>
      <c r="ER157" s="1420">
        <v>384513.76</v>
      </c>
      <c r="ES157" s="1422">
        <v>0</v>
      </c>
      <c r="ET157" s="1422">
        <v>0</v>
      </c>
      <c r="EU157" s="1420">
        <v>10624633.35</v>
      </c>
      <c r="EV157" s="1420">
        <v>9003145.1600000001</v>
      </c>
      <c r="EW157" s="1420">
        <v>1218211.42</v>
      </c>
      <c r="EX157" s="1420">
        <v>163703.6</v>
      </c>
      <c r="EY157" s="1420">
        <v>385436.76</v>
      </c>
      <c r="EZ157" s="1420">
        <v>384513.76</v>
      </c>
      <c r="FA157" s="1420">
        <v>9020985.1699999999</v>
      </c>
      <c r="FB157" s="1420">
        <v>8454927.8000000007</v>
      </c>
      <c r="FC157" s="1420">
        <v>303800.87</v>
      </c>
      <c r="FD157" s="1439"/>
      <c r="FE157" s="1420">
        <v>8717184.3000000007</v>
      </c>
      <c r="FF157" s="1439"/>
      <c r="FG157" s="1422">
        <v>8625</v>
      </c>
      <c r="FH157" s="1439"/>
      <c r="FI157" s="1420">
        <v>77.209999999999994</v>
      </c>
      <c r="FJ157" s="1439"/>
      <c r="FK157" s="1422">
        <v>39346</v>
      </c>
      <c r="FL157" s="1439"/>
      <c r="FM157" s="1420">
        <v>83.73</v>
      </c>
      <c r="FN157" s="1439"/>
      <c r="FO157" s="1422">
        <v>40945</v>
      </c>
      <c r="FP157" s="1439"/>
      <c r="FQ157" s="1420">
        <v>1060270.52</v>
      </c>
      <c r="FR157" s="1439"/>
      <c r="FS157" s="1420">
        <v>117506.48</v>
      </c>
      <c r="FT157" s="1439"/>
      <c r="FU157" s="1422">
        <v>0</v>
      </c>
      <c r="FV157" s="1439"/>
      <c r="FW157" s="1420">
        <v>942764.04</v>
      </c>
      <c r="FX157" s="1439"/>
      <c r="FY157" s="1420">
        <v>244552.16</v>
      </c>
      <c r="FZ157" s="1439"/>
      <c r="GA157" s="1422">
        <v>0</v>
      </c>
      <c r="GB157" s="1439"/>
    </row>
    <row r="158" spans="1:184" ht="12.75" customHeight="1" thickBot="1">
      <c r="A158" s="1418" t="s">
        <v>366</v>
      </c>
      <c r="B158" s="1418" t="s">
        <v>367</v>
      </c>
      <c r="C158" s="1420">
        <v>345.69</v>
      </c>
      <c r="D158" s="1439"/>
      <c r="E158" s="1420">
        <v>380.79</v>
      </c>
      <c r="F158" s="1439"/>
      <c r="G158" s="1421">
        <v>-0.04</v>
      </c>
      <c r="H158" s="1439"/>
      <c r="I158" s="1420">
        <v>402.06</v>
      </c>
      <c r="J158" s="1439"/>
      <c r="K158" s="1420">
        <v>394.41</v>
      </c>
      <c r="L158" s="1439"/>
      <c r="M158" s="1422">
        <v>32319872</v>
      </c>
      <c r="N158" s="1439"/>
      <c r="O158" s="1422">
        <v>25</v>
      </c>
      <c r="P158" s="1439"/>
      <c r="Q158" s="1422">
        <v>25</v>
      </c>
      <c r="R158" s="1439"/>
      <c r="S158" s="1422">
        <v>0</v>
      </c>
      <c r="T158" s="1439"/>
      <c r="U158" s="1422">
        <v>0</v>
      </c>
      <c r="V158" s="1439"/>
      <c r="W158" s="1420">
        <v>9.8000000000000007</v>
      </c>
      <c r="X158" s="1439"/>
      <c r="Y158" s="1420">
        <v>34.799999999999997</v>
      </c>
      <c r="Z158" s="1439"/>
      <c r="AA158" s="1420">
        <v>815201.09</v>
      </c>
      <c r="AB158" s="1455"/>
      <c r="AC158" s="1424">
        <v>1047202.97</v>
      </c>
      <c r="AD158" s="1422">
        <v>981500</v>
      </c>
      <c r="AE158" s="1420">
        <v>290170.31</v>
      </c>
      <c r="AF158" s="1422">
        <v>273654</v>
      </c>
      <c r="AG158" s="1420">
        <v>23490.17</v>
      </c>
      <c r="AH158" s="1456">
        <v>23000</v>
      </c>
      <c r="AI158" s="1428">
        <v>1597458</v>
      </c>
      <c r="AJ158" s="1422">
        <v>1597458</v>
      </c>
      <c r="AK158" s="1422">
        <v>1727</v>
      </c>
      <c r="AL158" s="1422">
        <v>1727</v>
      </c>
      <c r="AM158" s="1422">
        <v>46046</v>
      </c>
      <c r="AN158" s="1422">
        <v>46046</v>
      </c>
      <c r="AO158" s="1422">
        <v>0</v>
      </c>
      <c r="AP158" s="1422">
        <v>0</v>
      </c>
      <c r="AQ158" s="1422">
        <v>0</v>
      </c>
      <c r="AR158" s="1422">
        <v>0</v>
      </c>
      <c r="AS158" s="1422">
        <v>0</v>
      </c>
      <c r="AT158" s="1422">
        <v>0</v>
      </c>
      <c r="AU158" s="1422">
        <v>0</v>
      </c>
      <c r="AV158" s="1422">
        <v>0</v>
      </c>
      <c r="AW158" s="1422">
        <v>0</v>
      </c>
      <c r="AX158" s="1422">
        <v>0</v>
      </c>
      <c r="AY158" s="1420">
        <v>3006094.45</v>
      </c>
      <c r="AZ158" s="1422">
        <v>2923385</v>
      </c>
      <c r="BA158" s="1422">
        <v>0</v>
      </c>
      <c r="BB158" s="1422">
        <v>0</v>
      </c>
      <c r="BC158" s="1422">
        <v>16313</v>
      </c>
      <c r="BD158" s="1422">
        <v>16313</v>
      </c>
      <c r="BE158" s="1422">
        <v>118777</v>
      </c>
      <c r="BF158" s="1422">
        <v>119977</v>
      </c>
      <c r="BG158" s="1422">
        <v>50</v>
      </c>
      <c r="BH158" s="1422">
        <v>0</v>
      </c>
      <c r="BI158" s="1422">
        <v>0</v>
      </c>
      <c r="BJ158" s="1422">
        <v>0</v>
      </c>
      <c r="BK158" s="1422">
        <v>0</v>
      </c>
      <c r="BL158" s="1422">
        <v>0</v>
      </c>
      <c r="BM158" s="1422">
        <v>287680</v>
      </c>
      <c r="BN158" s="1422">
        <v>287680</v>
      </c>
      <c r="BO158" s="1420">
        <v>3835.77</v>
      </c>
      <c r="BP158" s="1422">
        <v>0</v>
      </c>
      <c r="BQ158" s="1422">
        <v>0</v>
      </c>
      <c r="BR158" s="1422">
        <v>0</v>
      </c>
      <c r="BS158" s="1420">
        <v>1049.57</v>
      </c>
      <c r="BT158" s="1422">
        <v>1300</v>
      </c>
      <c r="BU158" s="1422">
        <v>0</v>
      </c>
      <c r="BV158" s="1422">
        <v>0</v>
      </c>
      <c r="BW158" s="1422">
        <v>0</v>
      </c>
      <c r="BX158" s="1422">
        <v>0</v>
      </c>
      <c r="BY158" s="1422">
        <v>0</v>
      </c>
      <c r="BZ158" s="1422">
        <v>0</v>
      </c>
      <c r="CA158" s="1422">
        <v>11279</v>
      </c>
      <c r="CB158" s="1422">
        <v>11279</v>
      </c>
      <c r="CC158" s="1420">
        <v>438984.34</v>
      </c>
      <c r="CD158" s="1422">
        <v>436549</v>
      </c>
      <c r="CE158" s="1420">
        <v>674575.88</v>
      </c>
      <c r="CF158" s="1420">
        <v>462839.65</v>
      </c>
      <c r="CG158" s="1422">
        <v>67625</v>
      </c>
      <c r="CH158" s="1422">
        <v>0</v>
      </c>
      <c r="CI158" s="1422">
        <v>0</v>
      </c>
      <c r="CJ158" s="1422">
        <v>0</v>
      </c>
      <c r="CK158" s="1422">
        <v>0</v>
      </c>
      <c r="CL158" s="1422">
        <v>0</v>
      </c>
      <c r="CM158" s="1422">
        <v>0</v>
      </c>
      <c r="CN158" s="1422">
        <v>0</v>
      </c>
      <c r="CO158" s="1420">
        <v>5427.45</v>
      </c>
      <c r="CP158" s="1422">
        <v>0</v>
      </c>
      <c r="CQ158" s="1422">
        <v>0</v>
      </c>
      <c r="CR158" s="1422">
        <v>0</v>
      </c>
      <c r="CS158" s="1420">
        <v>73052.45</v>
      </c>
      <c r="CT158" s="1422">
        <v>0</v>
      </c>
      <c r="CU158" s="1420">
        <v>4192707.12</v>
      </c>
      <c r="CV158" s="1420">
        <v>3822773.65</v>
      </c>
      <c r="CW158" s="1420">
        <v>1551526.98</v>
      </c>
      <c r="CX158" s="1420">
        <v>1520732.41</v>
      </c>
      <c r="CY158" s="1420">
        <v>184083.88</v>
      </c>
      <c r="CZ158" s="1420">
        <v>171076.16</v>
      </c>
      <c r="DA158" s="1420">
        <v>165645.31</v>
      </c>
      <c r="DB158" s="1420">
        <v>166087.78</v>
      </c>
      <c r="DC158" s="1422">
        <v>0</v>
      </c>
      <c r="DD158" s="1422">
        <v>0</v>
      </c>
      <c r="DE158" s="1420">
        <v>116563.09</v>
      </c>
      <c r="DF158" s="1420">
        <v>126113.21</v>
      </c>
      <c r="DG158" s="1420">
        <v>32793.449999999997</v>
      </c>
      <c r="DH158" s="1420">
        <v>69062.28</v>
      </c>
      <c r="DI158" s="1420">
        <v>2050612.71</v>
      </c>
      <c r="DJ158" s="1420">
        <v>2053071.84</v>
      </c>
      <c r="DK158" s="1420">
        <v>146526.91</v>
      </c>
      <c r="DL158" s="1420">
        <v>146309.31</v>
      </c>
      <c r="DM158" s="1420">
        <v>146557.25</v>
      </c>
      <c r="DN158" s="1420">
        <v>141536.92000000001</v>
      </c>
      <c r="DO158" s="1420">
        <v>336994.41</v>
      </c>
      <c r="DP158" s="1420">
        <v>281197.43</v>
      </c>
      <c r="DQ158" s="1420">
        <v>271262.27</v>
      </c>
      <c r="DR158" s="1420">
        <v>235010.68</v>
      </c>
      <c r="DS158" s="1420">
        <v>1787.23</v>
      </c>
      <c r="DT158" s="1422">
        <v>1800</v>
      </c>
      <c r="DU158" s="1420">
        <v>903128.07</v>
      </c>
      <c r="DV158" s="1420">
        <v>805854.34</v>
      </c>
      <c r="DW158" s="1420">
        <v>221180.77</v>
      </c>
      <c r="DX158" s="1420">
        <v>210778.41</v>
      </c>
      <c r="DY158" s="1420">
        <v>374927.65</v>
      </c>
      <c r="DZ158" s="1420">
        <v>174893.35</v>
      </c>
      <c r="EA158" s="1420">
        <v>144368.95999999999</v>
      </c>
      <c r="EB158" s="1420">
        <v>145237.04999999999</v>
      </c>
      <c r="EC158" s="1420">
        <v>740477.38</v>
      </c>
      <c r="ED158" s="1420">
        <v>530908.81000000006</v>
      </c>
      <c r="EE158" s="1420">
        <v>338390.57</v>
      </c>
      <c r="EF158" s="1420">
        <v>304297.82</v>
      </c>
      <c r="EG158" s="1422">
        <v>0</v>
      </c>
      <c r="EH158" s="1422">
        <v>0</v>
      </c>
      <c r="EI158" s="1422">
        <v>0</v>
      </c>
      <c r="EJ158" s="1420">
        <v>341.58</v>
      </c>
      <c r="EK158" s="1422">
        <v>0</v>
      </c>
      <c r="EL158" s="1422">
        <v>0</v>
      </c>
      <c r="EM158" s="1420">
        <v>338390.57</v>
      </c>
      <c r="EN158" s="1420">
        <v>304639.40000000002</v>
      </c>
      <c r="EO158" s="1422">
        <v>0</v>
      </c>
      <c r="EP158" s="1422">
        <v>0</v>
      </c>
      <c r="EQ158" s="1420">
        <v>140592.99</v>
      </c>
      <c r="ER158" s="1420">
        <v>109145.7</v>
      </c>
      <c r="ES158" s="1422">
        <v>0</v>
      </c>
      <c r="ET158" s="1422">
        <v>0</v>
      </c>
      <c r="EU158" s="1420">
        <v>4173201.72</v>
      </c>
      <c r="EV158" s="1420">
        <v>3803620.09</v>
      </c>
      <c r="EW158" s="1420">
        <v>94389.05</v>
      </c>
      <c r="EX158" s="1422">
        <v>10400</v>
      </c>
      <c r="EY158" s="1420">
        <v>140592.99</v>
      </c>
      <c r="EZ158" s="1420">
        <v>109145.7</v>
      </c>
      <c r="FA158" s="1420">
        <v>3938219.68</v>
      </c>
      <c r="FB158" s="1420">
        <v>3684074.39</v>
      </c>
      <c r="FC158" s="1420">
        <v>239845.39</v>
      </c>
      <c r="FD158" s="1439"/>
      <c r="FE158" s="1420">
        <v>3698374.29</v>
      </c>
      <c r="FF158" s="1439"/>
      <c r="FG158" s="1422">
        <v>9712</v>
      </c>
      <c r="FH158" s="1439"/>
      <c r="FI158" s="1420">
        <v>39.81</v>
      </c>
      <c r="FJ158" s="1439"/>
      <c r="FK158" s="1422">
        <v>37360</v>
      </c>
      <c r="FL158" s="1439"/>
      <c r="FM158" s="1420">
        <v>44.11</v>
      </c>
      <c r="FN158" s="1439"/>
      <c r="FO158" s="1422">
        <v>39431</v>
      </c>
      <c r="FP158" s="1439"/>
      <c r="FQ158" s="1420">
        <v>387816.91</v>
      </c>
      <c r="FR158" s="1439"/>
      <c r="FS158" s="1420">
        <v>11362.33</v>
      </c>
      <c r="FT158" s="1439"/>
      <c r="FU158" s="1422">
        <v>0</v>
      </c>
      <c r="FV158" s="1439"/>
      <c r="FW158" s="1420">
        <v>376454.58</v>
      </c>
      <c r="FX158" s="1439"/>
      <c r="FY158" s="1422">
        <v>0</v>
      </c>
      <c r="FZ158" s="1439"/>
      <c r="GA158" s="1422">
        <v>0</v>
      </c>
      <c r="GB158" s="1439"/>
    </row>
    <row r="159" spans="1:184" ht="12.75" customHeight="1" thickBot="1">
      <c r="A159" s="1418" t="s">
        <v>368</v>
      </c>
      <c r="B159" s="1418" t="s">
        <v>369</v>
      </c>
      <c r="C159" s="1420">
        <v>614.46</v>
      </c>
      <c r="D159" s="1439"/>
      <c r="E159" s="1420">
        <v>865.1</v>
      </c>
      <c r="F159" s="1439"/>
      <c r="G159" s="1421">
        <v>0.01</v>
      </c>
      <c r="H159" s="1439"/>
      <c r="I159" s="1420">
        <v>891.24</v>
      </c>
      <c r="J159" s="1439"/>
      <c r="K159" s="1420">
        <v>897.08</v>
      </c>
      <c r="L159" s="1439"/>
      <c r="M159" s="1422">
        <v>55972640</v>
      </c>
      <c r="N159" s="1439"/>
      <c r="O159" s="1422">
        <v>25</v>
      </c>
      <c r="P159" s="1439"/>
      <c r="Q159" s="1422">
        <v>25</v>
      </c>
      <c r="R159" s="1439"/>
      <c r="S159" s="1422">
        <v>0</v>
      </c>
      <c r="T159" s="1439"/>
      <c r="U159" s="1422">
        <v>0</v>
      </c>
      <c r="V159" s="1439"/>
      <c r="W159" s="1420">
        <v>10.9</v>
      </c>
      <c r="X159" s="1439"/>
      <c r="Y159" s="1420">
        <v>35.9</v>
      </c>
      <c r="Z159" s="1439"/>
      <c r="AA159" s="1420">
        <v>5224065.0999999996</v>
      </c>
      <c r="AB159" s="1455"/>
      <c r="AC159" s="1424">
        <v>1913500.22</v>
      </c>
      <c r="AD159" s="1422">
        <v>2116000</v>
      </c>
      <c r="AE159" s="1420">
        <v>436954.03</v>
      </c>
      <c r="AF159" s="1422">
        <v>159200</v>
      </c>
      <c r="AG159" s="1422">
        <v>0</v>
      </c>
      <c r="AH159" s="1456">
        <v>0</v>
      </c>
      <c r="AI159" s="1428">
        <v>3722271</v>
      </c>
      <c r="AJ159" s="1422">
        <v>3817554</v>
      </c>
      <c r="AK159" s="1422">
        <v>62633</v>
      </c>
      <c r="AL159" s="1422">
        <v>0</v>
      </c>
      <c r="AM159" s="1422">
        <v>2183</v>
      </c>
      <c r="AN159" s="1422">
        <v>0</v>
      </c>
      <c r="AO159" s="1422">
        <v>0</v>
      </c>
      <c r="AP159" s="1422">
        <v>0</v>
      </c>
      <c r="AQ159" s="1422">
        <v>0</v>
      </c>
      <c r="AR159" s="1422">
        <v>0</v>
      </c>
      <c r="AS159" s="1422">
        <v>1206299</v>
      </c>
      <c r="AT159" s="1422">
        <v>1206300</v>
      </c>
      <c r="AU159" s="1422">
        <v>0</v>
      </c>
      <c r="AV159" s="1422">
        <v>0</v>
      </c>
      <c r="AW159" s="1422">
        <v>422</v>
      </c>
      <c r="AX159" s="1422">
        <v>0</v>
      </c>
      <c r="AY159" s="1420">
        <v>7344262.25</v>
      </c>
      <c r="AZ159" s="1422">
        <v>7299054</v>
      </c>
      <c r="BA159" s="1422">
        <v>0</v>
      </c>
      <c r="BB159" s="1422">
        <v>0</v>
      </c>
      <c r="BC159" s="1422">
        <v>37103</v>
      </c>
      <c r="BD159" s="1422">
        <v>37906</v>
      </c>
      <c r="BE159" s="1420">
        <v>397317.31</v>
      </c>
      <c r="BF159" s="1422">
        <v>389800</v>
      </c>
      <c r="BG159" s="1422">
        <v>0</v>
      </c>
      <c r="BH159" s="1422">
        <v>0</v>
      </c>
      <c r="BI159" s="1422">
        <v>12961</v>
      </c>
      <c r="BJ159" s="1422">
        <v>24911</v>
      </c>
      <c r="BK159" s="1422">
        <v>0</v>
      </c>
      <c r="BL159" s="1422">
        <v>0</v>
      </c>
      <c r="BM159" s="1422">
        <v>297104</v>
      </c>
      <c r="BN159" s="1422">
        <v>431114</v>
      </c>
      <c r="BO159" s="1420">
        <v>107877.09</v>
      </c>
      <c r="BP159" s="1422">
        <v>103000</v>
      </c>
      <c r="BQ159" s="1420">
        <v>19351.93</v>
      </c>
      <c r="BR159" s="1420">
        <v>10562.5</v>
      </c>
      <c r="BS159" s="1420">
        <v>3481.8</v>
      </c>
      <c r="BT159" s="1422">
        <v>3400</v>
      </c>
      <c r="BU159" s="1422">
        <v>0</v>
      </c>
      <c r="BV159" s="1422">
        <v>0</v>
      </c>
      <c r="BW159" s="1422">
        <v>0</v>
      </c>
      <c r="BX159" s="1422">
        <v>0</v>
      </c>
      <c r="BY159" s="1422">
        <v>0</v>
      </c>
      <c r="BZ159" s="1422">
        <v>0</v>
      </c>
      <c r="CA159" s="1420">
        <v>403581.16</v>
      </c>
      <c r="CB159" s="1422">
        <v>212410</v>
      </c>
      <c r="CC159" s="1420">
        <v>1278777.29</v>
      </c>
      <c r="CD159" s="1420">
        <v>1213103.5</v>
      </c>
      <c r="CE159" s="1420">
        <v>2290903.86</v>
      </c>
      <c r="CF159" s="1422">
        <v>1746550</v>
      </c>
      <c r="CG159" s="1420">
        <v>-21686.84</v>
      </c>
      <c r="CH159" s="1422">
        <v>906500</v>
      </c>
      <c r="CI159" s="1422">
        <v>0</v>
      </c>
      <c r="CJ159" s="1422">
        <v>0</v>
      </c>
      <c r="CK159" s="1422">
        <v>0</v>
      </c>
      <c r="CL159" s="1422">
        <v>0</v>
      </c>
      <c r="CM159" s="1422">
        <v>0</v>
      </c>
      <c r="CN159" s="1422">
        <v>0</v>
      </c>
      <c r="CO159" s="1422">
        <v>0</v>
      </c>
      <c r="CP159" s="1422">
        <v>0</v>
      </c>
      <c r="CQ159" s="1422">
        <v>0</v>
      </c>
      <c r="CR159" s="1422">
        <v>0</v>
      </c>
      <c r="CS159" s="1420">
        <v>-21686.84</v>
      </c>
      <c r="CT159" s="1422">
        <v>906500</v>
      </c>
      <c r="CU159" s="1420">
        <v>10892256.560000001</v>
      </c>
      <c r="CV159" s="1420">
        <v>11165207.5</v>
      </c>
      <c r="CW159" s="1420">
        <v>3667140.34</v>
      </c>
      <c r="CX159" s="1420">
        <v>3621100.27</v>
      </c>
      <c r="CY159" s="1420">
        <v>675996.35</v>
      </c>
      <c r="CZ159" s="1420">
        <v>742683.36</v>
      </c>
      <c r="DA159" s="1420">
        <v>393689.86</v>
      </c>
      <c r="DB159" s="1420">
        <v>432286.92</v>
      </c>
      <c r="DC159" s="1422">
        <v>0</v>
      </c>
      <c r="DD159" s="1422">
        <v>0</v>
      </c>
      <c r="DE159" s="1420">
        <v>304181.21999999997</v>
      </c>
      <c r="DF159" s="1420">
        <v>267658.07</v>
      </c>
      <c r="DG159" s="1420">
        <v>67552.44</v>
      </c>
      <c r="DH159" s="1420">
        <v>71526.820000000007</v>
      </c>
      <c r="DI159" s="1420">
        <v>5108560.21</v>
      </c>
      <c r="DJ159" s="1420">
        <v>5135255.4400000004</v>
      </c>
      <c r="DK159" s="1420">
        <v>261047.14</v>
      </c>
      <c r="DL159" s="1420">
        <v>328023.7</v>
      </c>
      <c r="DM159" s="1420">
        <v>72336.58</v>
      </c>
      <c r="DN159" s="1420">
        <v>73256.149999999994</v>
      </c>
      <c r="DO159" s="1420">
        <v>1032519.16</v>
      </c>
      <c r="DP159" s="1420">
        <v>1022949.28</v>
      </c>
      <c r="DQ159" s="1420">
        <v>867779.71</v>
      </c>
      <c r="DR159" s="1420">
        <v>764337.96</v>
      </c>
      <c r="DS159" s="1420">
        <v>40025.4</v>
      </c>
      <c r="DT159" s="1420">
        <v>42787.92</v>
      </c>
      <c r="DU159" s="1420">
        <v>2273707.9900000002</v>
      </c>
      <c r="DV159" s="1420">
        <v>2231355.0099999998</v>
      </c>
      <c r="DW159" s="1420">
        <v>445403.1</v>
      </c>
      <c r="DX159" s="1420">
        <v>483249.51</v>
      </c>
      <c r="DY159" s="1420">
        <v>573048.41</v>
      </c>
      <c r="DZ159" s="1420">
        <v>522214.61</v>
      </c>
      <c r="EA159" s="1420">
        <v>545632.87</v>
      </c>
      <c r="EB159" s="1420">
        <v>616861.54</v>
      </c>
      <c r="EC159" s="1420">
        <v>1564084.38</v>
      </c>
      <c r="ED159" s="1420">
        <v>1622325.66</v>
      </c>
      <c r="EE159" s="1420">
        <v>514742.42</v>
      </c>
      <c r="EF159" s="1420">
        <v>479989.58</v>
      </c>
      <c r="EG159" s="1420">
        <v>14912.95</v>
      </c>
      <c r="EH159" s="1420">
        <v>14912.95</v>
      </c>
      <c r="EI159" s="1420">
        <v>623.98</v>
      </c>
      <c r="EJ159" s="1422">
        <v>6530</v>
      </c>
      <c r="EK159" s="1422">
        <v>0</v>
      </c>
      <c r="EL159" s="1422">
        <v>0</v>
      </c>
      <c r="EM159" s="1420">
        <v>530279.35</v>
      </c>
      <c r="EN159" s="1420">
        <v>501432.53</v>
      </c>
      <c r="EO159" s="1420">
        <v>575787.66</v>
      </c>
      <c r="EP159" s="1420">
        <v>994997.35</v>
      </c>
      <c r="EQ159" s="1420">
        <v>571031.76</v>
      </c>
      <c r="ER159" s="1422">
        <v>573410</v>
      </c>
      <c r="ES159" s="1422">
        <v>27196</v>
      </c>
      <c r="ET159" s="1422">
        <v>0</v>
      </c>
      <c r="EU159" s="1420">
        <v>10650647.35</v>
      </c>
      <c r="EV159" s="1420">
        <v>11058775.99</v>
      </c>
      <c r="EW159" s="1420">
        <v>1057014.6100000001</v>
      </c>
      <c r="EX159" s="1420">
        <v>1424193.76</v>
      </c>
      <c r="EY159" s="1420">
        <v>571031.76</v>
      </c>
      <c r="EZ159" s="1422">
        <v>573410</v>
      </c>
      <c r="FA159" s="1420">
        <v>9022600.9800000004</v>
      </c>
      <c r="FB159" s="1420">
        <v>9061172.2300000004</v>
      </c>
      <c r="FC159" s="1420">
        <v>376902.05</v>
      </c>
      <c r="FD159" s="1439"/>
      <c r="FE159" s="1420">
        <v>8645698.9299999997</v>
      </c>
      <c r="FF159" s="1439"/>
      <c r="FG159" s="1422">
        <v>9993</v>
      </c>
      <c r="FH159" s="1439"/>
      <c r="FI159" s="1420">
        <v>75.19</v>
      </c>
      <c r="FJ159" s="1439"/>
      <c r="FK159" s="1422">
        <v>41925</v>
      </c>
      <c r="FL159" s="1439"/>
      <c r="FM159" s="1420">
        <v>81.95</v>
      </c>
      <c r="FN159" s="1439"/>
      <c r="FO159" s="1422">
        <v>44604</v>
      </c>
      <c r="FP159" s="1439"/>
      <c r="FQ159" s="1420">
        <v>1758244.53</v>
      </c>
      <c r="FR159" s="1439"/>
      <c r="FS159" s="1420">
        <v>32438.81</v>
      </c>
      <c r="FT159" s="1439"/>
      <c r="FU159" s="1420">
        <v>141241.94</v>
      </c>
      <c r="FV159" s="1439"/>
      <c r="FW159" s="1420">
        <v>1584563.78</v>
      </c>
      <c r="FX159" s="1439"/>
      <c r="FY159" s="1420">
        <v>737768.44</v>
      </c>
      <c r="FZ159" s="1439"/>
      <c r="GA159" s="1422">
        <v>0</v>
      </c>
      <c r="GB159" s="1439"/>
    </row>
    <row r="160" spans="1:184" ht="12.75" customHeight="1" thickBot="1">
      <c r="A160" s="1418" t="s">
        <v>370</v>
      </c>
      <c r="B160" s="1418" t="s">
        <v>371</v>
      </c>
      <c r="C160" s="1420">
        <v>397.53</v>
      </c>
      <c r="D160" s="1439"/>
      <c r="E160" s="1420">
        <v>336.68</v>
      </c>
      <c r="F160" s="1439"/>
      <c r="G160" s="1421">
        <v>-0.17</v>
      </c>
      <c r="H160" s="1439"/>
      <c r="I160" s="1420">
        <v>359.94</v>
      </c>
      <c r="J160" s="1439"/>
      <c r="K160" s="1420">
        <v>372.38</v>
      </c>
      <c r="L160" s="1439"/>
      <c r="M160" s="1422">
        <v>22489589</v>
      </c>
      <c r="N160" s="1439"/>
      <c r="O160" s="1422">
        <v>25</v>
      </c>
      <c r="P160" s="1439"/>
      <c r="Q160" s="1422">
        <v>25</v>
      </c>
      <c r="R160" s="1439"/>
      <c r="S160" s="1422">
        <v>0</v>
      </c>
      <c r="T160" s="1439"/>
      <c r="U160" s="1422">
        <v>0</v>
      </c>
      <c r="V160" s="1439"/>
      <c r="W160" s="1422">
        <v>8</v>
      </c>
      <c r="X160" s="1439"/>
      <c r="Y160" s="1422">
        <v>33</v>
      </c>
      <c r="Z160" s="1439"/>
      <c r="AA160" s="1420">
        <v>1774957.6</v>
      </c>
      <c r="AB160" s="1455"/>
      <c r="AC160" s="1424">
        <v>683925.93</v>
      </c>
      <c r="AD160" s="1422">
        <v>684000</v>
      </c>
      <c r="AE160" s="1420">
        <v>331974.58</v>
      </c>
      <c r="AF160" s="1422">
        <v>73100</v>
      </c>
      <c r="AG160" s="1422">
        <v>0</v>
      </c>
      <c r="AH160" s="1456">
        <v>0</v>
      </c>
      <c r="AI160" s="1428">
        <v>1385461</v>
      </c>
      <c r="AJ160" s="1422">
        <v>1384920</v>
      </c>
      <c r="AK160" s="1422">
        <v>39677</v>
      </c>
      <c r="AL160" s="1422">
        <v>39000</v>
      </c>
      <c r="AM160" s="1422">
        <v>0</v>
      </c>
      <c r="AN160" s="1422">
        <v>0</v>
      </c>
      <c r="AO160" s="1422">
        <v>0</v>
      </c>
      <c r="AP160" s="1422">
        <v>0</v>
      </c>
      <c r="AQ160" s="1422">
        <v>0</v>
      </c>
      <c r="AR160" s="1422">
        <v>0</v>
      </c>
      <c r="AS160" s="1422">
        <v>729859</v>
      </c>
      <c r="AT160" s="1422">
        <v>730000</v>
      </c>
      <c r="AU160" s="1422">
        <v>8469</v>
      </c>
      <c r="AV160" s="1422">
        <v>6776</v>
      </c>
      <c r="AW160" s="1422">
        <v>0</v>
      </c>
      <c r="AX160" s="1422">
        <v>0</v>
      </c>
      <c r="AY160" s="1420">
        <v>3179366.51</v>
      </c>
      <c r="AZ160" s="1422">
        <v>2917796</v>
      </c>
      <c r="BA160" s="1422">
        <v>0</v>
      </c>
      <c r="BB160" s="1422">
        <v>0</v>
      </c>
      <c r="BC160" s="1422">
        <v>15402</v>
      </c>
      <c r="BD160" s="1422">
        <v>15325</v>
      </c>
      <c r="BE160" s="1420">
        <v>390876.83</v>
      </c>
      <c r="BF160" s="1422">
        <v>385000</v>
      </c>
      <c r="BG160" s="1422">
        <v>3100</v>
      </c>
      <c r="BH160" s="1422">
        <v>0</v>
      </c>
      <c r="BI160" s="1422">
        <v>0</v>
      </c>
      <c r="BJ160" s="1422">
        <v>0</v>
      </c>
      <c r="BK160" s="1422">
        <v>0</v>
      </c>
      <c r="BL160" s="1422">
        <v>0</v>
      </c>
      <c r="BM160" s="1422">
        <v>284704</v>
      </c>
      <c r="BN160" s="1422">
        <v>283360</v>
      </c>
      <c r="BO160" s="1420">
        <v>51963.19</v>
      </c>
      <c r="BP160" s="1422">
        <v>0</v>
      </c>
      <c r="BQ160" s="1420">
        <v>2437.52</v>
      </c>
      <c r="BR160" s="1422">
        <v>2000</v>
      </c>
      <c r="BS160" s="1420">
        <v>1748.74</v>
      </c>
      <c r="BT160" s="1422">
        <v>1000</v>
      </c>
      <c r="BU160" s="1422">
        <v>0</v>
      </c>
      <c r="BV160" s="1422">
        <v>0</v>
      </c>
      <c r="BW160" s="1422">
        <v>0</v>
      </c>
      <c r="BX160" s="1422">
        <v>0</v>
      </c>
      <c r="BY160" s="1422">
        <v>0</v>
      </c>
      <c r="BZ160" s="1422">
        <v>0</v>
      </c>
      <c r="CA160" s="1420">
        <v>61046.58</v>
      </c>
      <c r="CB160" s="1420">
        <v>49722.13</v>
      </c>
      <c r="CC160" s="1420">
        <v>811278.86</v>
      </c>
      <c r="CD160" s="1420">
        <v>736407.13</v>
      </c>
      <c r="CE160" s="1420">
        <v>1486373.05</v>
      </c>
      <c r="CF160" s="1420">
        <v>1029264.42</v>
      </c>
      <c r="CG160" s="1422">
        <v>115690</v>
      </c>
      <c r="CH160" s="1420">
        <v>2033652.96</v>
      </c>
      <c r="CI160" s="1422">
        <v>0</v>
      </c>
      <c r="CJ160" s="1422">
        <v>0</v>
      </c>
      <c r="CK160" s="1422">
        <v>4000</v>
      </c>
      <c r="CL160" s="1422">
        <v>4000</v>
      </c>
      <c r="CM160" s="1422">
        <v>0</v>
      </c>
      <c r="CN160" s="1422">
        <v>0</v>
      </c>
      <c r="CO160" s="1420">
        <v>66977.009999999995</v>
      </c>
      <c r="CP160" s="1422">
        <v>0</v>
      </c>
      <c r="CQ160" s="1422">
        <v>0</v>
      </c>
      <c r="CR160" s="1422">
        <v>0</v>
      </c>
      <c r="CS160" s="1420">
        <v>186667.01</v>
      </c>
      <c r="CT160" s="1420">
        <v>2037652.96</v>
      </c>
      <c r="CU160" s="1420">
        <v>5663685.4299999997</v>
      </c>
      <c r="CV160" s="1420">
        <v>6721120.5099999998</v>
      </c>
      <c r="CW160" s="1420">
        <v>1860107.04</v>
      </c>
      <c r="CX160" s="1420">
        <v>1751835.92</v>
      </c>
      <c r="CY160" s="1420">
        <v>263016.34999999998</v>
      </c>
      <c r="CZ160" s="1420">
        <v>259446.05</v>
      </c>
      <c r="DA160" s="1420">
        <v>282019.56</v>
      </c>
      <c r="DB160" s="1420">
        <v>228299.71</v>
      </c>
      <c r="DC160" s="1422">
        <v>0</v>
      </c>
      <c r="DD160" s="1422">
        <v>0</v>
      </c>
      <c r="DE160" s="1420">
        <v>227103.32</v>
      </c>
      <c r="DF160" s="1420">
        <v>207453.95</v>
      </c>
      <c r="DG160" s="1420">
        <v>183757.96</v>
      </c>
      <c r="DH160" s="1420">
        <v>188154.52</v>
      </c>
      <c r="DI160" s="1420">
        <v>2816004.23</v>
      </c>
      <c r="DJ160" s="1420">
        <v>2635190.15</v>
      </c>
      <c r="DK160" s="1420">
        <v>268944.76</v>
      </c>
      <c r="DL160" s="1420">
        <v>300317.09000000003</v>
      </c>
      <c r="DM160" s="1420">
        <v>79000.38</v>
      </c>
      <c r="DN160" s="1420">
        <v>102936.8</v>
      </c>
      <c r="DO160" s="1420">
        <v>426383.11</v>
      </c>
      <c r="DP160" s="1420">
        <v>462722.96</v>
      </c>
      <c r="DQ160" s="1420">
        <v>578264.51</v>
      </c>
      <c r="DR160" s="1420">
        <v>346257.18</v>
      </c>
      <c r="DS160" s="1420">
        <v>4825.3</v>
      </c>
      <c r="DT160" s="1422">
        <v>950</v>
      </c>
      <c r="DU160" s="1420">
        <v>1357418.06</v>
      </c>
      <c r="DV160" s="1420">
        <v>1213184.03</v>
      </c>
      <c r="DW160" s="1420">
        <v>64519.040000000001</v>
      </c>
      <c r="DX160" s="1420">
        <v>69796.149999999994</v>
      </c>
      <c r="DY160" s="1420">
        <v>322524.84000000003</v>
      </c>
      <c r="DZ160" s="1420">
        <v>245580.93</v>
      </c>
      <c r="EA160" s="1420">
        <v>169895.36</v>
      </c>
      <c r="EB160" s="1420">
        <v>165264.6</v>
      </c>
      <c r="EC160" s="1420">
        <v>556939.24</v>
      </c>
      <c r="ED160" s="1420">
        <v>480641.68</v>
      </c>
      <c r="EE160" s="1420">
        <v>267094.75</v>
      </c>
      <c r="EF160" s="1420">
        <v>252985.69</v>
      </c>
      <c r="EG160" s="1422">
        <v>0</v>
      </c>
      <c r="EH160" s="1422">
        <v>0</v>
      </c>
      <c r="EI160" s="1422">
        <v>0</v>
      </c>
      <c r="EJ160" s="1422">
        <v>3624</v>
      </c>
      <c r="EK160" s="1422">
        <v>0</v>
      </c>
      <c r="EL160" s="1422">
        <v>0</v>
      </c>
      <c r="EM160" s="1420">
        <v>267094.75</v>
      </c>
      <c r="EN160" s="1420">
        <v>256609.69</v>
      </c>
      <c r="EO160" s="1420">
        <v>647849.61</v>
      </c>
      <c r="EP160" s="1422">
        <v>3426000</v>
      </c>
      <c r="EQ160" s="1420">
        <v>228104.61</v>
      </c>
      <c r="ER160" s="1422">
        <v>322450</v>
      </c>
      <c r="ES160" s="1422">
        <v>0</v>
      </c>
      <c r="ET160" s="1422">
        <v>0</v>
      </c>
      <c r="EU160" s="1420">
        <v>5873410.5</v>
      </c>
      <c r="EV160" s="1420">
        <v>8334075.5499999998</v>
      </c>
      <c r="EW160" s="1420">
        <v>978508.22</v>
      </c>
      <c r="EX160" s="1420">
        <v>3429621.24</v>
      </c>
      <c r="EY160" s="1420">
        <v>228104.61</v>
      </c>
      <c r="EZ160" s="1422">
        <v>322450</v>
      </c>
      <c r="FA160" s="1420">
        <v>4666797.67</v>
      </c>
      <c r="FB160" s="1420">
        <v>4582004.3099999996</v>
      </c>
      <c r="FC160" s="1420">
        <v>133670.39999999999</v>
      </c>
      <c r="FD160" s="1439"/>
      <c r="FE160" s="1420">
        <v>4533127.2699999996</v>
      </c>
      <c r="FF160" s="1439"/>
      <c r="FG160" s="1422">
        <v>13464</v>
      </c>
      <c r="FH160" s="1439"/>
      <c r="FI160" s="1420">
        <v>42.82</v>
      </c>
      <c r="FJ160" s="1439"/>
      <c r="FK160" s="1422">
        <v>35976</v>
      </c>
      <c r="FL160" s="1439"/>
      <c r="FM160" s="1420">
        <v>46.89</v>
      </c>
      <c r="FN160" s="1439"/>
      <c r="FO160" s="1422">
        <v>39423</v>
      </c>
      <c r="FP160" s="1439"/>
      <c r="FQ160" s="1420">
        <v>2266300.3199999998</v>
      </c>
      <c r="FR160" s="1439"/>
      <c r="FS160" s="1420">
        <v>28710.9</v>
      </c>
      <c r="FT160" s="1439"/>
      <c r="FU160" s="1422">
        <v>0</v>
      </c>
      <c r="FV160" s="1439"/>
      <c r="FW160" s="1420">
        <v>2237589.42</v>
      </c>
      <c r="FX160" s="1439"/>
      <c r="FY160" s="1420">
        <v>24205.45</v>
      </c>
      <c r="FZ160" s="1439"/>
      <c r="GA160" s="1422">
        <v>0</v>
      </c>
      <c r="GB160" s="1439"/>
    </row>
    <row r="161" spans="1:184" ht="12.75" customHeight="1" thickBot="1">
      <c r="A161" s="1418" t="s">
        <v>372</v>
      </c>
      <c r="B161" s="1418" t="s">
        <v>373</v>
      </c>
      <c r="C161" s="1420">
        <v>251.47</v>
      </c>
      <c r="D161" s="1439"/>
      <c r="E161" s="1420">
        <v>539.85</v>
      </c>
      <c r="F161" s="1439"/>
      <c r="G161" s="1421">
        <v>-0.13</v>
      </c>
      <c r="H161" s="1439"/>
      <c r="I161" s="1420">
        <v>565.98</v>
      </c>
      <c r="J161" s="1439"/>
      <c r="K161" s="1420">
        <v>579.35</v>
      </c>
      <c r="L161" s="1439"/>
      <c r="M161" s="1422">
        <v>31660701</v>
      </c>
      <c r="N161" s="1439"/>
      <c r="O161" s="1422">
        <v>25</v>
      </c>
      <c r="P161" s="1439"/>
      <c r="Q161" s="1422">
        <v>25</v>
      </c>
      <c r="R161" s="1439"/>
      <c r="S161" s="1422">
        <v>0</v>
      </c>
      <c r="T161" s="1439"/>
      <c r="U161" s="1422">
        <v>0</v>
      </c>
      <c r="V161" s="1439"/>
      <c r="W161" s="1420">
        <v>9.9</v>
      </c>
      <c r="X161" s="1439"/>
      <c r="Y161" s="1420">
        <v>34.9</v>
      </c>
      <c r="Z161" s="1439"/>
      <c r="AA161" s="1420">
        <v>2750253.62</v>
      </c>
      <c r="AB161" s="1455"/>
      <c r="AC161" s="1424">
        <v>1007199.16</v>
      </c>
      <c r="AD161" s="1422">
        <v>885000</v>
      </c>
      <c r="AE161" s="1420">
        <v>353489.02</v>
      </c>
      <c r="AF161" s="1422">
        <v>130150</v>
      </c>
      <c r="AG161" s="1420">
        <v>54169.57</v>
      </c>
      <c r="AH161" s="1456">
        <v>40000</v>
      </c>
      <c r="AI161" s="1428">
        <v>2698716</v>
      </c>
      <c r="AJ161" s="1422">
        <v>2658757</v>
      </c>
      <c r="AK161" s="1422">
        <v>26115</v>
      </c>
      <c r="AL161" s="1422">
        <v>10000</v>
      </c>
      <c r="AM161" s="1422">
        <v>0</v>
      </c>
      <c r="AN161" s="1422">
        <v>0</v>
      </c>
      <c r="AO161" s="1422">
        <v>86641</v>
      </c>
      <c r="AP161" s="1422">
        <v>45036</v>
      </c>
      <c r="AQ161" s="1422">
        <v>0</v>
      </c>
      <c r="AR161" s="1422">
        <v>0</v>
      </c>
      <c r="AS161" s="1422">
        <v>0</v>
      </c>
      <c r="AT161" s="1422">
        <v>0</v>
      </c>
      <c r="AU161" s="1422">
        <v>13662</v>
      </c>
      <c r="AV161" s="1422">
        <v>10930</v>
      </c>
      <c r="AW161" s="1422">
        <v>0</v>
      </c>
      <c r="AX161" s="1422">
        <v>0</v>
      </c>
      <c r="AY161" s="1420">
        <v>4239991.75</v>
      </c>
      <c r="AZ161" s="1422">
        <v>3779873</v>
      </c>
      <c r="BA161" s="1422">
        <v>0</v>
      </c>
      <c r="BB161" s="1422">
        <v>0</v>
      </c>
      <c r="BC161" s="1422">
        <v>23962</v>
      </c>
      <c r="BD161" s="1422">
        <v>23932</v>
      </c>
      <c r="BE161" s="1420">
        <v>1322.31</v>
      </c>
      <c r="BF161" s="1422">
        <v>2400</v>
      </c>
      <c r="BG161" s="1422">
        <v>50</v>
      </c>
      <c r="BH161" s="1422">
        <v>0</v>
      </c>
      <c r="BI161" s="1422">
        <v>10401</v>
      </c>
      <c r="BJ161" s="1422">
        <v>24000</v>
      </c>
      <c r="BK161" s="1422">
        <v>0</v>
      </c>
      <c r="BL161" s="1422">
        <v>0</v>
      </c>
      <c r="BM161" s="1422">
        <v>404736</v>
      </c>
      <c r="BN161" s="1422">
        <v>395692</v>
      </c>
      <c r="BO161" s="1420">
        <v>4445.3999999999996</v>
      </c>
      <c r="BP161" s="1422">
        <v>0</v>
      </c>
      <c r="BQ161" s="1420">
        <v>34937.519999999997</v>
      </c>
      <c r="BR161" s="1420">
        <v>47937.5</v>
      </c>
      <c r="BS161" s="1420">
        <v>2138.4699999999998</v>
      </c>
      <c r="BT161" s="1422">
        <v>2000</v>
      </c>
      <c r="BU161" s="1422">
        <v>0</v>
      </c>
      <c r="BV161" s="1422">
        <v>0</v>
      </c>
      <c r="BW161" s="1422">
        <v>0</v>
      </c>
      <c r="BX161" s="1422">
        <v>0</v>
      </c>
      <c r="BY161" s="1422">
        <v>0</v>
      </c>
      <c r="BZ161" s="1422">
        <v>0</v>
      </c>
      <c r="CA161" s="1422">
        <v>58932</v>
      </c>
      <c r="CB161" s="1422">
        <v>54289</v>
      </c>
      <c r="CC161" s="1420">
        <v>540924.69999999995</v>
      </c>
      <c r="CD161" s="1420">
        <v>550250.5</v>
      </c>
      <c r="CE161" s="1420">
        <v>1195220.1499999999</v>
      </c>
      <c r="CF161" s="1420">
        <v>1098439.1100000001</v>
      </c>
      <c r="CG161" s="1420">
        <v>6308.89</v>
      </c>
      <c r="CH161" s="1422">
        <v>0</v>
      </c>
      <c r="CI161" s="1422">
        <v>0</v>
      </c>
      <c r="CJ161" s="1422">
        <v>0</v>
      </c>
      <c r="CK161" s="1422">
        <v>0</v>
      </c>
      <c r="CL161" s="1422">
        <v>0</v>
      </c>
      <c r="CM161" s="1422">
        <v>0</v>
      </c>
      <c r="CN161" s="1422">
        <v>0</v>
      </c>
      <c r="CO161" s="1422">
        <v>0</v>
      </c>
      <c r="CP161" s="1422">
        <v>0</v>
      </c>
      <c r="CQ161" s="1422">
        <v>0</v>
      </c>
      <c r="CR161" s="1422">
        <v>0</v>
      </c>
      <c r="CS161" s="1420">
        <v>6308.89</v>
      </c>
      <c r="CT161" s="1422">
        <v>0</v>
      </c>
      <c r="CU161" s="1420">
        <v>5982445.4900000002</v>
      </c>
      <c r="CV161" s="1420">
        <v>5428562.6100000003</v>
      </c>
      <c r="CW161" s="1420">
        <v>2271927.54</v>
      </c>
      <c r="CX161" s="1420">
        <v>2378013.69</v>
      </c>
      <c r="CY161" s="1420">
        <v>260463.71</v>
      </c>
      <c r="CZ161" s="1420">
        <v>219242.98</v>
      </c>
      <c r="DA161" s="1420">
        <v>114632.42</v>
      </c>
      <c r="DB161" s="1420">
        <v>117956.64</v>
      </c>
      <c r="DC161" s="1422">
        <v>0</v>
      </c>
      <c r="DD161" s="1422">
        <v>0</v>
      </c>
      <c r="DE161" s="1420">
        <v>267480.28000000003</v>
      </c>
      <c r="DF161" s="1420">
        <v>320258.73</v>
      </c>
      <c r="DG161" s="1420">
        <v>66732.75</v>
      </c>
      <c r="DH161" s="1420">
        <v>105381.99</v>
      </c>
      <c r="DI161" s="1420">
        <v>2981236.7</v>
      </c>
      <c r="DJ161" s="1420">
        <v>3140854.03</v>
      </c>
      <c r="DK161" s="1420">
        <v>157803.57</v>
      </c>
      <c r="DL161" s="1420">
        <v>173561.97</v>
      </c>
      <c r="DM161" s="1420">
        <v>111338.39</v>
      </c>
      <c r="DN161" s="1420">
        <v>105870.77</v>
      </c>
      <c r="DO161" s="1420">
        <v>512741.4</v>
      </c>
      <c r="DP161" s="1420">
        <v>595872.47</v>
      </c>
      <c r="DQ161" s="1420">
        <v>335038.3</v>
      </c>
      <c r="DR161" s="1420">
        <v>403519.67</v>
      </c>
      <c r="DS161" s="1420">
        <v>4563.87</v>
      </c>
      <c r="DT161" s="1422">
        <v>17600</v>
      </c>
      <c r="DU161" s="1420">
        <v>1121485.53</v>
      </c>
      <c r="DV161" s="1420">
        <v>1296424.8799999999</v>
      </c>
      <c r="DW161" s="1420">
        <v>269630.09000000003</v>
      </c>
      <c r="DX161" s="1420">
        <v>308966.40000000002</v>
      </c>
      <c r="DY161" s="1422">
        <v>450222</v>
      </c>
      <c r="DZ161" s="1420">
        <v>462672.98</v>
      </c>
      <c r="EA161" s="1420">
        <v>246334.85</v>
      </c>
      <c r="EB161" s="1420">
        <v>249393.69</v>
      </c>
      <c r="EC161" s="1420">
        <v>966186.94</v>
      </c>
      <c r="ED161" s="1420">
        <v>1021033.07</v>
      </c>
      <c r="EE161" s="1420">
        <v>303489.65000000002</v>
      </c>
      <c r="EF161" s="1420">
        <v>324645.05</v>
      </c>
      <c r="EG161" s="1420">
        <v>31178.26</v>
      </c>
      <c r="EH161" s="1420">
        <v>7917.44</v>
      </c>
      <c r="EI161" s="1420">
        <v>94.08</v>
      </c>
      <c r="EJ161" s="1420">
        <v>2900.83</v>
      </c>
      <c r="EK161" s="1422">
        <v>0</v>
      </c>
      <c r="EL161" s="1422">
        <v>0</v>
      </c>
      <c r="EM161" s="1420">
        <v>334761.99</v>
      </c>
      <c r="EN161" s="1420">
        <v>335463.32</v>
      </c>
      <c r="EO161" s="1420">
        <v>194232.81</v>
      </c>
      <c r="EP161" s="1420">
        <v>44334.2</v>
      </c>
      <c r="EQ161" s="1420">
        <v>112243.5</v>
      </c>
      <c r="ER161" s="1422">
        <v>157485</v>
      </c>
      <c r="ES161" s="1422">
        <v>0</v>
      </c>
      <c r="ET161" s="1422">
        <v>0</v>
      </c>
      <c r="EU161" s="1420">
        <v>5710147.4699999997</v>
      </c>
      <c r="EV161" s="1420">
        <v>5995594.5</v>
      </c>
      <c r="EW161" s="1420">
        <v>326564.87</v>
      </c>
      <c r="EX161" s="1420">
        <v>223208.2</v>
      </c>
      <c r="EY161" s="1420">
        <v>112243.5</v>
      </c>
      <c r="EZ161" s="1422">
        <v>157485</v>
      </c>
      <c r="FA161" s="1420">
        <v>5271339.0999999996</v>
      </c>
      <c r="FB161" s="1420">
        <v>5614901.2999999998</v>
      </c>
      <c r="FC161" s="1420">
        <v>295711.03999999998</v>
      </c>
      <c r="FD161" s="1439"/>
      <c r="FE161" s="1420">
        <v>4975628.0599999996</v>
      </c>
      <c r="FF161" s="1439"/>
      <c r="FG161" s="1422">
        <v>9216</v>
      </c>
      <c r="FH161" s="1439"/>
      <c r="FI161" s="1420">
        <v>48.43</v>
      </c>
      <c r="FJ161" s="1439"/>
      <c r="FK161" s="1422">
        <v>36860</v>
      </c>
      <c r="FL161" s="1439"/>
      <c r="FM161" s="1420">
        <v>53.6</v>
      </c>
      <c r="FN161" s="1439"/>
      <c r="FO161" s="1422">
        <v>39481</v>
      </c>
      <c r="FP161" s="1439"/>
      <c r="FQ161" s="1420">
        <v>1782449.88</v>
      </c>
      <c r="FR161" s="1439"/>
      <c r="FS161" s="1420">
        <v>211602.83</v>
      </c>
      <c r="FT161" s="1439"/>
      <c r="FU161" s="1422">
        <v>0</v>
      </c>
      <c r="FV161" s="1439"/>
      <c r="FW161" s="1420">
        <v>1570847.05</v>
      </c>
      <c r="FX161" s="1439"/>
      <c r="FY161" s="1420">
        <v>150397.43</v>
      </c>
      <c r="FZ161" s="1439"/>
      <c r="GA161" s="1422">
        <v>0</v>
      </c>
      <c r="GB161" s="1439"/>
    </row>
    <row r="162" spans="1:184" ht="12.75" customHeight="1" thickBot="1">
      <c r="A162" s="1418" t="s">
        <v>374</v>
      </c>
      <c r="B162" s="1418" t="s">
        <v>375</v>
      </c>
      <c r="C162" s="1420">
        <v>336.37</v>
      </c>
      <c r="D162" s="1439"/>
      <c r="E162" s="1420">
        <v>2299.54</v>
      </c>
      <c r="F162" s="1439"/>
      <c r="G162" s="1421">
        <v>-0.12</v>
      </c>
      <c r="H162" s="1439"/>
      <c r="I162" s="1420">
        <v>2428.25</v>
      </c>
      <c r="J162" s="1439"/>
      <c r="K162" s="1420">
        <v>2440.6999999999998</v>
      </c>
      <c r="L162" s="1439"/>
      <c r="M162" s="1422">
        <v>146046597</v>
      </c>
      <c r="N162" s="1439"/>
      <c r="O162" s="1422">
        <v>25</v>
      </c>
      <c r="P162" s="1439"/>
      <c r="Q162" s="1422">
        <v>25</v>
      </c>
      <c r="R162" s="1439"/>
      <c r="S162" s="1422">
        <v>0</v>
      </c>
      <c r="T162" s="1439"/>
      <c r="U162" s="1422">
        <v>0</v>
      </c>
      <c r="V162" s="1439"/>
      <c r="W162" s="1422">
        <v>9</v>
      </c>
      <c r="X162" s="1439"/>
      <c r="Y162" s="1422">
        <v>34</v>
      </c>
      <c r="Z162" s="1439"/>
      <c r="AA162" s="1422">
        <v>13965000</v>
      </c>
      <c r="AB162" s="1455"/>
      <c r="AC162" s="1424">
        <v>4512624.62</v>
      </c>
      <c r="AD162" s="1422">
        <v>4680466</v>
      </c>
      <c r="AE162" s="1420">
        <v>1134712.04</v>
      </c>
      <c r="AF162" s="1422">
        <v>973919</v>
      </c>
      <c r="AG162" s="1420">
        <v>227428.18</v>
      </c>
      <c r="AH162" s="1456">
        <v>225000</v>
      </c>
      <c r="AI162" s="1428">
        <v>11079773</v>
      </c>
      <c r="AJ162" s="1422">
        <v>11203178</v>
      </c>
      <c r="AK162" s="1422">
        <v>152198</v>
      </c>
      <c r="AL162" s="1422">
        <v>0</v>
      </c>
      <c r="AM162" s="1422">
        <v>0</v>
      </c>
      <c r="AN162" s="1422">
        <v>0</v>
      </c>
      <c r="AO162" s="1422">
        <v>114949</v>
      </c>
      <c r="AP162" s="1422">
        <v>20429</v>
      </c>
      <c r="AQ162" s="1422">
        <v>0</v>
      </c>
      <c r="AR162" s="1422">
        <v>0</v>
      </c>
      <c r="AS162" s="1422">
        <v>0</v>
      </c>
      <c r="AT162" s="1422">
        <v>0</v>
      </c>
      <c r="AU162" s="1422">
        <v>48297</v>
      </c>
      <c r="AV162" s="1422">
        <v>38637</v>
      </c>
      <c r="AW162" s="1422">
        <v>0</v>
      </c>
      <c r="AX162" s="1422">
        <v>0</v>
      </c>
      <c r="AY162" s="1420">
        <v>17269981.84</v>
      </c>
      <c r="AZ162" s="1422">
        <v>17141629</v>
      </c>
      <c r="BA162" s="1422">
        <v>0</v>
      </c>
      <c r="BB162" s="1422">
        <v>0</v>
      </c>
      <c r="BC162" s="1422">
        <v>100947</v>
      </c>
      <c r="BD162" s="1422">
        <v>103155</v>
      </c>
      <c r="BE162" s="1420">
        <v>22385.27</v>
      </c>
      <c r="BF162" s="1422">
        <v>15600</v>
      </c>
      <c r="BG162" s="1422">
        <v>600</v>
      </c>
      <c r="BH162" s="1422">
        <v>0</v>
      </c>
      <c r="BI162" s="1422">
        <v>217411</v>
      </c>
      <c r="BJ162" s="1422">
        <v>167168</v>
      </c>
      <c r="BK162" s="1422">
        <v>1465</v>
      </c>
      <c r="BL162" s="1422">
        <v>0</v>
      </c>
      <c r="BM162" s="1422">
        <v>1777664</v>
      </c>
      <c r="BN162" s="1422">
        <v>1837792</v>
      </c>
      <c r="BO162" s="1420">
        <v>15835.79</v>
      </c>
      <c r="BP162" s="1422">
        <v>33111</v>
      </c>
      <c r="BQ162" s="1420">
        <v>163185.91</v>
      </c>
      <c r="BR162" s="1422">
        <v>138937</v>
      </c>
      <c r="BS162" s="1420">
        <v>16179.53</v>
      </c>
      <c r="BT162" s="1422">
        <v>13275</v>
      </c>
      <c r="BU162" s="1422">
        <v>0</v>
      </c>
      <c r="BV162" s="1422">
        <v>0</v>
      </c>
      <c r="BW162" s="1422">
        <v>528226</v>
      </c>
      <c r="BX162" s="1422">
        <v>513382</v>
      </c>
      <c r="BY162" s="1422">
        <v>0</v>
      </c>
      <c r="BZ162" s="1422">
        <v>0</v>
      </c>
      <c r="CA162" s="1420">
        <v>660187.56999999995</v>
      </c>
      <c r="CB162" s="1422">
        <v>213123</v>
      </c>
      <c r="CC162" s="1420">
        <v>3504087.07</v>
      </c>
      <c r="CD162" s="1422">
        <v>3035543</v>
      </c>
      <c r="CE162" s="1420">
        <v>5748307.1600000001</v>
      </c>
      <c r="CF162" s="1420">
        <v>4243823.49</v>
      </c>
      <c r="CG162" s="1422">
        <v>0</v>
      </c>
      <c r="CH162" s="1422">
        <v>0</v>
      </c>
      <c r="CI162" s="1422">
        <v>0</v>
      </c>
      <c r="CJ162" s="1422">
        <v>0</v>
      </c>
      <c r="CK162" s="1420">
        <v>34337.96</v>
      </c>
      <c r="CL162" s="1422">
        <v>44000</v>
      </c>
      <c r="CM162" s="1420">
        <v>32160.81</v>
      </c>
      <c r="CN162" s="1422">
        <v>0</v>
      </c>
      <c r="CO162" s="1420">
        <v>13163.34</v>
      </c>
      <c r="CP162" s="1422">
        <v>0</v>
      </c>
      <c r="CQ162" s="1422">
        <v>0</v>
      </c>
      <c r="CR162" s="1422">
        <v>0</v>
      </c>
      <c r="CS162" s="1420">
        <v>79662.11</v>
      </c>
      <c r="CT162" s="1422">
        <v>44000</v>
      </c>
      <c r="CU162" s="1420">
        <v>26602038.18</v>
      </c>
      <c r="CV162" s="1420">
        <v>24464995.489999998</v>
      </c>
      <c r="CW162" s="1420">
        <v>8284829.7300000004</v>
      </c>
      <c r="CX162" s="1420">
        <v>7833929.0599999996</v>
      </c>
      <c r="CY162" s="1420">
        <v>1323217.6599999999</v>
      </c>
      <c r="CZ162" s="1420">
        <v>1430472.23</v>
      </c>
      <c r="DA162" s="1420">
        <v>859900.68</v>
      </c>
      <c r="DB162" s="1420">
        <v>709929.01</v>
      </c>
      <c r="DC162" s="1422">
        <v>0</v>
      </c>
      <c r="DD162" s="1422">
        <v>0</v>
      </c>
      <c r="DE162" s="1420">
        <v>1521549.82</v>
      </c>
      <c r="DF162" s="1420">
        <v>1673692.66</v>
      </c>
      <c r="DG162" s="1420">
        <v>1305050.26</v>
      </c>
      <c r="DH162" s="1420">
        <v>1274799.74</v>
      </c>
      <c r="DI162" s="1420">
        <v>13294548.15</v>
      </c>
      <c r="DJ162" s="1420">
        <v>12922822.699999999</v>
      </c>
      <c r="DK162" s="1420">
        <v>499484.8</v>
      </c>
      <c r="DL162" s="1420">
        <v>384360.32</v>
      </c>
      <c r="DM162" s="1420">
        <v>596580.06999999995</v>
      </c>
      <c r="DN162" s="1420">
        <v>487289.71</v>
      </c>
      <c r="DO162" s="1420">
        <v>2928060.52</v>
      </c>
      <c r="DP162" s="1420">
        <v>2497206.4500000002</v>
      </c>
      <c r="DQ162" s="1420">
        <v>1358014.64</v>
      </c>
      <c r="DR162" s="1420">
        <v>1259109.3700000001</v>
      </c>
      <c r="DS162" s="1420">
        <v>67365.09</v>
      </c>
      <c r="DT162" s="1420">
        <v>77028.37</v>
      </c>
      <c r="DU162" s="1420">
        <v>5449505.1200000001</v>
      </c>
      <c r="DV162" s="1420">
        <v>4704994.22</v>
      </c>
      <c r="DW162" s="1420">
        <v>1722308.4</v>
      </c>
      <c r="DX162" s="1420">
        <v>1812465.45</v>
      </c>
      <c r="DY162" s="1420">
        <v>2429309.65</v>
      </c>
      <c r="DZ162" s="1420">
        <v>2514648.89</v>
      </c>
      <c r="EA162" s="1420">
        <v>1206669.47</v>
      </c>
      <c r="EB162" s="1420">
        <v>1204216.96</v>
      </c>
      <c r="EC162" s="1420">
        <v>5358287.5199999996</v>
      </c>
      <c r="ED162" s="1420">
        <v>5531331.2999999998</v>
      </c>
      <c r="EE162" s="1420">
        <v>1572303.3</v>
      </c>
      <c r="EF162" s="1420">
        <v>1489991.18</v>
      </c>
      <c r="EG162" s="1422">
        <v>0</v>
      </c>
      <c r="EH162" s="1422">
        <v>0</v>
      </c>
      <c r="EI162" s="1420">
        <v>2900.55</v>
      </c>
      <c r="EJ162" s="1420">
        <v>12734.62</v>
      </c>
      <c r="EK162" s="1422">
        <v>0</v>
      </c>
      <c r="EL162" s="1422">
        <v>0</v>
      </c>
      <c r="EM162" s="1420">
        <v>1575203.85</v>
      </c>
      <c r="EN162" s="1420">
        <v>1502725.8</v>
      </c>
      <c r="EO162" s="1420">
        <v>685583.94</v>
      </c>
      <c r="EP162" s="1422">
        <v>168973</v>
      </c>
      <c r="EQ162" s="1422">
        <v>936044</v>
      </c>
      <c r="ER162" s="1422">
        <v>940094</v>
      </c>
      <c r="ES162" s="1422">
        <v>0</v>
      </c>
      <c r="ET162" s="1422">
        <v>0</v>
      </c>
      <c r="EU162" s="1420">
        <v>27299172.579999998</v>
      </c>
      <c r="EV162" s="1420">
        <v>25770941.02</v>
      </c>
      <c r="EW162" s="1420">
        <v>1940241.99</v>
      </c>
      <c r="EX162" s="1420">
        <v>444549.9</v>
      </c>
      <c r="EY162" s="1422">
        <v>936044</v>
      </c>
      <c r="EZ162" s="1422">
        <v>940094</v>
      </c>
      <c r="FA162" s="1420">
        <v>24422886.59</v>
      </c>
      <c r="FB162" s="1420">
        <v>24386297.120000001</v>
      </c>
      <c r="FC162" s="1420">
        <v>1020557.51</v>
      </c>
      <c r="FD162" s="1439"/>
      <c r="FE162" s="1420">
        <v>23402329.079999998</v>
      </c>
      <c r="FF162" s="1439"/>
      <c r="FG162" s="1422">
        <v>10176</v>
      </c>
      <c r="FH162" s="1439"/>
      <c r="FI162" s="1420">
        <v>170.51</v>
      </c>
      <c r="FJ162" s="1439"/>
      <c r="FK162" s="1422">
        <v>44109</v>
      </c>
      <c r="FL162" s="1439"/>
      <c r="FM162" s="1420">
        <v>196.7</v>
      </c>
      <c r="FN162" s="1439"/>
      <c r="FO162" s="1422">
        <v>47313</v>
      </c>
      <c r="FP162" s="1439"/>
      <c r="FQ162" s="1420">
        <v>3091955.67</v>
      </c>
      <c r="FR162" s="1439"/>
      <c r="FS162" s="1420">
        <v>328473.21999999997</v>
      </c>
      <c r="FT162" s="1439"/>
      <c r="FU162" s="1422">
        <v>0</v>
      </c>
      <c r="FV162" s="1439"/>
      <c r="FW162" s="1420">
        <v>2763482.45</v>
      </c>
      <c r="FX162" s="1439"/>
      <c r="FY162" s="1420">
        <v>868155.5</v>
      </c>
      <c r="FZ162" s="1439"/>
      <c r="GA162" s="1422">
        <v>0</v>
      </c>
      <c r="GB162" s="1439"/>
    </row>
    <row r="163" spans="1:184" ht="12.75" customHeight="1" thickBot="1">
      <c r="A163" s="1418" t="s">
        <v>376</v>
      </c>
      <c r="B163" s="1418" t="s">
        <v>377</v>
      </c>
      <c r="C163" s="1420">
        <v>360.88</v>
      </c>
      <c r="D163" s="1439"/>
      <c r="E163" s="1420">
        <v>962.05</v>
      </c>
      <c r="F163" s="1439"/>
      <c r="G163" s="1421">
        <v>-0.02</v>
      </c>
      <c r="H163" s="1439"/>
      <c r="I163" s="1420">
        <v>1007.33</v>
      </c>
      <c r="J163" s="1439"/>
      <c r="K163" s="1420">
        <v>1018.53</v>
      </c>
      <c r="L163" s="1439"/>
      <c r="M163" s="1422">
        <v>43274386</v>
      </c>
      <c r="N163" s="1439"/>
      <c r="O163" s="1422">
        <v>25</v>
      </c>
      <c r="P163" s="1439"/>
      <c r="Q163" s="1422">
        <v>25</v>
      </c>
      <c r="R163" s="1439"/>
      <c r="S163" s="1422">
        <v>0</v>
      </c>
      <c r="T163" s="1439"/>
      <c r="U163" s="1422">
        <v>0</v>
      </c>
      <c r="V163" s="1439"/>
      <c r="W163" s="1420">
        <v>15.2</v>
      </c>
      <c r="X163" s="1439"/>
      <c r="Y163" s="1420">
        <v>40.200000000000003</v>
      </c>
      <c r="Z163" s="1439"/>
      <c r="AA163" s="1422">
        <v>5665000</v>
      </c>
      <c r="AB163" s="1455"/>
      <c r="AC163" s="1424">
        <v>1572283.99</v>
      </c>
      <c r="AD163" s="1422">
        <v>1572966</v>
      </c>
      <c r="AE163" s="1420">
        <v>566272.37</v>
      </c>
      <c r="AF163" s="1422">
        <v>256743</v>
      </c>
      <c r="AG163" s="1420">
        <v>91585.18</v>
      </c>
      <c r="AH163" s="1456">
        <v>50000</v>
      </c>
      <c r="AI163" s="1428">
        <v>5066207</v>
      </c>
      <c r="AJ163" s="1422">
        <v>5068660</v>
      </c>
      <c r="AK163" s="1422">
        <v>64152</v>
      </c>
      <c r="AL163" s="1422">
        <v>0</v>
      </c>
      <c r="AM163" s="1422">
        <v>10390</v>
      </c>
      <c r="AN163" s="1422">
        <v>0</v>
      </c>
      <c r="AO163" s="1422">
        <v>0</v>
      </c>
      <c r="AP163" s="1422">
        <v>39660</v>
      </c>
      <c r="AQ163" s="1422">
        <v>0</v>
      </c>
      <c r="AR163" s="1422">
        <v>0</v>
      </c>
      <c r="AS163" s="1422">
        <v>212718</v>
      </c>
      <c r="AT163" s="1422">
        <v>0</v>
      </c>
      <c r="AU163" s="1422">
        <v>53343</v>
      </c>
      <c r="AV163" s="1422">
        <v>42674</v>
      </c>
      <c r="AW163" s="1422">
        <v>0</v>
      </c>
      <c r="AX163" s="1422">
        <v>0</v>
      </c>
      <c r="AY163" s="1420">
        <v>7636951.54</v>
      </c>
      <c r="AZ163" s="1422">
        <v>7030703</v>
      </c>
      <c r="BA163" s="1422">
        <v>0</v>
      </c>
      <c r="BB163" s="1422">
        <v>0</v>
      </c>
      <c r="BC163" s="1422">
        <v>42126</v>
      </c>
      <c r="BD163" s="1422">
        <v>42618</v>
      </c>
      <c r="BE163" s="1420">
        <v>389019.12</v>
      </c>
      <c r="BF163" s="1422">
        <v>0</v>
      </c>
      <c r="BG163" s="1422">
        <v>1500</v>
      </c>
      <c r="BH163" s="1422">
        <v>0</v>
      </c>
      <c r="BI163" s="1422">
        <v>21615</v>
      </c>
      <c r="BJ163" s="1422">
        <v>22673</v>
      </c>
      <c r="BK163" s="1422">
        <v>586</v>
      </c>
      <c r="BL163" s="1422">
        <v>0</v>
      </c>
      <c r="BM163" s="1422">
        <v>252960</v>
      </c>
      <c r="BN163" s="1422">
        <v>265144</v>
      </c>
      <c r="BO163" s="1420">
        <v>4172.54</v>
      </c>
      <c r="BP163" s="1422">
        <v>0</v>
      </c>
      <c r="BQ163" s="1422">
        <v>35750</v>
      </c>
      <c r="BR163" s="1422">
        <v>95062</v>
      </c>
      <c r="BS163" s="1420">
        <v>4158.37</v>
      </c>
      <c r="BT163" s="1422">
        <v>0</v>
      </c>
      <c r="BU163" s="1422">
        <v>0</v>
      </c>
      <c r="BV163" s="1422">
        <v>0</v>
      </c>
      <c r="BW163" s="1422">
        <v>0</v>
      </c>
      <c r="BX163" s="1422">
        <v>0</v>
      </c>
      <c r="BY163" s="1422">
        <v>0</v>
      </c>
      <c r="BZ163" s="1422">
        <v>0</v>
      </c>
      <c r="CA163" s="1420">
        <v>1569919.08</v>
      </c>
      <c r="CB163" s="1422">
        <v>98470</v>
      </c>
      <c r="CC163" s="1420">
        <v>2321806.11</v>
      </c>
      <c r="CD163" s="1422">
        <v>523967</v>
      </c>
      <c r="CE163" s="1420">
        <v>1302404.93</v>
      </c>
      <c r="CF163" s="1420">
        <v>1001959.41</v>
      </c>
      <c r="CG163" s="1422">
        <v>0</v>
      </c>
      <c r="CH163" s="1422">
        <v>0</v>
      </c>
      <c r="CI163" s="1422">
        <v>0</v>
      </c>
      <c r="CJ163" s="1422">
        <v>0</v>
      </c>
      <c r="CK163" s="1420">
        <v>2237.64</v>
      </c>
      <c r="CL163" s="1422">
        <v>0</v>
      </c>
      <c r="CM163" s="1422">
        <v>1600</v>
      </c>
      <c r="CN163" s="1422">
        <v>0</v>
      </c>
      <c r="CO163" s="1422">
        <v>0</v>
      </c>
      <c r="CP163" s="1422">
        <v>0</v>
      </c>
      <c r="CQ163" s="1422">
        <v>0</v>
      </c>
      <c r="CR163" s="1422">
        <v>0</v>
      </c>
      <c r="CS163" s="1420">
        <v>3837.64</v>
      </c>
      <c r="CT163" s="1422">
        <v>0</v>
      </c>
      <c r="CU163" s="1420">
        <v>11265000.220000001</v>
      </c>
      <c r="CV163" s="1420">
        <v>8556629.4100000001</v>
      </c>
      <c r="CW163" s="1420">
        <v>4239476.5199999996</v>
      </c>
      <c r="CX163" s="1420">
        <v>3812611.94</v>
      </c>
      <c r="CY163" s="1420">
        <v>449163.7</v>
      </c>
      <c r="CZ163" s="1420">
        <v>370013.52</v>
      </c>
      <c r="DA163" s="1420">
        <v>307255.84000000003</v>
      </c>
      <c r="DB163" s="1420">
        <v>297028.55</v>
      </c>
      <c r="DC163" s="1422">
        <v>0</v>
      </c>
      <c r="DD163" s="1422">
        <v>0</v>
      </c>
      <c r="DE163" s="1420">
        <v>210213.84</v>
      </c>
      <c r="DF163" s="1420">
        <v>229258.25</v>
      </c>
      <c r="DG163" s="1420">
        <v>200007.86</v>
      </c>
      <c r="DH163" s="1420">
        <v>181419.41</v>
      </c>
      <c r="DI163" s="1420">
        <v>5406117.7599999998</v>
      </c>
      <c r="DJ163" s="1420">
        <v>4890331.67</v>
      </c>
      <c r="DK163" s="1420">
        <v>303076.99</v>
      </c>
      <c r="DL163" s="1420">
        <v>302367.19</v>
      </c>
      <c r="DM163" s="1420">
        <v>63491.79</v>
      </c>
      <c r="DN163" s="1420">
        <v>63016.93</v>
      </c>
      <c r="DO163" s="1420">
        <v>865134.46</v>
      </c>
      <c r="DP163" s="1420">
        <v>803647.79</v>
      </c>
      <c r="DQ163" s="1420">
        <v>537365.71</v>
      </c>
      <c r="DR163" s="1420">
        <v>612533.29</v>
      </c>
      <c r="DS163" s="1420">
        <v>11374.64</v>
      </c>
      <c r="DT163" s="1422">
        <v>3000</v>
      </c>
      <c r="DU163" s="1420">
        <v>1780443.59</v>
      </c>
      <c r="DV163" s="1420">
        <v>1784565.2</v>
      </c>
      <c r="DW163" s="1420">
        <v>441492.96</v>
      </c>
      <c r="DX163" s="1420">
        <v>426173.2</v>
      </c>
      <c r="DY163" s="1420">
        <v>919925.66</v>
      </c>
      <c r="DZ163" s="1420">
        <v>1181156.76</v>
      </c>
      <c r="EA163" s="1420">
        <v>446121.14</v>
      </c>
      <c r="EB163" s="1420">
        <v>441533.79</v>
      </c>
      <c r="EC163" s="1420">
        <v>1807539.76</v>
      </c>
      <c r="ED163" s="1420">
        <v>2048863.75</v>
      </c>
      <c r="EE163" s="1420">
        <v>518737.32</v>
      </c>
      <c r="EF163" s="1420">
        <v>243743.08</v>
      </c>
      <c r="EG163" s="1422">
        <v>0</v>
      </c>
      <c r="EH163" s="1422">
        <v>0</v>
      </c>
      <c r="EI163" s="1422">
        <v>0</v>
      </c>
      <c r="EJ163" s="1422">
        <v>2500</v>
      </c>
      <c r="EK163" s="1422">
        <v>0</v>
      </c>
      <c r="EL163" s="1422">
        <v>0</v>
      </c>
      <c r="EM163" s="1420">
        <v>518737.32</v>
      </c>
      <c r="EN163" s="1420">
        <v>246243.08</v>
      </c>
      <c r="EO163" s="1420">
        <v>2274034.46</v>
      </c>
      <c r="EP163" s="1422">
        <v>0</v>
      </c>
      <c r="EQ163" s="1422">
        <v>347499</v>
      </c>
      <c r="ER163" s="1422">
        <v>344355</v>
      </c>
      <c r="ES163" s="1422">
        <v>0</v>
      </c>
      <c r="ET163" s="1422">
        <v>0</v>
      </c>
      <c r="EU163" s="1420">
        <v>12134371.890000001</v>
      </c>
      <c r="EV163" s="1420">
        <v>9314358.6999999993</v>
      </c>
      <c r="EW163" s="1420">
        <v>2436624.13</v>
      </c>
      <c r="EX163" s="1422">
        <v>279512</v>
      </c>
      <c r="EY163" s="1422">
        <v>347499</v>
      </c>
      <c r="EZ163" s="1422">
        <v>344355</v>
      </c>
      <c r="FA163" s="1420">
        <v>9350248.7599999998</v>
      </c>
      <c r="FB163" s="1420">
        <v>8690491.6999999993</v>
      </c>
      <c r="FC163" s="1420">
        <v>513649.03</v>
      </c>
      <c r="FD163" s="1439"/>
      <c r="FE163" s="1420">
        <v>8836599.7300000004</v>
      </c>
      <c r="FF163" s="1439"/>
      <c r="FG163" s="1422">
        <v>9185</v>
      </c>
      <c r="FH163" s="1439"/>
      <c r="FI163" s="1420">
        <v>84.3</v>
      </c>
      <c r="FJ163" s="1439"/>
      <c r="FK163" s="1422">
        <v>38822</v>
      </c>
      <c r="FL163" s="1439"/>
      <c r="FM163" s="1420">
        <v>91.99</v>
      </c>
      <c r="FN163" s="1439"/>
      <c r="FO163" s="1422">
        <v>41729</v>
      </c>
      <c r="FP163" s="1439"/>
      <c r="FQ163" s="1420">
        <v>1445550.78</v>
      </c>
      <c r="FR163" s="1439"/>
      <c r="FS163" s="1420">
        <v>35092.660000000003</v>
      </c>
      <c r="FT163" s="1439"/>
      <c r="FU163" s="1422">
        <v>0</v>
      </c>
      <c r="FV163" s="1439"/>
      <c r="FW163" s="1420">
        <v>1410458.12</v>
      </c>
      <c r="FX163" s="1439"/>
      <c r="FY163" s="1420">
        <v>633816.35</v>
      </c>
      <c r="FZ163" s="1439"/>
      <c r="GA163" s="1422">
        <v>0</v>
      </c>
      <c r="GB163" s="1439"/>
    </row>
    <row r="164" spans="1:184" ht="12.75" customHeight="1" thickBot="1">
      <c r="A164" s="1418" t="s">
        <v>378</v>
      </c>
      <c r="B164" s="1418" t="s">
        <v>379</v>
      </c>
      <c r="C164" s="1420">
        <v>224.01</v>
      </c>
      <c r="D164" s="1439"/>
      <c r="E164" s="1420">
        <v>343.33</v>
      </c>
      <c r="F164" s="1439"/>
      <c r="G164" s="1421">
        <v>-0.27</v>
      </c>
      <c r="H164" s="1439"/>
      <c r="I164" s="1420">
        <v>355.01</v>
      </c>
      <c r="J164" s="1439"/>
      <c r="K164" s="1420">
        <v>352.76</v>
      </c>
      <c r="L164" s="1439"/>
      <c r="M164" s="1422">
        <v>35099344</v>
      </c>
      <c r="N164" s="1439"/>
      <c r="O164" s="1422">
        <v>25</v>
      </c>
      <c r="P164" s="1439"/>
      <c r="Q164" s="1422">
        <v>25</v>
      </c>
      <c r="R164" s="1439"/>
      <c r="S164" s="1422">
        <v>0</v>
      </c>
      <c r="T164" s="1439"/>
      <c r="U164" s="1422">
        <v>0</v>
      </c>
      <c r="V164" s="1439"/>
      <c r="W164" s="1422">
        <v>9</v>
      </c>
      <c r="X164" s="1439"/>
      <c r="Y164" s="1422">
        <v>34</v>
      </c>
      <c r="Z164" s="1439"/>
      <c r="AA164" s="1422">
        <v>870000</v>
      </c>
      <c r="AB164" s="1455"/>
      <c r="AC164" s="1424">
        <v>1090552.96</v>
      </c>
      <c r="AD164" s="1420">
        <v>1091357.82</v>
      </c>
      <c r="AE164" s="1420">
        <v>114738.42</v>
      </c>
      <c r="AF164" s="1422">
        <v>35960</v>
      </c>
      <c r="AG164" s="1420">
        <v>38344.74</v>
      </c>
      <c r="AH164" s="1456">
        <v>38000</v>
      </c>
      <c r="AI164" s="1428">
        <v>1247136</v>
      </c>
      <c r="AJ164" s="1422">
        <v>1298409</v>
      </c>
      <c r="AK164" s="1422">
        <v>34126</v>
      </c>
      <c r="AL164" s="1422">
        <v>0</v>
      </c>
      <c r="AM164" s="1422">
        <v>13928</v>
      </c>
      <c r="AN164" s="1422">
        <v>0</v>
      </c>
      <c r="AO164" s="1422">
        <v>0</v>
      </c>
      <c r="AP164" s="1422">
        <v>0</v>
      </c>
      <c r="AQ164" s="1422">
        <v>0</v>
      </c>
      <c r="AR164" s="1422">
        <v>0</v>
      </c>
      <c r="AS164" s="1422">
        <v>0</v>
      </c>
      <c r="AT164" s="1422">
        <v>0</v>
      </c>
      <c r="AU164" s="1422">
        <v>7724</v>
      </c>
      <c r="AV164" s="1422">
        <v>6179</v>
      </c>
      <c r="AW164" s="1422">
        <v>20702</v>
      </c>
      <c r="AX164" s="1422">
        <v>0</v>
      </c>
      <c r="AY164" s="1420">
        <v>2567252.12</v>
      </c>
      <c r="AZ164" s="1420">
        <v>2469905.8199999998</v>
      </c>
      <c r="BA164" s="1422">
        <v>0</v>
      </c>
      <c r="BB164" s="1422">
        <v>0</v>
      </c>
      <c r="BC164" s="1422">
        <v>14590</v>
      </c>
      <c r="BD164" s="1422">
        <v>15047</v>
      </c>
      <c r="BE164" s="1420">
        <v>197545.08</v>
      </c>
      <c r="BF164" s="1420">
        <v>111468.29</v>
      </c>
      <c r="BG164" s="1422">
        <v>0</v>
      </c>
      <c r="BH164" s="1422">
        <v>0</v>
      </c>
      <c r="BI164" s="1422">
        <v>12595</v>
      </c>
      <c r="BJ164" s="1422">
        <v>5554</v>
      </c>
      <c r="BK164" s="1422">
        <v>0</v>
      </c>
      <c r="BL164" s="1422">
        <v>0</v>
      </c>
      <c r="BM164" s="1422">
        <v>299584</v>
      </c>
      <c r="BN164" s="1422">
        <v>380176</v>
      </c>
      <c r="BO164" s="1420">
        <v>1445.12</v>
      </c>
      <c r="BP164" s="1422">
        <v>30000</v>
      </c>
      <c r="BQ164" s="1420">
        <v>41437.519999999997</v>
      </c>
      <c r="BR164" s="1422">
        <v>20000</v>
      </c>
      <c r="BS164" s="1420">
        <v>1654.79</v>
      </c>
      <c r="BT164" s="1422">
        <v>1600</v>
      </c>
      <c r="BU164" s="1422">
        <v>0</v>
      </c>
      <c r="BV164" s="1422">
        <v>0</v>
      </c>
      <c r="BW164" s="1422">
        <v>0</v>
      </c>
      <c r="BX164" s="1422">
        <v>0</v>
      </c>
      <c r="BY164" s="1422">
        <v>0</v>
      </c>
      <c r="BZ164" s="1422">
        <v>0</v>
      </c>
      <c r="CA164" s="1422">
        <v>8687</v>
      </c>
      <c r="CB164" s="1422">
        <v>7476</v>
      </c>
      <c r="CC164" s="1420">
        <v>577538.51</v>
      </c>
      <c r="CD164" s="1420">
        <v>571321.29</v>
      </c>
      <c r="CE164" s="1420">
        <v>1781070.09</v>
      </c>
      <c r="CF164" s="1420">
        <v>1024177.79</v>
      </c>
      <c r="CG164" s="1422">
        <v>0</v>
      </c>
      <c r="CH164" s="1422">
        <v>0</v>
      </c>
      <c r="CI164" s="1422">
        <v>0</v>
      </c>
      <c r="CJ164" s="1422">
        <v>0</v>
      </c>
      <c r="CK164" s="1422">
        <v>0</v>
      </c>
      <c r="CL164" s="1422">
        <v>0</v>
      </c>
      <c r="CM164" s="1422">
        <v>0</v>
      </c>
      <c r="CN164" s="1422">
        <v>0</v>
      </c>
      <c r="CO164" s="1420">
        <v>800.21</v>
      </c>
      <c r="CP164" s="1422">
        <v>0</v>
      </c>
      <c r="CQ164" s="1422">
        <v>0</v>
      </c>
      <c r="CR164" s="1422">
        <v>0</v>
      </c>
      <c r="CS164" s="1420">
        <v>800.21</v>
      </c>
      <c r="CT164" s="1422">
        <v>0</v>
      </c>
      <c r="CU164" s="1420">
        <v>4926660.93</v>
      </c>
      <c r="CV164" s="1420">
        <v>4065404.9</v>
      </c>
      <c r="CW164" s="1420">
        <v>1393498.24</v>
      </c>
      <c r="CX164" s="1420">
        <v>1254582.31</v>
      </c>
      <c r="CY164" s="1420">
        <v>255710.69</v>
      </c>
      <c r="CZ164" s="1420">
        <v>265280.17</v>
      </c>
      <c r="DA164" s="1420">
        <v>23962.58</v>
      </c>
      <c r="DB164" s="1422">
        <v>25550</v>
      </c>
      <c r="DC164" s="1422">
        <v>0</v>
      </c>
      <c r="DD164" s="1422">
        <v>0</v>
      </c>
      <c r="DE164" s="1420">
        <v>522016.42</v>
      </c>
      <c r="DF164" s="1420">
        <v>269957.42</v>
      </c>
      <c r="DG164" s="1420">
        <v>125127.79</v>
      </c>
      <c r="DH164" s="1420">
        <v>167514.28</v>
      </c>
      <c r="DI164" s="1420">
        <v>2320315.7200000002</v>
      </c>
      <c r="DJ164" s="1420">
        <v>1982884.18</v>
      </c>
      <c r="DK164" s="1420">
        <v>206797.21</v>
      </c>
      <c r="DL164" s="1420">
        <v>228453.14</v>
      </c>
      <c r="DM164" s="1420">
        <v>165832.62</v>
      </c>
      <c r="DN164" s="1420">
        <v>150588.45000000001</v>
      </c>
      <c r="DO164" s="1420">
        <v>345101.63</v>
      </c>
      <c r="DP164" s="1420">
        <v>285073.33</v>
      </c>
      <c r="DQ164" s="1420">
        <v>296994.03000000003</v>
      </c>
      <c r="DR164" s="1420">
        <v>229365.74</v>
      </c>
      <c r="DS164" s="1420">
        <v>2261.15</v>
      </c>
      <c r="DT164" s="1422">
        <v>2500</v>
      </c>
      <c r="DU164" s="1420">
        <v>1016986.64</v>
      </c>
      <c r="DV164" s="1420">
        <v>895980.66</v>
      </c>
      <c r="DW164" s="1420">
        <v>184913.25</v>
      </c>
      <c r="DX164" s="1420">
        <v>164408.72</v>
      </c>
      <c r="DY164" s="1420">
        <v>360317.09</v>
      </c>
      <c r="DZ164" s="1420">
        <v>462391.39</v>
      </c>
      <c r="EA164" s="1420">
        <v>201790.28</v>
      </c>
      <c r="EB164" s="1420">
        <v>146733.56</v>
      </c>
      <c r="EC164" s="1420">
        <v>747020.62</v>
      </c>
      <c r="ED164" s="1420">
        <v>773533.67</v>
      </c>
      <c r="EE164" s="1420">
        <v>261796.75</v>
      </c>
      <c r="EF164" s="1422">
        <v>244500</v>
      </c>
      <c r="EG164" s="1422">
        <v>0</v>
      </c>
      <c r="EH164" s="1422">
        <v>0</v>
      </c>
      <c r="EI164" s="1422">
        <v>0</v>
      </c>
      <c r="EJ164" s="1422">
        <v>2000</v>
      </c>
      <c r="EK164" s="1422">
        <v>0</v>
      </c>
      <c r="EL164" s="1422">
        <v>0</v>
      </c>
      <c r="EM164" s="1420">
        <v>261796.75</v>
      </c>
      <c r="EN164" s="1422">
        <v>246500</v>
      </c>
      <c r="EO164" s="1420">
        <v>523455.28</v>
      </c>
      <c r="EP164" s="1420">
        <v>142026.76</v>
      </c>
      <c r="EQ164" s="1420">
        <v>78759.88</v>
      </c>
      <c r="ER164" s="1422">
        <v>58025</v>
      </c>
      <c r="ES164" s="1420">
        <v>13.54</v>
      </c>
      <c r="ET164" s="1422">
        <v>0</v>
      </c>
      <c r="EU164" s="1420">
        <v>4948348.43</v>
      </c>
      <c r="EV164" s="1420">
        <v>4098950.27</v>
      </c>
      <c r="EW164" s="1420">
        <v>831594.32</v>
      </c>
      <c r="EX164" s="1420">
        <v>222463.97</v>
      </c>
      <c r="EY164" s="1420">
        <v>78759.88</v>
      </c>
      <c r="EZ164" s="1422">
        <v>58025</v>
      </c>
      <c r="FA164" s="1420">
        <v>4037994.23</v>
      </c>
      <c r="FB164" s="1420">
        <v>3818461.3</v>
      </c>
      <c r="FC164" s="1420">
        <v>83274.58</v>
      </c>
      <c r="FD164" s="1439"/>
      <c r="FE164" s="1420">
        <v>3954719.65</v>
      </c>
      <c r="FF164" s="1439"/>
      <c r="FG164" s="1422">
        <v>11518</v>
      </c>
      <c r="FH164" s="1439"/>
      <c r="FI164" s="1420">
        <v>30.95</v>
      </c>
      <c r="FJ164" s="1439"/>
      <c r="FK164" s="1422">
        <v>40840</v>
      </c>
      <c r="FL164" s="1439"/>
      <c r="FM164" s="1420">
        <v>34.36</v>
      </c>
      <c r="FN164" s="1439"/>
      <c r="FO164" s="1422">
        <v>43248</v>
      </c>
      <c r="FP164" s="1439"/>
      <c r="FQ164" s="1420">
        <v>893530.51</v>
      </c>
      <c r="FR164" s="1439"/>
      <c r="FS164" s="1420">
        <v>112952.93</v>
      </c>
      <c r="FT164" s="1439"/>
      <c r="FU164" s="1422">
        <v>0</v>
      </c>
      <c r="FV164" s="1439"/>
      <c r="FW164" s="1420">
        <v>780577.58</v>
      </c>
      <c r="FX164" s="1439"/>
      <c r="FY164" s="1422">
        <v>0</v>
      </c>
      <c r="FZ164" s="1439"/>
      <c r="GA164" s="1422">
        <v>0</v>
      </c>
      <c r="GB164" s="1439"/>
    </row>
    <row r="165" spans="1:184" ht="12.75" customHeight="1" thickBot="1">
      <c r="A165" s="1418" t="s">
        <v>380</v>
      </c>
      <c r="B165" s="1418" t="s">
        <v>381</v>
      </c>
      <c r="C165" s="1420">
        <v>106.17</v>
      </c>
      <c r="D165" s="1439"/>
      <c r="E165" s="1420">
        <v>585.6</v>
      </c>
      <c r="F165" s="1439"/>
      <c r="G165" s="1421">
        <v>-0.11</v>
      </c>
      <c r="H165" s="1439"/>
      <c r="I165" s="1420">
        <v>630.83000000000004</v>
      </c>
      <c r="J165" s="1439"/>
      <c r="K165" s="1420">
        <v>630.77</v>
      </c>
      <c r="L165" s="1439"/>
      <c r="M165" s="1422">
        <v>34514597</v>
      </c>
      <c r="N165" s="1439"/>
      <c r="O165" s="1422">
        <v>25</v>
      </c>
      <c r="P165" s="1439"/>
      <c r="Q165" s="1422">
        <v>25</v>
      </c>
      <c r="R165" s="1439"/>
      <c r="S165" s="1422">
        <v>0</v>
      </c>
      <c r="T165" s="1439"/>
      <c r="U165" s="1422">
        <v>0</v>
      </c>
      <c r="V165" s="1439"/>
      <c r="W165" s="1420">
        <v>11.87</v>
      </c>
      <c r="X165" s="1439"/>
      <c r="Y165" s="1420">
        <v>36.869999999999997</v>
      </c>
      <c r="Z165" s="1439"/>
      <c r="AA165" s="1420">
        <v>3803380.86</v>
      </c>
      <c r="AB165" s="1455"/>
      <c r="AC165" s="1424">
        <v>1160510.72</v>
      </c>
      <c r="AD165" s="1422">
        <v>1050000</v>
      </c>
      <c r="AE165" s="1420">
        <v>367364.74</v>
      </c>
      <c r="AF165" s="1422">
        <v>110000</v>
      </c>
      <c r="AG165" s="1422">
        <v>0</v>
      </c>
      <c r="AH165" s="1456">
        <v>0</v>
      </c>
      <c r="AI165" s="1428">
        <v>2958497</v>
      </c>
      <c r="AJ165" s="1422">
        <v>3036215</v>
      </c>
      <c r="AK165" s="1422">
        <v>58970</v>
      </c>
      <c r="AL165" s="1422">
        <v>30000</v>
      </c>
      <c r="AM165" s="1422">
        <v>0</v>
      </c>
      <c r="AN165" s="1422">
        <v>0</v>
      </c>
      <c r="AO165" s="1422">
        <v>58995</v>
      </c>
      <c r="AP165" s="1422">
        <v>0</v>
      </c>
      <c r="AQ165" s="1422">
        <v>0</v>
      </c>
      <c r="AR165" s="1422">
        <v>0</v>
      </c>
      <c r="AS165" s="1422">
        <v>0</v>
      </c>
      <c r="AT165" s="1422">
        <v>0</v>
      </c>
      <c r="AU165" s="1422">
        <v>41074</v>
      </c>
      <c r="AV165" s="1422">
        <v>32859</v>
      </c>
      <c r="AW165" s="1422">
        <v>0</v>
      </c>
      <c r="AX165" s="1422">
        <v>0</v>
      </c>
      <c r="AY165" s="1420">
        <v>4645411.46</v>
      </c>
      <c r="AZ165" s="1422">
        <v>4259074</v>
      </c>
      <c r="BA165" s="1422">
        <v>0</v>
      </c>
      <c r="BB165" s="1422">
        <v>0</v>
      </c>
      <c r="BC165" s="1422">
        <v>26089</v>
      </c>
      <c r="BD165" s="1422">
        <v>26806</v>
      </c>
      <c r="BE165" s="1420">
        <v>12916.25</v>
      </c>
      <c r="BF165" s="1422">
        <v>0</v>
      </c>
      <c r="BG165" s="1422">
        <v>2294</v>
      </c>
      <c r="BH165" s="1422">
        <v>0</v>
      </c>
      <c r="BI165" s="1422">
        <v>5201</v>
      </c>
      <c r="BJ165" s="1422">
        <v>0</v>
      </c>
      <c r="BK165" s="1422">
        <v>0</v>
      </c>
      <c r="BL165" s="1422">
        <v>0</v>
      </c>
      <c r="BM165" s="1422">
        <v>179552</v>
      </c>
      <c r="BN165" s="1422">
        <v>187220</v>
      </c>
      <c r="BO165" s="1420">
        <v>18165.080000000002</v>
      </c>
      <c r="BP165" s="1420">
        <v>10535.91</v>
      </c>
      <c r="BQ165" s="1420">
        <v>8125.32</v>
      </c>
      <c r="BR165" s="1422">
        <v>0</v>
      </c>
      <c r="BS165" s="1420">
        <v>2520.6799999999998</v>
      </c>
      <c r="BT165" s="1422">
        <v>0</v>
      </c>
      <c r="BU165" s="1422">
        <v>0</v>
      </c>
      <c r="BV165" s="1422">
        <v>0</v>
      </c>
      <c r="BW165" s="1422">
        <v>94347</v>
      </c>
      <c r="BX165" s="1422">
        <v>97200</v>
      </c>
      <c r="BY165" s="1422">
        <v>0</v>
      </c>
      <c r="BZ165" s="1422">
        <v>0</v>
      </c>
      <c r="CA165" s="1420">
        <v>145730.70000000001</v>
      </c>
      <c r="CB165" s="1422">
        <v>58785</v>
      </c>
      <c r="CC165" s="1420">
        <v>494941.03</v>
      </c>
      <c r="CD165" s="1420">
        <v>380546.91</v>
      </c>
      <c r="CE165" s="1420">
        <v>1325422.23</v>
      </c>
      <c r="CF165" s="1420">
        <v>675061.8</v>
      </c>
      <c r="CG165" s="1420">
        <v>341382.47</v>
      </c>
      <c r="CH165" s="1422">
        <v>0</v>
      </c>
      <c r="CI165" s="1422">
        <v>0</v>
      </c>
      <c r="CJ165" s="1422">
        <v>0</v>
      </c>
      <c r="CK165" s="1422">
        <v>0</v>
      </c>
      <c r="CL165" s="1422">
        <v>0</v>
      </c>
      <c r="CM165" s="1422">
        <v>0</v>
      </c>
      <c r="CN165" s="1422">
        <v>0</v>
      </c>
      <c r="CO165" s="1422">
        <v>0</v>
      </c>
      <c r="CP165" s="1422">
        <v>0</v>
      </c>
      <c r="CQ165" s="1422">
        <v>0</v>
      </c>
      <c r="CR165" s="1422">
        <v>0</v>
      </c>
      <c r="CS165" s="1420">
        <v>341382.47</v>
      </c>
      <c r="CT165" s="1422">
        <v>0</v>
      </c>
      <c r="CU165" s="1420">
        <v>6807157.1900000004</v>
      </c>
      <c r="CV165" s="1420">
        <v>5314682.71</v>
      </c>
      <c r="CW165" s="1420">
        <v>1801954.93</v>
      </c>
      <c r="CX165" s="1420">
        <v>1654223.09</v>
      </c>
      <c r="CY165" s="1420">
        <v>412400.2</v>
      </c>
      <c r="CZ165" s="1420">
        <v>405889.07</v>
      </c>
      <c r="DA165" s="1420">
        <v>164225.62</v>
      </c>
      <c r="DB165" s="1420">
        <v>162221.98000000001</v>
      </c>
      <c r="DC165" s="1422">
        <v>0</v>
      </c>
      <c r="DD165" s="1422">
        <v>0</v>
      </c>
      <c r="DE165" s="1420">
        <v>135395.06</v>
      </c>
      <c r="DF165" s="1420">
        <v>154420.1</v>
      </c>
      <c r="DG165" s="1420">
        <v>166838.34</v>
      </c>
      <c r="DH165" s="1420">
        <v>199607.4</v>
      </c>
      <c r="DI165" s="1420">
        <v>2680814.15</v>
      </c>
      <c r="DJ165" s="1420">
        <v>2576361.64</v>
      </c>
      <c r="DK165" s="1420">
        <v>252236.65</v>
      </c>
      <c r="DL165" s="1420">
        <v>285557.28999999998</v>
      </c>
      <c r="DM165" s="1420">
        <v>77980.5</v>
      </c>
      <c r="DN165" s="1420">
        <v>66970.92</v>
      </c>
      <c r="DO165" s="1420">
        <v>561262.64</v>
      </c>
      <c r="DP165" s="1420">
        <v>585102.07999999996</v>
      </c>
      <c r="DQ165" s="1420">
        <v>388511.09</v>
      </c>
      <c r="DR165" s="1420">
        <v>356917.11</v>
      </c>
      <c r="DS165" s="1420">
        <v>133569.01</v>
      </c>
      <c r="DT165" s="1422">
        <v>12000</v>
      </c>
      <c r="DU165" s="1420">
        <v>1413559.89</v>
      </c>
      <c r="DV165" s="1420">
        <v>1306547.3999999999</v>
      </c>
      <c r="DW165" s="1420">
        <v>209658.99</v>
      </c>
      <c r="DX165" s="1420">
        <v>220340.47</v>
      </c>
      <c r="DY165" s="1420">
        <v>603331.68000000005</v>
      </c>
      <c r="DZ165" s="1420">
        <v>399278.78</v>
      </c>
      <c r="EA165" s="1420">
        <v>265597.88</v>
      </c>
      <c r="EB165" s="1420">
        <v>247375.93</v>
      </c>
      <c r="EC165" s="1420">
        <v>1078588.55</v>
      </c>
      <c r="ED165" s="1420">
        <v>866995.18</v>
      </c>
      <c r="EE165" s="1420">
        <v>385451.24</v>
      </c>
      <c r="EF165" s="1420">
        <v>374763.67</v>
      </c>
      <c r="EG165" s="1422">
        <v>0</v>
      </c>
      <c r="EH165" s="1422">
        <v>0</v>
      </c>
      <c r="EI165" s="1420">
        <v>28.23</v>
      </c>
      <c r="EJ165" s="1422">
        <v>500</v>
      </c>
      <c r="EK165" s="1422">
        <v>0</v>
      </c>
      <c r="EL165" s="1422">
        <v>0</v>
      </c>
      <c r="EM165" s="1420">
        <v>385479.47</v>
      </c>
      <c r="EN165" s="1420">
        <v>375263.67</v>
      </c>
      <c r="EO165" s="1420">
        <v>602044.53</v>
      </c>
      <c r="EP165" s="1422">
        <v>0</v>
      </c>
      <c r="EQ165" s="1420">
        <v>123337.5</v>
      </c>
      <c r="ER165" s="1422">
        <v>166875</v>
      </c>
      <c r="ES165" s="1422">
        <v>0</v>
      </c>
      <c r="ET165" s="1422">
        <v>0</v>
      </c>
      <c r="EU165" s="1420">
        <v>6283824.0899999999</v>
      </c>
      <c r="EV165" s="1420">
        <v>5292042.8899999997</v>
      </c>
      <c r="EW165" s="1420">
        <v>859049.94</v>
      </c>
      <c r="EX165" s="1420">
        <v>122873.24</v>
      </c>
      <c r="EY165" s="1420">
        <v>123337.5</v>
      </c>
      <c r="EZ165" s="1422">
        <v>166875</v>
      </c>
      <c r="FA165" s="1420">
        <v>5301436.6500000004</v>
      </c>
      <c r="FB165" s="1420">
        <v>5002294.6500000004</v>
      </c>
      <c r="FC165" s="1420">
        <v>362422.74</v>
      </c>
      <c r="FD165" s="1439"/>
      <c r="FE165" s="1420">
        <v>4939013.91</v>
      </c>
      <c r="FF165" s="1439"/>
      <c r="FG165" s="1422">
        <v>8434</v>
      </c>
      <c r="FH165" s="1439"/>
      <c r="FI165" s="1420">
        <v>39.880000000000003</v>
      </c>
      <c r="FJ165" s="1439"/>
      <c r="FK165" s="1422">
        <v>44613</v>
      </c>
      <c r="FL165" s="1439"/>
      <c r="FM165" s="1420">
        <v>40.96</v>
      </c>
      <c r="FN165" s="1439"/>
      <c r="FO165" s="1422">
        <v>47224</v>
      </c>
      <c r="FP165" s="1439"/>
      <c r="FQ165" s="1422">
        <v>1029050</v>
      </c>
      <c r="FR165" s="1439"/>
      <c r="FS165" s="1420">
        <v>18182.62</v>
      </c>
      <c r="FT165" s="1439"/>
      <c r="FU165" s="1422">
        <v>0</v>
      </c>
      <c r="FV165" s="1439"/>
      <c r="FW165" s="1420">
        <v>1010867.38</v>
      </c>
      <c r="FX165" s="1439"/>
      <c r="FY165" s="1420">
        <v>1015037.28</v>
      </c>
      <c r="FZ165" s="1439"/>
      <c r="GA165" s="1422">
        <v>0</v>
      </c>
      <c r="GB165" s="1439"/>
    </row>
    <row r="166" spans="1:184" ht="12.75" customHeight="1" thickBot="1">
      <c r="A166" s="1418" t="s">
        <v>382</v>
      </c>
      <c r="B166" s="1418" t="s">
        <v>383</v>
      </c>
      <c r="C166" s="1420">
        <v>400.66</v>
      </c>
      <c r="D166" s="1439"/>
      <c r="E166" s="1420">
        <v>948.49</v>
      </c>
      <c r="F166" s="1439"/>
      <c r="G166" s="1421">
        <v>0.02</v>
      </c>
      <c r="H166" s="1439"/>
      <c r="I166" s="1420">
        <v>1014.36</v>
      </c>
      <c r="J166" s="1439"/>
      <c r="K166" s="1422">
        <v>1054</v>
      </c>
      <c r="L166" s="1439"/>
      <c r="M166" s="1422">
        <v>48549228</v>
      </c>
      <c r="N166" s="1439"/>
      <c r="O166" s="1422">
        <v>25</v>
      </c>
      <c r="P166" s="1439"/>
      <c r="Q166" s="1422">
        <v>25</v>
      </c>
      <c r="R166" s="1439"/>
      <c r="S166" s="1422">
        <v>0</v>
      </c>
      <c r="T166" s="1439"/>
      <c r="U166" s="1422">
        <v>0</v>
      </c>
      <c r="V166" s="1439"/>
      <c r="W166" s="1420">
        <v>9.98</v>
      </c>
      <c r="X166" s="1439"/>
      <c r="Y166" s="1420">
        <v>34.979999999999997</v>
      </c>
      <c r="Z166" s="1439"/>
      <c r="AA166" s="1420">
        <v>4877666.1500000004</v>
      </c>
      <c r="AB166" s="1455"/>
      <c r="AC166" s="1424">
        <v>1556561.1</v>
      </c>
      <c r="AD166" s="1422">
        <v>1955456</v>
      </c>
      <c r="AE166" s="1420">
        <v>402418.77</v>
      </c>
      <c r="AF166" s="1422">
        <v>166475</v>
      </c>
      <c r="AG166" s="1422">
        <v>0</v>
      </c>
      <c r="AH166" s="1456">
        <v>0</v>
      </c>
      <c r="AI166" s="1428">
        <v>5015369</v>
      </c>
      <c r="AJ166" s="1422">
        <v>4881834</v>
      </c>
      <c r="AK166" s="1422">
        <v>92643</v>
      </c>
      <c r="AL166" s="1422">
        <v>0</v>
      </c>
      <c r="AM166" s="1422">
        <v>0</v>
      </c>
      <c r="AN166" s="1422">
        <v>0</v>
      </c>
      <c r="AO166" s="1422">
        <v>40567</v>
      </c>
      <c r="AP166" s="1422">
        <v>100762</v>
      </c>
      <c r="AQ166" s="1422">
        <v>0</v>
      </c>
      <c r="AR166" s="1422">
        <v>0</v>
      </c>
      <c r="AS166" s="1422">
        <v>0</v>
      </c>
      <c r="AT166" s="1422">
        <v>0</v>
      </c>
      <c r="AU166" s="1422">
        <v>38884</v>
      </c>
      <c r="AV166" s="1422">
        <v>31107</v>
      </c>
      <c r="AW166" s="1422">
        <v>0</v>
      </c>
      <c r="AX166" s="1422">
        <v>0</v>
      </c>
      <c r="AY166" s="1420">
        <v>7146442.8700000001</v>
      </c>
      <c r="AZ166" s="1422">
        <v>7135634</v>
      </c>
      <c r="BA166" s="1422">
        <v>0</v>
      </c>
      <c r="BB166" s="1422">
        <v>0</v>
      </c>
      <c r="BC166" s="1422">
        <v>43593</v>
      </c>
      <c r="BD166" s="1422">
        <v>43278</v>
      </c>
      <c r="BE166" s="1420">
        <v>7500.27</v>
      </c>
      <c r="BF166" s="1422">
        <v>8800</v>
      </c>
      <c r="BG166" s="1422">
        <v>350</v>
      </c>
      <c r="BH166" s="1422">
        <v>0</v>
      </c>
      <c r="BI166" s="1422">
        <v>66511</v>
      </c>
      <c r="BJ166" s="1422">
        <v>56787</v>
      </c>
      <c r="BK166" s="1422">
        <v>0</v>
      </c>
      <c r="BL166" s="1422">
        <v>0</v>
      </c>
      <c r="BM166" s="1422">
        <v>224688</v>
      </c>
      <c r="BN166" s="1422">
        <v>253506</v>
      </c>
      <c r="BO166" s="1420">
        <v>7959.03</v>
      </c>
      <c r="BP166" s="1422">
        <v>0</v>
      </c>
      <c r="BQ166" s="1420">
        <v>18687.52</v>
      </c>
      <c r="BR166" s="1422">
        <v>21125</v>
      </c>
      <c r="BS166" s="1420">
        <v>3190.11</v>
      </c>
      <c r="BT166" s="1422">
        <v>3000</v>
      </c>
      <c r="BU166" s="1422">
        <v>0</v>
      </c>
      <c r="BV166" s="1422">
        <v>0</v>
      </c>
      <c r="BW166" s="1422">
        <v>0</v>
      </c>
      <c r="BX166" s="1422">
        <v>0</v>
      </c>
      <c r="BY166" s="1422">
        <v>0</v>
      </c>
      <c r="BZ166" s="1422">
        <v>0</v>
      </c>
      <c r="CA166" s="1420">
        <v>352557.31</v>
      </c>
      <c r="CB166" s="1422">
        <v>85115</v>
      </c>
      <c r="CC166" s="1420">
        <v>725036.24</v>
      </c>
      <c r="CD166" s="1422">
        <v>471611</v>
      </c>
      <c r="CE166" s="1420">
        <v>1459153.14</v>
      </c>
      <c r="CF166" s="1420">
        <v>1246307.69</v>
      </c>
      <c r="CG166" s="1422">
        <v>0</v>
      </c>
      <c r="CH166" s="1422">
        <v>0</v>
      </c>
      <c r="CI166" s="1422">
        <v>0</v>
      </c>
      <c r="CJ166" s="1422">
        <v>0</v>
      </c>
      <c r="CK166" s="1422">
        <v>0</v>
      </c>
      <c r="CL166" s="1422">
        <v>0</v>
      </c>
      <c r="CM166" s="1422">
        <v>0</v>
      </c>
      <c r="CN166" s="1422">
        <v>0</v>
      </c>
      <c r="CO166" s="1422">
        <v>0</v>
      </c>
      <c r="CP166" s="1422">
        <v>0</v>
      </c>
      <c r="CQ166" s="1422">
        <v>0</v>
      </c>
      <c r="CR166" s="1422">
        <v>0</v>
      </c>
      <c r="CS166" s="1422">
        <v>0</v>
      </c>
      <c r="CT166" s="1422">
        <v>0</v>
      </c>
      <c r="CU166" s="1420">
        <v>9330632.25</v>
      </c>
      <c r="CV166" s="1420">
        <v>8853552.6899999995</v>
      </c>
      <c r="CW166" s="1420">
        <v>3384452.17</v>
      </c>
      <c r="CX166" s="1420">
        <v>3058675.19</v>
      </c>
      <c r="CY166" s="1420">
        <v>551060.9</v>
      </c>
      <c r="CZ166" s="1420">
        <v>638338.55000000005</v>
      </c>
      <c r="DA166" s="1420">
        <v>303305.7</v>
      </c>
      <c r="DB166" s="1420">
        <v>319792.82</v>
      </c>
      <c r="DC166" s="1422">
        <v>0</v>
      </c>
      <c r="DD166" s="1422">
        <v>0</v>
      </c>
      <c r="DE166" s="1420">
        <v>164950.31</v>
      </c>
      <c r="DF166" s="1420">
        <v>194434.87</v>
      </c>
      <c r="DG166" s="1420">
        <v>389806.49</v>
      </c>
      <c r="DH166" s="1420">
        <v>401613.41</v>
      </c>
      <c r="DI166" s="1420">
        <v>4793575.57</v>
      </c>
      <c r="DJ166" s="1420">
        <v>4612854.84</v>
      </c>
      <c r="DK166" s="1420">
        <v>295167.81</v>
      </c>
      <c r="DL166" s="1422">
        <v>316389</v>
      </c>
      <c r="DM166" s="1420">
        <v>155831.23000000001</v>
      </c>
      <c r="DN166" s="1422">
        <v>167234</v>
      </c>
      <c r="DO166" s="1420">
        <v>833924.23</v>
      </c>
      <c r="DP166" s="1420">
        <v>858064.92</v>
      </c>
      <c r="DQ166" s="1420">
        <v>532218.81000000006</v>
      </c>
      <c r="DR166" s="1422">
        <v>557318</v>
      </c>
      <c r="DS166" s="1420">
        <v>26116.91</v>
      </c>
      <c r="DT166" s="1422">
        <v>13750</v>
      </c>
      <c r="DU166" s="1420">
        <v>1843258.99</v>
      </c>
      <c r="DV166" s="1420">
        <v>1912755.92</v>
      </c>
      <c r="DW166" s="1420">
        <v>393217.35</v>
      </c>
      <c r="DX166" s="1420">
        <v>459265.01</v>
      </c>
      <c r="DY166" s="1420">
        <v>373788.92</v>
      </c>
      <c r="DZ166" s="1420">
        <v>460743.98</v>
      </c>
      <c r="EA166" s="1420">
        <v>397775.94</v>
      </c>
      <c r="EB166" s="1422">
        <v>354014</v>
      </c>
      <c r="EC166" s="1420">
        <v>1164782.21</v>
      </c>
      <c r="ED166" s="1420">
        <v>1274022.99</v>
      </c>
      <c r="EE166" s="1420">
        <v>487647.15</v>
      </c>
      <c r="EF166" s="1422">
        <v>477565</v>
      </c>
      <c r="EG166" s="1422">
        <v>0</v>
      </c>
      <c r="EH166" s="1422">
        <v>0</v>
      </c>
      <c r="EI166" s="1422">
        <v>0</v>
      </c>
      <c r="EJ166" s="1420">
        <v>589.17999999999995</v>
      </c>
      <c r="EK166" s="1422">
        <v>0</v>
      </c>
      <c r="EL166" s="1422">
        <v>0</v>
      </c>
      <c r="EM166" s="1420">
        <v>487647.15</v>
      </c>
      <c r="EN166" s="1420">
        <v>478154.18</v>
      </c>
      <c r="EO166" s="1420">
        <v>2497.46</v>
      </c>
      <c r="EP166" s="1422">
        <v>0</v>
      </c>
      <c r="EQ166" s="1420">
        <v>156840.17000000001</v>
      </c>
      <c r="ER166" s="1422">
        <v>306755</v>
      </c>
      <c r="ES166" s="1422">
        <v>44601</v>
      </c>
      <c r="ET166" s="1422">
        <v>0</v>
      </c>
      <c r="EU166" s="1420">
        <v>8493202.5500000007</v>
      </c>
      <c r="EV166" s="1420">
        <v>8584542.9299999997</v>
      </c>
      <c r="EW166" s="1420">
        <v>217369.42</v>
      </c>
      <c r="EX166" s="1420">
        <v>191158.33</v>
      </c>
      <c r="EY166" s="1420">
        <v>156840.17000000001</v>
      </c>
      <c r="EZ166" s="1422">
        <v>306755</v>
      </c>
      <c r="FA166" s="1420">
        <v>8118992.96</v>
      </c>
      <c r="FB166" s="1420">
        <v>8086629.5999999996</v>
      </c>
      <c r="FC166" s="1420">
        <v>386012.62</v>
      </c>
      <c r="FD166" s="1439"/>
      <c r="FE166" s="1420">
        <v>7732980.3399999999</v>
      </c>
      <c r="FF166" s="1439"/>
      <c r="FG166" s="1422">
        <v>8152</v>
      </c>
      <c r="FH166" s="1439"/>
      <c r="FI166" s="1422">
        <v>76</v>
      </c>
      <c r="FJ166" s="1439"/>
      <c r="FK166" s="1422">
        <v>41641</v>
      </c>
      <c r="FL166" s="1439"/>
      <c r="FM166" s="1420">
        <v>81.5</v>
      </c>
      <c r="FN166" s="1439"/>
      <c r="FO166" s="1422">
        <v>43865</v>
      </c>
      <c r="FP166" s="1439"/>
      <c r="FQ166" s="1420">
        <v>3173051.46</v>
      </c>
      <c r="FR166" s="1439"/>
      <c r="FS166" s="1420">
        <v>146900.32999999999</v>
      </c>
      <c r="FT166" s="1439"/>
      <c r="FU166" s="1422">
        <v>0</v>
      </c>
      <c r="FV166" s="1439"/>
      <c r="FW166" s="1420">
        <v>3026151.13</v>
      </c>
      <c r="FX166" s="1439"/>
      <c r="FY166" s="1420">
        <v>254071.85</v>
      </c>
      <c r="FZ166" s="1439"/>
      <c r="GA166" s="1422">
        <v>0</v>
      </c>
      <c r="GB166" s="1439"/>
    </row>
    <row r="167" spans="1:184" ht="12.75" customHeight="1" thickBot="1">
      <c r="A167" s="1418" t="s">
        <v>384</v>
      </c>
      <c r="B167" s="1418" t="s">
        <v>385</v>
      </c>
      <c r="C167" s="1420">
        <v>153.97999999999999</v>
      </c>
      <c r="D167" s="1439"/>
      <c r="E167" s="1420">
        <v>717.19</v>
      </c>
      <c r="F167" s="1439"/>
      <c r="G167" s="1421">
        <v>-0.06</v>
      </c>
      <c r="H167" s="1439"/>
      <c r="I167" s="1420">
        <v>766.41</v>
      </c>
      <c r="J167" s="1439"/>
      <c r="K167" s="1420">
        <v>750.77</v>
      </c>
      <c r="L167" s="1439"/>
      <c r="M167" s="1422">
        <v>33076985</v>
      </c>
      <c r="N167" s="1439"/>
      <c r="O167" s="1422">
        <v>25</v>
      </c>
      <c r="P167" s="1439"/>
      <c r="Q167" s="1422">
        <v>25</v>
      </c>
      <c r="R167" s="1439"/>
      <c r="S167" s="1422">
        <v>0</v>
      </c>
      <c r="T167" s="1439"/>
      <c r="U167" s="1422">
        <v>0</v>
      </c>
      <c r="V167" s="1439"/>
      <c r="W167" s="1420">
        <v>3.6</v>
      </c>
      <c r="X167" s="1439"/>
      <c r="Y167" s="1420">
        <v>28.6</v>
      </c>
      <c r="Z167" s="1439"/>
      <c r="AA167" s="1420">
        <v>1335130.3799999999</v>
      </c>
      <c r="AB167" s="1455"/>
      <c r="AC167" s="1424">
        <v>873702.6</v>
      </c>
      <c r="AD167" s="1422">
        <v>741250</v>
      </c>
      <c r="AE167" s="1420">
        <v>296271.62</v>
      </c>
      <c r="AF167" s="1422">
        <v>98880</v>
      </c>
      <c r="AG167" s="1422">
        <v>0</v>
      </c>
      <c r="AH167" s="1456">
        <v>0</v>
      </c>
      <c r="AI167" s="1428">
        <v>3747557</v>
      </c>
      <c r="AJ167" s="1422">
        <v>3927867</v>
      </c>
      <c r="AK167" s="1422">
        <v>35549</v>
      </c>
      <c r="AL167" s="1422">
        <v>35000</v>
      </c>
      <c r="AM167" s="1422">
        <v>101141</v>
      </c>
      <c r="AN167" s="1422">
        <v>0</v>
      </c>
      <c r="AO167" s="1422">
        <v>0</v>
      </c>
      <c r="AP167" s="1422">
        <v>0</v>
      </c>
      <c r="AQ167" s="1422">
        <v>0</v>
      </c>
      <c r="AR167" s="1422">
        <v>0</v>
      </c>
      <c r="AS167" s="1422">
        <v>0</v>
      </c>
      <c r="AT167" s="1422">
        <v>0</v>
      </c>
      <c r="AU167" s="1422">
        <v>26743</v>
      </c>
      <c r="AV167" s="1422">
        <v>21395</v>
      </c>
      <c r="AW167" s="1422">
        <v>26317</v>
      </c>
      <c r="AX167" s="1422">
        <v>23000</v>
      </c>
      <c r="AY167" s="1420">
        <v>5107281.22</v>
      </c>
      <c r="AZ167" s="1422">
        <v>4847392</v>
      </c>
      <c r="BA167" s="1422">
        <v>0</v>
      </c>
      <c r="BB167" s="1422">
        <v>0</v>
      </c>
      <c r="BC167" s="1422">
        <v>31052</v>
      </c>
      <c r="BD167" s="1422">
        <v>32668</v>
      </c>
      <c r="BE167" s="1420">
        <v>8285.15</v>
      </c>
      <c r="BF167" s="1422">
        <v>3000</v>
      </c>
      <c r="BG167" s="1422">
        <v>300</v>
      </c>
      <c r="BH167" s="1422">
        <v>0</v>
      </c>
      <c r="BI167" s="1422">
        <v>1585</v>
      </c>
      <c r="BJ167" s="1422">
        <v>4104</v>
      </c>
      <c r="BK167" s="1422">
        <v>0</v>
      </c>
      <c r="BL167" s="1422">
        <v>0</v>
      </c>
      <c r="BM167" s="1422">
        <v>241056</v>
      </c>
      <c r="BN167" s="1422">
        <v>369719</v>
      </c>
      <c r="BO167" s="1420">
        <v>3371.64</v>
      </c>
      <c r="BP167" s="1422">
        <v>3076</v>
      </c>
      <c r="BQ167" s="1422">
        <v>0</v>
      </c>
      <c r="BR167" s="1422">
        <v>0</v>
      </c>
      <c r="BS167" s="1420">
        <v>2871.14</v>
      </c>
      <c r="BT167" s="1422">
        <v>2850</v>
      </c>
      <c r="BU167" s="1422">
        <v>0</v>
      </c>
      <c r="BV167" s="1422">
        <v>0</v>
      </c>
      <c r="BW167" s="1422">
        <v>96228</v>
      </c>
      <c r="BX167" s="1422">
        <v>97200</v>
      </c>
      <c r="BY167" s="1422">
        <v>0</v>
      </c>
      <c r="BZ167" s="1422">
        <v>0</v>
      </c>
      <c r="CA167" s="1420">
        <v>455164.57</v>
      </c>
      <c r="CB167" s="1422">
        <v>656774</v>
      </c>
      <c r="CC167" s="1420">
        <v>839913.5</v>
      </c>
      <c r="CD167" s="1422">
        <v>1169391</v>
      </c>
      <c r="CE167" s="1420">
        <v>1075805.8400000001</v>
      </c>
      <c r="CF167" s="1422">
        <v>796303</v>
      </c>
      <c r="CG167" s="1422">
        <v>597800</v>
      </c>
      <c r="CH167" s="1422">
        <v>0</v>
      </c>
      <c r="CI167" s="1422">
        <v>0</v>
      </c>
      <c r="CJ167" s="1422">
        <v>0</v>
      </c>
      <c r="CK167" s="1422">
        <v>0</v>
      </c>
      <c r="CL167" s="1422">
        <v>0</v>
      </c>
      <c r="CM167" s="1422">
        <v>0</v>
      </c>
      <c r="CN167" s="1422">
        <v>0</v>
      </c>
      <c r="CO167" s="1420">
        <v>3958.59</v>
      </c>
      <c r="CP167" s="1422">
        <v>0</v>
      </c>
      <c r="CQ167" s="1422">
        <v>0</v>
      </c>
      <c r="CR167" s="1422">
        <v>0</v>
      </c>
      <c r="CS167" s="1420">
        <v>601758.59</v>
      </c>
      <c r="CT167" s="1422">
        <v>0</v>
      </c>
      <c r="CU167" s="1420">
        <v>7624759.1500000004</v>
      </c>
      <c r="CV167" s="1422">
        <v>6813086</v>
      </c>
      <c r="CW167" s="1420">
        <v>3230163.52</v>
      </c>
      <c r="CX167" s="1422">
        <v>2509995</v>
      </c>
      <c r="CY167" s="1420">
        <v>389147.26</v>
      </c>
      <c r="CZ167" s="1422">
        <v>349189</v>
      </c>
      <c r="DA167" s="1420">
        <v>188675.62</v>
      </c>
      <c r="DB167" s="1422">
        <v>182346</v>
      </c>
      <c r="DC167" s="1422">
        <v>0</v>
      </c>
      <c r="DD167" s="1422">
        <v>0</v>
      </c>
      <c r="DE167" s="1420">
        <v>354166.99</v>
      </c>
      <c r="DF167" s="1422">
        <v>532688</v>
      </c>
      <c r="DG167" s="1420">
        <v>127450.09</v>
      </c>
      <c r="DH167" s="1422">
        <v>299263</v>
      </c>
      <c r="DI167" s="1420">
        <v>4289603.4800000004</v>
      </c>
      <c r="DJ167" s="1422">
        <v>3873481</v>
      </c>
      <c r="DK167" s="1420">
        <v>318347.65000000002</v>
      </c>
      <c r="DL167" s="1422">
        <v>252256</v>
      </c>
      <c r="DM167" s="1420">
        <v>188808.06</v>
      </c>
      <c r="DN167" s="1422">
        <v>100917</v>
      </c>
      <c r="DO167" s="1420">
        <v>613876.84</v>
      </c>
      <c r="DP167" s="1422">
        <v>579088</v>
      </c>
      <c r="DQ167" s="1420">
        <v>282380.39</v>
      </c>
      <c r="DR167" s="1422">
        <v>213947</v>
      </c>
      <c r="DS167" s="1420">
        <v>8787.93</v>
      </c>
      <c r="DT167" s="1422">
        <v>3169</v>
      </c>
      <c r="DU167" s="1420">
        <v>1412200.87</v>
      </c>
      <c r="DV167" s="1422">
        <v>1149377</v>
      </c>
      <c r="DW167" s="1420">
        <v>304759.2</v>
      </c>
      <c r="DX167" s="1422">
        <v>276767</v>
      </c>
      <c r="DY167" s="1420">
        <v>341076.93</v>
      </c>
      <c r="DZ167" s="1422">
        <v>346019</v>
      </c>
      <c r="EA167" s="1420">
        <v>318756.09999999998</v>
      </c>
      <c r="EB167" s="1422">
        <v>287054</v>
      </c>
      <c r="EC167" s="1420">
        <v>964592.23</v>
      </c>
      <c r="ED167" s="1422">
        <v>909840</v>
      </c>
      <c r="EE167" s="1420">
        <v>396656.15</v>
      </c>
      <c r="EF167" s="1422">
        <v>353741</v>
      </c>
      <c r="EG167" s="1422">
        <v>0</v>
      </c>
      <c r="EH167" s="1422">
        <v>0</v>
      </c>
      <c r="EI167" s="1422">
        <v>0</v>
      </c>
      <c r="EJ167" s="1422">
        <v>12296</v>
      </c>
      <c r="EK167" s="1422">
        <v>0</v>
      </c>
      <c r="EL167" s="1422">
        <v>0</v>
      </c>
      <c r="EM167" s="1420">
        <v>396656.15</v>
      </c>
      <c r="EN167" s="1422">
        <v>366037</v>
      </c>
      <c r="EO167" s="1420">
        <v>672468.89</v>
      </c>
      <c r="EP167" s="1422">
        <v>1322960</v>
      </c>
      <c r="EQ167" s="1420">
        <v>121680.99</v>
      </c>
      <c r="ER167" s="1422">
        <v>148816</v>
      </c>
      <c r="ES167" s="1420">
        <v>9064.31</v>
      </c>
      <c r="ET167" s="1422">
        <v>0</v>
      </c>
      <c r="EU167" s="1420">
        <v>7866266.9199999999</v>
      </c>
      <c r="EV167" s="1422">
        <v>7770511</v>
      </c>
      <c r="EW167" s="1420">
        <v>876553.68</v>
      </c>
      <c r="EX167" s="1422">
        <v>1332700</v>
      </c>
      <c r="EY167" s="1420">
        <v>121680.99</v>
      </c>
      <c r="EZ167" s="1422">
        <v>148816</v>
      </c>
      <c r="FA167" s="1420">
        <v>6868032.25</v>
      </c>
      <c r="FB167" s="1422">
        <v>6288995</v>
      </c>
      <c r="FC167" s="1420">
        <v>344352.59</v>
      </c>
      <c r="FD167" s="1439"/>
      <c r="FE167" s="1420">
        <v>6523679.6600000001</v>
      </c>
      <c r="FF167" s="1439"/>
      <c r="FG167" s="1422">
        <v>9096</v>
      </c>
      <c r="FH167" s="1439"/>
      <c r="FI167" s="1420">
        <v>53.17</v>
      </c>
      <c r="FJ167" s="1439"/>
      <c r="FK167" s="1422">
        <v>47460</v>
      </c>
      <c r="FL167" s="1439"/>
      <c r="FM167" s="1420">
        <v>56.28</v>
      </c>
      <c r="FN167" s="1439"/>
      <c r="FO167" s="1422">
        <v>50468</v>
      </c>
      <c r="FP167" s="1439"/>
      <c r="FQ167" s="1420">
        <v>2520047.0099999998</v>
      </c>
      <c r="FR167" s="1439"/>
      <c r="FS167" s="1420">
        <v>174725.96</v>
      </c>
      <c r="FT167" s="1439"/>
      <c r="FU167" s="1422">
        <v>0</v>
      </c>
      <c r="FV167" s="1439"/>
      <c r="FW167" s="1420">
        <v>2345321.0499999998</v>
      </c>
      <c r="FX167" s="1439"/>
      <c r="FY167" s="1420">
        <v>597885.03</v>
      </c>
      <c r="FZ167" s="1439"/>
      <c r="GA167" s="1422">
        <v>0</v>
      </c>
      <c r="GB167" s="1439"/>
    </row>
    <row r="168" spans="1:184" ht="12.75" customHeight="1" thickBot="1">
      <c r="A168" s="1418" t="s">
        <v>386</v>
      </c>
      <c r="B168" s="1418" t="s">
        <v>387</v>
      </c>
      <c r="C168" s="1420">
        <v>137.99</v>
      </c>
      <c r="D168" s="1439"/>
      <c r="E168" s="1420">
        <v>2114.73</v>
      </c>
      <c r="F168" s="1439"/>
      <c r="G168" s="1421">
        <v>-0.24</v>
      </c>
      <c r="H168" s="1439"/>
      <c r="I168" s="1420">
        <v>2232.77</v>
      </c>
      <c r="J168" s="1439"/>
      <c r="K168" s="1420">
        <v>2314.9499999999998</v>
      </c>
      <c r="L168" s="1439"/>
      <c r="M168" s="1422">
        <v>113701999</v>
      </c>
      <c r="N168" s="1439"/>
      <c r="O168" s="1422">
        <v>25</v>
      </c>
      <c r="P168" s="1439"/>
      <c r="Q168" s="1422">
        <v>25</v>
      </c>
      <c r="R168" s="1439"/>
      <c r="S168" s="1422">
        <v>0</v>
      </c>
      <c r="T168" s="1439"/>
      <c r="U168" s="1422">
        <v>0</v>
      </c>
      <c r="V168" s="1439"/>
      <c r="W168" s="1420">
        <v>9.1</v>
      </c>
      <c r="X168" s="1439"/>
      <c r="Y168" s="1420">
        <v>34.1</v>
      </c>
      <c r="Z168" s="1439"/>
      <c r="AA168" s="1422">
        <v>7300000</v>
      </c>
      <c r="AB168" s="1455"/>
      <c r="AC168" s="1424">
        <v>3682598.62</v>
      </c>
      <c r="AD168" s="1422">
        <v>3674700</v>
      </c>
      <c r="AE168" s="1420">
        <v>587602.43000000005</v>
      </c>
      <c r="AF168" s="1422">
        <v>312786</v>
      </c>
      <c r="AG168" s="1422">
        <v>0</v>
      </c>
      <c r="AH168" s="1456">
        <v>0</v>
      </c>
      <c r="AI168" s="1428">
        <v>11102332</v>
      </c>
      <c r="AJ168" s="1422">
        <v>10914166</v>
      </c>
      <c r="AK168" s="1422">
        <v>217874</v>
      </c>
      <c r="AL168" s="1422">
        <v>0</v>
      </c>
      <c r="AM168" s="1422">
        <v>0</v>
      </c>
      <c r="AN168" s="1422">
        <v>0</v>
      </c>
      <c r="AO168" s="1422">
        <v>796391</v>
      </c>
      <c r="AP168" s="1422">
        <v>224225</v>
      </c>
      <c r="AQ168" s="1422">
        <v>0</v>
      </c>
      <c r="AR168" s="1422">
        <v>0</v>
      </c>
      <c r="AS168" s="1422">
        <v>0</v>
      </c>
      <c r="AT168" s="1422">
        <v>0</v>
      </c>
      <c r="AU168" s="1422">
        <v>177851</v>
      </c>
      <c r="AV168" s="1422">
        <v>142281</v>
      </c>
      <c r="AW168" s="1422">
        <v>0</v>
      </c>
      <c r="AX168" s="1422">
        <v>0</v>
      </c>
      <c r="AY168" s="1420">
        <v>16564649.050000001</v>
      </c>
      <c r="AZ168" s="1422">
        <v>15268158</v>
      </c>
      <c r="BA168" s="1422">
        <v>0</v>
      </c>
      <c r="BB168" s="1422">
        <v>0</v>
      </c>
      <c r="BC168" s="1422">
        <v>95746</v>
      </c>
      <c r="BD168" s="1422">
        <v>95014</v>
      </c>
      <c r="BE168" s="1420">
        <v>43674.61</v>
      </c>
      <c r="BF168" s="1422">
        <v>0</v>
      </c>
      <c r="BG168" s="1422">
        <v>150</v>
      </c>
      <c r="BH168" s="1422">
        <v>0</v>
      </c>
      <c r="BI168" s="1422">
        <v>203028</v>
      </c>
      <c r="BJ168" s="1422">
        <v>246918</v>
      </c>
      <c r="BK168" s="1422">
        <v>0</v>
      </c>
      <c r="BL168" s="1422">
        <v>0</v>
      </c>
      <c r="BM168" s="1422">
        <v>3136704</v>
      </c>
      <c r="BN168" s="1422">
        <v>3146814</v>
      </c>
      <c r="BO168" s="1420">
        <v>9483.57</v>
      </c>
      <c r="BP168" s="1422">
        <v>0</v>
      </c>
      <c r="BQ168" s="1420">
        <v>39812.839999999997</v>
      </c>
      <c r="BR168" s="1422">
        <v>0</v>
      </c>
      <c r="BS168" s="1420">
        <v>10790.01</v>
      </c>
      <c r="BT168" s="1422">
        <v>0</v>
      </c>
      <c r="BU168" s="1422">
        <v>0</v>
      </c>
      <c r="BV168" s="1422">
        <v>0</v>
      </c>
      <c r="BW168" s="1422">
        <v>350000</v>
      </c>
      <c r="BX168" s="1422">
        <v>350000</v>
      </c>
      <c r="BY168" s="1422">
        <v>0</v>
      </c>
      <c r="BZ168" s="1422">
        <v>0</v>
      </c>
      <c r="CA168" s="1420">
        <v>255659.93</v>
      </c>
      <c r="CB168" s="1422">
        <v>211997</v>
      </c>
      <c r="CC168" s="1420">
        <v>4145048.96</v>
      </c>
      <c r="CD168" s="1422">
        <v>4050743</v>
      </c>
      <c r="CE168" s="1420">
        <v>8604680.2200000007</v>
      </c>
      <c r="CF168" s="1420">
        <v>5811336.21</v>
      </c>
      <c r="CG168" s="1422">
        <v>0</v>
      </c>
      <c r="CH168" s="1422">
        <v>0</v>
      </c>
      <c r="CI168" s="1422">
        <v>0</v>
      </c>
      <c r="CJ168" s="1422">
        <v>0</v>
      </c>
      <c r="CK168" s="1422">
        <v>0</v>
      </c>
      <c r="CL168" s="1422">
        <v>0</v>
      </c>
      <c r="CM168" s="1422">
        <v>0</v>
      </c>
      <c r="CN168" s="1422">
        <v>0</v>
      </c>
      <c r="CO168" s="1422">
        <v>0</v>
      </c>
      <c r="CP168" s="1422">
        <v>0</v>
      </c>
      <c r="CQ168" s="1422">
        <v>0</v>
      </c>
      <c r="CR168" s="1422">
        <v>0</v>
      </c>
      <c r="CS168" s="1422">
        <v>0</v>
      </c>
      <c r="CT168" s="1422">
        <v>0</v>
      </c>
      <c r="CU168" s="1420">
        <v>29314378.23</v>
      </c>
      <c r="CV168" s="1420">
        <v>25130237.210000001</v>
      </c>
      <c r="CW168" s="1420">
        <v>8802741.9600000009</v>
      </c>
      <c r="CX168" s="1420">
        <v>8908362.9600000009</v>
      </c>
      <c r="CY168" s="1420">
        <v>1444729.57</v>
      </c>
      <c r="CZ168" s="1420">
        <v>1289802.71</v>
      </c>
      <c r="DA168" s="1420">
        <v>511176.69</v>
      </c>
      <c r="DB168" s="1422">
        <v>410268</v>
      </c>
      <c r="DC168" s="1422">
        <v>0</v>
      </c>
      <c r="DD168" s="1422">
        <v>0</v>
      </c>
      <c r="DE168" s="1420">
        <v>1033076.88</v>
      </c>
      <c r="DF168" s="1420">
        <v>1654011.65</v>
      </c>
      <c r="DG168" s="1420">
        <v>953007.45</v>
      </c>
      <c r="DH168" s="1420">
        <v>654882.75</v>
      </c>
      <c r="DI168" s="1420">
        <v>12744732.550000001</v>
      </c>
      <c r="DJ168" s="1420">
        <v>12917328.07</v>
      </c>
      <c r="DK168" s="1420">
        <v>736972.92</v>
      </c>
      <c r="DL168" s="1420">
        <v>986994.23</v>
      </c>
      <c r="DM168" s="1420">
        <v>611774.98</v>
      </c>
      <c r="DN168" s="1422">
        <v>475645</v>
      </c>
      <c r="DO168" s="1420">
        <v>2972328.43</v>
      </c>
      <c r="DP168" s="1422">
        <v>2030381</v>
      </c>
      <c r="DQ168" s="1420">
        <v>1058947.07</v>
      </c>
      <c r="DR168" s="1420">
        <v>1237686.6000000001</v>
      </c>
      <c r="DS168" s="1420">
        <v>21345.200000000001</v>
      </c>
      <c r="DT168" s="1420">
        <v>54510.74</v>
      </c>
      <c r="DU168" s="1420">
        <v>5401368.5999999996</v>
      </c>
      <c r="DV168" s="1420">
        <v>4785217.57</v>
      </c>
      <c r="DW168" s="1422">
        <v>1198394</v>
      </c>
      <c r="DX168" s="1420">
        <v>686374.19</v>
      </c>
      <c r="DY168" s="1420">
        <v>2804200.12</v>
      </c>
      <c r="DZ168" s="1420">
        <v>3739725.7</v>
      </c>
      <c r="EA168" s="1420">
        <v>1705759.55</v>
      </c>
      <c r="EB168" s="1422">
        <v>916575</v>
      </c>
      <c r="EC168" s="1420">
        <v>5708353.6699999999</v>
      </c>
      <c r="ED168" s="1420">
        <v>5342674.8899999997</v>
      </c>
      <c r="EE168" s="1420">
        <v>2014174.67</v>
      </c>
      <c r="EF168" s="1422">
        <v>873535</v>
      </c>
      <c r="EG168" s="1422">
        <v>0</v>
      </c>
      <c r="EH168" s="1422">
        <v>0</v>
      </c>
      <c r="EI168" s="1422">
        <v>0</v>
      </c>
      <c r="EJ168" s="1422">
        <v>0</v>
      </c>
      <c r="EK168" s="1422">
        <v>0</v>
      </c>
      <c r="EL168" s="1422">
        <v>0</v>
      </c>
      <c r="EM168" s="1420">
        <v>2014174.67</v>
      </c>
      <c r="EN168" s="1422">
        <v>873535</v>
      </c>
      <c r="EO168" s="1420">
        <v>61468.79</v>
      </c>
      <c r="EP168" s="1422">
        <v>0</v>
      </c>
      <c r="EQ168" s="1420">
        <v>759397.5</v>
      </c>
      <c r="ER168" s="1422">
        <v>759453</v>
      </c>
      <c r="ES168" s="1420">
        <v>252.85</v>
      </c>
      <c r="ET168" s="1422">
        <v>0</v>
      </c>
      <c r="EU168" s="1420">
        <v>26689748.629999999</v>
      </c>
      <c r="EV168" s="1420">
        <v>24678208.530000001</v>
      </c>
      <c r="EW168" s="1420">
        <v>759251.01</v>
      </c>
      <c r="EX168" s="1422">
        <v>295886</v>
      </c>
      <c r="EY168" s="1420">
        <v>759397.5</v>
      </c>
      <c r="EZ168" s="1422">
        <v>759453</v>
      </c>
      <c r="FA168" s="1420">
        <v>25171100.120000001</v>
      </c>
      <c r="FB168" s="1420">
        <v>23622869.530000001</v>
      </c>
      <c r="FC168" s="1420">
        <v>559304.26</v>
      </c>
      <c r="FD168" s="1439"/>
      <c r="FE168" s="1420">
        <v>24611795.859999999</v>
      </c>
      <c r="FF168" s="1439"/>
      <c r="FG168" s="1422">
        <v>11638</v>
      </c>
      <c r="FH168" s="1439"/>
      <c r="FI168" s="1420">
        <v>101.89</v>
      </c>
      <c r="FJ168" s="1439"/>
      <c r="FK168" s="1422">
        <v>50561</v>
      </c>
      <c r="FL168" s="1439"/>
      <c r="FM168" s="1420">
        <v>132.62</v>
      </c>
      <c r="FN168" s="1439"/>
      <c r="FO168" s="1422">
        <v>54170</v>
      </c>
      <c r="FP168" s="1439"/>
      <c r="FQ168" s="1420">
        <v>4564304.32</v>
      </c>
      <c r="FR168" s="1439"/>
      <c r="FS168" s="1420">
        <v>963706.92</v>
      </c>
      <c r="FT168" s="1439"/>
      <c r="FU168" s="1422">
        <v>0</v>
      </c>
      <c r="FV168" s="1439"/>
      <c r="FW168" s="1420">
        <v>3600597.4</v>
      </c>
      <c r="FX168" s="1439"/>
      <c r="FY168" s="1422">
        <v>0</v>
      </c>
      <c r="FZ168" s="1439"/>
      <c r="GA168" s="1422">
        <v>0</v>
      </c>
      <c r="GB168" s="1439"/>
    </row>
    <row r="169" spans="1:184" ht="12.75" customHeight="1" thickBot="1">
      <c r="A169" s="1418" t="s">
        <v>388</v>
      </c>
      <c r="B169" s="1418" t="s">
        <v>389</v>
      </c>
      <c r="C169" s="1420">
        <v>604.77</v>
      </c>
      <c r="D169" s="1439"/>
      <c r="E169" s="1420">
        <v>412.73</v>
      </c>
      <c r="F169" s="1439"/>
      <c r="G169" s="1421">
        <v>-0.46</v>
      </c>
      <c r="H169" s="1439"/>
      <c r="I169" s="1420">
        <v>452.6</v>
      </c>
      <c r="J169" s="1439"/>
      <c r="K169" s="1420">
        <v>536.17999999999995</v>
      </c>
      <c r="L169" s="1439"/>
      <c r="M169" s="1422">
        <v>54520774</v>
      </c>
      <c r="N169" s="1439"/>
      <c r="O169" s="1422">
        <v>25</v>
      </c>
      <c r="P169" s="1439"/>
      <c r="Q169" s="1422">
        <v>25</v>
      </c>
      <c r="R169" s="1439"/>
      <c r="S169" s="1422">
        <v>0</v>
      </c>
      <c r="T169" s="1439"/>
      <c r="U169" s="1422">
        <v>0</v>
      </c>
      <c r="V169" s="1439"/>
      <c r="W169" s="1422">
        <v>8</v>
      </c>
      <c r="X169" s="1439"/>
      <c r="Y169" s="1422">
        <v>33</v>
      </c>
      <c r="Z169" s="1439"/>
      <c r="AA169" s="1422">
        <v>2250000</v>
      </c>
      <c r="AB169" s="1455"/>
      <c r="AC169" s="1424">
        <v>1607121.23</v>
      </c>
      <c r="AD169" s="1422">
        <v>1763550</v>
      </c>
      <c r="AE169" s="1420">
        <v>314008.94</v>
      </c>
      <c r="AF169" s="1422">
        <v>237240</v>
      </c>
      <c r="AG169" s="1422">
        <v>0</v>
      </c>
      <c r="AH169" s="1456">
        <v>0</v>
      </c>
      <c r="AI169" s="1428">
        <v>1901614</v>
      </c>
      <c r="AJ169" s="1422">
        <v>1403248</v>
      </c>
      <c r="AK169" s="1422">
        <v>51299</v>
      </c>
      <c r="AL169" s="1422">
        <v>50000</v>
      </c>
      <c r="AM169" s="1422">
        <v>0</v>
      </c>
      <c r="AN169" s="1422">
        <v>0</v>
      </c>
      <c r="AO169" s="1422">
        <v>258778</v>
      </c>
      <c r="AP169" s="1422">
        <v>268025</v>
      </c>
      <c r="AQ169" s="1422">
        <v>0</v>
      </c>
      <c r="AR169" s="1422">
        <v>0</v>
      </c>
      <c r="AS169" s="1422">
        <v>0</v>
      </c>
      <c r="AT169" s="1422">
        <v>0</v>
      </c>
      <c r="AU169" s="1422">
        <v>0</v>
      </c>
      <c r="AV169" s="1422">
        <v>0</v>
      </c>
      <c r="AW169" s="1422">
        <v>34882</v>
      </c>
      <c r="AX169" s="1422">
        <v>34900</v>
      </c>
      <c r="AY169" s="1420">
        <v>4167703.17</v>
      </c>
      <c r="AZ169" s="1422">
        <v>3756963</v>
      </c>
      <c r="BA169" s="1422">
        <v>0</v>
      </c>
      <c r="BB169" s="1422">
        <v>0</v>
      </c>
      <c r="BC169" s="1422">
        <v>22176</v>
      </c>
      <c r="BD169" s="1422">
        <v>19256</v>
      </c>
      <c r="BE169" s="1420">
        <v>179192.85</v>
      </c>
      <c r="BF169" s="1422">
        <v>180355</v>
      </c>
      <c r="BG169" s="1422">
        <v>1083</v>
      </c>
      <c r="BH169" s="1422">
        <v>1000</v>
      </c>
      <c r="BI169" s="1422">
        <v>13977</v>
      </c>
      <c r="BJ169" s="1422">
        <v>42625</v>
      </c>
      <c r="BK169" s="1422">
        <v>0</v>
      </c>
      <c r="BL169" s="1422">
        <v>0</v>
      </c>
      <c r="BM169" s="1422">
        <v>787152</v>
      </c>
      <c r="BN169" s="1422">
        <v>853562</v>
      </c>
      <c r="BO169" s="1420">
        <v>2196.5300000000002</v>
      </c>
      <c r="BP169" s="1422">
        <v>2200</v>
      </c>
      <c r="BQ169" s="1420">
        <v>7583.56</v>
      </c>
      <c r="BR169" s="1422">
        <v>7000</v>
      </c>
      <c r="BS169" s="1420">
        <v>2204.21</v>
      </c>
      <c r="BT169" s="1422">
        <v>2000</v>
      </c>
      <c r="BU169" s="1422">
        <v>0</v>
      </c>
      <c r="BV169" s="1422">
        <v>0</v>
      </c>
      <c r="BW169" s="1422">
        <v>122201</v>
      </c>
      <c r="BX169" s="1422">
        <v>218700</v>
      </c>
      <c r="BY169" s="1422">
        <v>0</v>
      </c>
      <c r="BZ169" s="1422">
        <v>0</v>
      </c>
      <c r="CA169" s="1422">
        <v>26109</v>
      </c>
      <c r="CB169" s="1422">
        <v>49095</v>
      </c>
      <c r="CC169" s="1420">
        <v>1163875.1499999999</v>
      </c>
      <c r="CD169" s="1422">
        <v>1375793</v>
      </c>
      <c r="CE169" s="1420">
        <v>3224879.68</v>
      </c>
      <c r="CF169" s="1420">
        <v>3432190.7</v>
      </c>
      <c r="CG169" s="1422">
        <v>0</v>
      </c>
      <c r="CH169" s="1422">
        <v>0</v>
      </c>
      <c r="CI169" s="1422">
        <v>0</v>
      </c>
      <c r="CJ169" s="1422">
        <v>0</v>
      </c>
      <c r="CK169" s="1422">
        <v>0</v>
      </c>
      <c r="CL169" s="1422">
        <v>0</v>
      </c>
      <c r="CM169" s="1422">
        <v>123</v>
      </c>
      <c r="CN169" s="1422">
        <v>0</v>
      </c>
      <c r="CO169" s="1420">
        <v>2115.36</v>
      </c>
      <c r="CP169" s="1422">
        <v>0</v>
      </c>
      <c r="CQ169" s="1422">
        <v>0</v>
      </c>
      <c r="CR169" s="1422">
        <v>0</v>
      </c>
      <c r="CS169" s="1420">
        <v>2238.36</v>
      </c>
      <c r="CT169" s="1422">
        <v>0</v>
      </c>
      <c r="CU169" s="1420">
        <v>8558696.3599999994</v>
      </c>
      <c r="CV169" s="1420">
        <v>8564946.6999999993</v>
      </c>
      <c r="CW169" s="1420">
        <v>3103950.49</v>
      </c>
      <c r="CX169" s="1422">
        <v>2609883</v>
      </c>
      <c r="CY169" s="1420">
        <v>774507.62</v>
      </c>
      <c r="CZ169" s="1420">
        <v>701768.4</v>
      </c>
      <c r="DA169" s="1420">
        <v>252849.41</v>
      </c>
      <c r="DB169" s="1422">
        <v>274936</v>
      </c>
      <c r="DC169" s="1422">
        <v>0</v>
      </c>
      <c r="DD169" s="1422">
        <v>0</v>
      </c>
      <c r="DE169" s="1420">
        <v>973253.15</v>
      </c>
      <c r="DF169" s="1422">
        <v>655346</v>
      </c>
      <c r="DG169" s="1420">
        <v>207793.97</v>
      </c>
      <c r="DH169" s="1422">
        <v>265536</v>
      </c>
      <c r="DI169" s="1420">
        <v>5312354.6399999997</v>
      </c>
      <c r="DJ169" s="1420">
        <v>4507469.4000000004</v>
      </c>
      <c r="DK169" s="1420">
        <v>332096.57</v>
      </c>
      <c r="DL169" s="1422">
        <v>296274</v>
      </c>
      <c r="DM169" s="1420">
        <v>115735.08</v>
      </c>
      <c r="DN169" s="1422">
        <v>62799</v>
      </c>
      <c r="DO169" s="1420">
        <v>529266.96</v>
      </c>
      <c r="DP169" s="1422">
        <v>578373</v>
      </c>
      <c r="DQ169" s="1420">
        <v>267604.92</v>
      </c>
      <c r="DR169" s="1422">
        <v>182120</v>
      </c>
      <c r="DS169" s="1422">
        <v>0</v>
      </c>
      <c r="DT169" s="1422">
        <v>0</v>
      </c>
      <c r="DU169" s="1420">
        <v>1244703.53</v>
      </c>
      <c r="DV169" s="1422">
        <v>1119566</v>
      </c>
      <c r="DW169" s="1420">
        <v>372698.03</v>
      </c>
      <c r="DX169" s="1422">
        <v>318585</v>
      </c>
      <c r="DY169" s="1420">
        <v>972394.09</v>
      </c>
      <c r="DZ169" s="1420">
        <v>411168.1</v>
      </c>
      <c r="EA169" s="1420">
        <v>83285.009999999995</v>
      </c>
      <c r="EB169" s="1422">
        <v>43725</v>
      </c>
      <c r="EC169" s="1420">
        <v>1428377.13</v>
      </c>
      <c r="ED169" s="1420">
        <v>773478.1</v>
      </c>
      <c r="EE169" s="1420">
        <v>302298.89</v>
      </c>
      <c r="EF169" s="1422">
        <v>279433</v>
      </c>
      <c r="EG169" s="1422">
        <v>0</v>
      </c>
      <c r="EH169" s="1422">
        <v>0</v>
      </c>
      <c r="EI169" s="1420">
        <v>23588.799999999999</v>
      </c>
      <c r="EJ169" s="1422">
        <v>0</v>
      </c>
      <c r="EK169" s="1422">
        <v>0</v>
      </c>
      <c r="EL169" s="1422">
        <v>0</v>
      </c>
      <c r="EM169" s="1420">
        <v>325887.69</v>
      </c>
      <c r="EN169" s="1422">
        <v>279433</v>
      </c>
      <c r="EO169" s="1420">
        <v>736413.37</v>
      </c>
      <c r="EP169" s="1422">
        <v>36000</v>
      </c>
      <c r="EQ169" s="1420">
        <v>14081.25</v>
      </c>
      <c r="ER169" s="1422">
        <v>270000</v>
      </c>
      <c r="ES169" s="1422">
        <v>0</v>
      </c>
      <c r="ET169" s="1422">
        <v>0</v>
      </c>
      <c r="EU169" s="1420">
        <v>9061817.6099999994</v>
      </c>
      <c r="EV169" s="1420">
        <v>6985946.5</v>
      </c>
      <c r="EW169" s="1420">
        <v>939831.32</v>
      </c>
      <c r="EX169" s="1420">
        <v>310405.09999999998</v>
      </c>
      <c r="EY169" s="1420">
        <v>14081.25</v>
      </c>
      <c r="EZ169" s="1422">
        <v>270000</v>
      </c>
      <c r="FA169" s="1420">
        <v>8107905.04</v>
      </c>
      <c r="FB169" s="1420">
        <v>6405541.4000000004</v>
      </c>
      <c r="FC169" s="1420">
        <v>439820.25</v>
      </c>
      <c r="FD169" s="1439"/>
      <c r="FE169" s="1420">
        <v>7668084.79</v>
      </c>
      <c r="FF169" s="1439"/>
      <c r="FG169" s="1422">
        <v>18578</v>
      </c>
      <c r="FH169" s="1439"/>
      <c r="FI169" s="1420">
        <v>51.7</v>
      </c>
      <c r="FJ169" s="1439"/>
      <c r="FK169" s="1422">
        <v>49849</v>
      </c>
      <c r="FL169" s="1439"/>
      <c r="FM169" s="1420">
        <v>54.98</v>
      </c>
      <c r="FN169" s="1439"/>
      <c r="FO169" s="1422">
        <v>52609</v>
      </c>
      <c r="FP169" s="1439"/>
      <c r="FQ169" s="1420">
        <v>4203273.3899999997</v>
      </c>
      <c r="FR169" s="1439"/>
      <c r="FS169" s="1420">
        <v>264684.73</v>
      </c>
      <c r="FT169" s="1439"/>
      <c r="FU169" s="1422">
        <v>0</v>
      </c>
      <c r="FV169" s="1439"/>
      <c r="FW169" s="1420">
        <v>3938588.66</v>
      </c>
      <c r="FX169" s="1439"/>
      <c r="FY169" s="1420">
        <v>242169.73</v>
      </c>
      <c r="FZ169" s="1439"/>
      <c r="GA169" s="1422">
        <v>0</v>
      </c>
      <c r="GB169" s="1439"/>
    </row>
    <row r="170" spans="1:184" ht="12.75" customHeight="1" thickBot="1">
      <c r="A170" s="1418" t="s">
        <v>390</v>
      </c>
      <c r="B170" s="1418" t="s">
        <v>391</v>
      </c>
      <c r="C170" s="1420">
        <v>217.19</v>
      </c>
      <c r="D170" s="1439"/>
      <c r="E170" s="1420">
        <v>926.29</v>
      </c>
      <c r="F170" s="1439"/>
      <c r="G170" s="1421">
        <v>-0.05</v>
      </c>
      <c r="H170" s="1439"/>
      <c r="I170" s="1420">
        <v>1006.41</v>
      </c>
      <c r="J170" s="1439"/>
      <c r="K170" s="1420">
        <v>1040.58</v>
      </c>
      <c r="L170" s="1439"/>
      <c r="M170" s="1422">
        <v>56839021</v>
      </c>
      <c r="N170" s="1439"/>
      <c r="O170" s="1422">
        <v>25</v>
      </c>
      <c r="P170" s="1439"/>
      <c r="Q170" s="1422">
        <v>25</v>
      </c>
      <c r="R170" s="1439"/>
      <c r="S170" s="1422">
        <v>0</v>
      </c>
      <c r="T170" s="1439"/>
      <c r="U170" s="1422">
        <v>0</v>
      </c>
      <c r="V170" s="1439"/>
      <c r="W170" s="1420">
        <v>13.6</v>
      </c>
      <c r="X170" s="1439"/>
      <c r="Y170" s="1420">
        <v>38.6</v>
      </c>
      <c r="Z170" s="1439"/>
      <c r="AA170" s="1422">
        <v>4905000</v>
      </c>
      <c r="AB170" s="1455"/>
      <c r="AC170" s="1424">
        <v>1860936.67</v>
      </c>
      <c r="AD170" s="1422">
        <v>1904830</v>
      </c>
      <c r="AE170" s="1420">
        <v>451760.1</v>
      </c>
      <c r="AF170" s="1422">
        <v>284840</v>
      </c>
      <c r="AG170" s="1420">
        <v>8019.27</v>
      </c>
      <c r="AH170" s="1456">
        <v>13000</v>
      </c>
      <c r="AI170" s="1428">
        <v>4924518</v>
      </c>
      <c r="AJ170" s="1422">
        <v>4830468</v>
      </c>
      <c r="AK170" s="1422">
        <v>147189</v>
      </c>
      <c r="AL170" s="1422">
        <v>150000</v>
      </c>
      <c r="AM170" s="1422">
        <v>0</v>
      </c>
      <c r="AN170" s="1422">
        <v>0</v>
      </c>
      <c r="AO170" s="1422">
        <v>7740</v>
      </c>
      <c r="AP170" s="1422">
        <v>83804</v>
      </c>
      <c r="AQ170" s="1422">
        <v>0</v>
      </c>
      <c r="AR170" s="1422">
        <v>0</v>
      </c>
      <c r="AS170" s="1422">
        <v>0</v>
      </c>
      <c r="AT170" s="1422">
        <v>0</v>
      </c>
      <c r="AU170" s="1422">
        <v>0</v>
      </c>
      <c r="AV170" s="1422">
        <v>0</v>
      </c>
      <c r="AW170" s="1422">
        <v>0</v>
      </c>
      <c r="AX170" s="1422">
        <v>0</v>
      </c>
      <c r="AY170" s="1420">
        <v>7400163.04</v>
      </c>
      <c r="AZ170" s="1422">
        <v>7266942</v>
      </c>
      <c r="BA170" s="1422">
        <v>0</v>
      </c>
      <c r="BB170" s="1422">
        <v>0</v>
      </c>
      <c r="BC170" s="1422">
        <v>43038</v>
      </c>
      <c r="BD170" s="1422">
        <v>42944</v>
      </c>
      <c r="BE170" s="1420">
        <v>4484.6499999999996</v>
      </c>
      <c r="BF170" s="1422">
        <v>4500</v>
      </c>
      <c r="BG170" s="1422">
        <v>100</v>
      </c>
      <c r="BH170" s="1422">
        <v>0</v>
      </c>
      <c r="BI170" s="1422">
        <v>0</v>
      </c>
      <c r="BJ170" s="1422">
        <v>4145</v>
      </c>
      <c r="BK170" s="1422">
        <v>55377</v>
      </c>
      <c r="BL170" s="1420">
        <v>86743.66</v>
      </c>
      <c r="BM170" s="1422">
        <v>311488</v>
      </c>
      <c r="BN170" s="1422">
        <v>358754</v>
      </c>
      <c r="BO170" s="1420">
        <v>4262.8900000000003</v>
      </c>
      <c r="BP170" s="1422">
        <v>0</v>
      </c>
      <c r="BQ170" s="1422">
        <v>0</v>
      </c>
      <c r="BR170" s="1422">
        <v>0</v>
      </c>
      <c r="BS170" s="1420">
        <v>4165.3599999999997</v>
      </c>
      <c r="BT170" s="1420">
        <v>4211.7700000000004</v>
      </c>
      <c r="BU170" s="1422">
        <v>0</v>
      </c>
      <c r="BV170" s="1422">
        <v>0</v>
      </c>
      <c r="BW170" s="1422">
        <v>87480</v>
      </c>
      <c r="BX170" s="1422">
        <v>0</v>
      </c>
      <c r="BY170" s="1422">
        <v>0</v>
      </c>
      <c r="BZ170" s="1422">
        <v>0</v>
      </c>
      <c r="CA170" s="1420">
        <v>703826.46</v>
      </c>
      <c r="CB170" s="1420">
        <v>234158.5</v>
      </c>
      <c r="CC170" s="1420">
        <v>1214222.3600000001</v>
      </c>
      <c r="CD170" s="1420">
        <v>735456.93</v>
      </c>
      <c r="CE170" s="1420">
        <v>1931322.19</v>
      </c>
      <c r="CF170" s="1420">
        <v>1844921.92</v>
      </c>
      <c r="CG170" s="1422">
        <v>0</v>
      </c>
      <c r="CH170" s="1422">
        <v>0</v>
      </c>
      <c r="CI170" s="1422">
        <v>0</v>
      </c>
      <c r="CJ170" s="1422">
        <v>0</v>
      </c>
      <c r="CK170" s="1422">
        <v>0</v>
      </c>
      <c r="CL170" s="1422">
        <v>0</v>
      </c>
      <c r="CM170" s="1422">
        <v>0</v>
      </c>
      <c r="CN170" s="1422">
        <v>0</v>
      </c>
      <c r="CO170" s="1422">
        <v>0</v>
      </c>
      <c r="CP170" s="1422">
        <v>0</v>
      </c>
      <c r="CQ170" s="1422">
        <v>0</v>
      </c>
      <c r="CR170" s="1422">
        <v>0</v>
      </c>
      <c r="CS170" s="1422">
        <v>0</v>
      </c>
      <c r="CT170" s="1422">
        <v>0</v>
      </c>
      <c r="CU170" s="1420">
        <v>10545707.59</v>
      </c>
      <c r="CV170" s="1420">
        <v>9847320.8499999996</v>
      </c>
      <c r="CW170" s="1420">
        <v>3802052.07</v>
      </c>
      <c r="CX170" s="1420">
        <v>3215498.13</v>
      </c>
      <c r="CY170" s="1420">
        <v>643439.69999999995</v>
      </c>
      <c r="CZ170" s="1420">
        <v>693700.65</v>
      </c>
      <c r="DA170" s="1420">
        <v>335291.39</v>
      </c>
      <c r="DB170" s="1420">
        <v>366135.95</v>
      </c>
      <c r="DC170" s="1422">
        <v>0</v>
      </c>
      <c r="DD170" s="1422">
        <v>0</v>
      </c>
      <c r="DE170" s="1420">
        <v>438148.39</v>
      </c>
      <c r="DF170" s="1420">
        <v>244584.14</v>
      </c>
      <c r="DG170" s="1420">
        <v>144068.71</v>
      </c>
      <c r="DH170" s="1420">
        <v>188135.94</v>
      </c>
      <c r="DI170" s="1420">
        <v>5363000.26</v>
      </c>
      <c r="DJ170" s="1420">
        <v>4708054.8099999996</v>
      </c>
      <c r="DK170" s="1420">
        <v>262559.09999999998</v>
      </c>
      <c r="DL170" s="1420">
        <v>236049.82</v>
      </c>
      <c r="DM170" s="1420">
        <v>218267.31</v>
      </c>
      <c r="DN170" s="1420">
        <v>275179.92</v>
      </c>
      <c r="DO170" s="1420">
        <v>918408.26</v>
      </c>
      <c r="DP170" s="1420">
        <v>849038.6</v>
      </c>
      <c r="DQ170" s="1420">
        <v>397602.34</v>
      </c>
      <c r="DR170" s="1420">
        <v>310065.40000000002</v>
      </c>
      <c r="DS170" s="1420">
        <v>17059.23</v>
      </c>
      <c r="DT170" s="1422">
        <v>4593</v>
      </c>
      <c r="DU170" s="1420">
        <v>1813896.24</v>
      </c>
      <c r="DV170" s="1420">
        <v>1674926.74</v>
      </c>
      <c r="DW170" s="1420">
        <v>308686.49</v>
      </c>
      <c r="DX170" s="1420">
        <v>313819.21000000002</v>
      </c>
      <c r="DY170" s="1420">
        <v>712327.12</v>
      </c>
      <c r="DZ170" s="1420">
        <v>810832.15</v>
      </c>
      <c r="EA170" s="1420">
        <v>566005.96</v>
      </c>
      <c r="EB170" s="1420">
        <v>551669.13</v>
      </c>
      <c r="EC170" s="1420">
        <v>1587019.57</v>
      </c>
      <c r="ED170" s="1420">
        <v>1676320.49</v>
      </c>
      <c r="EE170" s="1420">
        <v>588961.89</v>
      </c>
      <c r="EF170" s="1420">
        <v>600064.91</v>
      </c>
      <c r="EG170" s="1422">
        <v>0</v>
      </c>
      <c r="EH170" s="1422">
        <v>0</v>
      </c>
      <c r="EI170" s="1420">
        <v>242.83</v>
      </c>
      <c r="EJ170" s="1422">
        <v>3400</v>
      </c>
      <c r="EK170" s="1422">
        <v>0</v>
      </c>
      <c r="EL170" s="1422">
        <v>0</v>
      </c>
      <c r="EM170" s="1420">
        <v>589204.72</v>
      </c>
      <c r="EN170" s="1420">
        <v>603464.91</v>
      </c>
      <c r="EO170" s="1420">
        <v>1125017.8400000001</v>
      </c>
      <c r="EP170" s="1420">
        <v>899395.96</v>
      </c>
      <c r="EQ170" s="1420">
        <v>223435.83</v>
      </c>
      <c r="ER170" s="1420">
        <v>454295.02</v>
      </c>
      <c r="ES170" s="1422">
        <v>0</v>
      </c>
      <c r="ET170" s="1422">
        <v>0</v>
      </c>
      <c r="EU170" s="1420">
        <v>10701574.460000001</v>
      </c>
      <c r="EV170" s="1420">
        <v>10016457.93</v>
      </c>
      <c r="EW170" s="1420">
        <v>1304149.22</v>
      </c>
      <c r="EX170" s="1420">
        <v>1025934.09</v>
      </c>
      <c r="EY170" s="1420">
        <v>223435.83</v>
      </c>
      <c r="EZ170" s="1420">
        <v>454295.02</v>
      </c>
      <c r="FA170" s="1420">
        <v>9173989.4100000001</v>
      </c>
      <c r="FB170" s="1420">
        <v>8536228.8200000003</v>
      </c>
      <c r="FC170" s="1420">
        <v>469599.45</v>
      </c>
      <c r="FD170" s="1439"/>
      <c r="FE170" s="1420">
        <v>8704389.9600000009</v>
      </c>
      <c r="FF170" s="1439"/>
      <c r="FG170" s="1422">
        <v>9397</v>
      </c>
      <c r="FH170" s="1439"/>
      <c r="FI170" s="1420">
        <v>77.69</v>
      </c>
      <c r="FJ170" s="1439"/>
      <c r="FK170" s="1422">
        <v>39200</v>
      </c>
      <c r="FL170" s="1439"/>
      <c r="FM170" s="1420">
        <v>85.69</v>
      </c>
      <c r="FN170" s="1439"/>
      <c r="FO170" s="1422">
        <v>42705</v>
      </c>
      <c r="FP170" s="1439"/>
      <c r="FQ170" s="1420">
        <v>1268689.73</v>
      </c>
      <c r="FR170" s="1439"/>
      <c r="FS170" s="1420">
        <v>32010.41</v>
      </c>
      <c r="FT170" s="1439"/>
      <c r="FU170" s="1422">
        <v>0</v>
      </c>
      <c r="FV170" s="1439"/>
      <c r="FW170" s="1420">
        <v>1236679.32</v>
      </c>
      <c r="FX170" s="1439"/>
      <c r="FY170" s="1420">
        <v>137075.46</v>
      </c>
      <c r="FZ170" s="1439"/>
      <c r="GA170" s="1422">
        <v>0</v>
      </c>
      <c r="GB170" s="1439"/>
    </row>
    <row r="171" spans="1:184" ht="12.75" customHeight="1" thickBot="1">
      <c r="A171" s="1418" t="s">
        <v>392</v>
      </c>
      <c r="B171" s="1418" t="s">
        <v>393</v>
      </c>
      <c r="C171" s="1420">
        <v>198.68</v>
      </c>
      <c r="D171" s="1439"/>
      <c r="E171" s="1420">
        <v>391.57</v>
      </c>
      <c r="F171" s="1439"/>
      <c r="G171" s="1421">
        <v>-0.08</v>
      </c>
      <c r="H171" s="1439"/>
      <c r="I171" s="1420">
        <v>409.06</v>
      </c>
      <c r="J171" s="1439"/>
      <c r="K171" s="1420">
        <v>435.83</v>
      </c>
      <c r="L171" s="1439"/>
      <c r="M171" s="1422">
        <v>29416425</v>
      </c>
      <c r="N171" s="1439"/>
      <c r="O171" s="1422">
        <v>25</v>
      </c>
      <c r="P171" s="1439"/>
      <c r="Q171" s="1422">
        <v>25</v>
      </c>
      <c r="R171" s="1439"/>
      <c r="S171" s="1422">
        <v>0</v>
      </c>
      <c r="T171" s="1439"/>
      <c r="U171" s="1422">
        <v>0</v>
      </c>
      <c r="V171" s="1439"/>
      <c r="W171" s="1422">
        <v>10</v>
      </c>
      <c r="X171" s="1439"/>
      <c r="Y171" s="1422">
        <v>35</v>
      </c>
      <c r="Z171" s="1439"/>
      <c r="AA171" s="1420">
        <v>2627187.9500000002</v>
      </c>
      <c r="AB171" s="1455"/>
      <c r="AC171" s="1424">
        <v>922334.92</v>
      </c>
      <c r="AD171" s="1422">
        <v>1120000</v>
      </c>
      <c r="AE171" s="1420">
        <v>231346.09</v>
      </c>
      <c r="AF171" s="1422">
        <v>86500</v>
      </c>
      <c r="AG171" s="1420">
        <v>3265.38</v>
      </c>
      <c r="AH171" s="1456">
        <v>0</v>
      </c>
      <c r="AI171" s="1428">
        <v>1919572</v>
      </c>
      <c r="AJ171" s="1422">
        <v>1781488</v>
      </c>
      <c r="AK171" s="1422">
        <v>28000</v>
      </c>
      <c r="AL171" s="1422">
        <v>0</v>
      </c>
      <c r="AM171" s="1422">
        <v>0</v>
      </c>
      <c r="AN171" s="1422">
        <v>0</v>
      </c>
      <c r="AO171" s="1422">
        <v>20117</v>
      </c>
      <c r="AP171" s="1422">
        <v>75356</v>
      </c>
      <c r="AQ171" s="1422">
        <v>0</v>
      </c>
      <c r="AR171" s="1422">
        <v>0</v>
      </c>
      <c r="AS171" s="1422">
        <v>0</v>
      </c>
      <c r="AT171" s="1422">
        <v>0</v>
      </c>
      <c r="AU171" s="1422">
        <v>0</v>
      </c>
      <c r="AV171" s="1422">
        <v>0</v>
      </c>
      <c r="AW171" s="1422">
        <v>0</v>
      </c>
      <c r="AX171" s="1422">
        <v>0</v>
      </c>
      <c r="AY171" s="1420">
        <v>3124635.39</v>
      </c>
      <c r="AZ171" s="1422">
        <v>3063344</v>
      </c>
      <c r="BA171" s="1422">
        <v>0</v>
      </c>
      <c r="BB171" s="1422">
        <v>0</v>
      </c>
      <c r="BC171" s="1422">
        <v>18026</v>
      </c>
      <c r="BD171" s="1422">
        <v>17431</v>
      </c>
      <c r="BE171" s="1420">
        <v>3774.07</v>
      </c>
      <c r="BF171" s="1422">
        <v>0</v>
      </c>
      <c r="BG171" s="1422">
        <v>0</v>
      </c>
      <c r="BH171" s="1422">
        <v>0</v>
      </c>
      <c r="BI171" s="1422">
        <v>0</v>
      </c>
      <c r="BJ171" s="1422">
        <v>0</v>
      </c>
      <c r="BK171" s="1422">
        <v>0</v>
      </c>
      <c r="BL171" s="1422">
        <v>0</v>
      </c>
      <c r="BM171" s="1422">
        <v>124992</v>
      </c>
      <c r="BN171" s="1422">
        <v>131560</v>
      </c>
      <c r="BO171" s="1420">
        <v>1785.88</v>
      </c>
      <c r="BP171" s="1422">
        <v>0</v>
      </c>
      <c r="BQ171" s="1422">
        <v>0</v>
      </c>
      <c r="BR171" s="1422">
        <v>0</v>
      </c>
      <c r="BS171" s="1420">
        <v>1615.49</v>
      </c>
      <c r="BT171" s="1422">
        <v>0</v>
      </c>
      <c r="BU171" s="1422">
        <v>0</v>
      </c>
      <c r="BV171" s="1422">
        <v>0</v>
      </c>
      <c r="BW171" s="1422">
        <v>0</v>
      </c>
      <c r="BX171" s="1422">
        <v>0</v>
      </c>
      <c r="BY171" s="1422">
        <v>0</v>
      </c>
      <c r="BZ171" s="1422">
        <v>0</v>
      </c>
      <c r="CA171" s="1420">
        <v>200980.5</v>
      </c>
      <c r="CB171" s="1422">
        <v>26413</v>
      </c>
      <c r="CC171" s="1420">
        <v>351173.94</v>
      </c>
      <c r="CD171" s="1422">
        <v>175404</v>
      </c>
      <c r="CE171" s="1420">
        <v>994405.4</v>
      </c>
      <c r="CF171" s="1422">
        <v>539908</v>
      </c>
      <c r="CG171" s="1420">
        <v>7319.19</v>
      </c>
      <c r="CH171" s="1422">
        <v>0</v>
      </c>
      <c r="CI171" s="1422">
        <v>0</v>
      </c>
      <c r="CJ171" s="1422">
        <v>0</v>
      </c>
      <c r="CK171" s="1422">
        <v>0</v>
      </c>
      <c r="CL171" s="1422">
        <v>0</v>
      </c>
      <c r="CM171" s="1422">
        <v>0</v>
      </c>
      <c r="CN171" s="1422">
        <v>0</v>
      </c>
      <c r="CO171" s="1422">
        <v>0</v>
      </c>
      <c r="CP171" s="1422">
        <v>0</v>
      </c>
      <c r="CQ171" s="1422">
        <v>0</v>
      </c>
      <c r="CR171" s="1422">
        <v>0</v>
      </c>
      <c r="CS171" s="1420">
        <v>7319.19</v>
      </c>
      <c r="CT171" s="1422">
        <v>0</v>
      </c>
      <c r="CU171" s="1420">
        <v>4477533.92</v>
      </c>
      <c r="CV171" s="1422">
        <v>3778656</v>
      </c>
      <c r="CW171" s="1420">
        <v>1639453.23</v>
      </c>
      <c r="CX171" s="1422">
        <v>1433322</v>
      </c>
      <c r="CY171" s="1420">
        <v>180674.37</v>
      </c>
      <c r="CZ171" s="1422">
        <v>180104</v>
      </c>
      <c r="DA171" s="1420">
        <v>179809.88</v>
      </c>
      <c r="DB171" s="1422">
        <v>185345</v>
      </c>
      <c r="DC171" s="1422">
        <v>0</v>
      </c>
      <c r="DD171" s="1422">
        <v>0</v>
      </c>
      <c r="DE171" s="1420">
        <v>181148.54</v>
      </c>
      <c r="DF171" s="1422">
        <v>192374</v>
      </c>
      <c r="DG171" s="1420">
        <v>28281.62</v>
      </c>
      <c r="DH171" s="1422">
        <v>27918</v>
      </c>
      <c r="DI171" s="1420">
        <v>2209367.64</v>
      </c>
      <c r="DJ171" s="1422">
        <v>2019063</v>
      </c>
      <c r="DK171" s="1420">
        <v>122729.53</v>
      </c>
      <c r="DL171" s="1422">
        <v>129542</v>
      </c>
      <c r="DM171" s="1420">
        <v>54370.51</v>
      </c>
      <c r="DN171" s="1422">
        <v>54763</v>
      </c>
      <c r="DO171" s="1420">
        <v>326100.08</v>
      </c>
      <c r="DP171" s="1422">
        <v>405774</v>
      </c>
      <c r="DQ171" s="1420">
        <v>148140.17000000001</v>
      </c>
      <c r="DR171" s="1422">
        <v>270834</v>
      </c>
      <c r="DS171" s="1422">
        <v>7320</v>
      </c>
      <c r="DT171" s="1422">
        <v>0</v>
      </c>
      <c r="DU171" s="1420">
        <v>658660.29</v>
      </c>
      <c r="DV171" s="1422">
        <v>860913</v>
      </c>
      <c r="DW171" s="1420">
        <v>100276.5</v>
      </c>
      <c r="DX171" s="1422">
        <v>121650</v>
      </c>
      <c r="DY171" s="1420">
        <v>195249.8</v>
      </c>
      <c r="DZ171" s="1422">
        <v>231406</v>
      </c>
      <c r="EA171" s="1420">
        <v>127557.5</v>
      </c>
      <c r="EB171" s="1422">
        <v>134550</v>
      </c>
      <c r="EC171" s="1420">
        <v>423083.8</v>
      </c>
      <c r="ED171" s="1422">
        <v>487606</v>
      </c>
      <c r="EE171" s="1420">
        <v>210385.3</v>
      </c>
      <c r="EF171" s="1422">
        <v>209439</v>
      </c>
      <c r="EG171" s="1420">
        <v>19415.22</v>
      </c>
      <c r="EH171" s="1422">
        <v>0</v>
      </c>
      <c r="EI171" s="1420">
        <v>437.3</v>
      </c>
      <c r="EJ171" s="1422">
        <v>2300</v>
      </c>
      <c r="EK171" s="1422">
        <v>0</v>
      </c>
      <c r="EL171" s="1422">
        <v>0</v>
      </c>
      <c r="EM171" s="1420">
        <v>230237.82</v>
      </c>
      <c r="EN171" s="1422">
        <v>211739</v>
      </c>
      <c r="EO171" s="1420">
        <v>585743.25</v>
      </c>
      <c r="EP171" s="1422">
        <v>0</v>
      </c>
      <c r="EQ171" s="1420">
        <v>150908.75</v>
      </c>
      <c r="ER171" s="1422">
        <v>196701</v>
      </c>
      <c r="ES171" s="1422">
        <v>0</v>
      </c>
      <c r="ET171" s="1422">
        <v>0</v>
      </c>
      <c r="EU171" s="1420">
        <v>4258001.55</v>
      </c>
      <c r="EV171" s="1422">
        <v>3776022</v>
      </c>
      <c r="EW171" s="1420">
        <v>591051.68000000005</v>
      </c>
      <c r="EX171" s="1422">
        <v>101480</v>
      </c>
      <c r="EY171" s="1420">
        <v>150908.75</v>
      </c>
      <c r="EZ171" s="1422">
        <v>196701</v>
      </c>
      <c r="FA171" s="1420">
        <v>3516041.12</v>
      </c>
      <c r="FB171" s="1422">
        <v>3477841</v>
      </c>
      <c r="FC171" s="1420">
        <v>163808.99</v>
      </c>
      <c r="FD171" s="1439"/>
      <c r="FE171" s="1420">
        <v>3352232.13</v>
      </c>
      <c r="FF171" s="1439"/>
      <c r="FG171" s="1422">
        <v>8561</v>
      </c>
      <c r="FH171" s="1439"/>
      <c r="FI171" s="1420">
        <v>32.880000000000003</v>
      </c>
      <c r="FJ171" s="1439"/>
      <c r="FK171" s="1422">
        <v>39788</v>
      </c>
      <c r="FL171" s="1439"/>
      <c r="FM171" s="1420">
        <v>36.020000000000003</v>
      </c>
      <c r="FN171" s="1439"/>
      <c r="FO171" s="1422">
        <v>42317</v>
      </c>
      <c r="FP171" s="1439"/>
      <c r="FQ171" s="1420">
        <v>716813.86</v>
      </c>
      <c r="FR171" s="1439"/>
      <c r="FS171" s="1420">
        <v>15720.21</v>
      </c>
      <c r="FT171" s="1439"/>
      <c r="FU171" s="1422">
        <v>0</v>
      </c>
      <c r="FV171" s="1439"/>
      <c r="FW171" s="1420">
        <v>701093.65</v>
      </c>
      <c r="FX171" s="1439"/>
      <c r="FY171" s="1422">
        <v>0</v>
      </c>
      <c r="FZ171" s="1439"/>
      <c r="GA171" s="1422">
        <v>0</v>
      </c>
      <c r="GB171" s="1439"/>
    </row>
    <row r="172" spans="1:184" ht="12.75" customHeight="1" thickBot="1">
      <c r="A172" s="1418" t="s">
        <v>394</v>
      </c>
      <c r="B172" s="1418" t="s">
        <v>220</v>
      </c>
      <c r="C172" s="1420">
        <v>379.27</v>
      </c>
      <c r="D172" s="1439"/>
      <c r="E172" s="1420">
        <v>708.52</v>
      </c>
      <c r="F172" s="1439"/>
      <c r="G172" s="1421">
        <v>-0.16</v>
      </c>
      <c r="H172" s="1439"/>
      <c r="I172" s="1420">
        <v>749.15</v>
      </c>
      <c r="J172" s="1439"/>
      <c r="K172" s="1420">
        <v>525.58000000000004</v>
      </c>
      <c r="L172" s="1439"/>
      <c r="M172" s="1422">
        <v>19531994</v>
      </c>
      <c r="N172" s="1439"/>
      <c r="O172" s="1420">
        <v>32.1</v>
      </c>
      <c r="P172" s="1439"/>
      <c r="Q172" s="1422">
        <v>25</v>
      </c>
      <c r="R172" s="1439"/>
      <c r="S172" s="1420">
        <v>7.1</v>
      </c>
      <c r="T172" s="1439"/>
      <c r="U172" s="1422">
        <v>0</v>
      </c>
      <c r="V172" s="1439"/>
      <c r="W172" s="1420">
        <v>7.9</v>
      </c>
      <c r="X172" s="1439"/>
      <c r="Y172" s="1422">
        <v>40</v>
      </c>
      <c r="Z172" s="1439"/>
      <c r="AA172" s="1420">
        <v>3826933.32</v>
      </c>
      <c r="AB172" s="1455"/>
      <c r="AC172" s="1424">
        <v>2332283.86</v>
      </c>
      <c r="AD172" s="1422">
        <v>2056000</v>
      </c>
      <c r="AE172" s="1420">
        <v>483969.34</v>
      </c>
      <c r="AF172" s="1422">
        <v>167881</v>
      </c>
      <c r="AG172" s="1422">
        <v>0</v>
      </c>
      <c r="AH172" s="1456">
        <v>0</v>
      </c>
      <c r="AI172" s="1428">
        <v>3553386</v>
      </c>
      <c r="AJ172" s="1422">
        <v>3176970</v>
      </c>
      <c r="AK172" s="1422">
        <v>56798</v>
      </c>
      <c r="AL172" s="1422">
        <v>0</v>
      </c>
      <c r="AM172" s="1422">
        <v>0</v>
      </c>
      <c r="AN172" s="1422">
        <v>0</v>
      </c>
      <c r="AO172" s="1422">
        <v>52189</v>
      </c>
      <c r="AP172" s="1422">
        <v>205548</v>
      </c>
      <c r="AQ172" s="1422">
        <v>1760222</v>
      </c>
      <c r="AR172" s="1422">
        <v>880111</v>
      </c>
      <c r="AS172" s="1422">
        <v>0</v>
      </c>
      <c r="AT172" s="1422">
        <v>0</v>
      </c>
      <c r="AU172" s="1422">
        <v>15074</v>
      </c>
      <c r="AV172" s="1422">
        <v>12059</v>
      </c>
      <c r="AW172" s="1422">
        <v>0</v>
      </c>
      <c r="AX172" s="1422">
        <v>0</v>
      </c>
      <c r="AY172" s="1420">
        <v>8253922.2000000002</v>
      </c>
      <c r="AZ172" s="1422">
        <v>6498569</v>
      </c>
      <c r="BA172" s="1422">
        <v>0</v>
      </c>
      <c r="BB172" s="1422">
        <v>0</v>
      </c>
      <c r="BC172" s="1422">
        <v>33825</v>
      </c>
      <c r="BD172" s="1422">
        <v>31824</v>
      </c>
      <c r="BE172" s="1420">
        <v>21477.62</v>
      </c>
      <c r="BF172" s="1422">
        <v>9400</v>
      </c>
      <c r="BG172" s="1422">
        <v>1065</v>
      </c>
      <c r="BH172" s="1422">
        <v>0</v>
      </c>
      <c r="BI172" s="1422">
        <v>35104</v>
      </c>
      <c r="BJ172" s="1420">
        <v>22548.799999999999</v>
      </c>
      <c r="BK172" s="1422">
        <v>2344</v>
      </c>
      <c r="BL172" s="1422">
        <v>2392</v>
      </c>
      <c r="BM172" s="1422">
        <v>238576</v>
      </c>
      <c r="BN172" s="1422">
        <v>244904</v>
      </c>
      <c r="BO172" s="1420">
        <v>3350.34</v>
      </c>
      <c r="BP172" s="1422">
        <v>0</v>
      </c>
      <c r="BQ172" s="1420">
        <v>28650.57</v>
      </c>
      <c r="BR172" s="1422">
        <v>10292</v>
      </c>
      <c r="BS172" s="1420">
        <v>2981.99</v>
      </c>
      <c r="BT172" s="1422">
        <v>3500</v>
      </c>
      <c r="BU172" s="1422">
        <v>0</v>
      </c>
      <c r="BV172" s="1422">
        <v>0</v>
      </c>
      <c r="BW172" s="1422">
        <v>0</v>
      </c>
      <c r="BX172" s="1422">
        <v>0</v>
      </c>
      <c r="BY172" s="1422">
        <v>0</v>
      </c>
      <c r="BZ172" s="1422">
        <v>0</v>
      </c>
      <c r="CA172" s="1422">
        <v>51736</v>
      </c>
      <c r="CB172" s="1422">
        <v>644944</v>
      </c>
      <c r="CC172" s="1420">
        <v>419110.52</v>
      </c>
      <c r="CD172" s="1420">
        <v>969804.80000000005</v>
      </c>
      <c r="CE172" s="1420">
        <v>1141136.3600000001</v>
      </c>
      <c r="CF172" s="1420">
        <v>790480.41</v>
      </c>
      <c r="CG172" s="1422">
        <v>0</v>
      </c>
      <c r="CH172" s="1420">
        <v>4753.6099999999997</v>
      </c>
      <c r="CI172" s="1420">
        <v>119851.9</v>
      </c>
      <c r="CJ172" s="1422">
        <v>0</v>
      </c>
      <c r="CK172" s="1422">
        <v>0</v>
      </c>
      <c r="CL172" s="1422">
        <v>0</v>
      </c>
      <c r="CM172" s="1422">
        <v>0</v>
      </c>
      <c r="CN172" s="1422">
        <v>0</v>
      </c>
      <c r="CO172" s="1422">
        <v>0</v>
      </c>
      <c r="CP172" s="1422">
        <v>0</v>
      </c>
      <c r="CQ172" s="1422">
        <v>0</v>
      </c>
      <c r="CR172" s="1422">
        <v>0</v>
      </c>
      <c r="CS172" s="1420">
        <v>119851.9</v>
      </c>
      <c r="CT172" s="1420">
        <v>4753.6099999999997</v>
      </c>
      <c r="CU172" s="1420">
        <v>9934020.9800000004</v>
      </c>
      <c r="CV172" s="1420">
        <v>8263607.8200000003</v>
      </c>
      <c r="CW172" s="1420">
        <v>3401752.39</v>
      </c>
      <c r="CX172" s="1420">
        <v>2759959.73</v>
      </c>
      <c r="CY172" s="1420">
        <v>399054.58</v>
      </c>
      <c r="CZ172" s="1420">
        <v>407676.55</v>
      </c>
      <c r="DA172" s="1420">
        <v>388795.39</v>
      </c>
      <c r="DB172" s="1420">
        <v>224042.1</v>
      </c>
      <c r="DC172" s="1422">
        <v>0</v>
      </c>
      <c r="DD172" s="1422">
        <v>0</v>
      </c>
      <c r="DE172" s="1420">
        <v>197112.44</v>
      </c>
      <c r="DF172" s="1420">
        <v>135892.63</v>
      </c>
      <c r="DG172" s="1420">
        <v>262257.71000000002</v>
      </c>
      <c r="DH172" s="1420">
        <v>224044.45</v>
      </c>
      <c r="DI172" s="1420">
        <v>4648972.51</v>
      </c>
      <c r="DJ172" s="1420">
        <v>3751615.46</v>
      </c>
      <c r="DK172" s="1420">
        <v>179522.33</v>
      </c>
      <c r="DL172" s="1420">
        <v>170136.97</v>
      </c>
      <c r="DM172" s="1420">
        <v>232150.61</v>
      </c>
      <c r="DN172" s="1420">
        <v>463315.17</v>
      </c>
      <c r="DO172" s="1420">
        <v>948082.23</v>
      </c>
      <c r="DP172" s="1420">
        <v>725286.25</v>
      </c>
      <c r="DQ172" s="1420">
        <v>253582.58</v>
      </c>
      <c r="DR172" s="1420">
        <v>359157.75</v>
      </c>
      <c r="DS172" s="1420">
        <v>13161.84</v>
      </c>
      <c r="DT172" s="1422">
        <v>6000</v>
      </c>
      <c r="DU172" s="1420">
        <v>1626499.59</v>
      </c>
      <c r="DV172" s="1420">
        <v>1723896.14</v>
      </c>
      <c r="DW172" s="1420">
        <v>389236.13</v>
      </c>
      <c r="DX172" s="1420">
        <v>329680.96999999997</v>
      </c>
      <c r="DY172" s="1420">
        <v>434261.16</v>
      </c>
      <c r="DZ172" s="1420">
        <v>301347.53999999998</v>
      </c>
      <c r="EA172" s="1420">
        <v>407871.42</v>
      </c>
      <c r="EB172" s="1420">
        <v>285917.43</v>
      </c>
      <c r="EC172" s="1420">
        <v>1231368.71</v>
      </c>
      <c r="ED172" s="1420">
        <v>916945.94</v>
      </c>
      <c r="EE172" s="1420">
        <v>433479.6</v>
      </c>
      <c r="EF172" s="1420">
        <v>413736.4</v>
      </c>
      <c r="EG172" s="1422">
        <v>0</v>
      </c>
      <c r="EH172" s="1422">
        <v>0</v>
      </c>
      <c r="EI172" s="1420">
        <v>365.51</v>
      </c>
      <c r="EJ172" s="1422">
        <v>0</v>
      </c>
      <c r="EK172" s="1422">
        <v>0</v>
      </c>
      <c r="EL172" s="1422">
        <v>0</v>
      </c>
      <c r="EM172" s="1420">
        <v>433845.11</v>
      </c>
      <c r="EN172" s="1420">
        <v>413736.4</v>
      </c>
      <c r="EO172" s="1420">
        <v>82897.66</v>
      </c>
      <c r="EP172" s="1420">
        <v>1057196.6599999999</v>
      </c>
      <c r="EQ172" s="1420">
        <v>277101.25</v>
      </c>
      <c r="ER172" s="1420">
        <v>177374.66</v>
      </c>
      <c r="ES172" s="1420">
        <v>329.72</v>
      </c>
      <c r="ET172" s="1422">
        <v>0</v>
      </c>
      <c r="EU172" s="1420">
        <v>8301014.5499999998</v>
      </c>
      <c r="EV172" s="1420">
        <v>8040765.2599999998</v>
      </c>
      <c r="EW172" s="1420">
        <v>308948.53999999998</v>
      </c>
      <c r="EX172" s="1420">
        <v>1482801.61</v>
      </c>
      <c r="EY172" s="1420">
        <v>277101.25</v>
      </c>
      <c r="EZ172" s="1420">
        <v>177374.66</v>
      </c>
      <c r="FA172" s="1420">
        <v>7714964.7599999998</v>
      </c>
      <c r="FB172" s="1420">
        <v>6380588.9900000002</v>
      </c>
      <c r="FC172" s="1420">
        <v>435152.62</v>
      </c>
      <c r="FD172" s="1439"/>
      <c r="FE172" s="1420">
        <v>7279812.1399999997</v>
      </c>
      <c r="FF172" s="1439"/>
      <c r="FG172" s="1422">
        <v>10274</v>
      </c>
      <c r="FH172" s="1439"/>
      <c r="FI172" s="1420">
        <v>60.76</v>
      </c>
      <c r="FJ172" s="1439"/>
      <c r="FK172" s="1422">
        <v>51561</v>
      </c>
      <c r="FL172" s="1439"/>
      <c r="FM172" s="1420">
        <v>62.78</v>
      </c>
      <c r="FN172" s="1439"/>
      <c r="FO172" s="1422">
        <v>55788</v>
      </c>
      <c r="FP172" s="1439"/>
      <c r="FQ172" s="1420">
        <v>2205548.84</v>
      </c>
      <c r="FR172" s="1439"/>
      <c r="FS172" s="1420">
        <v>25280.43</v>
      </c>
      <c r="FT172" s="1439"/>
      <c r="FU172" s="1422">
        <v>0</v>
      </c>
      <c r="FV172" s="1439"/>
      <c r="FW172" s="1420">
        <v>2180268.41</v>
      </c>
      <c r="FX172" s="1439"/>
      <c r="FY172" s="1422">
        <v>0</v>
      </c>
      <c r="FZ172" s="1439"/>
      <c r="GA172" s="1422">
        <v>0</v>
      </c>
      <c r="GB172" s="1439"/>
    </row>
    <row r="173" spans="1:184" ht="12.75" customHeight="1" thickBot="1">
      <c r="A173" s="1418" t="s">
        <v>221</v>
      </c>
      <c r="B173" s="1418" t="s">
        <v>222</v>
      </c>
      <c r="C173" s="1420">
        <v>372.88</v>
      </c>
      <c r="D173" s="1439"/>
      <c r="E173" s="1420">
        <v>1261.45</v>
      </c>
      <c r="F173" s="1439"/>
      <c r="G173" s="1421">
        <v>-0.04</v>
      </c>
      <c r="H173" s="1439"/>
      <c r="I173" s="1420">
        <v>1370.26</v>
      </c>
      <c r="J173" s="1439"/>
      <c r="K173" s="1420">
        <v>1124.04</v>
      </c>
      <c r="L173" s="1439"/>
      <c r="M173" s="1422">
        <v>38479565</v>
      </c>
      <c r="N173" s="1439"/>
      <c r="O173" s="1420">
        <v>36.4</v>
      </c>
      <c r="P173" s="1439"/>
      <c r="Q173" s="1422">
        <v>25</v>
      </c>
      <c r="R173" s="1439"/>
      <c r="S173" s="1420">
        <v>11.4</v>
      </c>
      <c r="T173" s="1439"/>
      <c r="U173" s="1422">
        <v>0</v>
      </c>
      <c r="V173" s="1439"/>
      <c r="W173" s="1420">
        <v>3.5</v>
      </c>
      <c r="X173" s="1439"/>
      <c r="Y173" s="1420">
        <v>39.9</v>
      </c>
      <c r="Z173" s="1439"/>
      <c r="AA173" s="1420">
        <v>7644536.4100000001</v>
      </c>
      <c r="AB173" s="1455"/>
      <c r="AC173" s="1424">
        <v>3222861.01</v>
      </c>
      <c r="AD173" s="1422">
        <v>3519944</v>
      </c>
      <c r="AE173" s="1420">
        <v>570424.71</v>
      </c>
      <c r="AF173" s="1422">
        <v>73000</v>
      </c>
      <c r="AG173" s="1422">
        <v>0</v>
      </c>
      <c r="AH173" s="1456">
        <v>0</v>
      </c>
      <c r="AI173" s="1428">
        <v>6542492</v>
      </c>
      <c r="AJ173" s="1422">
        <v>6238569</v>
      </c>
      <c r="AK173" s="1422">
        <v>59933</v>
      </c>
      <c r="AL173" s="1422">
        <v>0</v>
      </c>
      <c r="AM173" s="1422">
        <v>0</v>
      </c>
      <c r="AN173" s="1422">
        <v>0</v>
      </c>
      <c r="AO173" s="1422">
        <v>129374</v>
      </c>
      <c r="AP173" s="1422">
        <v>217866</v>
      </c>
      <c r="AQ173" s="1422">
        <v>1806900</v>
      </c>
      <c r="AR173" s="1422">
        <v>903450</v>
      </c>
      <c r="AS173" s="1422">
        <v>0</v>
      </c>
      <c r="AT173" s="1422">
        <v>0</v>
      </c>
      <c r="AU173" s="1422">
        <v>7695</v>
      </c>
      <c r="AV173" s="1422">
        <v>6156</v>
      </c>
      <c r="AW173" s="1422">
        <v>0</v>
      </c>
      <c r="AX173" s="1422">
        <v>0</v>
      </c>
      <c r="AY173" s="1420">
        <v>12339679.720000001</v>
      </c>
      <c r="AZ173" s="1422">
        <v>10958985</v>
      </c>
      <c r="BA173" s="1422">
        <v>0</v>
      </c>
      <c r="BB173" s="1422">
        <v>0</v>
      </c>
      <c r="BC173" s="1422">
        <v>59720</v>
      </c>
      <c r="BD173" s="1422">
        <v>58187</v>
      </c>
      <c r="BE173" s="1420">
        <v>91016.37</v>
      </c>
      <c r="BF173" s="1422">
        <v>16100</v>
      </c>
      <c r="BG173" s="1422">
        <v>300</v>
      </c>
      <c r="BH173" s="1422">
        <v>0</v>
      </c>
      <c r="BI173" s="1422">
        <v>17755</v>
      </c>
      <c r="BJ173" s="1422">
        <v>24829</v>
      </c>
      <c r="BK173" s="1422">
        <v>4981</v>
      </c>
      <c r="BL173" s="1422">
        <v>0</v>
      </c>
      <c r="BM173" s="1422">
        <v>1030688</v>
      </c>
      <c r="BN173" s="1422">
        <v>1009976</v>
      </c>
      <c r="BO173" s="1420">
        <v>63593.46</v>
      </c>
      <c r="BP173" s="1422">
        <v>195000</v>
      </c>
      <c r="BQ173" s="1420">
        <v>93367.77</v>
      </c>
      <c r="BR173" s="1422">
        <v>0</v>
      </c>
      <c r="BS173" s="1420">
        <v>5404.37</v>
      </c>
      <c r="BT173" s="1422">
        <v>5500</v>
      </c>
      <c r="BU173" s="1422">
        <v>0</v>
      </c>
      <c r="BV173" s="1422">
        <v>0</v>
      </c>
      <c r="BW173" s="1422">
        <v>0</v>
      </c>
      <c r="BX173" s="1422">
        <v>0</v>
      </c>
      <c r="BY173" s="1422">
        <v>0</v>
      </c>
      <c r="BZ173" s="1422">
        <v>0</v>
      </c>
      <c r="CA173" s="1422">
        <v>96358</v>
      </c>
      <c r="CB173" s="1422">
        <v>85749</v>
      </c>
      <c r="CC173" s="1420">
        <v>1463183.97</v>
      </c>
      <c r="CD173" s="1422">
        <v>1395341</v>
      </c>
      <c r="CE173" s="1420">
        <v>2163200.4900000002</v>
      </c>
      <c r="CF173" s="1420">
        <v>2361411.6</v>
      </c>
      <c r="CG173" s="1420">
        <v>15463.42</v>
      </c>
      <c r="CH173" s="1422">
        <v>0</v>
      </c>
      <c r="CI173" s="1420">
        <v>685486.83</v>
      </c>
      <c r="CJ173" s="1422">
        <v>0</v>
      </c>
      <c r="CK173" s="1422">
        <v>0</v>
      </c>
      <c r="CL173" s="1422">
        <v>0</v>
      </c>
      <c r="CM173" s="1422">
        <v>0</v>
      </c>
      <c r="CN173" s="1422">
        <v>0</v>
      </c>
      <c r="CO173" s="1420">
        <v>14432.41</v>
      </c>
      <c r="CP173" s="1422">
        <v>0</v>
      </c>
      <c r="CQ173" s="1422">
        <v>0</v>
      </c>
      <c r="CR173" s="1422">
        <v>0</v>
      </c>
      <c r="CS173" s="1420">
        <v>715382.66</v>
      </c>
      <c r="CT173" s="1422">
        <v>0</v>
      </c>
      <c r="CU173" s="1420">
        <v>16681446.84</v>
      </c>
      <c r="CV173" s="1420">
        <v>14715737.6</v>
      </c>
      <c r="CW173" s="1420">
        <v>5741838.1500000004</v>
      </c>
      <c r="CX173" s="1420">
        <v>5833346.96</v>
      </c>
      <c r="CY173" s="1420">
        <v>960805.38</v>
      </c>
      <c r="CZ173" s="1420">
        <v>1122703.98</v>
      </c>
      <c r="DA173" s="1420">
        <v>454026.44</v>
      </c>
      <c r="DB173" s="1420">
        <v>492960.84</v>
      </c>
      <c r="DC173" s="1422">
        <v>0</v>
      </c>
      <c r="DD173" s="1422">
        <v>0</v>
      </c>
      <c r="DE173" s="1420">
        <v>197230.04</v>
      </c>
      <c r="DF173" s="1420">
        <v>360429.64</v>
      </c>
      <c r="DG173" s="1420">
        <v>412667.48</v>
      </c>
      <c r="DH173" s="1420">
        <v>501828.72</v>
      </c>
      <c r="DI173" s="1420">
        <v>7766567.4900000002</v>
      </c>
      <c r="DJ173" s="1420">
        <v>8311270.1399999997</v>
      </c>
      <c r="DK173" s="1420">
        <v>448610.5</v>
      </c>
      <c r="DL173" s="1420">
        <v>386842.49</v>
      </c>
      <c r="DM173" s="1420">
        <v>370393.98</v>
      </c>
      <c r="DN173" s="1420">
        <v>364031.5</v>
      </c>
      <c r="DO173" s="1420">
        <v>1322614.54</v>
      </c>
      <c r="DP173" s="1420">
        <v>1366547.34</v>
      </c>
      <c r="DQ173" s="1420">
        <v>626645.29</v>
      </c>
      <c r="DR173" s="1420">
        <v>709415.65</v>
      </c>
      <c r="DS173" s="1420">
        <v>17224.349999999999</v>
      </c>
      <c r="DT173" s="1422">
        <v>15000</v>
      </c>
      <c r="DU173" s="1420">
        <v>2785488.66</v>
      </c>
      <c r="DV173" s="1420">
        <v>2841836.98</v>
      </c>
      <c r="DW173" s="1420">
        <v>633721.88</v>
      </c>
      <c r="DX173" s="1420">
        <v>841314.02</v>
      </c>
      <c r="DY173" s="1420">
        <v>1360789.74</v>
      </c>
      <c r="DZ173" s="1420">
        <v>1485483.31</v>
      </c>
      <c r="EA173" s="1420">
        <v>639843.05000000005</v>
      </c>
      <c r="EB173" s="1420">
        <v>680231.15</v>
      </c>
      <c r="EC173" s="1420">
        <v>2634354.67</v>
      </c>
      <c r="ED173" s="1420">
        <v>3007028.48</v>
      </c>
      <c r="EE173" s="1420">
        <v>616525.92000000004</v>
      </c>
      <c r="EF173" s="1422">
        <v>790400</v>
      </c>
      <c r="EG173" s="1422">
        <v>0</v>
      </c>
      <c r="EH173" s="1422">
        <v>0</v>
      </c>
      <c r="EI173" s="1422">
        <v>988</v>
      </c>
      <c r="EJ173" s="1420">
        <v>2676.1</v>
      </c>
      <c r="EK173" s="1422">
        <v>0</v>
      </c>
      <c r="EL173" s="1422">
        <v>0</v>
      </c>
      <c r="EM173" s="1420">
        <v>617513.92000000004</v>
      </c>
      <c r="EN173" s="1420">
        <v>793076.1</v>
      </c>
      <c r="EO173" s="1420">
        <v>241115.55</v>
      </c>
      <c r="EP173" s="1422">
        <v>235600</v>
      </c>
      <c r="EQ173" s="1420">
        <v>491972.5</v>
      </c>
      <c r="ER173" s="1422">
        <v>460269</v>
      </c>
      <c r="ES173" s="1422">
        <v>31776</v>
      </c>
      <c r="ET173" s="1422">
        <v>0</v>
      </c>
      <c r="EU173" s="1420">
        <v>14568788.789999999</v>
      </c>
      <c r="EV173" s="1420">
        <v>15649080.699999999</v>
      </c>
      <c r="EW173" s="1420">
        <v>813361.99</v>
      </c>
      <c r="EX173" s="1420">
        <v>456532.89</v>
      </c>
      <c r="EY173" s="1420">
        <v>491972.5</v>
      </c>
      <c r="EZ173" s="1422">
        <v>460269</v>
      </c>
      <c r="FA173" s="1420">
        <v>13263454.300000001</v>
      </c>
      <c r="FB173" s="1420">
        <v>14732278.810000001</v>
      </c>
      <c r="FC173" s="1420">
        <v>414756.63</v>
      </c>
      <c r="FD173" s="1439"/>
      <c r="FE173" s="1420">
        <v>12848697.67</v>
      </c>
      <c r="FF173" s="1439"/>
      <c r="FG173" s="1422">
        <v>10185</v>
      </c>
      <c r="FH173" s="1439"/>
      <c r="FI173" s="1420">
        <v>118.45</v>
      </c>
      <c r="FJ173" s="1439"/>
      <c r="FK173" s="1422">
        <v>43451</v>
      </c>
      <c r="FL173" s="1439"/>
      <c r="FM173" s="1420">
        <v>130.05000000000001</v>
      </c>
      <c r="FN173" s="1439"/>
      <c r="FO173" s="1422">
        <v>45934</v>
      </c>
      <c r="FP173" s="1439"/>
      <c r="FQ173" s="1420">
        <v>3159683.21</v>
      </c>
      <c r="FR173" s="1439"/>
      <c r="FS173" s="1420">
        <v>255554.74</v>
      </c>
      <c r="FT173" s="1439"/>
      <c r="FU173" s="1422">
        <v>0</v>
      </c>
      <c r="FV173" s="1439"/>
      <c r="FW173" s="1420">
        <v>2904128.47</v>
      </c>
      <c r="FX173" s="1439"/>
      <c r="FY173" s="1420">
        <v>15412.49</v>
      </c>
      <c r="FZ173" s="1439"/>
      <c r="GA173" s="1422">
        <v>0</v>
      </c>
      <c r="GB173" s="1439"/>
    </row>
    <row r="174" spans="1:184" ht="12.75" customHeight="1" thickBot="1">
      <c r="A174" s="1418" t="s">
        <v>223</v>
      </c>
      <c r="B174" s="1418" t="s">
        <v>224</v>
      </c>
      <c r="C174" s="1420">
        <v>101.61</v>
      </c>
      <c r="D174" s="1439"/>
      <c r="E174" s="1420">
        <v>562.23</v>
      </c>
      <c r="F174" s="1439"/>
      <c r="G174" s="1421">
        <v>-0.06</v>
      </c>
      <c r="H174" s="1439"/>
      <c r="I174" s="1420">
        <v>595.63</v>
      </c>
      <c r="J174" s="1439"/>
      <c r="K174" s="1420">
        <v>602.4</v>
      </c>
      <c r="L174" s="1439"/>
      <c r="M174" s="1422">
        <v>34382725</v>
      </c>
      <c r="N174" s="1439"/>
      <c r="O174" s="1422">
        <v>25</v>
      </c>
      <c r="P174" s="1439"/>
      <c r="Q174" s="1422">
        <v>25</v>
      </c>
      <c r="R174" s="1439"/>
      <c r="S174" s="1422">
        <v>0</v>
      </c>
      <c r="T174" s="1439"/>
      <c r="U174" s="1422">
        <v>0</v>
      </c>
      <c r="V174" s="1439"/>
      <c r="W174" s="1420">
        <v>8.5</v>
      </c>
      <c r="X174" s="1439"/>
      <c r="Y174" s="1420">
        <v>33.5</v>
      </c>
      <c r="Z174" s="1439"/>
      <c r="AA174" s="1420">
        <v>1734676.16</v>
      </c>
      <c r="AB174" s="1455"/>
      <c r="AC174" s="1424">
        <v>1106461.27</v>
      </c>
      <c r="AD174" s="1422">
        <v>1094230</v>
      </c>
      <c r="AE174" s="1420">
        <v>188331.84</v>
      </c>
      <c r="AF174" s="1422">
        <v>53000</v>
      </c>
      <c r="AG174" s="1422">
        <v>0</v>
      </c>
      <c r="AH174" s="1456">
        <v>0</v>
      </c>
      <c r="AI174" s="1428">
        <v>2779603</v>
      </c>
      <c r="AJ174" s="1422">
        <v>2837552</v>
      </c>
      <c r="AK174" s="1422">
        <v>18628</v>
      </c>
      <c r="AL174" s="1422">
        <v>18000</v>
      </c>
      <c r="AM174" s="1422">
        <v>0</v>
      </c>
      <c r="AN174" s="1422">
        <v>0</v>
      </c>
      <c r="AO174" s="1422">
        <v>27435</v>
      </c>
      <c r="AP174" s="1422">
        <v>6298</v>
      </c>
      <c r="AQ174" s="1422">
        <v>0</v>
      </c>
      <c r="AR174" s="1422">
        <v>0</v>
      </c>
      <c r="AS174" s="1422">
        <v>0</v>
      </c>
      <c r="AT174" s="1422">
        <v>0</v>
      </c>
      <c r="AU174" s="1422">
        <v>13225</v>
      </c>
      <c r="AV174" s="1422">
        <v>10580</v>
      </c>
      <c r="AW174" s="1420">
        <v>333.7</v>
      </c>
      <c r="AX174" s="1422">
        <v>0</v>
      </c>
      <c r="AY174" s="1420">
        <v>4134017.81</v>
      </c>
      <c r="AZ174" s="1422">
        <v>4019660</v>
      </c>
      <c r="BA174" s="1422">
        <v>0</v>
      </c>
      <c r="BB174" s="1422">
        <v>0</v>
      </c>
      <c r="BC174" s="1422">
        <v>24915</v>
      </c>
      <c r="BD174" s="1420">
        <v>40313.919999999998</v>
      </c>
      <c r="BE174" s="1420">
        <v>17094.52</v>
      </c>
      <c r="BF174" s="1422">
        <v>1800</v>
      </c>
      <c r="BG174" s="1422">
        <v>150</v>
      </c>
      <c r="BH174" s="1422">
        <v>0</v>
      </c>
      <c r="BI174" s="1422">
        <v>25475</v>
      </c>
      <c r="BJ174" s="1420">
        <v>13152.68</v>
      </c>
      <c r="BK174" s="1422">
        <v>0</v>
      </c>
      <c r="BL174" s="1422">
        <v>0</v>
      </c>
      <c r="BM174" s="1422">
        <v>448384</v>
      </c>
      <c r="BN174" s="1420">
        <v>582926.75</v>
      </c>
      <c r="BO174" s="1420">
        <v>2467.83</v>
      </c>
      <c r="BP174" s="1422">
        <v>2400</v>
      </c>
      <c r="BQ174" s="1422">
        <v>0</v>
      </c>
      <c r="BR174" s="1422">
        <v>0</v>
      </c>
      <c r="BS174" s="1420">
        <v>1978.16</v>
      </c>
      <c r="BT174" s="1422">
        <v>2000</v>
      </c>
      <c r="BU174" s="1422">
        <v>0</v>
      </c>
      <c r="BV174" s="1422">
        <v>0</v>
      </c>
      <c r="BW174" s="1422">
        <v>0</v>
      </c>
      <c r="BX174" s="1422">
        <v>0</v>
      </c>
      <c r="BY174" s="1422">
        <v>0</v>
      </c>
      <c r="BZ174" s="1422">
        <v>0</v>
      </c>
      <c r="CA174" s="1422">
        <v>38830</v>
      </c>
      <c r="CB174" s="1422">
        <v>37634</v>
      </c>
      <c r="CC174" s="1420">
        <v>559294.51</v>
      </c>
      <c r="CD174" s="1420">
        <v>680227.35</v>
      </c>
      <c r="CE174" s="1420">
        <v>1368505.9</v>
      </c>
      <c r="CF174" s="1420">
        <v>1442094.15</v>
      </c>
      <c r="CG174" s="1420">
        <v>5917.05</v>
      </c>
      <c r="CH174" s="1422">
        <v>0</v>
      </c>
      <c r="CI174" s="1422">
        <v>0</v>
      </c>
      <c r="CJ174" s="1422">
        <v>0</v>
      </c>
      <c r="CK174" s="1420">
        <v>17672.07</v>
      </c>
      <c r="CL174" s="1422">
        <v>0</v>
      </c>
      <c r="CM174" s="1422">
        <v>0</v>
      </c>
      <c r="CN174" s="1422">
        <v>0</v>
      </c>
      <c r="CO174" s="1420">
        <v>14844.22</v>
      </c>
      <c r="CP174" s="1422">
        <v>0</v>
      </c>
      <c r="CQ174" s="1422">
        <v>0</v>
      </c>
      <c r="CR174" s="1422">
        <v>0</v>
      </c>
      <c r="CS174" s="1420">
        <v>38433.339999999997</v>
      </c>
      <c r="CT174" s="1422">
        <v>0</v>
      </c>
      <c r="CU174" s="1420">
        <v>6100251.5599999996</v>
      </c>
      <c r="CV174" s="1420">
        <v>6141981.5</v>
      </c>
      <c r="CW174" s="1420">
        <v>2042443.94</v>
      </c>
      <c r="CX174" s="1420">
        <v>1984485.7</v>
      </c>
      <c r="CY174" s="1420">
        <v>491980.59</v>
      </c>
      <c r="CZ174" s="1420">
        <v>431643.87</v>
      </c>
      <c r="DA174" s="1420">
        <v>263369.15000000002</v>
      </c>
      <c r="DB174" s="1422">
        <v>157840</v>
      </c>
      <c r="DC174" s="1422">
        <v>0</v>
      </c>
      <c r="DD174" s="1422">
        <v>0</v>
      </c>
      <c r="DE174" s="1420">
        <v>315809.09000000003</v>
      </c>
      <c r="DF174" s="1420">
        <v>493771.48</v>
      </c>
      <c r="DG174" s="1420">
        <v>94520.09</v>
      </c>
      <c r="DH174" s="1420">
        <v>62234.41</v>
      </c>
      <c r="DI174" s="1420">
        <v>3208122.86</v>
      </c>
      <c r="DJ174" s="1420">
        <v>3129975.46</v>
      </c>
      <c r="DK174" s="1420">
        <v>261363.62</v>
      </c>
      <c r="DL174" s="1422">
        <v>241819</v>
      </c>
      <c r="DM174" s="1420">
        <v>84864.92</v>
      </c>
      <c r="DN174" s="1422">
        <v>86928</v>
      </c>
      <c r="DO174" s="1420">
        <v>456846.74</v>
      </c>
      <c r="DP174" s="1422">
        <v>549638</v>
      </c>
      <c r="DQ174" s="1420">
        <v>240804.03</v>
      </c>
      <c r="DR174" s="1422">
        <v>248047</v>
      </c>
      <c r="DS174" s="1420">
        <v>56849.34</v>
      </c>
      <c r="DT174" s="1422">
        <v>21076</v>
      </c>
      <c r="DU174" s="1420">
        <v>1100728.6499999999</v>
      </c>
      <c r="DV174" s="1422">
        <v>1147508</v>
      </c>
      <c r="DW174" s="1420">
        <v>234334.54</v>
      </c>
      <c r="DX174" s="1420">
        <v>240536.77</v>
      </c>
      <c r="DY174" s="1420">
        <v>717379.88</v>
      </c>
      <c r="DZ174" s="1420">
        <v>773862.83</v>
      </c>
      <c r="EA174" s="1420">
        <v>244829.31</v>
      </c>
      <c r="EB174" s="1422">
        <v>217789</v>
      </c>
      <c r="EC174" s="1420">
        <v>1196543.73</v>
      </c>
      <c r="ED174" s="1420">
        <v>1232188.6000000001</v>
      </c>
      <c r="EE174" s="1420">
        <v>295871.28000000003</v>
      </c>
      <c r="EF174" s="1422">
        <v>312028</v>
      </c>
      <c r="EG174" s="1422">
        <v>0</v>
      </c>
      <c r="EH174" s="1422">
        <v>0</v>
      </c>
      <c r="EI174" s="1420">
        <v>1577.7</v>
      </c>
      <c r="EJ174" s="1422">
        <v>3000</v>
      </c>
      <c r="EK174" s="1422">
        <v>0</v>
      </c>
      <c r="EL174" s="1422">
        <v>0</v>
      </c>
      <c r="EM174" s="1420">
        <v>297448.98</v>
      </c>
      <c r="EN174" s="1422">
        <v>315028</v>
      </c>
      <c r="EO174" s="1420">
        <v>18464.3</v>
      </c>
      <c r="EP174" s="1420">
        <v>119712.17</v>
      </c>
      <c r="EQ174" s="1420">
        <v>152778.76</v>
      </c>
      <c r="ER174" s="1420">
        <v>103659.48</v>
      </c>
      <c r="ES174" s="1420">
        <v>7.42</v>
      </c>
      <c r="ET174" s="1422">
        <v>0</v>
      </c>
      <c r="EU174" s="1420">
        <v>5974094.7000000002</v>
      </c>
      <c r="EV174" s="1420">
        <v>6048071.71</v>
      </c>
      <c r="EW174" s="1420">
        <v>148306.75</v>
      </c>
      <c r="EX174" s="1420">
        <v>215762.17</v>
      </c>
      <c r="EY174" s="1420">
        <v>152778.76</v>
      </c>
      <c r="EZ174" s="1420">
        <v>103659.48</v>
      </c>
      <c r="FA174" s="1420">
        <v>5673009.1900000004</v>
      </c>
      <c r="FB174" s="1420">
        <v>5728650.0599999996</v>
      </c>
      <c r="FC174" s="1420">
        <v>145792.92000000001</v>
      </c>
      <c r="FD174" s="1439"/>
      <c r="FE174" s="1420">
        <v>5527216.2699999996</v>
      </c>
      <c r="FF174" s="1439"/>
      <c r="FG174" s="1422">
        <v>9830</v>
      </c>
      <c r="FH174" s="1439"/>
      <c r="FI174" s="1420">
        <v>49.56</v>
      </c>
      <c r="FJ174" s="1439"/>
      <c r="FK174" s="1422">
        <v>40557</v>
      </c>
      <c r="FL174" s="1439"/>
      <c r="FM174" s="1420">
        <v>54.28</v>
      </c>
      <c r="FN174" s="1439"/>
      <c r="FO174" s="1422">
        <v>42578</v>
      </c>
      <c r="FP174" s="1439"/>
      <c r="FQ174" s="1420">
        <v>995526.38</v>
      </c>
      <c r="FR174" s="1439"/>
      <c r="FS174" s="1420">
        <v>119217.35</v>
      </c>
      <c r="FT174" s="1439"/>
      <c r="FU174" s="1420">
        <v>142904.88</v>
      </c>
      <c r="FV174" s="1439"/>
      <c r="FW174" s="1420">
        <v>733404.15</v>
      </c>
      <c r="FX174" s="1439"/>
      <c r="FY174" s="1420">
        <v>105917.05</v>
      </c>
      <c r="FZ174" s="1439"/>
      <c r="GA174" s="1422">
        <v>0</v>
      </c>
      <c r="GB174" s="1439"/>
    </row>
    <row r="175" spans="1:184" ht="12.75" customHeight="1" thickBot="1">
      <c r="A175" s="1418" t="s">
        <v>225</v>
      </c>
      <c r="B175" s="1418" t="s">
        <v>226</v>
      </c>
      <c r="C175" s="1420">
        <v>120.06</v>
      </c>
      <c r="D175" s="1439"/>
      <c r="E175" s="1420">
        <v>1400.3</v>
      </c>
      <c r="F175" s="1439"/>
      <c r="G175" s="1421">
        <v>-0.11</v>
      </c>
      <c r="H175" s="1439"/>
      <c r="I175" s="1420">
        <v>1506.05</v>
      </c>
      <c r="J175" s="1439"/>
      <c r="K175" s="1420">
        <v>1574.27</v>
      </c>
      <c r="L175" s="1439"/>
      <c r="M175" s="1422">
        <v>84939037</v>
      </c>
      <c r="N175" s="1439"/>
      <c r="O175" s="1422">
        <v>25</v>
      </c>
      <c r="P175" s="1439"/>
      <c r="Q175" s="1422">
        <v>25</v>
      </c>
      <c r="R175" s="1439"/>
      <c r="S175" s="1422">
        <v>0</v>
      </c>
      <c r="T175" s="1439"/>
      <c r="U175" s="1422">
        <v>0</v>
      </c>
      <c r="V175" s="1439"/>
      <c r="W175" s="1420">
        <v>10.8</v>
      </c>
      <c r="X175" s="1439"/>
      <c r="Y175" s="1420">
        <v>35.799999999999997</v>
      </c>
      <c r="Z175" s="1439"/>
      <c r="AA175" s="1420">
        <v>7350300.4800000004</v>
      </c>
      <c r="AB175" s="1455"/>
      <c r="AC175" s="1424">
        <v>2835930.43</v>
      </c>
      <c r="AD175" s="1422">
        <v>2759863</v>
      </c>
      <c r="AE175" s="1420">
        <v>509595.72</v>
      </c>
      <c r="AF175" s="1422">
        <v>217861</v>
      </c>
      <c r="AG175" s="1422">
        <v>0</v>
      </c>
      <c r="AH175" s="1456">
        <v>0</v>
      </c>
      <c r="AI175" s="1428">
        <v>7500823</v>
      </c>
      <c r="AJ175" s="1422">
        <v>7216850</v>
      </c>
      <c r="AK175" s="1422">
        <v>31983</v>
      </c>
      <c r="AL175" s="1422">
        <v>1500</v>
      </c>
      <c r="AM175" s="1422">
        <v>0</v>
      </c>
      <c r="AN175" s="1422">
        <v>0</v>
      </c>
      <c r="AO175" s="1422">
        <v>56134</v>
      </c>
      <c r="AP175" s="1422">
        <v>173230</v>
      </c>
      <c r="AQ175" s="1422">
        <v>0</v>
      </c>
      <c r="AR175" s="1422">
        <v>0</v>
      </c>
      <c r="AS175" s="1422">
        <v>0</v>
      </c>
      <c r="AT175" s="1422">
        <v>0</v>
      </c>
      <c r="AU175" s="1422">
        <v>39178</v>
      </c>
      <c r="AV175" s="1422">
        <v>31343</v>
      </c>
      <c r="AW175" s="1422">
        <v>0</v>
      </c>
      <c r="AX175" s="1422">
        <v>0</v>
      </c>
      <c r="AY175" s="1420">
        <v>10973644.15</v>
      </c>
      <c r="AZ175" s="1422">
        <v>10400647</v>
      </c>
      <c r="BA175" s="1422">
        <v>0</v>
      </c>
      <c r="BB175" s="1422">
        <v>0</v>
      </c>
      <c r="BC175" s="1422">
        <v>65112</v>
      </c>
      <c r="BD175" s="1422">
        <v>64328</v>
      </c>
      <c r="BE175" s="1420">
        <v>4443.1400000000003</v>
      </c>
      <c r="BF175" s="1422">
        <v>2400</v>
      </c>
      <c r="BG175" s="1422">
        <v>250</v>
      </c>
      <c r="BH175" s="1422">
        <v>0</v>
      </c>
      <c r="BI175" s="1422">
        <v>60945</v>
      </c>
      <c r="BJ175" s="1422">
        <v>71543</v>
      </c>
      <c r="BK175" s="1422">
        <v>4395</v>
      </c>
      <c r="BL175" s="1422">
        <v>4485</v>
      </c>
      <c r="BM175" s="1422">
        <v>735399</v>
      </c>
      <c r="BN175" s="1422">
        <v>920927</v>
      </c>
      <c r="BO175" s="1420">
        <v>8373.26</v>
      </c>
      <c r="BP175" s="1422">
        <v>6000</v>
      </c>
      <c r="BQ175" s="1422">
        <v>0</v>
      </c>
      <c r="BR175" s="1422">
        <v>0</v>
      </c>
      <c r="BS175" s="1420">
        <v>6375.13</v>
      </c>
      <c r="BT175" s="1422">
        <v>6375</v>
      </c>
      <c r="BU175" s="1422">
        <v>0</v>
      </c>
      <c r="BV175" s="1422">
        <v>0</v>
      </c>
      <c r="BW175" s="1422">
        <v>388800</v>
      </c>
      <c r="BX175" s="1422">
        <v>388800</v>
      </c>
      <c r="BY175" s="1422">
        <v>0</v>
      </c>
      <c r="BZ175" s="1422">
        <v>0</v>
      </c>
      <c r="CA175" s="1420">
        <v>704689.61</v>
      </c>
      <c r="CB175" s="1420">
        <v>71137.399999999994</v>
      </c>
      <c r="CC175" s="1420">
        <v>1978782.14</v>
      </c>
      <c r="CD175" s="1420">
        <v>1535995.4</v>
      </c>
      <c r="CE175" s="1420">
        <v>4617503.13</v>
      </c>
      <c r="CF175" s="1420">
        <v>2885842.97</v>
      </c>
      <c r="CG175" s="1422">
        <v>0</v>
      </c>
      <c r="CH175" s="1422">
        <v>0</v>
      </c>
      <c r="CI175" s="1422">
        <v>0</v>
      </c>
      <c r="CJ175" s="1422">
        <v>0</v>
      </c>
      <c r="CK175" s="1422">
        <v>0</v>
      </c>
      <c r="CL175" s="1422">
        <v>9500</v>
      </c>
      <c r="CM175" s="1422">
        <v>0</v>
      </c>
      <c r="CN175" s="1422">
        <v>0</v>
      </c>
      <c r="CO175" s="1422">
        <v>0</v>
      </c>
      <c r="CP175" s="1422">
        <v>0</v>
      </c>
      <c r="CQ175" s="1422">
        <v>0</v>
      </c>
      <c r="CR175" s="1422">
        <v>0</v>
      </c>
      <c r="CS175" s="1422">
        <v>0</v>
      </c>
      <c r="CT175" s="1422">
        <v>9500</v>
      </c>
      <c r="CU175" s="1420">
        <v>17569929.420000002</v>
      </c>
      <c r="CV175" s="1420">
        <v>14831985.369999999</v>
      </c>
      <c r="CW175" s="1420">
        <v>5458243.5099999998</v>
      </c>
      <c r="CX175" s="1420">
        <v>5550050.7199999997</v>
      </c>
      <c r="CY175" s="1420">
        <v>1194623.19</v>
      </c>
      <c r="CZ175" s="1420">
        <v>1298725.18</v>
      </c>
      <c r="DA175" s="1420">
        <v>445574.89</v>
      </c>
      <c r="DB175" s="1420">
        <v>364024.49</v>
      </c>
      <c r="DC175" s="1422">
        <v>0</v>
      </c>
      <c r="DD175" s="1422">
        <v>0</v>
      </c>
      <c r="DE175" s="1420">
        <v>707769.66</v>
      </c>
      <c r="DF175" s="1420">
        <v>804916.96</v>
      </c>
      <c r="DG175" s="1420">
        <v>419762.89</v>
      </c>
      <c r="DH175" s="1420">
        <v>389602.04</v>
      </c>
      <c r="DI175" s="1420">
        <v>8225974.1399999997</v>
      </c>
      <c r="DJ175" s="1420">
        <v>8407319.3900000006</v>
      </c>
      <c r="DK175" s="1420">
        <v>304122.86</v>
      </c>
      <c r="DL175" s="1420">
        <v>240663.12</v>
      </c>
      <c r="DM175" s="1420">
        <v>219797.65</v>
      </c>
      <c r="DN175" s="1420">
        <v>130752.56</v>
      </c>
      <c r="DO175" s="1420">
        <v>1506732.62</v>
      </c>
      <c r="DP175" s="1420">
        <v>1764320.8</v>
      </c>
      <c r="DQ175" s="1420">
        <v>432610.22</v>
      </c>
      <c r="DR175" s="1420">
        <v>520021.25</v>
      </c>
      <c r="DS175" s="1420">
        <v>47864.27</v>
      </c>
      <c r="DT175" s="1422">
        <v>24500</v>
      </c>
      <c r="DU175" s="1420">
        <v>2511127.62</v>
      </c>
      <c r="DV175" s="1420">
        <v>2680257.73</v>
      </c>
      <c r="DW175" s="1420">
        <v>696486.41</v>
      </c>
      <c r="DX175" s="1420">
        <v>747365.81</v>
      </c>
      <c r="DY175" s="1420">
        <v>1346395.33</v>
      </c>
      <c r="DZ175" s="1420">
        <v>1183267.6499999999</v>
      </c>
      <c r="EA175" s="1420">
        <v>678138.12</v>
      </c>
      <c r="EB175" s="1420">
        <v>668683.57999999996</v>
      </c>
      <c r="EC175" s="1420">
        <v>2721019.86</v>
      </c>
      <c r="ED175" s="1420">
        <v>2599317.04</v>
      </c>
      <c r="EE175" s="1420">
        <v>816127.7</v>
      </c>
      <c r="EF175" s="1420">
        <v>755206.93</v>
      </c>
      <c r="EG175" s="1422">
        <v>0</v>
      </c>
      <c r="EH175" s="1422">
        <v>0</v>
      </c>
      <c r="EI175" s="1420">
        <v>1983.31</v>
      </c>
      <c r="EJ175" s="1422">
        <v>2000</v>
      </c>
      <c r="EK175" s="1422">
        <v>0</v>
      </c>
      <c r="EL175" s="1422">
        <v>0</v>
      </c>
      <c r="EM175" s="1420">
        <v>818111.01</v>
      </c>
      <c r="EN175" s="1420">
        <v>757206.93</v>
      </c>
      <c r="EO175" s="1420">
        <v>2178560.39</v>
      </c>
      <c r="EP175" s="1420">
        <v>78028.89</v>
      </c>
      <c r="EQ175" s="1420">
        <v>569724.84</v>
      </c>
      <c r="ER175" s="1422">
        <v>571326</v>
      </c>
      <c r="ES175" s="1422">
        <v>0</v>
      </c>
      <c r="ET175" s="1422">
        <v>0</v>
      </c>
      <c r="EU175" s="1420">
        <v>17024517.859999999</v>
      </c>
      <c r="EV175" s="1420">
        <v>15093455.98</v>
      </c>
      <c r="EW175" s="1420">
        <v>2580432.9300000002</v>
      </c>
      <c r="EX175" s="1420">
        <v>387949.83</v>
      </c>
      <c r="EY175" s="1420">
        <v>569724.84</v>
      </c>
      <c r="EZ175" s="1422">
        <v>571326</v>
      </c>
      <c r="FA175" s="1420">
        <v>13874360.09</v>
      </c>
      <c r="FB175" s="1420">
        <v>14134180.15</v>
      </c>
      <c r="FC175" s="1420">
        <v>706264.77</v>
      </c>
      <c r="FD175" s="1439"/>
      <c r="FE175" s="1420">
        <v>13168095.32</v>
      </c>
      <c r="FF175" s="1439"/>
      <c r="FG175" s="1422">
        <v>9403</v>
      </c>
      <c r="FH175" s="1439"/>
      <c r="FI175" s="1420">
        <v>114.98</v>
      </c>
      <c r="FJ175" s="1439"/>
      <c r="FK175" s="1422">
        <v>41290</v>
      </c>
      <c r="FL175" s="1439"/>
      <c r="FM175" s="1420">
        <v>124.74</v>
      </c>
      <c r="FN175" s="1439"/>
      <c r="FO175" s="1422">
        <v>43459</v>
      </c>
      <c r="FP175" s="1439"/>
      <c r="FQ175" s="1420">
        <v>2132911.94</v>
      </c>
      <c r="FR175" s="1439"/>
      <c r="FS175" s="1420">
        <v>111818.27</v>
      </c>
      <c r="FT175" s="1439"/>
      <c r="FU175" s="1422">
        <v>0</v>
      </c>
      <c r="FV175" s="1439"/>
      <c r="FW175" s="1420">
        <v>2021093.67</v>
      </c>
      <c r="FX175" s="1439"/>
      <c r="FY175" s="1422">
        <v>75113</v>
      </c>
      <c r="FZ175" s="1439"/>
      <c r="GA175" s="1422">
        <v>0</v>
      </c>
      <c r="GB175" s="1439"/>
    </row>
    <row r="176" spans="1:184" ht="12.75" customHeight="1" thickBot="1">
      <c r="A176" s="1418" t="s">
        <v>227</v>
      </c>
      <c r="B176" s="1418" t="s">
        <v>228</v>
      </c>
      <c r="C176" s="1420">
        <v>149.72999999999999</v>
      </c>
      <c r="D176" s="1439"/>
      <c r="E176" s="1420">
        <v>684.62</v>
      </c>
      <c r="F176" s="1439"/>
      <c r="G176" s="1421">
        <v>-0.11</v>
      </c>
      <c r="H176" s="1439"/>
      <c r="I176" s="1420">
        <v>723.81</v>
      </c>
      <c r="J176" s="1439"/>
      <c r="K176" s="1420">
        <v>742.83</v>
      </c>
      <c r="L176" s="1439"/>
      <c r="M176" s="1422">
        <v>31314901</v>
      </c>
      <c r="N176" s="1439"/>
      <c r="O176" s="1422">
        <v>25</v>
      </c>
      <c r="P176" s="1439"/>
      <c r="Q176" s="1422">
        <v>25</v>
      </c>
      <c r="R176" s="1439"/>
      <c r="S176" s="1422">
        <v>0</v>
      </c>
      <c r="T176" s="1439"/>
      <c r="U176" s="1422">
        <v>0</v>
      </c>
      <c r="V176" s="1439"/>
      <c r="W176" s="1420">
        <v>6.2</v>
      </c>
      <c r="X176" s="1439"/>
      <c r="Y176" s="1420">
        <v>31.2</v>
      </c>
      <c r="Z176" s="1439"/>
      <c r="AA176" s="1422">
        <v>836727</v>
      </c>
      <c r="AB176" s="1455"/>
      <c r="AC176" s="1424">
        <v>885170.05</v>
      </c>
      <c r="AD176" s="1422">
        <v>519672</v>
      </c>
      <c r="AE176" s="1420">
        <v>294290.05</v>
      </c>
      <c r="AF176" s="1422">
        <v>134891</v>
      </c>
      <c r="AG176" s="1422">
        <v>0</v>
      </c>
      <c r="AH176" s="1456">
        <v>0</v>
      </c>
      <c r="AI176" s="1428">
        <v>3721974</v>
      </c>
      <c r="AJ176" s="1422">
        <v>3693952</v>
      </c>
      <c r="AK176" s="1422">
        <v>10471</v>
      </c>
      <c r="AL176" s="1422">
        <v>0</v>
      </c>
      <c r="AM176" s="1422">
        <v>0</v>
      </c>
      <c r="AN176" s="1422">
        <v>0</v>
      </c>
      <c r="AO176" s="1422">
        <v>55141</v>
      </c>
      <c r="AP176" s="1422">
        <v>49797</v>
      </c>
      <c r="AQ176" s="1422">
        <v>0</v>
      </c>
      <c r="AR176" s="1422">
        <v>0</v>
      </c>
      <c r="AS176" s="1422">
        <v>0</v>
      </c>
      <c r="AT176" s="1422">
        <v>0</v>
      </c>
      <c r="AU176" s="1422">
        <v>39389</v>
      </c>
      <c r="AV176" s="1422">
        <v>31511</v>
      </c>
      <c r="AW176" s="1422">
        <v>0</v>
      </c>
      <c r="AX176" s="1422">
        <v>0</v>
      </c>
      <c r="AY176" s="1420">
        <v>5006435.0999999996</v>
      </c>
      <c r="AZ176" s="1422">
        <v>4429823</v>
      </c>
      <c r="BA176" s="1422">
        <v>0</v>
      </c>
      <c r="BB176" s="1422">
        <v>0</v>
      </c>
      <c r="BC176" s="1422">
        <v>30723</v>
      </c>
      <c r="BD176" s="1422">
        <v>30794</v>
      </c>
      <c r="BE176" s="1420">
        <v>15319.15</v>
      </c>
      <c r="BF176" s="1422">
        <v>6727</v>
      </c>
      <c r="BG176" s="1422">
        <v>1954</v>
      </c>
      <c r="BH176" s="1422">
        <v>0</v>
      </c>
      <c r="BI176" s="1422">
        <v>6095</v>
      </c>
      <c r="BJ176" s="1422">
        <v>10528</v>
      </c>
      <c r="BK176" s="1422">
        <v>5274</v>
      </c>
      <c r="BL176" s="1422">
        <v>0</v>
      </c>
      <c r="BM176" s="1422">
        <v>558496</v>
      </c>
      <c r="BN176" s="1422">
        <v>537372</v>
      </c>
      <c r="BO176" s="1420">
        <v>19937.12</v>
      </c>
      <c r="BP176" s="1422">
        <v>0</v>
      </c>
      <c r="BQ176" s="1422">
        <v>0</v>
      </c>
      <c r="BR176" s="1422">
        <v>0</v>
      </c>
      <c r="BS176" s="1420">
        <v>2714.49</v>
      </c>
      <c r="BT176" s="1422">
        <v>3000</v>
      </c>
      <c r="BU176" s="1422">
        <v>0</v>
      </c>
      <c r="BV176" s="1422">
        <v>0</v>
      </c>
      <c r="BW176" s="1422">
        <v>284796</v>
      </c>
      <c r="BX176" s="1422">
        <v>291600</v>
      </c>
      <c r="BY176" s="1422">
        <v>0</v>
      </c>
      <c r="BZ176" s="1422">
        <v>0</v>
      </c>
      <c r="CA176" s="1422">
        <v>56760</v>
      </c>
      <c r="CB176" s="1422">
        <v>54119</v>
      </c>
      <c r="CC176" s="1420">
        <v>982068.76</v>
      </c>
      <c r="CD176" s="1422">
        <v>934140</v>
      </c>
      <c r="CE176" s="1420">
        <v>1042586.86</v>
      </c>
      <c r="CF176" s="1420">
        <v>975825.43</v>
      </c>
      <c r="CG176" s="1422">
        <v>0</v>
      </c>
      <c r="CH176" s="1422">
        <v>0</v>
      </c>
      <c r="CI176" s="1422">
        <v>0</v>
      </c>
      <c r="CJ176" s="1422">
        <v>0</v>
      </c>
      <c r="CK176" s="1422">
        <v>0</v>
      </c>
      <c r="CL176" s="1422">
        <v>0</v>
      </c>
      <c r="CM176" s="1422">
        <v>0</v>
      </c>
      <c r="CN176" s="1422">
        <v>0</v>
      </c>
      <c r="CO176" s="1422">
        <v>0</v>
      </c>
      <c r="CP176" s="1422">
        <v>0</v>
      </c>
      <c r="CQ176" s="1422">
        <v>0</v>
      </c>
      <c r="CR176" s="1422">
        <v>0</v>
      </c>
      <c r="CS176" s="1422">
        <v>0</v>
      </c>
      <c r="CT176" s="1422">
        <v>0</v>
      </c>
      <c r="CU176" s="1420">
        <v>7031090.7199999997</v>
      </c>
      <c r="CV176" s="1420">
        <v>6339788.4299999997</v>
      </c>
      <c r="CW176" s="1420">
        <v>3098833.45</v>
      </c>
      <c r="CX176" s="1420">
        <v>2898714.45</v>
      </c>
      <c r="CY176" s="1420">
        <v>570544.57999999996</v>
      </c>
      <c r="CZ176" s="1420">
        <v>608874.79</v>
      </c>
      <c r="DA176" s="1420">
        <v>226246.87</v>
      </c>
      <c r="DB176" s="1420">
        <v>213378.93</v>
      </c>
      <c r="DC176" s="1422">
        <v>0</v>
      </c>
      <c r="DD176" s="1422">
        <v>0</v>
      </c>
      <c r="DE176" s="1420">
        <v>141108.60999999999</v>
      </c>
      <c r="DF176" s="1420">
        <v>140607.29</v>
      </c>
      <c r="DG176" s="1420">
        <v>54107.01</v>
      </c>
      <c r="DH176" s="1420">
        <v>70054.48</v>
      </c>
      <c r="DI176" s="1420">
        <v>4090840.52</v>
      </c>
      <c r="DJ176" s="1420">
        <v>3931629.94</v>
      </c>
      <c r="DK176" s="1420">
        <v>220692.27</v>
      </c>
      <c r="DL176" s="1420">
        <v>210068.66</v>
      </c>
      <c r="DM176" s="1420">
        <v>89056.72</v>
      </c>
      <c r="DN176" s="1420">
        <v>67821.149999999994</v>
      </c>
      <c r="DO176" s="1420">
        <v>711517.36</v>
      </c>
      <c r="DP176" s="1420">
        <v>636903.18999999994</v>
      </c>
      <c r="DQ176" s="1420">
        <v>303278.14</v>
      </c>
      <c r="DR176" s="1420">
        <v>140075.89000000001</v>
      </c>
      <c r="DS176" s="1420">
        <v>14768.16</v>
      </c>
      <c r="DT176" s="1422">
        <v>14426</v>
      </c>
      <c r="DU176" s="1420">
        <v>1339312.6499999999</v>
      </c>
      <c r="DV176" s="1420">
        <v>1069294.8899999999</v>
      </c>
      <c r="DW176" s="1420">
        <v>218584.51</v>
      </c>
      <c r="DX176" s="1420">
        <v>220831.5</v>
      </c>
      <c r="DY176" s="1420">
        <v>653257.09</v>
      </c>
      <c r="DZ176" s="1420">
        <v>668514.43999999994</v>
      </c>
      <c r="EA176" s="1420">
        <v>311200.11</v>
      </c>
      <c r="EB176" s="1420">
        <v>296810.08</v>
      </c>
      <c r="EC176" s="1420">
        <v>1183041.71</v>
      </c>
      <c r="ED176" s="1420">
        <v>1186156.02</v>
      </c>
      <c r="EE176" s="1420">
        <v>415551.52</v>
      </c>
      <c r="EF176" s="1420">
        <v>374652.7</v>
      </c>
      <c r="EG176" s="1420">
        <v>26309.57</v>
      </c>
      <c r="EH176" s="1422">
        <v>0</v>
      </c>
      <c r="EI176" s="1420">
        <v>49.65</v>
      </c>
      <c r="EJ176" s="1422">
        <v>300</v>
      </c>
      <c r="EK176" s="1422">
        <v>0</v>
      </c>
      <c r="EL176" s="1422">
        <v>0</v>
      </c>
      <c r="EM176" s="1420">
        <v>441910.74</v>
      </c>
      <c r="EN176" s="1420">
        <v>374952.7</v>
      </c>
      <c r="EO176" s="1420">
        <v>45295.49</v>
      </c>
      <c r="EP176" s="1422">
        <v>0</v>
      </c>
      <c r="EQ176" s="1420">
        <v>81949.56</v>
      </c>
      <c r="ER176" s="1420">
        <v>81463.070000000007</v>
      </c>
      <c r="ES176" s="1420">
        <v>6584.73</v>
      </c>
      <c r="ET176" s="1422">
        <v>0</v>
      </c>
      <c r="EU176" s="1420">
        <v>7188935.4000000004</v>
      </c>
      <c r="EV176" s="1420">
        <v>6643496.6200000001</v>
      </c>
      <c r="EW176" s="1420">
        <v>299522.07</v>
      </c>
      <c r="EX176" s="1420">
        <v>37631.339999999997</v>
      </c>
      <c r="EY176" s="1420">
        <v>81949.56</v>
      </c>
      <c r="EZ176" s="1420">
        <v>81463.070000000007</v>
      </c>
      <c r="FA176" s="1420">
        <v>6807463.7699999996</v>
      </c>
      <c r="FB176" s="1420">
        <v>6524402.21</v>
      </c>
      <c r="FC176" s="1420">
        <v>457987.43</v>
      </c>
      <c r="FD176" s="1439"/>
      <c r="FE176" s="1420">
        <v>6349476.3399999999</v>
      </c>
      <c r="FF176" s="1439"/>
      <c r="FG176" s="1422">
        <v>9274</v>
      </c>
      <c r="FH176" s="1439"/>
      <c r="FI176" s="1420">
        <v>58.94</v>
      </c>
      <c r="FJ176" s="1439"/>
      <c r="FK176" s="1422">
        <v>40541</v>
      </c>
      <c r="FL176" s="1439"/>
      <c r="FM176" s="1420">
        <v>64.569999999999993</v>
      </c>
      <c r="FN176" s="1439"/>
      <c r="FO176" s="1422">
        <v>42520</v>
      </c>
      <c r="FP176" s="1439"/>
      <c r="FQ176" s="1420">
        <v>2347308.35</v>
      </c>
      <c r="FR176" s="1439"/>
      <c r="FS176" s="1420">
        <v>18106.38</v>
      </c>
      <c r="FT176" s="1439"/>
      <c r="FU176" s="1422">
        <v>0</v>
      </c>
      <c r="FV176" s="1439"/>
      <c r="FW176" s="1420">
        <v>2329201.9700000002</v>
      </c>
      <c r="FX176" s="1439"/>
      <c r="FY176" s="1422">
        <v>0</v>
      </c>
      <c r="FZ176" s="1439"/>
      <c r="GA176" s="1422">
        <v>0</v>
      </c>
      <c r="GB176" s="1439"/>
    </row>
    <row r="177" spans="1:184" ht="12.75" customHeight="1" thickBot="1">
      <c r="A177" s="1418" t="s">
        <v>229</v>
      </c>
      <c r="B177" s="1418" t="s">
        <v>230</v>
      </c>
      <c r="C177" s="1420">
        <v>434.16</v>
      </c>
      <c r="D177" s="1439"/>
      <c r="E177" s="1420">
        <v>1831.79</v>
      </c>
      <c r="F177" s="1439"/>
      <c r="G177" s="1421">
        <v>-0.05</v>
      </c>
      <c r="H177" s="1439"/>
      <c r="I177" s="1420">
        <v>1882.57</v>
      </c>
      <c r="J177" s="1439"/>
      <c r="K177" s="1420">
        <v>1945.46</v>
      </c>
      <c r="L177" s="1439"/>
      <c r="M177" s="1422">
        <v>133614191</v>
      </c>
      <c r="N177" s="1439"/>
      <c r="O177" s="1422">
        <v>25</v>
      </c>
      <c r="P177" s="1439"/>
      <c r="Q177" s="1422">
        <v>25</v>
      </c>
      <c r="R177" s="1439"/>
      <c r="S177" s="1422">
        <v>0</v>
      </c>
      <c r="T177" s="1439"/>
      <c r="U177" s="1422">
        <v>0</v>
      </c>
      <c r="V177" s="1439"/>
      <c r="W177" s="1420">
        <v>10.9</v>
      </c>
      <c r="X177" s="1439"/>
      <c r="Y177" s="1420">
        <v>35.9</v>
      </c>
      <c r="Z177" s="1439"/>
      <c r="AA177" s="1420">
        <v>18910816.879999999</v>
      </c>
      <c r="AB177" s="1455"/>
      <c r="AC177" s="1424">
        <v>4216514.03</v>
      </c>
      <c r="AD177" s="1422">
        <v>4215807</v>
      </c>
      <c r="AE177" s="1420">
        <v>1105511.77</v>
      </c>
      <c r="AF177" s="1422">
        <v>374526</v>
      </c>
      <c r="AG177" s="1420">
        <v>7380.53</v>
      </c>
      <c r="AH177" s="1456">
        <v>7381</v>
      </c>
      <c r="AI177" s="1428">
        <v>8356377</v>
      </c>
      <c r="AJ177" s="1422">
        <v>8060580</v>
      </c>
      <c r="AK177" s="1422">
        <v>170848</v>
      </c>
      <c r="AL177" s="1422">
        <v>170000</v>
      </c>
      <c r="AM177" s="1422">
        <v>0</v>
      </c>
      <c r="AN177" s="1422">
        <v>0</v>
      </c>
      <c r="AO177" s="1422">
        <v>32795</v>
      </c>
      <c r="AP177" s="1422">
        <v>192276</v>
      </c>
      <c r="AQ177" s="1422">
        <v>0</v>
      </c>
      <c r="AR177" s="1422">
        <v>0</v>
      </c>
      <c r="AS177" s="1422">
        <v>13113</v>
      </c>
      <c r="AT177" s="1422">
        <v>0</v>
      </c>
      <c r="AU177" s="1422">
        <v>7759</v>
      </c>
      <c r="AV177" s="1422">
        <v>6207</v>
      </c>
      <c r="AW177" s="1420">
        <v>371.32</v>
      </c>
      <c r="AX177" s="1422">
        <v>0</v>
      </c>
      <c r="AY177" s="1420">
        <v>13910669.65</v>
      </c>
      <c r="AZ177" s="1422">
        <v>13026777</v>
      </c>
      <c r="BA177" s="1422">
        <v>0</v>
      </c>
      <c r="BB177" s="1422">
        <v>0</v>
      </c>
      <c r="BC177" s="1422">
        <v>80464</v>
      </c>
      <c r="BD177" s="1422">
        <v>79796</v>
      </c>
      <c r="BE177" s="1420">
        <v>6735.48</v>
      </c>
      <c r="BF177" s="1422">
        <v>2500</v>
      </c>
      <c r="BG177" s="1422">
        <v>450</v>
      </c>
      <c r="BH177" s="1422">
        <v>0</v>
      </c>
      <c r="BI177" s="1422">
        <v>122906</v>
      </c>
      <c r="BJ177" s="1422">
        <v>126713</v>
      </c>
      <c r="BK177" s="1422">
        <v>5567</v>
      </c>
      <c r="BL177" s="1422">
        <v>5567</v>
      </c>
      <c r="BM177" s="1422">
        <v>595200</v>
      </c>
      <c r="BN177" s="1422">
        <v>623392</v>
      </c>
      <c r="BO177" s="1420">
        <v>82183.520000000004</v>
      </c>
      <c r="BP177" s="1422">
        <v>55000</v>
      </c>
      <c r="BQ177" s="1420">
        <v>40341.879999999997</v>
      </c>
      <c r="BR177" s="1420">
        <v>47970.69</v>
      </c>
      <c r="BS177" s="1420">
        <v>7259.74</v>
      </c>
      <c r="BT177" s="1422">
        <v>7200</v>
      </c>
      <c r="BU177" s="1422">
        <v>0</v>
      </c>
      <c r="BV177" s="1422">
        <v>0</v>
      </c>
      <c r="BW177" s="1422">
        <v>0</v>
      </c>
      <c r="BX177" s="1422">
        <v>0</v>
      </c>
      <c r="BY177" s="1422">
        <v>0</v>
      </c>
      <c r="BZ177" s="1422">
        <v>0</v>
      </c>
      <c r="CA177" s="1420">
        <v>3993654.88</v>
      </c>
      <c r="CB177" s="1422">
        <v>2390023</v>
      </c>
      <c r="CC177" s="1420">
        <v>4934762.5</v>
      </c>
      <c r="CD177" s="1420">
        <v>3338161.69</v>
      </c>
      <c r="CE177" s="1420">
        <v>4139602.39</v>
      </c>
      <c r="CF177" s="1420">
        <v>4881825.24</v>
      </c>
      <c r="CG177" s="1422">
        <v>1004500</v>
      </c>
      <c r="CH177" s="1422">
        <v>0</v>
      </c>
      <c r="CI177" s="1422">
        <v>0</v>
      </c>
      <c r="CJ177" s="1422">
        <v>0</v>
      </c>
      <c r="CK177" s="1422">
        <v>10246</v>
      </c>
      <c r="CL177" s="1422">
        <v>0</v>
      </c>
      <c r="CM177" s="1422">
        <v>36135</v>
      </c>
      <c r="CN177" s="1422">
        <v>0</v>
      </c>
      <c r="CO177" s="1422">
        <v>1000000</v>
      </c>
      <c r="CP177" s="1422">
        <v>0</v>
      </c>
      <c r="CQ177" s="1422">
        <v>0</v>
      </c>
      <c r="CR177" s="1422">
        <v>0</v>
      </c>
      <c r="CS177" s="1422">
        <v>2050881</v>
      </c>
      <c r="CT177" s="1422">
        <v>0</v>
      </c>
      <c r="CU177" s="1420">
        <v>25035915.539999999</v>
      </c>
      <c r="CV177" s="1420">
        <v>21246763.93</v>
      </c>
      <c r="CW177" s="1420">
        <v>7124046.2199999997</v>
      </c>
      <c r="CX177" s="1420">
        <v>6307190.8300000001</v>
      </c>
      <c r="CY177" s="1420">
        <v>1010820.21</v>
      </c>
      <c r="CZ177" s="1420">
        <v>1133502.3500000001</v>
      </c>
      <c r="DA177" s="1420">
        <v>671776.95</v>
      </c>
      <c r="DB177" s="1420">
        <v>692008.72</v>
      </c>
      <c r="DC177" s="1422">
        <v>0</v>
      </c>
      <c r="DD177" s="1422">
        <v>0</v>
      </c>
      <c r="DE177" s="1420">
        <v>662855.42000000004</v>
      </c>
      <c r="DF177" s="1420">
        <v>635359.88</v>
      </c>
      <c r="DG177" s="1420">
        <v>428248.87</v>
      </c>
      <c r="DH177" s="1420">
        <v>424202.82</v>
      </c>
      <c r="DI177" s="1420">
        <v>9897747.6699999999</v>
      </c>
      <c r="DJ177" s="1420">
        <v>9192264.5999999996</v>
      </c>
      <c r="DK177" s="1420">
        <v>340115.43</v>
      </c>
      <c r="DL177" s="1420">
        <v>309270.90999999997</v>
      </c>
      <c r="DM177" s="1420">
        <v>206684.53</v>
      </c>
      <c r="DN177" s="1420">
        <v>205391.68</v>
      </c>
      <c r="DO177" s="1420">
        <v>1641778.61</v>
      </c>
      <c r="DP177" s="1420">
        <v>1279376.52</v>
      </c>
      <c r="DQ177" s="1420">
        <v>1020635.67</v>
      </c>
      <c r="DR177" s="1420">
        <v>1009091.95</v>
      </c>
      <c r="DS177" s="1420">
        <v>51858.57</v>
      </c>
      <c r="DT177" s="1422">
        <v>29000</v>
      </c>
      <c r="DU177" s="1420">
        <v>3261072.81</v>
      </c>
      <c r="DV177" s="1420">
        <v>2832131.06</v>
      </c>
      <c r="DW177" s="1420">
        <v>780994.88</v>
      </c>
      <c r="DX177" s="1420">
        <v>810151.36</v>
      </c>
      <c r="DY177" s="1420">
        <v>1551108.13</v>
      </c>
      <c r="DZ177" s="1420">
        <v>1436122.26</v>
      </c>
      <c r="EA177" s="1420">
        <v>700587.23</v>
      </c>
      <c r="EB177" s="1420">
        <v>708028.11</v>
      </c>
      <c r="EC177" s="1420">
        <v>3032690.24</v>
      </c>
      <c r="ED177" s="1420">
        <v>2954301.73</v>
      </c>
      <c r="EE177" s="1420">
        <v>1007914.62</v>
      </c>
      <c r="EF177" s="1420">
        <v>1005150.23</v>
      </c>
      <c r="EG177" s="1422">
        <v>0</v>
      </c>
      <c r="EH177" s="1422">
        <v>0</v>
      </c>
      <c r="EI177" s="1420">
        <v>126891.39</v>
      </c>
      <c r="EJ177" s="1420">
        <v>145108.60999999999</v>
      </c>
      <c r="EK177" s="1422">
        <v>0</v>
      </c>
      <c r="EL177" s="1422">
        <v>0</v>
      </c>
      <c r="EM177" s="1420">
        <v>1134806.01</v>
      </c>
      <c r="EN177" s="1420">
        <v>1150258.8400000001</v>
      </c>
      <c r="EO177" s="1420">
        <v>11785679.369999999</v>
      </c>
      <c r="EP177" s="1420">
        <v>7460237.5899999999</v>
      </c>
      <c r="EQ177" s="1420">
        <v>1266242.74</v>
      </c>
      <c r="ER177" s="1422">
        <v>1354127</v>
      </c>
      <c r="ES177" s="1420">
        <v>22020.47</v>
      </c>
      <c r="ET177" s="1422">
        <v>0</v>
      </c>
      <c r="EU177" s="1420">
        <v>30400259.309999999</v>
      </c>
      <c r="EV177" s="1420">
        <v>24943320.82</v>
      </c>
      <c r="EW177" s="1420">
        <v>12515047.970000001</v>
      </c>
      <c r="EX177" s="1420">
        <v>7770999.3700000001</v>
      </c>
      <c r="EY177" s="1420">
        <v>1266242.74</v>
      </c>
      <c r="EZ177" s="1422">
        <v>1354127</v>
      </c>
      <c r="FA177" s="1420">
        <v>16618968.6</v>
      </c>
      <c r="FB177" s="1420">
        <v>15818194.449999999</v>
      </c>
      <c r="FC177" s="1420">
        <v>886536.93</v>
      </c>
      <c r="FD177" s="1439"/>
      <c r="FE177" s="1420">
        <v>15732431.67</v>
      </c>
      <c r="FF177" s="1439"/>
      <c r="FG177" s="1422">
        <v>8588</v>
      </c>
      <c r="FH177" s="1439"/>
      <c r="FI177" s="1420">
        <v>134.75</v>
      </c>
      <c r="FJ177" s="1439"/>
      <c r="FK177" s="1422">
        <v>43479</v>
      </c>
      <c r="FL177" s="1439"/>
      <c r="FM177" s="1420">
        <v>144.94999999999999</v>
      </c>
      <c r="FN177" s="1439"/>
      <c r="FO177" s="1422">
        <v>45179</v>
      </c>
      <c r="FP177" s="1439"/>
      <c r="FQ177" s="1420">
        <v>2696783.61</v>
      </c>
      <c r="FR177" s="1439"/>
      <c r="FS177" s="1420">
        <v>112109.98</v>
      </c>
      <c r="FT177" s="1439"/>
      <c r="FU177" s="1422">
        <v>0</v>
      </c>
      <c r="FV177" s="1439"/>
      <c r="FW177" s="1420">
        <v>2584673.63</v>
      </c>
      <c r="FX177" s="1439"/>
      <c r="FY177" s="1420">
        <v>10453680.65</v>
      </c>
      <c r="FZ177" s="1439"/>
      <c r="GA177" s="1422">
        <v>0</v>
      </c>
      <c r="GB177" s="1439"/>
    </row>
    <row r="178" spans="1:184" ht="12.75" customHeight="1" thickBot="1">
      <c r="A178" s="1418" t="s">
        <v>231</v>
      </c>
      <c r="B178" s="1418" t="s">
        <v>232</v>
      </c>
      <c r="C178" s="1420">
        <v>353.37</v>
      </c>
      <c r="D178" s="1439"/>
      <c r="E178" s="1420">
        <v>660.6</v>
      </c>
      <c r="F178" s="1439"/>
      <c r="G178" s="1421">
        <v>-0.03</v>
      </c>
      <c r="H178" s="1439"/>
      <c r="I178" s="1420">
        <v>702.37</v>
      </c>
      <c r="J178" s="1439"/>
      <c r="K178" s="1420">
        <v>676.3</v>
      </c>
      <c r="L178" s="1439"/>
      <c r="M178" s="1422">
        <v>42370392</v>
      </c>
      <c r="N178" s="1439"/>
      <c r="O178" s="1422">
        <v>25</v>
      </c>
      <c r="P178" s="1439"/>
      <c r="Q178" s="1422">
        <v>25</v>
      </c>
      <c r="R178" s="1439"/>
      <c r="S178" s="1422">
        <v>0</v>
      </c>
      <c r="T178" s="1439"/>
      <c r="U178" s="1422">
        <v>0</v>
      </c>
      <c r="V178" s="1439"/>
      <c r="W178" s="1420">
        <v>6.3</v>
      </c>
      <c r="X178" s="1439"/>
      <c r="Y178" s="1420">
        <v>31.3</v>
      </c>
      <c r="Z178" s="1439"/>
      <c r="AA178" s="1422">
        <v>1975000</v>
      </c>
      <c r="AB178" s="1455"/>
      <c r="AC178" s="1424">
        <v>1181740.96</v>
      </c>
      <c r="AD178" s="1422">
        <v>1173615</v>
      </c>
      <c r="AE178" s="1420">
        <v>340519.04</v>
      </c>
      <c r="AF178" s="1422">
        <v>313726</v>
      </c>
      <c r="AG178" s="1420">
        <v>2077.7600000000002</v>
      </c>
      <c r="AH178" s="1456">
        <v>2078</v>
      </c>
      <c r="AI178" s="1428">
        <v>2729982</v>
      </c>
      <c r="AJ178" s="1422">
        <v>2933418</v>
      </c>
      <c r="AK178" s="1422">
        <v>60221</v>
      </c>
      <c r="AL178" s="1422">
        <v>52174</v>
      </c>
      <c r="AM178" s="1422">
        <v>164654</v>
      </c>
      <c r="AN178" s="1422">
        <v>0</v>
      </c>
      <c r="AO178" s="1422">
        <v>0</v>
      </c>
      <c r="AP178" s="1422">
        <v>0</v>
      </c>
      <c r="AQ178" s="1422">
        <v>0</v>
      </c>
      <c r="AR178" s="1422">
        <v>0</v>
      </c>
      <c r="AS178" s="1422">
        <v>285639</v>
      </c>
      <c r="AT178" s="1422">
        <v>275033</v>
      </c>
      <c r="AU178" s="1422">
        <v>19439</v>
      </c>
      <c r="AV178" s="1422">
        <v>15551</v>
      </c>
      <c r="AW178" s="1422">
        <v>0</v>
      </c>
      <c r="AX178" s="1422">
        <v>0</v>
      </c>
      <c r="AY178" s="1420">
        <v>4784272.76</v>
      </c>
      <c r="AZ178" s="1422">
        <v>4765595</v>
      </c>
      <c r="BA178" s="1422">
        <v>0</v>
      </c>
      <c r="BB178" s="1422">
        <v>0</v>
      </c>
      <c r="BC178" s="1422">
        <v>27972</v>
      </c>
      <c r="BD178" s="1422">
        <v>29958</v>
      </c>
      <c r="BE178" s="1420">
        <v>417412.98</v>
      </c>
      <c r="BF178" s="1422">
        <v>385056</v>
      </c>
      <c r="BG178" s="1422">
        <v>300</v>
      </c>
      <c r="BH178" s="1422">
        <v>0</v>
      </c>
      <c r="BI178" s="1422">
        <v>1585</v>
      </c>
      <c r="BJ178" s="1422">
        <v>0</v>
      </c>
      <c r="BK178" s="1422">
        <v>0</v>
      </c>
      <c r="BL178" s="1422">
        <v>0</v>
      </c>
      <c r="BM178" s="1422">
        <v>507904</v>
      </c>
      <c r="BN178" s="1422">
        <v>526240</v>
      </c>
      <c r="BO178" s="1420">
        <v>29330.9</v>
      </c>
      <c r="BP178" s="1422">
        <v>0</v>
      </c>
      <c r="BQ178" s="1420">
        <v>7041.76</v>
      </c>
      <c r="BR178" s="1422">
        <v>4000</v>
      </c>
      <c r="BS178" s="1420">
        <v>2931.51</v>
      </c>
      <c r="BT178" s="1422">
        <v>3000</v>
      </c>
      <c r="BU178" s="1422">
        <v>0</v>
      </c>
      <c r="BV178" s="1422">
        <v>0</v>
      </c>
      <c r="BW178" s="1422">
        <v>0</v>
      </c>
      <c r="BX178" s="1422">
        <v>0</v>
      </c>
      <c r="BY178" s="1422">
        <v>0</v>
      </c>
      <c r="BZ178" s="1422">
        <v>0</v>
      </c>
      <c r="CA178" s="1420">
        <v>221277.44</v>
      </c>
      <c r="CB178" s="1422">
        <v>226930</v>
      </c>
      <c r="CC178" s="1420">
        <v>1215755.5900000001</v>
      </c>
      <c r="CD178" s="1422">
        <v>1175184</v>
      </c>
      <c r="CE178" s="1420">
        <v>1529608.01</v>
      </c>
      <c r="CF178" s="1420">
        <v>1150404.96</v>
      </c>
      <c r="CG178" s="1422">
        <v>0</v>
      </c>
      <c r="CH178" s="1422">
        <v>0</v>
      </c>
      <c r="CI178" s="1422">
        <v>0</v>
      </c>
      <c r="CJ178" s="1422">
        <v>0</v>
      </c>
      <c r="CK178" s="1422">
        <v>0</v>
      </c>
      <c r="CL178" s="1422">
        <v>0</v>
      </c>
      <c r="CM178" s="1422">
        <v>0</v>
      </c>
      <c r="CN178" s="1422">
        <v>0</v>
      </c>
      <c r="CO178" s="1420">
        <v>1167.2</v>
      </c>
      <c r="CP178" s="1422">
        <v>0</v>
      </c>
      <c r="CQ178" s="1422">
        <v>0</v>
      </c>
      <c r="CR178" s="1422">
        <v>0</v>
      </c>
      <c r="CS178" s="1420">
        <v>1167.2</v>
      </c>
      <c r="CT178" s="1422">
        <v>0</v>
      </c>
      <c r="CU178" s="1420">
        <v>7530803.5599999996</v>
      </c>
      <c r="CV178" s="1420">
        <v>7091183.96</v>
      </c>
      <c r="CW178" s="1420">
        <v>2981457.55</v>
      </c>
      <c r="CX178" s="1420">
        <v>2805241.25</v>
      </c>
      <c r="CY178" s="1420">
        <v>341388.96</v>
      </c>
      <c r="CZ178" s="1420">
        <v>338334.23</v>
      </c>
      <c r="DA178" s="1420">
        <v>388185.85</v>
      </c>
      <c r="DB178" s="1420">
        <v>377217.4</v>
      </c>
      <c r="DC178" s="1422">
        <v>0</v>
      </c>
      <c r="DD178" s="1422">
        <v>0</v>
      </c>
      <c r="DE178" s="1420">
        <v>46393.73</v>
      </c>
      <c r="DF178" s="1422">
        <v>34251</v>
      </c>
      <c r="DG178" s="1420">
        <v>45485.69</v>
      </c>
      <c r="DH178" s="1420">
        <v>54109.5</v>
      </c>
      <c r="DI178" s="1420">
        <v>3802911.78</v>
      </c>
      <c r="DJ178" s="1420">
        <v>3609153.38</v>
      </c>
      <c r="DK178" s="1420">
        <v>128185.16</v>
      </c>
      <c r="DL178" s="1420">
        <v>128735.93</v>
      </c>
      <c r="DM178" s="1420">
        <v>151832.82</v>
      </c>
      <c r="DN178" s="1420">
        <v>129170.05</v>
      </c>
      <c r="DO178" s="1420">
        <v>642019.09</v>
      </c>
      <c r="DP178" s="1420">
        <v>822536.34</v>
      </c>
      <c r="DQ178" s="1420">
        <v>449053.85</v>
      </c>
      <c r="DR178" s="1420">
        <v>613260.04</v>
      </c>
      <c r="DS178" s="1420">
        <v>12755.87</v>
      </c>
      <c r="DT178" s="1422">
        <v>12760</v>
      </c>
      <c r="DU178" s="1420">
        <v>1383846.79</v>
      </c>
      <c r="DV178" s="1420">
        <v>1706462.36</v>
      </c>
      <c r="DW178" s="1420">
        <v>299546.95</v>
      </c>
      <c r="DX178" s="1420">
        <v>295397.08</v>
      </c>
      <c r="DY178" s="1420">
        <v>736761.68</v>
      </c>
      <c r="DZ178" s="1420">
        <v>779550.12</v>
      </c>
      <c r="EA178" s="1420">
        <v>252663.47</v>
      </c>
      <c r="EB178" s="1420">
        <v>241623.66</v>
      </c>
      <c r="EC178" s="1420">
        <v>1288972.1000000001</v>
      </c>
      <c r="ED178" s="1420">
        <v>1316570.8600000001</v>
      </c>
      <c r="EE178" s="1420">
        <v>428584.19</v>
      </c>
      <c r="EF178" s="1420">
        <v>452732.2</v>
      </c>
      <c r="EG178" s="1420">
        <v>60431.59</v>
      </c>
      <c r="EH178" s="1420">
        <v>60432.35</v>
      </c>
      <c r="EI178" s="1420">
        <v>608.41999999999996</v>
      </c>
      <c r="EJ178" s="1420">
        <v>1925.31</v>
      </c>
      <c r="EK178" s="1422">
        <v>0</v>
      </c>
      <c r="EL178" s="1422">
        <v>0</v>
      </c>
      <c r="EM178" s="1420">
        <v>489624.2</v>
      </c>
      <c r="EN178" s="1420">
        <v>515089.86</v>
      </c>
      <c r="EO178" s="1420">
        <v>282397.43</v>
      </c>
      <c r="EP178" s="1420">
        <v>35243.620000000003</v>
      </c>
      <c r="EQ178" s="1420">
        <v>120857.5</v>
      </c>
      <c r="ER178" s="1422">
        <v>120295</v>
      </c>
      <c r="ES178" s="1422">
        <v>0</v>
      </c>
      <c r="ET178" s="1422">
        <v>0</v>
      </c>
      <c r="EU178" s="1420">
        <v>7368609.7999999998</v>
      </c>
      <c r="EV178" s="1420">
        <v>7302815.0800000001</v>
      </c>
      <c r="EW178" s="1422">
        <v>535620</v>
      </c>
      <c r="EX178" s="1420">
        <v>386066.62</v>
      </c>
      <c r="EY178" s="1420">
        <v>120857.5</v>
      </c>
      <c r="EZ178" s="1422">
        <v>120295</v>
      </c>
      <c r="FA178" s="1420">
        <v>6712132.2999999998</v>
      </c>
      <c r="FB178" s="1420">
        <v>6796453.46</v>
      </c>
      <c r="FC178" s="1420">
        <v>280421.87</v>
      </c>
      <c r="FD178" s="1439"/>
      <c r="FE178" s="1420">
        <v>6431710.4299999997</v>
      </c>
      <c r="FF178" s="1439"/>
      <c r="FG178" s="1422">
        <v>9736</v>
      </c>
      <c r="FH178" s="1439"/>
      <c r="FI178" s="1420">
        <v>57.72</v>
      </c>
      <c r="FJ178" s="1439"/>
      <c r="FK178" s="1422">
        <v>41670</v>
      </c>
      <c r="FL178" s="1439"/>
      <c r="FM178" s="1420">
        <v>62.48</v>
      </c>
      <c r="FN178" s="1439"/>
      <c r="FO178" s="1422">
        <v>43197</v>
      </c>
      <c r="FP178" s="1439"/>
      <c r="FQ178" s="1420">
        <v>1924322.18</v>
      </c>
      <c r="FR178" s="1439"/>
      <c r="FS178" s="1420">
        <v>15716.78</v>
      </c>
      <c r="FT178" s="1439"/>
      <c r="FU178" s="1422">
        <v>0</v>
      </c>
      <c r="FV178" s="1439"/>
      <c r="FW178" s="1420">
        <v>1908605.4</v>
      </c>
      <c r="FX178" s="1439"/>
      <c r="FY178" s="1420">
        <v>585985.86</v>
      </c>
      <c r="FZ178" s="1439"/>
      <c r="GA178" s="1422">
        <v>0</v>
      </c>
      <c r="GB178" s="1439"/>
    </row>
    <row r="179" spans="1:184" ht="12.75" customHeight="1" thickBot="1">
      <c r="A179" s="1418" t="s">
        <v>233</v>
      </c>
      <c r="B179" s="1418" t="s">
        <v>234</v>
      </c>
      <c r="C179" s="1439"/>
      <c r="D179" s="1439"/>
      <c r="E179" s="1420">
        <v>1063.3900000000001</v>
      </c>
      <c r="F179" s="1439"/>
      <c r="G179" s="1421">
        <v>-0.02</v>
      </c>
      <c r="H179" s="1439"/>
      <c r="I179" s="1420">
        <v>1133.06</v>
      </c>
      <c r="J179" s="1439"/>
      <c r="K179" s="1439"/>
      <c r="L179" s="1439"/>
      <c r="M179" s="1422">
        <v>56450860</v>
      </c>
      <c r="N179" s="1439"/>
      <c r="O179" s="1422">
        <v>25</v>
      </c>
      <c r="P179" s="1439"/>
      <c r="Q179" s="1422">
        <v>25</v>
      </c>
      <c r="R179" s="1439"/>
      <c r="S179" s="1422">
        <v>0</v>
      </c>
      <c r="T179" s="1439"/>
      <c r="U179" s="1422">
        <v>0</v>
      </c>
      <c r="V179" s="1439"/>
      <c r="W179" s="1422">
        <v>19</v>
      </c>
      <c r="X179" s="1439"/>
      <c r="Y179" s="1422">
        <v>44</v>
      </c>
      <c r="Z179" s="1439"/>
      <c r="AA179" s="1420">
        <v>9699775.0299999993</v>
      </c>
      <c r="AB179" s="1455"/>
      <c r="AC179" s="1424">
        <v>1977374.09</v>
      </c>
      <c r="AD179" s="1422">
        <v>1834500</v>
      </c>
      <c r="AE179" s="1420">
        <v>564700.39</v>
      </c>
      <c r="AF179" s="1422">
        <v>293000</v>
      </c>
      <c r="AG179" s="1420">
        <v>2319.19</v>
      </c>
      <c r="AH179" s="1456">
        <v>2000</v>
      </c>
      <c r="AI179" s="1428">
        <v>5541487</v>
      </c>
      <c r="AJ179" s="1422">
        <v>5518834</v>
      </c>
      <c r="AK179" s="1422">
        <v>60882</v>
      </c>
      <c r="AL179" s="1422">
        <v>0</v>
      </c>
      <c r="AM179" s="1422">
        <v>0</v>
      </c>
      <c r="AN179" s="1422">
        <v>0</v>
      </c>
      <c r="AO179" s="1422">
        <v>0</v>
      </c>
      <c r="AP179" s="1422">
        <v>37693</v>
      </c>
      <c r="AQ179" s="1422">
        <v>1806900</v>
      </c>
      <c r="AR179" s="1422">
        <v>903450</v>
      </c>
      <c r="AS179" s="1422">
        <v>419012</v>
      </c>
      <c r="AT179" s="1422">
        <v>327104</v>
      </c>
      <c r="AU179" s="1422">
        <v>55773</v>
      </c>
      <c r="AV179" s="1422">
        <v>44618</v>
      </c>
      <c r="AW179" s="1422">
        <v>50</v>
      </c>
      <c r="AX179" s="1422">
        <v>0</v>
      </c>
      <c r="AY179" s="1420">
        <v>10428497.67</v>
      </c>
      <c r="AZ179" s="1422">
        <v>8961199</v>
      </c>
      <c r="BA179" s="1422">
        <v>0</v>
      </c>
      <c r="BB179" s="1422">
        <v>0</v>
      </c>
      <c r="BC179" s="1422">
        <v>47525</v>
      </c>
      <c r="BD179" s="1422">
        <v>48177</v>
      </c>
      <c r="BE179" s="1420">
        <v>388829.12</v>
      </c>
      <c r="BF179" s="1422">
        <v>306400</v>
      </c>
      <c r="BG179" s="1422">
        <v>0</v>
      </c>
      <c r="BH179" s="1422">
        <v>0</v>
      </c>
      <c r="BI179" s="1422">
        <v>35267</v>
      </c>
      <c r="BJ179" s="1422">
        <v>22880</v>
      </c>
      <c r="BK179" s="1422">
        <v>58600</v>
      </c>
      <c r="BL179" s="1422">
        <v>55000</v>
      </c>
      <c r="BM179" s="1422">
        <v>832288</v>
      </c>
      <c r="BN179" s="1422">
        <v>841984</v>
      </c>
      <c r="BO179" s="1420">
        <v>24286.13</v>
      </c>
      <c r="BP179" s="1422">
        <v>18067</v>
      </c>
      <c r="BQ179" s="1420">
        <v>5417.12</v>
      </c>
      <c r="BR179" s="1422">
        <v>0</v>
      </c>
      <c r="BS179" s="1420">
        <v>5125.38</v>
      </c>
      <c r="BT179" s="1422">
        <v>5000</v>
      </c>
      <c r="BU179" s="1422">
        <v>0</v>
      </c>
      <c r="BV179" s="1422">
        <v>0</v>
      </c>
      <c r="BW179" s="1422">
        <v>0</v>
      </c>
      <c r="BX179" s="1422">
        <v>0</v>
      </c>
      <c r="BY179" s="1422">
        <v>0</v>
      </c>
      <c r="BZ179" s="1422">
        <v>0</v>
      </c>
      <c r="CA179" s="1420">
        <v>118908.54</v>
      </c>
      <c r="CB179" s="1422">
        <v>3394228</v>
      </c>
      <c r="CC179" s="1420">
        <v>1516246.29</v>
      </c>
      <c r="CD179" s="1422">
        <v>4691736</v>
      </c>
      <c r="CE179" s="1420">
        <v>2082209.93</v>
      </c>
      <c r="CF179" s="1420">
        <v>1958181.94</v>
      </c>
      <c r="CG179" s="1420">
        <v>3512077.21</v>
      </c>
      <c r="CH179" s="1422">
        <v>0</v>
      </c>
      <c r="CI179" s="1422">
        <v>220</v>
      </c>
      <c r="CJ179" s="1422">
        <v>0</v>
      </c>
      <c r="CK179" s="1422">
        <v>14847</v>
      </c>
      <c r="CL179" s="1422">
        <v>0</v>
      </c>
      <c r="CM179" s="1422">
        <v>0</v>
      </c>
      <c r="CN179" s="1422">
        <v>0</v>
      </c>
      <c r="CO179" s="1420">
        <v>19337.84</v>
      </c>
      <c r="CP179" s="1422">
        <v>0</v>
      </c>
      <c r="CQ179" s="1422">
        <v>0</v>
      </c>
      <c r="CR179" s="1422">
        <v>0</v>
      </c>
      <c r="CS179" s="1420">
        <v>3546482.05</v>
      </c>
      <c r="CT179" s="1422">
        <v>0</v>
      </c>
      <c r="CU179" s="1420">
        <v>17573435.940000001</v>
      </c>
      <c r="CV179" s="1420">
        <v>15611116.939999999</v>
      </c>
      <c r="CW179" s="1420">
        <v>3959385.1</v>
      </c>
      <c r="CX179" s="1420">
        <v>3928462.64</v>
      </c>
      <c r="CY179" s="1420">
        <v>518835.47</v>
      </c>
      <c r="CZ179" s="1420">
        <v>519761.63</v>
      </c>
      <c r="DA179" s="1420">
        <v>365007.22</v>
      </c>
      <c r="DB179" s="1420">
        <v>448944.85</v>
      </c>
      <c r="DC179" s="1422">
        <v>0</v>
      </c>
      <c r="DD179" s="1422">
        <v>0</v>
      </c>
      <c r="DE179" s="1420">
        <v>474832.46</v>
      </c>
      <c r="DF179" s="1420">
        <v>449449.79</v>
      </c>
      <c r="DG179" s="1420">
        <v>379156.53</v>
      </c>
      <c r="DH179" s="1420">
        <v>411213.99</v>
      </c>
      <c r="DI179" s="1420">
        <v>5697216.7800000003</v>
      </c>
      <c r="DJ179" s="1420">
        <v>5757832.9000000004</v>
      </c>
      <c r="DK179" s="1420">
        <v>312777.65000000002</v>
      </c>
      <c r="DL179" s="1420">
        <v>319169.81</v>
      </c>
      <c r="DM179" s="1420">
        <v>234376.44</v>
      </c>
      <c r="DN179" s="1420">
        <v>249416.61</v>
      </c>
      <c r="DO179" s="1420">
        <v>727640.02</v>
      </c>
      <c r="DP179" s="1420">
        <v>897825.9</v>
      </c>
      <c r="DQ179" s="1420">
        <v>707662.31</v>
      </c>
      <c r="DR179" s="1420">
        <v>776270.2</v>
      </c>
      <c r="DS179" s="1420">
        <v>40541.5</v>
      </c>
      <c r="DT179" s="1422">
        <v>9500</v>
      </c>
      <c r="DU179" s="1420">
        <v>2022997.92</v>
      </c>
      <c r="DV179" s="1420">
        <v>2252182.52</v>
      </c>
      <c r="DW179" s="1420">
        <v>470750.09</v>
      </c>
      <c r="DX179" s="1420">
        <v>498392.44</v>
      </c>
      <c r="DY179" s="1420">
        <v>862528.82</v>
      </c>
      <c r="DZ179" s="1420">
        <v>1160156.5900000001</v>
      </c>
      <c r="EA179" s="1422">
        <v>388626</v>
      </c>
      <c r="EB179" s="1420">
        <v>450381.34</v>
      </c>
      <c r="EC179" s="1420">
        <v>1721904.91</v>
      </c>
      <c r="ED179" s="1420">
        <v>2108930.37</v>
      </c>
      <c r="EE179" s="1420">
        <v>809306.52</v>
      </c>
      <c r="EF179" s="1420">
        <v>973186.51</v>
      </c>
      <c r="EG179" s="1420">
        <v>29674.41</v>
      </c>
      <c r="EH179" s="1422">
        <v>0</v>
      </c>
      <c r="EI179" s="1422">
        <v>0</v>
      </c>
      <c r="EJ179" s="1422">
        <v>5000</v>
      </c>
      <c r="EK179" s="1422">
        <v>0</v>
      </c>
      <c r="EL179" s="1422">
        <v>0</v>
      </c>
      <c r="EM179" s="1420">
        <v>838980.93</v>
      </c>
      <c r="EN179" s="1420">
        <v>978186.51</v>
      </c>
      <c r="EO179" s="1420">
        <v>95906.81</v>
      </c>
      <c r="EP179" s="1422">
        <v>5575800</v>
      </c>
      <c r="EQ179" s="1422">
        <v>1025222</v>
      </c>
      <c r="ER179" s="1420">
        <v>749468.76</v>
      </c>
      <c r="ES179" s="1420">
        <v>75974.48</v>
      </c>
      <c r="ET179" s="1422">
        <v>0</v>
      </c>
      <c r="EU179" s="1420">
        <v>11478203.83</v>
      </c>
      <c r="EV179" s="1420">
        <v>17422401.059999999</v>
      </c>
      <c r="EW179" s="1420">
        <v>489140.41</v>
      </c>
      <c r="EX179" s="1420">
        <v>6020484.8499999996</v>
      </c>
      <c r="EY179" s="1422">
        <v>1025222</v>
      </c>
      <c r="EZ179" s="1420">
        <v>749468.76</v>
      </c>
      <c r="FA179" s="1420">
        <v>9963841.4199999999</v>
      </c>
      <c r="FB179" s="1420">
        <v>10652447.449999999</v>
      </c>
      <c r="FC179" s="1420">
        <v>550518.99</v>
      </c>
      <c r="FD179" s="1439"/>
      <c r="FE179" s="1420">
        <v>9413322.4299999997</v>
      </c>
      <c r="FF179" s="1439"/>
      <c r="FG179" s="1422">
        <v>8852</v>
      </c>
      <c r="FH179" s="1439"/>
      <c r="FI179" s="1420">
        <v>95.85</v>
      </c>
      <c r="FJ179" s="1439"/>
      <c r="FK179" s="1422">
        <v>37060</v>
      </c>
      <c r="FL179" s="1439"/>
      <c r="FM179" s="1420">
        <v>105.74</v>
      </c>
      <c r="FN179" s="1439"/>
      <c r="FO179" s="1422">
        <v>38560</v>
      </c>
      <c r="FP179" s="1439"/>
      <c r="FQ179" s="1420">
        <v>4050333.7</v>
      </c>
      <c r="FR179" s="1439"/>
      <c r="FS179" s="1420">
        <v>325267.09999999998</v>
      </c>
      <c r="FT179" s="1439"/>
      <c r="FU179" s="1422">
        <v>0</v>
      </c>
      <c r="FV179" s="1439"/>
      <c r="FW179" s="1420">
        <v>3725066.6</v>
      </c>
      <c r="FX179" s="1439"/>
      <c r="FY179" s="1420">
        <v>5136264.0199999996</v>
      </c>
      <c r="FZ179" s="1439"/>
      <c r="GA179" s="1422">
        <v>0</v>
      </c>
      <c r="GB179" s="1439"/>
    </row>
    <row r="180" spans="1:184" ht="12.75" customHeight="1" thickBot="1">
      <c r="A180" s="1418" t="s">
        <v>235</v>
      </c>
      <c r="B180" s="1418" t="s">
        <v>236</v>
      </c>
      <c r="C180" s="1420">
        <v>99.7</v>
      </c>
      <c r="D180" s="1439"/>
      <c r="E180" s="1420">
        <v>921.85</v>
      </c>
      <c r="F180" s="1439"/>
      <c r="G180" s="1421">
        <v>-0.11</v>
      </c>
      <c r="H180" s="1439"/>
      <c r="I180" s="1420">
        <v>971.89</v>
      </c>
      <c r="J180" s="1439"/>
      <c r="K180" s="1420">
        <v>990.47</v>
      </c>
      <c r="L180" s="1439"/>
      <c r="M180" s="1422">
        <v>55624735</v>
      </c>
      <c r="N180" s="1439"/>
      <c r="O180" s="1422">
        <v>25</v>
      </c>
      <c r="P180" s="1439"/>
      <c r="Q180" s="1422">
        <v>25</v>
      </c>
      <c r="R180" s="1439"/>
      <c r="S180" s="1422">
        <v>0</v>
      </c>
      <c r="T180" s="1439"/>
      <c r="U180" s="1422">
        <v>0</v>
      </c>
      <c r="V180" s="1439"/>
      <c r="W180" s="1420">
        <v>18.399999999999999</v>
      </c>
      <c r="X180" s="1439"/>
      <c r="Y180" s="1420">
        <v>43.4</v>
      </c>
      <c r="Z180" s="1439"/>
      <c r="AA180" s="1420">
        <v>11017149.33</v>
      </c>
      <c r="AB180" s="1455"/>
      <c r="AC180" s="1424">
        <v>2272682.33</v>
      </c>
      <c r="AD180" s="1422">
        <v>2542000</v>
      </c>
      <c r="AE180" s="1420">
        <v>400971.46</v>
      </c>
      <c r="AF180" s="1422">
        <v>158178</v>
      </c>
      <c r="AG180" s="1420">
        <v>406.89</v>
      </c>
      <c r="AH180" s="1456">
        <v>0</v>
      </c>
      <c r="AI180" s="1428">
        <v>4639519</v>
      </c>
      <c r="AJ180" s="1422">
        <v>4605081</v>
      </c>
      <c r="AK180" s="1422">
        <v>24026</v>
      </c>
      <c r="AL180" s="1422">
        <v>0</v>
      </c>
      <c r="AM180" s="1422">
        <v>0</v>
      </c>
      <c r="AN180" s="1422">
        <v>0</v>
      </c>
      <c r="AO180" s="1422">
        <v>67427</v>
      </c>
      <c r="AP180" s="1422">
        <v>57446</v>
      </c>
      <c r="AQ180" s="1422">
        <v>0</v>
      </c>
      <c r="AR180" s="1422">
        <v>0</v>
      </c>
      <c r="AS180" s="1422">
        <v>0</v>
      </c>
      <c r="AT180" s="1422">
        <v>0</v>
      </c>
      <c r="AU180" s="1422">
        <v>63687</v>
      </c>
      <c r="AV180" s="1422">
        <v>50950</v>
      </c>
      <c r="AW180" s="1422">
        <v>0</v>
      </c>
      <c r="AX180" s="1422">
        <v>0</v>
      </c>
      <c r="AY180" s="1420">
        <v>7468719.6799999997</v>
      </c>
      <c r="AZ180" s="1422">
        <v>7413655</v>
      </c>
      <c r="BA180" s="1422">
        <v>0</v>
      </c>
      <c r="BB180" s="1422">
        <v>0</v>
      </c>
      <c r="BC180" s="1422">
        <v>40966</v>
      </c>
      <c r="BD180" s="1422">
        <v>41184</v>
      </c>
      <c r="BE180" s="1420">
        <v>2443.46</v>
      </c>
      <c r="BF180" s="1422">
        <v>1400</v>
      </c>
      <c r="BG180" s="1422">
        <v>200</v>
      </c>
      <c r="BH180" s="1422">
        <v>0</v>
      </c>
      <c r="BI180" s="1422">
        <v>55257</v>
      </c>
      <c r="BJ180" s="1422">
        <v>58100</v>
      </c>
      <c r="BK180" s="1422">
        <v>2051</v>
      </c>
      <c r="BL180" s="1422">
        <v>2000</v>
      </c>
      <c r="BM180" s="1422">
        <v>298592</v>
      </c>
      <c r="BN180" s="1422">
        <v>294492</v>
      </c>
      <c r="BO180" s="1420">
        <v>70480.789999999994</v>
      </c>
      <c r="BP180" s="1422">
        <v>0</v>
      </c>
      <c r="BQ180" s="1420">
        <v>42791.76</v>
      </c>
      <c r="BR180" s="1422">
        <v>54166</v>
      </c>
      <c r="BS180" s="1420">
        <v>4079.64</v>
      </c>
      <c r="BT180" s="1422">
        <v>4000</v>
      </c>
      <c r="BU180" s="1422">
        <v>0</v>
      </c>
      <c r="BV180" s="1422">
        <v>0</v>
      </c>
      <c r="BW180" s="1422">
        <v>193914</v>
      </c>
      <c r="BX180" s="1422">
        <v>194400</v>
      </c>
      <c r="BY180" s="1422">
        <v>0</v>
      </c>
      <c r="BZ180" s="1422">
        <v>0</v>
      </c>
      <c r="CA180" s="1420">
        <v>2172843.6800000002</v>
      </c>
      <c r="CB180" s="1422">
        <v>387323</v>
      </c>
      <c r="CC180" s="1420">
        <v>2883619.33</v>
      </c>
      <c r="CD180" s="1422">
        <v>1037065</v>
      </c>
      <c r="CE180" s="1420">
        <v>2403951.52</v>
      </c>
      <c r="CF180" s="1420">
        <v>1812165.17</v>
      </c>
      <c r="CG180" s="1422">
        <v>0</v>
      </c>
      <c r="CH180" s="1422">
        <v>0</v>
      </c>
      <c r="CI180" s="1422">
        <v>0</v>
      </c>
      <c r="CJ180" s="1422">
        <v>0</v>
      </c>
      <c r="CK180" s="1422">
        <v>0</v>
      </c>
      <c r="CL180" s="1422">
        <v>0</v>
      </c>
      <c r="CM180" s="1420">
        <v>16510.28</v>
      </c>
      <c r="CN180" s="1422">
        <v>0</v>
      </c>
      <c r="CO180" s="1420">
        <v>6779.55</v>
      </c>
      <c r="CP180" s="1422">
        <v>0</v>
      </c>
      <c r="CQ180" s="1422">
        <v>0</v>
      </c>
      <c r="CR180" s="1422">
        <v>0</v>
      </c>
      <c r="CS180" s="1420">
        <v>23289.83</v>
      </c>
      <c r="CT180" s="1422">
        <v>0</v>
      </c>
      <c r="CU180" s="1420">
        <v>12779580.359999999</v>
      </c>
      <c r="CV180" s="1420">
        <v>10262885.17</v>
      </c>
      <c r="CW180" s="1420">
        <v>4516160.82</v>
      </c>
      <c r="CX180" s="1420">
        <v>3840699.42</v>
      </c>
      <c r="CY180" s="1420">
        <v>729545.58</v>
      </c>
      <c r="CZ180" s="1420">
        <v>627193.05000000005</v>
      </c>
      <c r="DA180" s="1420">
        <v>247464.78</v>
      </c>
      <c r="DB180" s="1420">
        <v>246700.05</v>
      </c>
      <c r="DC180" s="1422">
        <v>0</v>
      </c>
      <c r="DD180" s="1422">
        <v>0</v>
      </c>
      <c r="DE180" s="1420">
        <v>292447.78000000003</v>
      </c>
      <c r="DF180" s="1420">
        <v>278289.19</v>
      </c>
      <c r="DG180" s="1420">
        <v>273477.5</v>
      </c>
      <c r="DH180" s="1420">
        <v>278979.28999999998</v>
      </c>
      <c r="DI180" s="1420">
        <v>6059096.46</v>
      </c>
      <c r="DJ180" s="1422">
        <v>5271861</v>
      </c>
      <c r="DK180" s="1420">
        <v>230103.1</v>
      </c>
      <c r="DL180" s="1420">
        <v>251368.44</v>
      </c>
      <c r="DM180" s="1420">
        <v>150965.59</v>
      </c>
      <c r="DN180" s="1420">
        <v>183350.22</v>
      </c>
      <c r="DO180" s="1420">
        <v>1050180.94</v>
      </c>
      <c r="DP180" s="1420">
        <v>943152.16</v>
      </c>
      <c r="DQ180" s="1420">
        <v>428262.76</v>
      </c>
      <c r="DR180" s="1420">
        <v>320435.55</v>
      </c>
      <c r="DS180" s="1420">
        <v>59543.24</v>
      </c>
      <c r="DT180" s="1422">
        <v>25000</v>
      </c>
      <c r="DU180" s="1420">
        <v>1919055.63</v>
      </c>
      <c r="DV180" s="1420">
        <v>1723306.37</v>
      </c>
      <c r="DW180" s="1420">
        <v>344625.6</v>
      </c>
      <c r="DX180" s="1420">
        <v>484162.55</v>
      </c>
      <c r="DY180" s="1420">
        <v>801439.96</v>
      </c>
      <c r="DZ180" s="1420">
        <v>616744.41</v>
      </c>
      <c r="EA180" s="1420">
        <v>345014.03</v>
      </c>
      <c r="EB180" s="1420">
        <v>361981.44</v>
      </c>
      <c r="EC180" s="1420">
        <v>1491079.59</v>
      </c>
      <c r="ED180" s="1420">
        <v>1462888.4</v>
      </c>
      <c r="EE180" s="1420">
        <v>621747.87</v>
      </c>
      <c r="EF180" s="1420">
        <v>503198.26</v>
      </c>
      <c r="EG180" s="1422">
        <v>0</v>
      </c>
      <c r="EH180" s="1422">
        <v>0</v>
      </c>
      <c r="EI180" s="1422">
        <v>0</v>
      </c>
      <c r="EJ180" s="1422">
        <v>1497</v>
      </c>
      <c r="EK180" s="1422">
        <v>0</v>
      </c>
      <c r="EL180" s="1422">
        <v>0</v>
      </c>
      <c r="EM180" s="1420">
        <v>621747.87</v>
      </c>
      <c r="EN180" s="1420">
        <v>504695.26</v>
      </c>
      <c r="EO180" s="1420">
        <v>3950228.58</v>
      </c>
      <c r="EP180" s="1422">
        <v>1620937</v>
      </c>
      <c r="EQ180" s="1422">
        <v>701430</v>
      </c>
      <c r="ER180" s="1422">
        <v>741800</v>
      </c>
      <c r="ES180" s="1420">
        <v>3349.9</v>
      </c>
      <c r="ET180" s="1422">
        <v>0</v>
      </c>
      <c r="EU180" s="1420">
        <v>14745988.029999999</v>
      </c>
      <c r="EV180" s="1420">
        <v>11325488.029999999</v>
      </c>
      <c r="EW180" s="1420">
        <v>4555543.21</v>
      </c>
      <c r="EX180" s="1420">
        <v>1726274.26</v>
      </c>
      <c r="EY180" s="1422">
        <v>701430</v>
      </c>
      <c r="EZ180" s="1422">
        <v>741800</v>
      </c>
      <c r="FA180" s="1420">
        <v>9489014.8200000003</v>
      </c>
      <c r="FB180" s="1420">
        <v>8857413.7699999996</v>
      </c>
      <c r="FC180" s="1420">
        <v>402446.7</v>
      </c>
      <c r="FD180" s="1439"/>
      <c r="FE180" s="1420">
        <v>9086568.1199999992</v>
      </c>
      <c r="FF180" s="1439"/>
      <c r="FG180" s="1422">
        <v>9856</v>
      </c>
      <c r="FH180" s="1439"/>
      <c r="FI180" s="1420">
        <v>78.91</v>
      </c>
      <c r="FJ180" s="1439"/>
      <c r="FK180" s="1422">
        <v>41013</v>
      </c>
      <c r="FL180" s="1439"/>
      <c r="FM180" s="1420">
        <v>84.8</v>
      </c>
      <c r="FN180" s="1439"/>
      <c r="FO180" s="1422">
        <v>42948</v>
      </c>
      <c r="FP180" s="1439"/>
      <c r="FQ180" s="1420">
        <v>3210708.2</v>
      </c>
      <c r="FR180" s="1439"/>
      <c r="FS180" s="1420">
        <v>44163.72</v>
      </c>
      <c r="FT180" s="1439"/>
      <c r="FU180" s="1422">
        <v>0</v>
      </c>
      <c r="FV180" s="1439"/>
      <c r="FW180" s="1420">
        <v>3166544.48</v>
      </c>
      <c r="FX180" s="1439"/>
      <c r="FY180" s="1420">
        <v>2259993.6800000002</v>
      </c>
      <c r="FZ180" s="1439"/>
      <c r="GA180" s="1422">
        <v>0</v>
      </c>
      <c r="GB180" s="1439"/>
    </row>
    <row r="181" spans="1:184" ht="12.75" customHeight="1" thickBot="1">
      <c r="A181" s="1418" t="s">
        <v>237</v>
      </c>
      <c r="B181" s="1418" t="s">
        <v>238</v>
      </c>
      <c r="C181" s="1420">
        <v>235.1</v>
      </c>
      <c r="D181" s="1439"/>
      <c r="E181" s="1420">
        <v>1269.28</v>
      </c>
      <c r="F181" s="1439"/>
      <c r="G181" s="1421">
        <v>-0.05</v>
      </c>
      <c r="H181" s="1439"/>
      <c r="I181" s="1420">
        <v>1357.12</v>
      </c>
      <c r="J181" s="1439"/>
      <c r="K181" s="1420">
        <v>1356.87</v>
      </c>
      <c r="L181" s="1439"/>
      <c r="M181" s="1422">
        <v>73600141</v>
      </c>
      <c r="N181" s="1439"/>
      <c r="O181" s="1422">
        <v>25</v>
      </c>
      <c r="P181" s="1439"/>
      <c r="Q181" s="1422">
        <v>25</v>
      </c>
      <c r="R181" s="1439"/>
      <c r="S181" s="1422">
        <v>0</v>
      </c>
      <c r="T181" s="1439"/>
      <c r="U181" s="1422">
        <v>0</v>
      </c>
      <c r="V181" s="1439"/>
      <c r="W181" s="1420">
        <v>15.3</v>
      </c>
      <c r="X181" s="1439"/>
      <c r="Y181" s="1420">
        <v>40.299999999999997</v>
      </c>
      <c r="Z181" s="1439"/>
      <c r="AA181" s="1422">
        <v>10610000</v>
      </c>
      <c r="AB181" s="1455"/>
      <c r="AC181" s="1424">
        <v>2818472.58</v>
      </c>
      <c r="AD181" s="1420">
        <v>3067292.2</v>
      </c>
      <c r="AE181" s="1420">
        <v>473162.82</v>
      </c>
      <c r="AF181" s="1420">
        <v>423047.92</v>
      </c>
      <c r="AG181" s="1420">
        <v>874.83</v>
      </c>
      <c r="AH181" s="1456">
        <v>1150</v>
      </c>
      <c r="AI181" s="1428">
        <v>6292300</v>
      </c>
      <c r="AJ181" s="1422">
        <v>6423447</v>
      </c>
      <c r="AK181" s="1422">
        <v>9043</v>
      </c>
      <c r="AL181" s="1422">
        <v>0</v>
      </c>
      <c r="AM181" s="1422">
        <v>0</v>
      </c>
      <c r="AN181" s="1422">
        <v>0</v>
      </c>
      <c r="AO181" s="1422">
        <v>49118</v>
      </c>
      <c r="AP181" s="1422">
        <v>0</v>
      </c>
      <c r="AQ181" s="1422">
        <v>0</v>
      </c>
      <c r="AR181" s="1422">
        <v>0</v>
      </c>
      <c r="AS181" s="1422">
        <v>0</v>
      </c>
      <c r="AT181" s="1422">
        <v>0</v>
      </c>
      <c r="AU181" s="1422">
        <v>68069</v>
      </c>
      <c r="AV181" s="1422">
        <v>54455</v>
      </c>
      <c r="AW181" s="1422">
        <v>0</v>
      </c>
      <c r="AX181" s="1422">
        <v>0</v>
      </c>
      <c r="AY181" s="1420">
        <v>9711040.2300000004</v>
      </c>
      <c r="AZ181" s="1420">
        <v>9969392.1199999992</v>
      </c>
      <c r="BA181" s="1422">
        <v>0</v>
      </c>
      <c r="BB181" s="1422">
        <v>0</v>
      </c>
      <c r="BC181" s="1422">
        <v>56120</v>
      </c>
      <c r="BD181" s="1422">
        <v>57778</v>
      </c>
      <c r="BE181" s="1420">
        <v>5207.58</v>
      </c>
      <c r="BF181" s="1422">
        <v>8000</v>
      </c>
      <c r="BG181" s="1422">
        <v>1150</v>
      </c>
      <c r="BH181" s="1422">
        <v>1100</v>
      </c>
      <c r="BI181" s="1422">
        <v>53347</v>
      </c>
      <c r="BJ181" s="1422">
        <v>45554</v>
      </c>
      <c r="BK181" s="1422">
        <v>5567</v>
      </c>
      <c r="BL181" s="1422">
        <v>0</v>
      </c>
      <c r="BM181" s="1422">
        <v>352656</v>
      </c>
      <c r="BN181" s="1422">
        <v>403788</v>
      </c>
      <c r="BO181" s="1420">
        <v>38230.199999999997</v>
      </c>
      <c r="BP181" s="1422">
        <v>5000</v>
      </c>
      <c r="BQ181" s="1420">
        <v>76646.039999999994</v>
      </c>
      <c r="BR181" s="1420">
        <v>52812.5</v>
      </c>
      <c r="BS181" s="1420">
        <v>5039.09</v>
      </c>
      <c r="BT181" s="1422">
        <v>5000</v>
      </c>
      <c r="BU181" s="1422">
        <v>0</v>
      </c>
      <c r="BV181" s="1422">
        <v>0</v>
      </c>
      <c r="BW181" s="1422">
        <v>0</v>
      </c>
      <c r="BX181" s="1422">
        <v>0</v>
      </c>
      <c r="BY181" s="1422">
        <v>0</v>
      </c>
      <c r="BZ181" s="1422">
        <v>0</v>
      </c>
      <c r="CA181" s="1420">
        <v>150319.47</v>
      </c>
      <c r="CB181" s="1420">
        <v>1250809.3999999999</v>
      </c>
      <c r="CC181" s="1420">
        <v>744282.38</v>
      </c>
      <c r="CD181" s="1420">
        <v>1829841.9</v>
      </c>
      <c r="CE181" s="1420">
        <v>2020164.22</v>
      </c>
      <c r="CF181" s="1420">
        <v>2360967.79</v>
      </c>
      <c r="CG181" s="1420">
        <v>3878.39</v>
      </c>
      <c r="CH181" s="1422">
        <v>656600</v>
      </c>
      <c r="CI181" s="1422">
        <v>0</v>
      </c>
      <c r="CJ181" s="1422">
        <v>0</v>
      </c>
      <c r="CK181" s="1420">
        <v>6587.49</v>
      </c>
      <c r="CL181" s="1422">
        <v>0</v>
      </c>
      <c r="CM181" s="1420">
        <v>15561.5</v>
      </c>
      <c r="CN181" s="1422">
        <v>0</v>
      </c>
      <c r="CO181" s="1422">
        <v>0</v>
      </c>
      <c r="CP181" s="1422">
        <v>0</v>
      </c>
      <c r="CQ181" s="1422">
        <v>0</v>
      </c>
      <c r="CR181" s="1422">
        <v>2001</v>
      </c>
      <c r="CS181" s="1420">
        <v>26027.38</v>
      </c>
      <c r="CT181" s="1422">
        <v>658601</v>
      </c>
      <c r="CU181" s="1420">
        <v>12501514.210000001</v>
      </c>
      <c r="CV181" s="1420">
        <v>14818802.810000001</v>
      </c>
      <c r="CW181" s="1420">
        <v>4340864.1100000003</v>
      </c>
      <c r="CX181" s="1420">
        <v>4440938.07</v>
      </c>
      <c r="CY181" s="1420">
        <v>697644.26</v>
      </c>
      <c r="CZ181" s="1420">
        <v>824085.41</v>
      </c>
      <c r="DA181" s="1420">
        <v>348350.89</v>
      </c>
      <c r="DB181" s="1420">
        <v>387870.44</v>
      </c>
      <c r="DC181" s="1422">
        <v>0</v>
      </c>
      <c r="DD181" s="1422">
        <v>0</v>
      </c>
      <c r="DE181" s="1420">
        <v>353477.57</v>
      </c>
      <c r="DF181" s="1420">
        <v>332024.45</v>
      </c>
      <c r="DG181" s="1420">
        <v>486411.47</v>
      </c>
      <c r="DH181" s="1420">
        <v>498992.4</v>
      </c>
      <c r="DI181" s="1420">
        <v>6226748.2999999998</v>
      </c>
      <c r="DJ181" s="1420">
        <v>6483910.7699999996</v>
      </c>
      <c r="DK181" s="1420">
        <v>276193.44</v>
      </c>
      <c r="DL181" s="1420">
        <v>272742.87</v>
      </c>
      <c r="DM181" s="1420">
        <v>370462.36</v>
      </c>
      <c r="DN181" s="1420">
        <v>337825.18</v>
      </c>
      <c r="DO181" s="1420">
        <v>1205502.51</v>
      </c>
      <c r="DP181" s="1420">
        <v>1245097.44</v>
      </c>
      <c r="DQ181" s="1420">
        <v>808184.55</v>
      </c>
      <c r="DR181" s="1420">
        <v>509844.04</v>
      </c>
      <c r="DS181" s="1420">
        <v>71324.039999999994</v>
      </c>
      <c r="DT181" s="1422">
        <v>58985</v>
      </c>
      <c r="DU181" s="1420">
        <v>2731666.9</v>
      </c>
      <c r="DV181" s="1420">
        <v>2424494.5299999998</v>
      </c>
      <c r="DW181" s="1420">
        <v>449889.79</v>
      </c>
      <c r="DX181" s="1420">
        <v>536128.42000000004</v>
      </c>
      <c r="DY181" s="1420">
        <v>611018.22</v>
      </c>
      <c r="DZ181" s="1420">
        <v>792538.57</v>
      </c>
      <c r="EA181" s="1420">
        <v>491811.84000000003</v>
      </c>
      <c r="EB181" s="1420">
        <v>511923.06</v>
      </c>
      <c r="EC181" s="1420">
        <v>1552719.85</v>
      </c>
      <c r="ED181" s="1420">
        <v>1840590.05</v>
      </c>
      <c r="EE181" s="1420">
        <v>735394.37</v>
      </c>
      <c r="EF181" s="1420">
        <v>741142.66</v>
      </c>
      <c r="EG181" s="1422">
        <v>0</v>
      </c>
      <c r="EH181" s="1422">
        <v>0</v>
      </c>
      <c r="EI181" s="1422">
        <v>0</v>
      </c>
      <c r="EJ181" s="1420">
        <v>2818.06</v>
      </c>
      <c r="EK181" s="1422">
        <v>0</v>
      </c>
      <c r="EL181" s="1422">
        <v>0</v>
      </c>
      <c r="EM181" s="1420">
        <v>735394.37</v>
      </c>
      <c r="EN181" s="1420">
        <v>743960.72</v>
      </c>
      <c r="EO181" s="1420">
        <v>562060.26</v>
      </c>
      <c r="EP181" s="1420">
        <v>2789680.23</v>
      </c>
      <c r="EQ181" s="1420">
        <v>771484.02</v>
      </c>
      <c r="ER181" s="1420">
        <v>747468.29</v>
      </c>
      <c r="ES181" s="1420">
        <v>14759.41</v>
      </c>
      <c r="ET181" s="1422">
        <v>0</v>
      </c>
      <c r="EU181" s="1420">
        <v>12594833.109999999</v>
      </c>
      <c r="EV181" s="1420">
        <v>15030104.59</v>
      </c>
      <c r="EW181" s="1420">
        <v>1029053.46</v>
      </c>
      <c r="EX181" s="1420">
        <v>2891346.81</v>
      </c>
      <c r="EY181" s="1420">
        <v>771484.02</v>
      </c>
      <c r="EZ181" s="1420">
        <v>747468.29</v>
      </c>
      <c r="FA181" s="1420">
        <v>10794295.630000001</v>
      </c>
      <c r="FB181" s="1420">
        <v>11391289.49</v>
      </c>
      <c r="FC181" s="1420">
        <v>367174.91</v>
      </c>
      <c r="FD181" s="1439"/>
      <c r="FE181" s="1420">
        <v>10427120.720000001</v>
      </c>
      <c r="FF181" s="1439"/>
      <c r="FG181" s="1422">
        <v>8214</v>
      </c>
      <c r="FH181" s="1439"/>
      <c r="FI181" s="1420">
        <v>94.86</v>
      </c>
      <c r="FJ181" s="1439"/>
      <c r="FK181" s="1422">
        <v>44464</v>
      </c>
      <c r="FL181" s="1439"/>
      <c r="FM181" s="1420">
        <v>102.11</v>
      </c>
      <c r="FN181" s="1439"/>
      <c r="FO181" s="1422">
        <v>46176</v>
      </c>
      <c r="FP181" s="1439"/>
      <c r="FQ181" s="1420">
        <v>1568395.01</v>
      </c>
      <c r="FR181" s="1439"/>
      <c r="FS181" s="1420">
        <v>93754.71</v>
      </c>
      <c r="FT181" s="1439"/>
      <c r="FU181" s="1422">
        <v>0</v>
      </c>
      <c r="FV181" s="1439"/>
      <c r="FW181" s="1420">
        <v>1474640.3</v>
      </c>
      <c r="FX181" s="1439"/>
      <c r="FY181" s="1420">
        <v>443110.31</v>
      </c>
      <c r="FZ181" s="1439"/>
      <c r="GA181" s="1422">
        <v>0</v>
      </c>
      <c r="GB181" s="1439"/>
    </row>
    <row r="182" spans="1:184" ht="12.75" customHeight="1" thickBot="1">
      <c r="A182" s="1418" t="s">
        <v>239</v>
      </c>
      <c r="B182" s="1418" t="s">
        <v>240</v>
      </c>
      <c r="C182" s="1420">
        <v>298.23</v>
      </c>
      <c r="D182" s="1439"/>
      <c r="E182" s="1420">
        <v>577.80999999999995</v>
      </c>
      <c r="F182" s="1439"/>
      <c r="G182" s="1421">
        <v>-0.13</v>
      </c>
      <c r="H182" s="1439"/>
      <c r="I182" s="1420">
        <v>618.69000000000005</v>
      </c>
      <c r="J182" s="1439"/>
      <c r="K182" s="1420">
        <v>621.47</v>
      </c>
      <c r="L182" s="1439"/>
      <c r="M182" s="1422">
        <v>32440435</v>
      </c>
      <c r="N182" s="1439"/>
      <c r="O182" s="1422">
        <v>25</v>
      </c>
      <c r="P182" s="1439"/>
      <c r="Q182" s="1422">
        <v>25</v>
      </c>
      <c r="R182" s="1439"/>
      <c r="S182" s="1422">
        <v>0</v>
      </c>
      <c r="T182" s="1439"/>
      <c r="U182" s="1422">
        <v>0</v>
      </c>
      <c r="V182" s="1439"/>
      <c r="W182" s="1420">
        <v>19.5</v>
      </c>
      <c r="X182" s="1439"/>
      <c r="Y182" s="1420">
        <v>44.5</v>
      </c>
      <c r="Z182" s="1439"/>
      <c r="AA182" s="1422">
        <v>4665000</v>
      </c>
      <c r="AB182" s="1455"/>
      <c r="AC182" s="1424">
        <v>1410020.29</v>
      </c>
      <c r="AD182" s="1422">
        <v>1488904</v>
      </c>
      <c r="AE182" s="1420">
        <v>180650.81</v>
      </c>
      <c r="AF182" s="1422">
        <v>66502</v>
      </c>
      <c r="AG182" s="1420">
        <v>251.39</v>
      </c>
      <c r="AH182" s="1456">
        <v>200</v>
      </c>
      <c r="AI182" s="1428">
        <v>2770848</v>
      </c>
      <c r="AJ182" s="1422">
        <v>2762800</v>
      </c>
      <c r="AK182" s="1422">
        <v>0</v>
      </c>
      <c r="AL182" s="1422">
        <v>0</v>
      </c>
      <c r="AM182" s="1422">
        <v>7288</v>
      </c>
      <c r="AN182" s="1422">
        <v>7288</v>
      </c>
      <c r="AO182" s="1422">
        <v>0</v>
      </c>
      <c r="AP182" s="1422">
        <v>8755</v>
      </c>
      <c r="AQ182" s="1422">
        <v>0</v>
      </c>
      <c r="AR182" s="1422">
        <v>0</v>
      </c>
      <c r="AS182" s="1422">
        <v>0</v>
      </c>
      <c r="AT182" s="1422">
        <v>0</v>
      </c>
      <c r="AU182" s="1422">
        <v>44956</v>
      </c>
      <c r="AV182" s="1422">
        <v>35964</v>
      </c>
      <c r="AW182" s="1422">
        <v>0</v>
      </c>
      <c r="AX182" s="1422">
        <v>0</v>
      </c>
      <c r="AY182" s="1420">
        <v>4414014.49</v>
      </c>
      <c r="AZ182" s="1422">
        <v>4370413</v>
      </c>
      <c r="BA182" s="1422">
        <v>0</v>
      </c>
      <c r="BB182" s="1422">
        <v>0</v>
      </c>
      <c r="BC182" s="1422">
        <v>25704</v>
      </c>
      <c r="BD182" s="1422">
        <v>26217</v>
      </c>
      <c r="BE182" s="1420">
        <v>1540.83</v>
      </c>
      <c r="BF182" s="1422">
        <v>800</v>
      </c>
      <c r="BG182" s="1422">
        <v>100</v>
      </c>
      <c r="BH182" s="1422">
        <v>0</v>
      </c>
      <c r="BI182" s="1422">
        <v>0</v>
      </c>
      <c r="BJ182" s="1422">
        <v>8094</v>
      </c>
      <c r="BK182" s="1422">
        <v>0</v>
      </c>
      <c r="BL182" s="1422">
        <v>879</v>
      </c>
      <c r="BM182" s="1422">
        <v>386877</v>
      </c>
      <c r="BN182" s="1420">
        <v>458740.3</v>
      </c>
      <c r="BO182" s="1420">
        <v>2545.94</v>
      </c>
      <c r="BP182" s="1422">
        <v>0</v>
      </c>
      <c r="BQ182" s="1420">
        <v>14896.04</v>
      </c>
      <c r="BR182" s="1420">
        <v>23562.66</v>
      </c>
      <c r="BS182" s="1420">
        <v>2336.5100000000002</v>
      </c>
      <c r="BT182" s="1422">
        <v>2500</v>
      </c>
      <c r="BU182" s="1422">
        <v>0</v>
      </c>
      <c r="BV182" s="1422">
        <v>0</v>
      </c>
      <c r="BW182" s="1422">
        <v>0</v>
      </c>
      <c r="BX182" s="1422">
        <v>0</v>
      </c>
      <c r="BY182" s="1422">
        <v>0</v>
      </c>
      <c r="BZ182" s="1422">
        <v>0</v>
      </c>
      <c r="CA182" s="1422">
        <v>680631</v>
      </c>
      <c r="CB182" s="1422">
        <v>56320</v>
      </c>
      <c r="CC182" s="1420">
        <v>1114631.32</v>
      </c>
      <c r="CD182" s="1420">
        <v>577112.96</v>
      </c>
      <c r="CE182" s="1420">
        <v>1445503.5</v>
      </c>
      <c r="CF182" s="1420">
        <v>1136458.24</v>
      </c>
      <c r="CG182" s="1420">
        <v>7392.99</v>
      </c>
      <c r="CH182" s="1422">
        <v>0</v>
      </c>
      <c r="CI182" s="1422">
        <v>0</v>
      </c>
      <c r="CJ182" s="1422">
        <v>0</v>
      </c>
      <c r="CK182" s="1422">
        <v>0</v>
      </c>
      <c r="CL182" s="1422">
        <v>0</v>
      </c>
      <c r="CM182" s="1422">
        <v>2068</v>
      </c>
      <c r="CN182" s="1422">
        <v>0</v>
      </c>
      <c r="CO182" s="1420">
        <v>1032.53</v>
      </c>
      <c r="CP182" s="1422">
        <v>0</v>
      </c>
      <c r="CQ182" s="1420">
        <v>10401.120000000001</v>
      </c>
      <c r="CR182" s="1422">
        <v>20000</v>
      </c>
      <c r="CS182" s="1420">
        <v>20894.64</v>
      </c>
      <c r="CT182" s="1422">
        <v>20000</v>
      </c>
      <c r="CU182" s="1420">
        <v>6995043.9500000002</v>
      </c>
      <c r="CV182" s="1420">
        <v>6103984.2000000002</v>
      </c>
      <c r="CW182" s="1420">
        <v>2338422.67</v>
      </c>
      <c r="CX182" s="1420">
        <v>2329921.96</v>
      </c>
      <c r="CY182" s="1420">
        <v>406865.42</v>
      </c>
      <c r="CZ182" s="1420">
        <v>414883.42</v>
      </c>
      <c r="DA182" s="1420">
        <v>229999.93</v>
      </c>
      <c r="DB182" s="1420">
        <v>237257.21</v>
      </c>
      <c r="DC182" s="1422">
        <v>0</v>
      </c>
      <c r="DD182" s="1422">
        <v>0</v>
      </c>
      <c r="DE182" s="1420">
        <v>253546.19</v>
      </c>
      <c r="DF182" s="1420">
        <v>201514.93</v>
      </c>
      <c r="DG182" s="1420">
        <v>63943.1</v>
      </c>
      <c r="DH182" s="1420">
        <v>76857.399999999994</v>
      </c>
      <c r="DI182" s="1420">
        <v>3292777.31</v>
      </c>
      <c r="DJ182" s="1420">
        <v>3260434.92</v>
      </c>
      <c r="DK182" s="1420">
        <v>161701.5</v>
      </c>
      <c r="DL182" s="1420">
        <v>166455.01999999999</v>
      </c>
      <c r="DM182" s="1420">
        <v>117956.65</v>
      </c>
      <c r="DN182" s="1420">
        <v>127215.9</v>
      </c>
      <c r="DO182" s="1420">
        <v>704800.83</v>
      </c>
      <c r="DP182" s="1420">
        <v>690923.62</v>
      </c>
      <c r="DQ182" s="1420">
        <v>321457.59000000003</v>
      </c>
      <c r="DR182" s="1420">
        <v>288989.93</v>
      </c>
      <c r="DS182" s="1420">
        <v>45680.62</v>
      </c>
      <c r="DT182" s="1420">
        <v>20426.14</v>
      </c>
      <c r="DU182" s="1420">
        <v>1351597.19</v>
      </c>
      <c r="DV182" s="1420">
        <v>1294010.6100000001</v>
      </c>
      <c r="DW182" s="1420">
        <v>184197.27</v>
      </c>
      <c r="DX182" s="1420">
        <v>174382.13</v>
      </c>
      <c r="DY182" s="1420">
        <v>581458.17000000004</v>
      </c>
      <c r="DZ182" s="1420">
        <v>696088.65</v>
      </c>
      <c r="EA182" s="1420">
        <v>268704.33</v>
      </c>
      <c r="EB182" s="1420">
        <v>258961.38</v>
      </c>
      <c r="EC182" s="1420">
        <v>1034359.77</v>
      </c>
      <c r="ED182" s="1420">
        <v>1129432.1599999999</v>
      </c>
      <c r="EE182" s="1420">
        <v>296021.84000000003</v>
      </c>
      <c r="EF182" s="1420">
        <v>314735.37</v>
      </c>
      <c r="EG182" s="1422">
        <v>0</v>
      </c>
      <c r="EH182" s="1422">
        <v>0</v>
      </c>
      <c r="EI182" s="1420">
        <v>5862.38</v>
      </c>
      <c r="EJ182" s="1420">
        <v>3862.38</v>
      </c>
      <c r="EK182" s="1422">
        <v>0</v>
      </c>
      <c r="EL182" s="1422">
        <v>0</v>
      </c>
      <c r="EM182" s="1420">
        <v>301884.21999999997</v>
      </c>
      <c r="EN182" s="1420">
        <v>318597.75</v>
      </c>
      <c r="EO182" s="1420">
        <v>908198.48</v>
      </c>
      <c r="EP182" s="1422">
        <v>35000</v>
      </c>
      <c r="EQ182" s="1422">
        <v>156296</v>
      </c>
      <c r="ER182" s="1420">
        <v>183434.5</v>
      </c>
      <c r="ES182" s="1422">
        <v>0</v>
      </c>
      <c r="ET182" s="1422">
        <v>0</v>
      </c>
      <c r="EU182" s="1420">
        <v>7045112.9699999997</v>
      </c>
      <c r="EV182" s="1420">
        <v>6220909.9400000004</v>
      </c>
      <c r="EW182" s="1420">
        <v>1110284.95</v>
      </c>
      <c r="EX182" s="1420">
        <v>152704.69</v>
      </c>
      <c r="EY182" s="1422">
        <v>156296</v>
      </c>
      <c r="EZ182" s="1420">
        <v>183434.5</v>
      </c>
      <c r="FA182" s="1420">
        <v>5778532.0199999996</v>
      </c>
      <c r="FB182" s="1420">
        <v>5884770.75</v>
      </c>
      <c r="FC182" s="1420">
        <v>152494.70000000001</v>
      </c>
      <c r="FD182" s="1439"/>
      <c r="FE182" s="1420">
        <v>5626037.3200000003</v>
      </c>
      <c r="FF182" s="1439"/>
      <c r="FG182" s="1422">
        <v>9736</v>
      </c>
      <c r="FH182" s="1439"/>
      <c r="FI182" s="1422">
        <v>51</v>
      </c>
      <c r="FJ182" s="1439"/>
      <c r="FK182" s="1422">
        <v>42368</v>
      </c>
      <c r="FL182" s="1439"/>
      <c r="FM182" s="1420">
        <v>56.02</v>
      </c>
      <c r="FN182" s="1439"/>
      <c r="FO182" s="1422">
        <v>44078</v>
      </c>
      <c r="FP182" s="1439"/>
      <c r="FQ182" s="1420">
        <v>926072.41</v>
      </c>
      <c r="FR182" s="1439"/>
      <c r="FS182" s="1420">
        <v>7355.3</v>
      </c>
      <c r="FT182" s="1439"/>
      <c r="FU182" s="1422">
        <v>0</v>
      </c>
      <c r="FV182" s="1439"/>
      <c r="FW182" s="1420">
        <v>918717.11</v>
      </c>
      <c r="FX182" s="1439"/>
      <c r="FY182" s="1420">
        <v>2508.61</v>
      </c>
      <c r="FZ182" s="1439"/>
      <c r="GA182" s="1422">
        <v>0</v>
      </c>
      <c r="GB182" s="1439"/>
    </row>
    <row r="183" spans="1:184" ht="12.75" customHeight="1" thickBot="1">
      <c r="A183" s="1418" t="s">
        <v>241</v>
      </c>
      <c r="B183" s="1418" t="s">
        <v>242</v>
      </c>
      <c r="C183" s="1420">
        <v>70.09</v>
      </c>
      <c r="D183" s="1439"/>
      <c r="E183" s="1420">
        <v>1561.14</v>
      </c>
      <c r="F183" s="1439"/>
      <c r="G183" s="1421">
        <v>0.15</v>
      </c>
      <c r="H183" s="1439"/>
      <c r="I183" s="1420">
        <v>1618.31</v>
      </c>
      <c r="J183" s="1439"/>
      <c r="K183" s="1420">
        <v>1615.34</v>
      </c>
      <c r="L183" s="1439"/>
      <c r="M183" s="1422">
        <v>71124757</v>
      </c>
      <c r="N183" s="1439"/>
      <c r="O183" s="1422">
        <v>25</v>
      </c>
      <c r="P183" s="1439"/>
      <c r="Q183" s="1422">
        <v>25</v>
      </c>
      <c r="R183" s="1439"/>
      <c r="S183" s="1422">
        <v>0</v>
      </c>
      <c r="T183" s="1439"/>
      <c r="U183" s="1422">
        <v>0</v>
      </c>
      <c r="V183" s="1439"/>
      <c r="W183" s="1420">
        <v>20.2</v>
      </c>
      <c r="X183" s="1439"/>
      <c r="Y183" s="1420">
        <v>45.2</v>
      </c>
      <c r="Z183" s="1439"/>
      <c r="AA183" s="1420">
        <v>13656908.619999999</v>
      </c>
      <c r="AB183" s="1455"/>
      <c r="AC183" s="1424">
        <v>2999156.5</v>
      </c>
      <c r="AD183" s="1422">
        <v>3375356</v>
      </c>
      <c r="AE183" s="1420">
        <v>720028.48</v>
      </c>
      <c r="AF183" s="1422">
        <v>278500</v>
      </c>
      <c r="AG183" s="1420">
        <v>825.29</v>
      </c>
      <c r="AH183" s="1456">
        <v>0</v>
      </c>
      <c r="AI183" s="1428">
        <v>8049119</v>
      </c>
      <c r="AJ183" s="1422">
        <v>8185784</v>
      </c>
      <c r="AK183" s="1422">
        <v>13897</v>
      </c>
      <c r="AL183" s="1422">
        <v>0</v>
      </c>
      <c r="AM183" s="1422">
        <v>25340</v>
      </c>
      <c r="AN183" s="1422">
        <v>0</v>
      </c>
      <c r="AO183" s="1422">
        <v>0</v>
      </c>
      <c r="AP183" s="1422">
        <v>0</v>
      </c>
      <c r="AQ183" s="1422">
        <v>0</v>
      </c>
      <c r="AR183" s="1422">
        <v>0</v>
      </c>
      <c r="AS183" s="1422">
        <v>0</v>
      </c>
      <c r="AT183" s="1422">
        <v>0</v>
      </c>
      <c r="AU183" s="1422">
        <v>56518</v>
      </c>
      <c r="AV183" s="1422">
        <v>45214</v>
      </c>
      <c r="AW183" s="1422">
        <v>0</v>
      </c>
      <c r="AX183" s="1422">
        <v>0</v>
      </c>
      <c r="AY183" s="1420">
        <v>11864884.27</v>
      </c>
      <c r="AZ183" s="1422">
        <v>11884854</v>
      </c>
      <c r="BA183" s="1422">
        <v>0</v>
      </c>
      <c r="BB183" s="1422">
        <v>0</v>
      </c>
      <c r="BC183" s="1422">
        <v>66810</v>
      </c>
      <c r="BD183" s="1422">
        <v>68525</v>
      </c>
      <c r="BE183" s="1420">
        <v>17873.25</v>
      </c>
      <c r="BF183" s="1422">
        <v>7600</v>
      </c>
      <c r="BG183" s="1422">
        <v>900</v>
      </c>
      <c r="BH183" s="1422">
        <v>0</v>
      </c>
      <c r="BI183" s="1422">
        <v>42255</v>
      </c>
      <c r="BJ183" s="1422">
        <v>40207</v>
      </c>
      <c r="BK183" s="1422">
        <v>10841</v>
      </c>
      <c r="BL183" s="1422">
        <v>10841</v>
      </c>
      <c r="BM183" s="1422">
        <v>342240</v>
      </c>
      <c r="BN183" s="1422">
        <v>339490</v>
      </c>
      <c r="BO183" s="1420">
        <v>6617.48</v>
      </c>
      <c r="BP183" s="1420">
        <v>16640.8</v>
      </c>
      <c r="BQ183" s="1420">
        <v>28166.76</v>
      </c>
      <c r="BR183" s="1422">
        <v>88833</v>
      </c>
      <c r="BS183" s="1420">
        <v>5133.24</v>
      </c>
      <c r="BT183" s="1422">
        <v>5000</v>
      </c>
      <c r="BU183" s="1422">
        <v>0</v>
      </c>
      <c r="BV183" s="1422">
        <v>0</v>
      </c>
      <c r="BW183" s="1422">
        <v>0</v>
      </c>
      <c r="BX183" s="1422">
        <v>0</v>
      </c>
      <c r="BY183" s="1422">
        <v>0</v>
      </c>
      <c r="BZ183" s="1422">
        <v>0</v>
      </c>
      <c r="CA183" s="1422">
        <v>258832</v>
      </c>
      <c r="CB183" s="1422">
        <v>251846</v>
      </c>
      <c r="CC183" s="1420">
        <v>779668.73</v>
      </c>
      <c r="CD183" s="1420">
        <v>828982.8</v>
      </c>
      <c r="CE183" s="1420">
        <v>1744555.72</v>
      </c>
      <c r="CF183" s="1420">
        <v>2427901.5099999998</v>
      </c>
      <c r="CG183" s="1420">
        <v>1523765.53</v>
      </c>
      <c r="CH183" s="1422">
        <v>0</v>
      </c>
      <c r="CI183" s="1422">
        <v>0</v>
      </c>
      <c r="CJ183" s="1422">
        <v>0</v>
      </c>
      <c r="CK183" s="1422">
        <v>0</v>
      </c>
      <c r="CL183" s="1422">
        <v>0</v>
      </c>
      <c r="CM183" s="1422">
        <v>3500</v>
      </c>
      <c r="CN183" s="1422">
        <v>0</v>
      </c>
      <c r="CO183" s="1422">
        <v>0</v>
      </c>
      <c r="CP183" s="1422">
        <v>0</v>
      </c>
      <c r="CQ183" s="1422">
        <v>0</v>
      </c>
      <c r="CR183" s="1422">
        <v>0</v>
      </c>
      <c r="CS183" s="1420">
        <v>1527265.53</v>
      </c>
      <c r="CT183" s="1422">
        <v>0</v>
      </c>
      <c r="CU183" s="1420">
        <v>15916374.25</v>
      </c>
      <c r="CV183" s="1420">
        <v>15141738.310000001</v>
      </c>
      <c r="CW183" s="1420">
        <v>5427683.0800000001</v>
      </c>
      <c r="CX183" s="1420">
        <v>5639307.1500000004</v>
      </c>
      <c r="CY183" s="1420">
        <v>787830.58</v>
      </c>
      <c r="CZ183" s="1420">
        <v>874677.57</v>
      </c>
      <c r="DA183" s="1420">
        <v>397188.31</v>
      </c>
      <c r="DB183" s="1420">
        <v>467322.14</v>
      </c>
      <c r="DC183" s="1422">
        <v>0</v>
      </c>
      <c r="DD183" s="1422">
        <v>0</v>
      </c>
      <c r="DE183" s="1420">
        <v>431035.21</v>
      </c>
      <c r="DF183" s="1420">
        <v>486041.8</v>
      </c>
      <c r="DG183" s="1420">
        <v>906301.78</v>
      </c>
      <c r="DH183" s="1420">
        <v>898581.09</v>
      </c>
      <c r="DI183" s="1420">
        <v>7950038.96</v>
      </c>
      <c r="DJ183" s="1420">
        <v>8365929.75</v>
      </c>
      <c r="DK183" s="1420">
        <v>269787.36</v>
      </c>
      <c r="DL183" s="1420">
        <v>264460.74</v>
      </c>
      <c r="DM183" s="1420">
        <v>134358.5</v>
      </c>
      <c r="DN183" s="1420">
        <v>132628.47</v>
      </c>
      <c r="DO183" s="1420">
        <v>1156186.96</v>
      </c>
      <c r="DP183" s="1420">
        <v>1177550.04</v>
      </c>
      <c r="DQ183" s="1420">
        <v>401733.31</v>
      </c>
      <c r="DR183" s="1420">
        <v>484650.35</v>
      </c>
      <c r="DS183" s="1420">
        <v>12292.64</v>
      </c>
      <c r="DT183" s="1422">
        <v>20000</v>
      </c>
      <c r="DU183" s="1420">
        <v>1974358.77</v>
      </c>
      <c r="DV183" s="1420">
        <v>2079289.6</v>
      </c>
      <c r="DW183" s="1420">
        <v>538244.68000000005</v>
      </c>
      <c r="DX183" s="1420">
        <v>508036.4</v>
      </c>
      <c r="DY183" s="1420">
        <v>811665.2</v>
      </c>
      <c r="DZ183" s="1420">
        <v>962041.73</v>
      </c>
      <c r="EA183" s="1420">
        <v>595007.18000000005</v>
      </c>
      <c r="EB183" s="1420">
        <v>611550.13</v>
      </c>
      <c r="EC183" s="1420">
        <v>1944917.06</v>
      </c>
      <c r="ED183" s="1420">
        <v>2081628.26</v>
      </c>
      <c r="EE183" s="1420">
        <v>624512.5</v>
      </c>
      <c r="EF183" s="1422">
        <v>648070</v>
      </c>
      <c r="EG183" s="1422">
        <v>0</v>
      </c>
      <c r="EH183" s="1422">
        <v>0</v>
      </c>
      <c r="EI183" s="1422">
        <v>0</v>
      </c>
      <c r="EJ183" s="1420">
        <v>1303.3800000000001</v>
      </c>
      <c r="EK183" s="1422">
        <v>0</v>
      </c>
      <c r="EL183" s="1422">
        <v>0</v>
      </c>
      <c r="EM183" s="1420">
        <v>624512.5</v>
      </c>
      <c r="EN183" s="1420">
        <v>649373.38</v>
      </c>
      <c r="EO183" s="1420">
        <v>735773.55</v>
      </c>
      <c r="EP183" s="1420">
        <v>2890584.41</v>
      </c>
      <c r="EQ183" s="1420">
        <v>539581.16</v>
      </c>
      <c r="ER183" s="1422">
        <v>790559</v>
      </c>
      <c r="ES183" s="1422">
        <v>0</v>
      </c>
      <c r="ET183" s="1422">
        <v>0</v>
      </c>
      <c r="EU183" s="1422">
        <v>13769182</v>
      </c>
      <c r="EV183" s="1420">
        <v>16857364.399999999</v>
      </c>
      <c r="EW183" s="1420">
        <v>831675.5</v>
      </c>
      <c r="EX183" s="1420">
        <v>3061360.77</v>
      </c>
      <c r="EY183" s="1420">
        <v>539581.16</v>
      </c>
      <c r="EZ183" s="1422">
        <v>790559</v>
      </c>
      <c r="FA183" s="1420">
        <v>12397925.34</v>
      </c>
      <c r="FB183" s="1420">
        <v>13005444.630000001</v>
      </c>
      <c r="FC183" s="1420">
        <v>602099.53</v>
      </c>
      <c r="FD183" s="1439"/>
      <c r="FE183" s="1420">
        <v>11795825.810000001</v>
      </c>
      <c r="FF183" s="1439"/>
      <c r="FG183" s="1422">
        <v>7555</v>
      </c>
      <c r="FH183" s="1439"/>
      <c r="FI183" s="1420">
        <v>120.21</v>
      </c>
      <c r="FJ183" s="1439"/>
      <c r="FK183" s="1422">
        <v>43742</v>
      </c>
      <c r="FL183" s="1439"/>
      <c r="FM183" s="1420">
        <v>127.39</v>
      </c>
      <c r="FN183" s="1439"/>
      <c r="FO183" s="1422">
        <v>45441</v>
      </c>
      <c r="FP183" s="1439"/>
      <c r="FQ183" s="1420">
        <v>2565902.88</v>
      </c>
      <c r="FR183" s="1439"/>
      <c r="FS183" s="1420">
        <v>53472.37</v>
      </c>
      <c r="FT183" s="1439"/>
      <c r="FU183" s="1422">
        <v>0</v>
      </c>
      <c r="FV183" s="1439"/>
      <c r="FW183" s="1420">
        <v>2512430.5099999998</v>
      </c>
      <c r="FX183" s="1439"/>
      <c r="FY183" s="1420">
        <v>2452390.0099999998</v>
      </c>
      <c r="FZ183" s="1439"/>
      <c r="GA183" s="1422">
        <v>0</v>
      </c>
      <c r="GB183" s="1439"/>
    </row>
    <row r="184" spans="1:184" ht="12.75" customHeight="1" thickBot="1">
      <c r="A184" s="1418" t="s">
        <v>243</v>
      </c>
      <c r="B184" s="1418" t="s">
        <v>244</v>
      </c>
      <c r="C184" s="1420">
        <v>99.5</v>
      </c>
      <c r="D184" s="1439"/>
      <c r="E184" s="1420">
        <v>4961.1099999999997</v>
      </c>
      <c r="F184" s="1439"/>
      <c r="G184" s="1421">
        <v>0.03</v>
      </c>
      <c r="H184" s="1439"/>
      <c r="I184" s="1420">
        <v>5122.08</v>
      </c>
      <c r="J184" s="1439"/>
      <c r="K184" s="1420">
        <v>5139.32</v>
      </c>
      <c r="L184" s="1439"/>
      <c r="M184" s="1422">
        <v>764348382</v>
      </c>
      <c r="N184" s="1439"/>
      <c r="O184" s="1420">
        <v>26.8</v>
      </c>
      <c r="P184" s="1439"/>
      <c r="Q184" s="1422">
        <v>25</v>
      </c>
      <c r="R184" s="1439"/>
      <c r="S184" s="1420">
        <v>1.8</v>
      </c>
      <c r="T184" s="1439"/>
      <c r="U184" s="1420">
        <v>1.4</v>
      </c>
      <c r="V184" s="1439"/>
      <c r="W184" s="1420">
        <v>12.6</v>
      </c>
      <c r="X184" s="1439"/>
      <c r="Y184" s="1420">
        <v>40.799999999999997</v>
      </c>
      <c r="Z184" s="1439"/>
      <c r="AA184" s="1420">
        <v>52528775.469999999</v>
      </c>
      <c r="AB184" s="1455"/>
      <c r="AC184" s="1424">
        <v>29913377.449999999</v>
      </c>
      <c r="AD184" s="1422">
        <v>33284177</v>
      </c>
      <c r="AE184" s="1420">
        <v>3416003.43</v>
      </c>
      <c r="AF184" s="1422">
        <v>1879528</v>
      </c>
      <c r="AG184" s="1420">
        <v>3231.26</v>
      </c>
      <c r="AH184" s="1456">
        <v>2652</v>
      </c>
      <c r="AI184" s="1428">
        <v>12648080</v>
      </c>
      <c r="AJ184" s="1422">
        <v>12810809</v>
      </c>
      <c r="AK184" s="1422">
        <v>57909</v>
      </c>
      <c r="AL184" s="1422">
        <v>0</v>
      </c>
      <c r="AM184" s="1422">
        <v>157269</v>
      </c>
      <c r="AN184" s="1422">
        <v>0</v>
      </c>
      <c r="AO184" s="1422">
        <v>0</v>
      </c>
      <c r="AP184" s="1422">
        <v>0</v>
      </c>
      <c r="AQ184" s="1422">
        <v>0</v>
      </c>
      <c r="AR184" s="1422">
        <v>0</v>
      </c>
      <c r="AS184" s="1422">
        <v>0</v>
      </c>
      <c r="AT184" s="1422">
        <v>0</v>
      </c>
      <c r="AU184" s="1422">
        <v>0</v>
      </c>
      <c r="AV184" s="1422">
        <v>0</v>
      </c>
      <c r="AW184" s="1422">
        <v>0</v>
      </c>
      <c r="AX184" s="1422">
        <v>0</v>
      </c>
      <c r="AY184" s="1420">
        <v>46195870.140000001</v>
      </c>
      <c r="AZ184" s="1422">
        <v>47977166</v>
      </c>
      <c r="BA184" s="1420">
        <v>526151.94999999995</v>
      </c>
      <c r="BB184" s="1422">
        <v>513754</v>
      </c>
      <c r="BC184" s="1422">
        <v>212562</v>
      </c>
      <c r="BD184" s="1422">
        <v>217696</v>
      </c>
      <c r="BE184" s="1420">
        <v>29413.1</v>
      </c>
      <c r="BF184" s="1422">
        <v>2600</v>
      </c>
      <c r="BG184" s="1422">
        <v>15150</v>
      </c>
      <c r="BH184" s="1422">
        <v>0</v>
      </c>
      <c r="BI184" s="1422">
        <v>274456</v>
      </c>
      <c r="BJ184" s="1422">
        <v>265612</v>
      </c>
      <c r="BK184" s="1422">
        <v>150309</v>
      </c>
      <c r="BL184" s="1422">
        <v>153387</v>
      </c>
      <c r="BM184" s="1422">
        <v>1407648</v>
      </c>
      <c r="BN184" s="1422">
        <v>1467906</v>
      </c>
      <c r="BO184" s="1420">
        <v>336075.22</v>
      </c>
      <c r="BP184" s="1422">
        <v>312949</v>
      </c>
      <c r="BQ184" s="1420">
        <v>795887.59</v>
      </c>
      <c r="BR184" s="1422">
        <v>203938</v>
      </c>
      <c r="BS184" s="1420">
        <v>18262.87</v>
      </c>
      <c r="BT184" s="1422">
        <v>18250</v>
      </c>
      <c r="BU184" s="1422">
        <v>0</v>
      </c>
      <c r="BV184" s="1422">
        <v>0</v>
      </c>
      <c r="BW184" s="1422">
        <v>0</v>
      </c>
      <c r="BX184" s="1422">
        <v>0</v>
      </c>
      <c r="BY184" s="1422">
        <v>0</v>
      </c>
      <c r="BZ184" s="1422">
        <v>0</v>
      </c>
      <c r="CA184" s="1422">
        <v>31823</v>
      </c>
      <c r="CB184" s="1422">
        <v>0</v>
      </c>
      <c r="CC184" s="1420">
        <v>3797738.73</v>
      </c>
      <c r="CD184" s="1422">
        <v>3156092</v>
      </c>
      <c r="CE184" s="1420">
        <v>9498128.1699999999</v>
      </c>
      <c r="CF184" s="1420">
        <v>5702622.9199999999</v>
      </c>
      <c r="CG184" s="1422">
        <v>916300</v>
      </c>
      <c r="CH184" s="1422">
        <v>0</v>
      </c>
      <c r="CI184" s="1422">
        <v>0</v>
      </c>
      <c r="CJ184" s="1422">
        <v>0</v>
      </c>
      <c r="CK184" s="1422">
        <v>44000</v>
      </c>
      <c r="CL184" s="1422">
        <v>0</v>
      </c>
      <c r="CM184" s="1420">
        <v>11587.5</v>
      </c>
      <c r="CN184" s="1422">
        <v>0</v>
      </c>
      <c r="CO184" s="1420">
        <v>19333.29</v>
      </c>
      <c r="CP184" s="1422">
        <v>0</v>
      </c>
      <c r="CQ184" s="1422">
        <v>0</v>
      </c>
      <c r="CR184" s="1422">
        <v>0</v>
      </c>
      <c r="CS184" s="1420">
        <v>991220.79</v>
      </c>
      <c r="CT184" s="1422">
        <v>0</v>
      </c>
      <c r="CU184" s="1420">
        <v>60482957.829999998</v>
      </c>
      <c r="CV184" s="1420">
        <v>56835880.920000002</v>
      </c>
      <c r="CW184" s="1420">
        <v>19128059.280000001</v>
      </c>
      <c r="CX184" s="1420">
        <v>18417259.600000001</v>
      </c>
      <c r="CY184" s="1420">
        <v>3084399.22</v>
      </c>
      <c r="CZ184" s="1422">
        <v>3512081</v>
      </c>
      <c r="DA184" s="1420">
        <v>1800316.03</v>
      </c>
      <c r="DB184" s="1422">
        <v>1148458</v>
      </c>
      <c r="DC184" s="1420">
        <v>691917.56</v>
      </c>
      <c r="DD184" s="1422">
        <v>693293</v>
      </c>
      <c r="DE184" s="1420">
        <v>1480890.88</v>
      </c>
      <c r="DF184" s="1422">
        <v>1781764</v>
      </c>
      <c r="DG184" s="1420">
        <v>2903245.34</v>
      </c>
      <c r="DH184" s="1420">
        <v>2836743.87</v>
      </c>
      <c r="DI184" s="1420">
        <v>29088828.309999999</v>
      </c>
      <c r="DJ184" s="1420">
        <v>28389599.469999999</v>
      </c>
      <c r="DK184" s="1420">
        <v>562634.74</v>
      </c>
      <c r="DL184" s="1420">
        <v>721047.04000000004</v>
      </c>
      <c r="DM184" s="1420">
        <v>1547979.99</v>
      </c>
      <c r="DN184" s="1420">
        <v>2229403.56</v>
      </c>
      <c r="DO184" s="1420">
        <v>7310993.7699999996</v>
      </c>
      <c r="DP184" s="1420">
        <v>7130741.2800000003</v>
      </c>
      <c r="DQ184" s="1420">
        <v>1590221.57</v>
      </c>
      <c r="DR184" s="1422">
        <v>1976132</v>
      </c>
      <c r="DS184" s="1420">
        <v>184788.41</v>
      </c>
      <c r="DT184" s="1422">
        <v>192563</v>
      </c>
      <c r="DU184" s="1420">
        <v>11196618.48</v>
      </c>
      <c r="DV184" s="1420">
        <v>12249886.880000001</v>
      </c>
      <c r="DW184" s="1420">
        <v>2220707.27</v>
      </c>
      <c r="DX184" s="1422">
        <v>2690195</v>
      </c>
      <c r="DY184" s="1420">
        <v>4365815.3</v>
      </c>
      <c r="DZ184" s="1420">
        <v>4214923.75</v>
      </c>
      <c r="EA184" s="1420">
        <v>2396344.4900000002</v>
      </c>
      <c r="EB184" s="1420">
        <v>2599216.13</v>
      </c>
      <c r="EC184" s="1420">
        <v>8982867.0600000005</v>
      </c>
      <c r="ED184" s="1420">
        <v>9504334.8800000008</v>
      </c>
      <c r="EE184" s="1420">
        <v>2923189.82</v>
      </c>
      <c r="EF184" s="1422">
        <v>2825689</v>
      </c>
      <c r="EG184" s="1420">
        <v>17104.59</v>
      </c>
      <c r="EH184" s="1422">
        <v>0</v>
      </c>
      <c r="EI184" s="1420">
        <v>97425.36</v>
      </c>
      <c r="EJ184" s="1422">
        <v>87450</v>
      </c>
      <c r="EK184" s="1422">
        <v>0</v>
      </c>
      <c r="EL184" s="1422">
        <v>0</v>
      </c>
      <c r="EM184" s="1420">
        <v>3037719.77</v>
      </c>
      <c r="EN184" s="1422">
        <v>2913139</v>
      </c>
      <c r="EO184" s="1420">
        <v>10224310.67</v>
      </c>
      <c r="EP184" s="1422">
        <v>4834133</v>
      </c>
      <c r="EQ184" s="1420">
        <v>4890085.26</v>
      </c>
      <c r="ER184" s="1422">
        <v>4856352</v>
      </c>
      <c r="ES184" s="1420">
        <v>28439.46</v>
      </c>
      <c r="ET184" s="1422">
        <v>0</v>
      </c>
      <c r="EU184" s="1420">
        <v>67448869.010000005</v>
      </c>
      <c r="EV184" s="1420">
        <v>62747445.229999997</v>
      </c>
      <c r="EW184" s="1420">
        <v>11436149.16</v>
      </c>
      <c r="EX184" s="1420">
        <v>6566626.9500000002</v>
      </c>
      <c r="EY184" s="1420">
        <v>4890085.26</v>
      </c>
      <c r="EZ184" s="1422">
        <v>4856352</v>
      </c>
      <c r="FA184" s="1420">
        <v>51122634.590000004</v>
      </c>
      <c r="FB184" s="1420">
        <v>51324466.280000001</v>
      </c>
      <c r="FC184" s="1420">
        <v>2283087.62</v>
      </c>
      <c r="FD184" s="1439"/>
      <c r="FE184" s="1420">
        <v>48839546.969999999</v>
      </c>
      <c r="FF184" s="1439"/>
      <c r="FG184" s="1422">
        <v>9844</v>
      </c>
      <c r="FH184" s="1439"/>
      <c r="FI184" s="1420">
        <v>389.77</v>
      </c>
      <c r="FJ184" s="1439"/>
      <c r="FK184" s="1422">
        <v>45289</v>
      </c>
      <c r="FL184" s="1439"/>
      <c r="FM184" s="1420">
        <v>426.53</v>
      </c>
      <c r="FN184" s="1439"/>
      <c r="FO184" s="1422">
        <v>47616</v>
      </c>
      <c r="FP184" s="1439"/>
      <c r="FQ184" s="1420">
        <v>8733620.6500000004</v>
      </c>
      <c r="FR184" s="1439"/>
      <c r="FS184" s="1420">
        <v>98408.89</v>
      </c>
      <c r="FT184" s="1439"/>
      <c r="FU184" s="1422">
        <v>0</v>
      </c>
      <c r="FV184" s="1439"/>
      <c r="FW184" s="1420">
        <v>8635211.7599999998</v>
      </c>
      <c r="FX184" s="1439"/>
      <c r="FY184" s="1420">
        <v>6500277.8499999996</v>
      </c>
      <c r="FZ184" s="1439"/>
      <c r="GA184" s="1420">
        <v>365261.6</v>
      </c>
      <c r="GB184" s="1439"/>
    </row>
    <row r="185" spans="1:184" ht="12.75" customHeight="1" thickBot="1">
      <c r="A185" s="1418" t="s">
        <v>245</v>
      </c>
      <c r="B185" s="1418" t="s">
        <v>246</v>
      </c>
      <c r="C185" s="1420">
        <v>274.92</v>
      </c>
      <c r="D185" s="1439"/>
      <c r="E185" s="1420">
        <v>558.27</v>
      </c>
      <c r="F185" s="1439"/>
      <c r="G185" s="1421">
        <v>-7.0000000000000007E-2</v>
      </c>
      <c r="H185" s="1439"/>
      <c r="I185" s="1420">
        <v>590.53</v>
      </c>
      <c r="J185" s="1439"/>
      <c r="K185" s="1420">
        <v>602.77</v>
      </c>
      <c r="L185" s="1439"/>
      <c r="M185" s="1422">
        <v>41408581</v>
      </c>
      <c r="N185" s="1439"/>
      <c r="O185" s="1422">
        <v>25</v>
      </c>
      <c r="P185" s="1439"/>
      <c r="Q185" s="1422">
        <v>25</v>
      </c>
      <c r="R185" s="1439"/>
      <c r="S185" s="1422">
        <v>0</v>
      </c>
      <c r="T185" s="1439"/>
      <c r="U185" s="1422">
        <v>0</v>
      </c>
      <c r="V185" s="1439"/>
      <c r="W185" s="1422">
        <v>5</v>
      </c>
      <c r="X185" s="1439"/>
      <c r="Y185" s="1422">
        <v>30</v>
      </c>
      <c r="Z185" s="1439"/>
      <c r="AA185" s="1422">
        <v>1165000</v>
      </c>
      <c r="AB185" s="1455"/>
      <c r="AC185" s="1424">
        <v>1165939.6499999999</v>
      </c>
      <c r="AD185" s="1422">
        <v>1265848</v>
      </c>
      <c r="AE185" s="1420">
        <v>344516.5</v>
      </c>
      <c r="AF185" s="1422">
        <v>126775</v>
      </c>
      <c r="AG185" s="1420">
        <v>3812.41</v>
      </c>
      <c r="AH185" s="1456">
        <v>3000</v>
      </c>
      <c r="AI185" s="1428">
        <v>2592229</v>
      </c>
      <c r="AJ185" s="1422">
        <v>2595072</v>
      </c>
      <c r="AK185" s="1422">
        <v>59629</v>
      </c>
      <c r="AL185" s="1422">
        <v>0</v>
      </c>
      <c r="AM185" s="1422">
        <v>0</v>
      </c>
      <c r="AN185" s="1422">
        <v>0</v>
      </c>
      <c r="AO185" s="1422">
        <v>29995</v>
      </c>
      <c r="AP185" s="1422">
        <v>33638</v>
      </c>
      <c r="AQ185" s="1422">
        <v>0</v>
      </c>
      <c r="AR185" s="1422">
        <v>0</v>
      </c>
      <c r="AS185" s="1422">
        <v>0</v>
      </c>
      <c r="AT185" s="1422">
        <v>0</v>
      </c>
      <c r="AU185" s="1422">
        <v>0</v>
      </c>
      <c r="AV185" s="1422">
        <v>0</v>
      </c>
      <c r="AW185" s="1422">
        <v>0</v>
      </c>
      <c r="AX185" s="1422">
        <v>0</v>
      </c>
      <c r="AY185" s="1420">
        <v>4196121.5599999996</v>
      </c>
      <c r="AZ185" s="1422">
        <v>4024333</v>
      </c>
      <c r="BA185" s="1422">
        <v>240000</v>
      </c>
      <c r="BB185" s="1422">
        <v>150000</v>
      </c>
      <c r="BC185" s="1422">
        <v>24931</v>
      </c>
      <c r="BD185" s="1422">
        <v>25081</v>
      </c>
      <c r="BE185" s="1420">
        <v>3018.78</v>
      </c>
      <c r="BF185" s="1422">
        <v>1200</v>
      </c>
      <c r="BG185" s="1422">
        <v>50</v>
      </c>
      <c r="BH185" s="1422">
        <v>50</v>
      </c>
      <c r="BI185" s="1422">
        <v>8654</v>
      </c>
      <c r="BJ185" s="1422">
        <v>9948</v>
      </c>
      <c r="BK185" s="1422">
        <v>0</v>
      </c>
      <c r="BL185" s="1422">
        <v>0</v>
      </c>
      <c r="BM185" s="1422">
        <v>189472</v>
      </c>
      <c r="BN185" s="1422">
        <v>190256</v>
      </c>
      <c r="BO185" s="1420">
        <v>2469.35</v>
      </c>
      <c r="BP185" s="1422">
        <v>0</v>
      </c>
      <c r="BQ185" s="1422">
        <v>1625</v>
      </c>
      <c r="BR185" s="1422">
        <v>1625</v>
      </c>
      <c r="BS185" s="1420">
        <v>2263.89</v>
      </c>
      <c r="BT185" s="1422">
        <v>2300</v>
      </c>
      <c r="BU185" s="1422">
        <v>0</v>
      </c>
      <c r="BV185" s="1422">
        <v>0</v>
      </c>
      <c r="BW185" s="1422">
        <v>97200</v>
      </c>
      <c r="BX185" s="1422">
        <v>124400</v>
      </c>
      <c r="BY185" s="1422">
        <v>0</v>
      </c>
      <c r="BZ185" s="1422">
        <v>0</v>
      </c>
      <c r="CA185" s="1422">
        <v>19141</v>
      </c>
      <c r="CB185" s="1422">
        <v>18055</v>
      </c>
      <c r="CC185" s="1420">
        <v>588825.02</v>
      </c>
      <c r="CD185" s="1422">
        <v>522915</v>
      </c>
      <c r="CE185" s="1420">
        <v>821387.29</v>
      </c>
      <c r="CF185" s="1420">
        <v>656476.56000000006</v>
      </c>
      <c r="CG185" s="1420">
        <v>37377.26</v>
      </c>
      <c r="CH185" s="1422">
        <v>0</v>
      </c>
      <c r="CI185" s="1422">
        <v>0</v>
      </c>
      <c r="CJ185" s="1422">
        <v>0</v>
      </c>
      <c r="CK185" s="1420">
        <v>4822.68</v>
      </c>
      <c r="CL185" s="1422">
        <v>0</v>
      </c>
      <c r="CM185" s="1422">
        <v>0</v>
      </c>
      <c r="CN185" s="1422">
        <v>0</v>
      </c>
      <c r="CO185" s="1420">
        <v>23180.23</v>
      </c>
      <c r="CP185" s="1422">
        <v>0</v>
      </c>
      <c r="CQ185" s="1422">
        <v>0</v>
      </c>
      <c r="CR185" s="1422">
        <v>0</v>
      </c>
      <c r="CS185" s="1420">
        <v>65380.17</v>
      </c>
      <c r="CT185" s="1422">
        <v>0</v>
      </c>
      <c r="CU185" s="1420">
        <v>5671714.04</v>
      </c>
      <c r="CV185" s="1420">
        <v>5203724.5599999996</v>
      </c>
      <c r="CW185" s="1420">
        <v>1998013.4</v>
      </c>
      <c r="CX185" s="1420">
        <v>1767241.7</v>
      </c>
      <c r="CY185" s="1420">
        <v>312836.56</v>
      </c>
      <c r="CZ185" s="1420">
        <v>357006.15</v>
      </c>
      <c r="DA185" s="1420">
        <v>219414.38</v>
      </c>
      <c r="DB185" s="1420">
        <v>251296.35</v>
      </c>
      <c r="DC185" s="1420">
        <v>226486.46</v>
      </c>
      <c r="DD185" s="1422">
        <v>150000</v>
      </c>
      <c r="DE185" s="1420">
        <v>199435.55</v>
      </c>
      <c r="DF185" s="1420">
        <v>259415.94</v>
      </c>
      <c r="DG185" s="1420">
        <v>264992.17</v>
      </c>
      <c r="DH185" s="1420">
        <v>215810.42</v>
      </c>
      <c r="DI185" s="1420">
        <v>3221178.52</v>
      </c>
      <c r="DJ185" s="1420">
        <v>3000770.5600000001</v>
      </c>
      <c r="DK185" s="1420">
        <v>152247.6</v>
      </c>
      <c r="DL185" s="1420">
        <v>133890.76999999999</v>
      </c>
      <c r="DM185" s="1420">
        <v>115227.95</v>
      </c>
      <c r="DN185" s="1420">
        <v>113460.42</v>
      </c>
      <c r="DO185" s="1420">
        <v>615868.22</v>
      </c>
      <c r="DP185" s="1420">
        <v>540919.62</v>
      </c>
      <c r="DQ185" s="1420">
        <v>233227.32</v>
      </c>
      <c r="DR185" s="1420">
        <v>220114.66</v>
      </c>
      <c r="DS185" s="1420">
        <v>18397.79</v>
      </c>
      <c r="DT185" s="1420">
        <v>7567.04</v>
      </c>
      <c r="DU185" s="1420">
        <v>1134968.8799999999</v>
      </c>
      <c r="DV185" s="1420">
        <v>1015952.51</v>
      </c>
      <c r="DW185" s="1420">
        <v>199239.64</v>
      </c>
      <c r="DX185" s="1420">
        <v>211380.4</v>
      </c>
      <c r="DY185" s="1420">
        <v>245168.21</v>
      </c>
      <c r="DZ185" s="1420">
        <v>310133.5</v>
      </c>
      <c r="EA185" s="1420">
        <v>240825.15</v>
      </c>
      <c r="EB185" s="1420">
        <v>218618.32</v>
      </c>
      <c r="EC185" s="1422">
        <v>685233</v>
      </c>
      <c r="ED185" s="1420">
        <v>740132.22</v>
      </c>
      <c r="EE185" s="1420">
        <v>364885.87</v>
      </c>
      <c r="EF185" s="1420">
        <v>338775.09</v>
      </c>
      <c r="EG185" s="1420">
        <v>34146.42</v>
      </c>
      <c r="EH185" s="1422">
        <v>0</v>
      </c>
      <c r="EI185" s="1422">
        <v>0</v>
      </c>
      <c r="EJ185" s="1420">
        <v>22929.279999999999</v>
      </c>
      <c r="EK185" s="1422">
        <v>0</v>
      </c>
      <c r="EL185" s="1422">
        <v>0</v>
      </c>
      <c r="EM185" s="1420">
        <v>399032.29</v>
      </c>
      <c r="EN185" s="1420">
        <v>361704.37</v>
      </c>
      <c r="EO185" s="1420">
        <v>126944.71</v>
      </c>
      <c r="EP185" s="1422">
        <v>0</v>
      </c>
      <c r="EQ185" s="1420">
        <v>44789.58</v>
      </c>
      <c r="ER185" s="1422">
        <v>88473</v>
      </c>
      <c r="ES185" s="1422">
        <v>0</v>
      </c>
      <c r="ET185" s="1422">
        <v>0</v>
      </c>
      <c r="EU185" s="1420">
        <v>5612146.9800000004</v>
      </c>
      <c r="EV185" s="1420">
        <v>5207032.66</v>
      </c>
      <c r="EW185" s="1420">
        <v>194098.33</v>
      </c>
      <c r="EX185" s="1422">
        <v>4500</v>
      </c>
      <c r="EY185" s="1420">
        <v>44789.58</v>
      </c>
      <c r="EZ185" s="1422">
        <v>88473</v>
      </c>
      <c r="FA185" s="1420">
        <v>5373259.0700000003</v>
      </c>
      <c r="FB185" s="1420">
        <v>5114059.66</v>
      </c>
      <c r="FC185" s="1420">
        <v>614926.47</v>
      </c>
      <c r="FD185" s="1439"/>
      <c r="FE185" s="1420">
        <v>4758332.5999999996</v>
      </c>
      <c r="FF185" s="1439"/>
      <c r="FG185" s="1422">
        <v>8523</v>
      </c>
      <c r="FH185" s="1439"/>
      <c r="FI185" s="1420">
        <v>45.67</v>
      </c>
      <c r="FJ185" s="1439"/>
      <c r="FK185" s="1422">
        <v>39788</v>
      </c>
      <c r="FL185" s="1439"/>
      <c r="FM185" s="1420">
        <v>48.87</v>
      </c>
      <c r="FN185" s="1439"/>
      <c r="FO185" s="1422">
        <v>41929</v>
      </c>
      <c r="FP185" s="1439"/>
      <c r="FQ185" s="1420">
        <v>2356188.2599999998</v>
      </c>
      <c r="FR185" s="1439"/>
      <c r="FS185" s="1420">
        <v>146602.1</v>
      </c>
      <c r="FT185" s="1439"/>
      <c r="FU185" s="1422">
        <v>0</v>
      </c>
      <c r="FV185" s="1439"/>
      <c r="FW185" s="1420">
        <v>2209586.16</v>
      </c>
      <c r="FX185" s="1439"/>
      <c r="FY185" s="1420">
        <v>22174.83</v>
      </c>
      <c r="FZ185" s="1439"/>
      <c r="GA185" s="1422">
        <v>0</v>
      </c>
      <c r="GB185" s="1439"/>
    </row>
    <row r="186" spans="1:184" ht="12.75" customHeight="1" thickBot="1">
      <c r="A186" s="1418" t="s">
        <v>247</v>
      </c>
      <c r="B186" s="1418" t="s">
        <v>248</v>
      </c>
      <c r="C186" s="1420">
        <v>375.11</v>
      </c>
      <c r="D186" s="1439"/>
      <c r="E186" s="1420">
        <v>620.04999999999995</v>
      </c>
      <c r="F186" s="1439"/>
      <c r="G186" s="1421">
        <v>-0.03</v>
      </c>
      <c r="H186" s="1439"/>
      <c r="I186" s="1420">
        <v>644.12</v>
      </c>
      <c r="J186" s="1439"/>
      <c r="K186" s="1420">
        <v>641.57000000000005</v>
      </c>
      <c r="L186" s="1439"/>
      <c r="M186" s="1422">
        <v>63948816</v>
      </c>
      <c r="N186" s="1439"/>
      <c r="O186" s="1420">
        <v>26.43</v>
      </c>
      <c r="P186" s="1439"/>
      <c r="Q186" s="1422">
        <v>25</v>
      </c>
      <c r="R186" s="1439"/>
      <c r="S186" s="1420">
        <v>1.43</v>
      </c>
      <c r="T186" s="1439"/>
      <c r="U186" s="1422">
        <v>0</v>
      </c>
      <c r="V186" s="1439"/>
      <c r="W186" s="1420">
        <v>3.6</v>
      </c>
      <c r="X186" s="1439"/>
      <c r="Y186" s="1420">
        <v>30.03</v>
      </c>
      <c r="Z186" s="1439"/>
      <c r="AA186" s="1420">
        <v>730863.5</v>
      </c>
      <c r="AB186" s="1455"/>
      <c r="AC186" s="1424">
        <v>1791091.39</v>
      </c>
      <c r="AD186" s="1422">
        <v>1474513</v>
      </c>
      <c r="AE186" s="1420">
        <v>355226.17</v>
      </c>
      <c r="AF186" s="1422">
        <v>194905</v>
      </c>
      <c r="AG186" s="1420">
        <v>4063.63</v>
      </c>
      <c r="AH186" s="1456">
        <v>0</v>
      </c>
      <c r="AI186" s="1428">
        <v>2251603</v>
      </c>
      <c r="AJ186" s="1422">
        <v>2384207</v>
      </c>
      <c r="AK186" s="1422">
        <v>112532</v>
      </c>
      <c r="AL186" s="1422">
        <v>107672</v>
      </c>
      <c r="AM186" s="1422">
        <v>20553</v>
      </c>
      <c r="AN186" s="1422">
        <v>0</v>
      </c>
      <c r="AO186" s="1422">
        <v>15117</v>
      </c>
      <c r="AP186" s="1422">
        <v>0</v>
      </c>
      <c r="AQ186" s="1422">
        <v>0</v>
      </c>
      <c r="AR186" s="1422">
        <v>0</v>
      </c>
      <c r="AS186" s="1422">
        <v>0</v>
      </c>
      <c r="AT186" s="1422">
        <v>0</v>
      </c>
      <c r="AU186" s="1422">
        <v>0</v>
      </c>
      <c r="AV186" s="1422">
        <v>0</v>
      </c>
      <c r="AW186" s="1420">
        <v>2964.13</v>
      </c>
      <c r="AX186" s="1422">
        <v>0</v>
      </c>
      <c r="AY186" s="1420">
        <v>4553150.32</v>
      </c>
      <c r="AZ186" s="1422">
        <v>4161297</v>
      </c>
      <c r="BA186" s="1422">
        <v>0</v>
      </c>
      <c r="BB186" s="1422">
        <v>0</v>
      </c>
      <c r="BC186" s="1422">
        <v>26535</v>
      </c>
      <c r="BD186" s="1422">
        <v>27279</v>
      </c>
      <c r="BE186" s="1420">
        <v>7448.63</v>
      </c>
      <c r="BF186" s="1422">
        <v>7400</v>
      </c>
      <c r="BG186" s="1422">
        <v>924</v>
      </c>
      <c r="BH186" s="1422">
        <v>0</v>
      </c>
      <c r="BI186" s="1422">
        <v>10401</v>
      </c>
      <c r="BJ186" s="1422">
        <v>3192</v>
      </c>
      <c r="BK186" s="1422">
        <v>0</v>
      </c>
      <c r="BL186" s="1422">
        <v>0</v>
      </c>
      <c r="BM186" s="1422">
        <v>213280</v>
      </c>
      <c r="BN186" s="1422">
        <v>310348</v>
      </c>
      <c r="BO186" s="1420">
        <v>59667.74</v>
      </c>
      <c r="BP186" s="1422">
        <v>50000</v>
      </c>
      <c r="BQ186" s="1422">
        <v>0</v>
      </c>
      <c r="BR186" s="1422">
        <v>0</v>
      </c>
      <c r="BS186" s="1420">
        <v>2554.27</v>
      </c>
      <c r="BT186" s="1422">
        <v>2500</v>
      </c>
      <c r="BU186" s="1422">
        <v>0</v>
      </c>
      <c r="BV186" s="1422">
        <v>0</v>
      </c>
      <c r="BW186" s="1422">
        <v>118940</v>
      </c>
      <c r="BX186" s="1422">
        <v>116640</v>
      </c>
      <c r="BY186" s="1422">
        <v>0</v>
      </c>
      <c r="BZ186" s="1422">
        <v>0</v>
      </c>
      <c r="CA186" s="1422">
        <v>13599</v>
      </c>
      <c r="CB186" s="1422">
        <v>8524</v>
      </c>
      <c r="CC186" s="1420">
        <v>453349.64</v>
      </c>
      <c r="CD186" s="1422">
        <v>525883</v>
      </c>
      <c r="CE186" s="1420">
        <v>908802.11</v>
      </c>
      <c r="CF186" s="1420">
        <v>772305.01</v>
      </c>
      <c r="CG186" s="1420">
        <v>215884.75</v>
      </c>
      <c r="CH186" s="1422">
        <v>0</v>
      </c>
      <c r="CI186" s="1422">
        <v>0</v>
      </c>
      <c r="CJ186" s="1422">
        <v>0</v>
      </c>
      <c r="CK186" s="1422">
        <v>0</v>
      </c>
      <c r="CL186" s="1422">
        <v>0</v>
      </c>
      <c r="CM186" s="1420">
        <v>26685.5</v>
      </c>
      <c r="CN186" s="1422">
        <v>0</v>
      </c>
      <c r="CO186" s="1420">
        <v>20346.080000000002</v>
      </c>
      <c r="CP186" s="1422">
        <v>0</v>
      </c>
      <c r="CQ186" s="1422">
        <v>0</v>
      </c>
      <c r="CR186" s="1422">
        <v>0</v>
      </c>
      <c r="CS186" s="1420">
        <v>262916.33</v>
      </c>
      <c r="CT186" s="1422">
        <v>0</v>
      </c>
      <c r="CU186" s="1420">
        <v>6178218.4000000004</v>
      </c>
      <c r="CV186" s="1420">
        <v>5459485.0099999998</v>
      </c>
      <c r="CW186" s="1420">
        <v>2594098.64</v>
      </c>
      <c r="CX186" s="1422">
        <v>2436442</v>
      </c>
      <c r="CY186" s="1420">
        <v>376956.96</v>
      </c>
      <c r="CZ186" s="1420">
        <v>386718.06</v>
      </c>
      <c r="DA186" s="1420">
        <v>147275.10999999999</v>
      </c>
      <c r="DB186" s="1422">
        <v>178767</v>
      </c>
      <c r="DC186" s="1422">
        <v>0</v>
      </c>
      <c r="DD186" s="1422">
        <v>0</v>
      </c>
      <c r="DE186" s="1420">
        <v>289412.43</v>
      </c>
      <c r="DF186" s="1422">
        <v>281346</v>
      </c>
      <c r="DG186" s="1420">
        <v>73351.679999999993</v>
      </c>
      <c r="DH186" s="1422">
        <v>77278</v>
      </c>
      <c r="DI186" s="1420">
        <v>3481094.82</v>
      </c>
      <c r="DJ186" s="1420">
        <v>3360551.06</v>
      </c>
      <c r="DK186" s="1420">
        <v>143467.67000000001</v>
      </c>
      <c r="DL186" s="1422">
        <v>143287</v>
      </c>
      <c r="DM186" s="1420">
        <v>159391.82999999999</v>
      </c>
      <c r="DN186" s="1422">
        <v>161871</v>
      </c>
      <c r="DO186" s="1420">
        <v>535704.72</v>
      </c>
      <c r="DP186" s="1422">
        <v>438823</v>
      </c>
      <c r="DQ186" s="1420">
        <v>232774.07</v>
      </c>
      <c r="DR186" s="1422">
        <v>207510</v>
      </c>
      <c r="DS186" s="1420">
        <v>10530.07</v>
      </c>
      <c r="DT186" s="1422">
        <v>10000</v>
      </c>
      <c r="DU186" s="1420">
        <v>1081868.3600000001</v>
      </c>
      <c r="DV186" s="1422">
        <v>961491</v>
      </c>
      <c r="DW186" s="1420">
        <v>344758.73</v>
      </c>
      <c r="DX186" s="1422">
        <v>290055</v>
      </c>
      <c r="DY186" s="1420">
        <v>300253.14</v>
      </c>
      <c r="DZ186" s="1422">
        <v>299858</v>
      </c>
      <c r="EA186" s="1420">
        <v>279929.53000000003</v>
      </c>
      <c r="EB186" s="1422">
        <v>272243</v>
      </c>
      <c r="EC186" s="1420">
        <v>924941.4</v>
      </c>
      <c r="ED186" s="1422">
        <v>862156</v>
      </c>
      <c r="EE186" s="1420">
        <v>368934.5</v>
      </c>
      <c r="EF186" s="1422">
        <v>331188</v>
      </c>
      <c r="EG186" s="1420">
        <v>58919.35</v>
      </c>
      <c r="EH186" s="1422">
        <v>600</v>
      </c>
      <c r="EI186" s="1420">
        <v>6341.75</v>
      </c>
      <c r="EJ186" s="1422">
        <v>7000</v>
      </c>
      <c r="EK186" s="1422">
        <v>0</v>
      </c>
      <c r="EL186" s="1422">
        <v>0</v>
      </c>
      <c r="EM186" s="1420">
        <v>434195.6</v>
      </c>
      <c r="EN186" s="1422">
        <v>338788</v>
      </c>
      <c r="EO186" s="1420">
        <v>65653.919999999998</v>
      </c>
      <c r="EP186" s="1422">
        <v>43100</v>
      </c>
      <c r="EQ186" s="1420">
        <v>155409.03</v>
      </c>
      <c r="ER186" s="1422">
        <v>91655</v>
      </c>
      <c r="ES186" s="1422">
        <v>25316</v>
      </c>
      <c r="ET186" s="1422">
        <v>0</v>
      </c>
      <c r="EU186" s="1420">
        <v>6168479.1299999999</v>
      </c>
      <c r="EV186" s="1420">
        <v>5657741.0599999996</v>
      </c>
      <c r="EW186" s="1420">
        <v>121763.37</v>
      </c>
      <c r="EX186" s="1422">
        <v>137754</v>
      </c>
      <c r="EY186" s="1420">
        <v>155409.03</v>
      </c>
      <c r="EZ186" s="1422">
        <v>91655</v>
      </c>
      <c r="FA186" s="1420">
        <v>5891306.7300000004</v>
      </c>
      <c r="FB186" s="1420">
        <v>5428332.0599999996</v>
      </c>
      <c r="FC186" s="1420">
        <v>463595.29</v>
      </c>
      <c r="FD186" s="1439"/>
      <c r="FE186" s="1420">
        <v>5427711.4400000004</v>
      </c>
      <c r="FF186" s="1439"/>
      <c r="FG186" s="1422">
        <v>8753</v>
      </c>
      <c r="FH186" s="1439"/>
      <c r="FI186" s="1420">
        <v>52.5</v>
      </c>
      <c r="FJ186" s="1439"/>
      <c r="FK186" s="1422">
        <v>39290</v>
      </c>
      <c r="FL186" s="1439"/>
      <c r="FM186" s="1420">
        <v>55.8</v>
      </c>
      <c r="FN186" s="1439"/>
      <c r="FO186" s="1422">
        <v>41144</v>
      </c>
      <c r="FP186" s="1439"/>
      <c r="FQ186" s="1420">
        <v>1889997.35</v>
      </c>
      <c r="FR186" s="1439"/>
      <c r="FS186" s="1420">
        <v>14666.65</v>
      </c>
      <c r="FT186" s="1439"/>
      <c r="FU186" s="1422">
        <v>0</v>
      </c>
      <c r="FV186" s="1439"/>
      <c r="FW186" s="1420">
        <v>1875330.7</v>
      </c>
      <c r="FX186" s="1439"/>
      <c r="FY186" s="1422">
        <v>0</v>
      </c>
      <c r="FZ186" s="1439"/>
      <c r="GA186" s="1422">
        <v>0</v>
      </c>
      <c r="GB186" s="1439"/>
    </row>
    <row r="187" spans="1:184" ht="12.75" customHeight="1" thickBot="1">
      <c r="A187" s="1418" t="s">
        <v>249</v>
      </c>
      <c r="B187" s="1418" t="s">
        <v>250</v>
      </c>
      <c r="C187" s="1420">
        <v>97.35</v>
      </c>
      <c r="D187" s="1439"/>
      <c r="E187" s="1420">
        <v>22994.71</v>
      </c>
      <c r="F187" s="1439"/>
      <c r="G187" s="1421">
        <v>-0.04</v>
      </c>
      <c r="H187" s="1439"/>
      <c r="I187" s="1420">
        <v>23788.44</v>
      </c>
      <c r="J187" s="1439"/>
      <c r="K187" s="1420">
        <v>22774.59</v>
      </c>
      <c r="L187" s="1439"/>
      <c r="M187" s="1422">
        <v>3176216510</v>
      </c>
      <c r="N187" s="1439"/>
      <c r="O187" s="1422">
        <v>32</v>
      </c>
      <c r="P187" s="1439"/>
      <c r="Q187" s="1422">
        <v>25</v>
      </c>
      <c r="R187" s="1439"/>
      <c r="S187" s="1422">
        <v>7</v>
      </c>
      <c r="T187" s="1439"/>
      <c r="U187" s="1422">
        <v>2</v>
      </c>
      <c r="V187" s="1439"/>
      <c r="W187" s="1420">
        <v>12.4</v>
      </c>
      <c r="X187" s="1439"/>
      <c r="Y187" s="1420">
        <v>46.4</v>
      </c>
      <c r="Z187" s="1439"/>
      <c r="AA187" s="1420">
        <v>203182402.15000001</v>
      </c>
      <c r="AB187" s="1455"/>
      <c r="AC187" s="1424">
        <v>139616052.41</v>
      </c>
      <c r="AD187" s="1420">
        <v>146639807.69</v>
      </c>
      <c r="AE187" s="1420">
        <v>15071921.68</v>
      </c>
      <c r="AF187" s="1422">
        <v>10003057</v>
      </c>
      <c r="AG187" s="1420">
        <v>21614.02</v>
      </c>
      <c r="AH187" s="1456">
        <v>15000</v>
      </c>
      <c r="AI187" s="1428">
        <v>58441252</v>
      </c>
      <c r="AJ187" s="1422">
        <v>61907286</v>
      </c>
      <c r="AK187" s="1422">
        <v>2765444</v>
      </c>
      <c r="AL187" s="1422">
        <v>500000</v>
      </c>
      <c r="AM187" s="1422">
        <v>89426</v>
      </c>
      <c r="AN187" s="1422">
        <v>0</v>
      </c>
      <c r="AO187" s="1422">
        <v>0</v>
      </c>
      <c r="AP187" s="1422">
        <v>35267</v>
      </c>
      <c r="AQ187" s="1422">
        <v>0</v>
      </c>
      <c r="AR187" s="1422">
        <v>0</v>
      </c>
      <c r="AS187" s="1422">
        <v>0</v>
      </c>
      <c r="AT187" s="1422">
        <v>0</v>
      </c>
      <c r="AU187" s="1422">
        <v>0</v>
      </c>
      <c r="AV187" s="1422">
        <v>0</v>
      </c>
      <c r="AW187" s="1422">
        <v>0</v>
      </c>
      <c r="AX187" s="1422">
        <v>0</v>
      </c>
      <c r="AY187" s="1420">
        <v>216005710.11000001</v>
      </c>
      <c r="AZ187" s="1420">
        <v>219100417.69</v>
      </c>
      <c r="BA187" s="1420">
        <v>976293.62</v>
      </c>
      <c r="BB187" s="1420">
        <v>902683.3</v>
      </c>
      <c r="BC187" s="1422">
        <v>941957</v>
      </c>
      <c r="BD187" s="1422">
        <v>964701</v>
      </c>
      <c r="BE187" s="1422">
        <v>0</v>
      </c>
      <c r="BF187" s="1422">
        <v>0</v>
      </c>
      <c r="BG187" s="1422">
        <v>4620</v>
      </c>
      <c r="BH187" s="1422">
        <v>0</v>
      </c>
      <c r="BI187" s="1422">
        <v>2634287</v>
      </c>
      <c r="BJ187" s="1422">
        <v>2564221</v>
      </c>
      <c r="BK187" s="1422">
        <v>572815</v>
      </c>
      <c r="BL187" s="1422">
        <v>598000</v>
      </c>
      <c r="BM187" s="1422">
        <v>11243933</v>
      </c>
      <c r="BN187" s="1422">
        <v>14315697</v>
      </c>
      <c r="BO187" s="1420">
        <v>3487080.92</v>
      </c>
      <c r="BP187" s="1422">
        <v>3490000</v>
      </c>
      <c r="BQ187" s="1420">
        <v>1571238.25</v>
      </c>
      <c r="BR187" s="1422">
        <v>1598000</v>
      </c>
      <c r="BS187" s="1420">
        <v>75215.27</v>
      </c>
      <c r="BT187" s="1422">
        <v>72207</v>
      </c>
      <c r="BU187" s="1422">
        <v>0</v>
      </c>
      <c r="BV187" s="1422">
        <v>0</v>
      </c>
      <c r="BW187" s="1422">
        <v>5260561</v>
      </c>
      <c r="BX187" s="1422">
        <v>5321700</v>
      </c>
      <c r="BY187" s="1420">
        <v>54336504.710000001</v>
      </c>
      <c r="BZ187" s="1420">
        <v>52341577.399999999</v>
      </c>
      <c r="CA187" s="1422">
        <v>37976</v>
      </c>
      <c r="CB187" s="1422">
        <v>30381</v>
      </c>
      <c r="CC187" s="1420">
        <v>81142481.769999996</v>
      </c>
      <c r="CD187" s="1420">
        <v>82199167.700000003</v>
      </c>
      <c r="CE187" s="1420">
        <v>56665217.240000002</v>
      </c>
      <c r="CF187" s="1420">
        <v>54316952.359999999</v>
      </c>
      <c r="CG187" s="1422">
        <v>0</v>
      </c>
      <c r="CH187" s="1422">
        <v>0</v>
      </c>
      <c r="CI187" s="1422">
        <v>0</v>
      </c>
      <c r="CJ187" s="1422">
        <v>0</v>
      </c>
      <c r="CK187" s="1420">
        <v>777113.15</v>
      </c>
      <c r="CL187" s="1420">
        <v>916429.78</v>
      </c>
      <c r="CM187" s="1422">
        <v>0</v>
      </c>
      <c r="CN187" s="1422">
        <v>0</v>
      </c>
      <c r="CO187" s="1422">
        <v>0</v>
      </c>
      <c r="CP187" s="1422">
        <v>0</v>
      </c>
      <c r="CQ187" s="1422">
        <v>0</v>
      </c>
      <c r="CR187" s="1422">
        <v>0</v>
      </c>
      <c r="CS187" s="1420">
        <v>777113.15</v>
      </c>
      <c r="CT187" s="1420">
        <v>916429.78</v>
      </c>
      <c r="CU187" s="1420">
        <v>354590522.26999998</v>
      </c>
      <c r="CV187" s="1420">
        <v>356532967.52999997</v>
      </c>
      <c r="CW187" s="1420">
        <v>120133853.52</v>
      </c>
      <c r="CX187" s="1420">
        <v>119687591.18000001</v>
      </c>
      <c r="CY187" s="1420">
        <v>25073471.219999999</v>
      </c>
      <c r="CZ187" s="1420">
        <v>25751890.399999999</v>
      </c>
      <c r="DA187" s="1420">
        <v>7270421.3899999997</v>
      </c>
      <c r="DB187" s="1420">
        <v>6877880.3799999999</v>
      </c>
      <c r="DC187" s="1420">
        <v>1263238.99</v>
      </c>
      <c r="DD187" s="1420">
        <v>1259633.4099999999</v>
      </c>
      <c r="DE187" s="1420">
        <v>13630897.029999999</v>
      </c>
      <c r="DF187" s="1420">
        <v>9199686.5399999991</v>
      </c>
      <c r="DG187" s="1422">
        <v>12433393</v>
      </c>
      <c r="DH187" s="1420">
        <v>13837881.75</v>
      </c>
      <c r="DI187" s="1420">
        <v>179805275.15000001</v>
      </c>
      <c r="DJ187" s="1420">
        <v>176614563.66</v>
      </c>
      <c r="DK187" s="1420">
        <v>4730476.5199999996</v>
      </c>
      <c r="DL187" s="1420">
        <v>4141580.69</v>
      </c>
      <c r="DM187" s="1420">
        <v>9937873.2300000004</v>
      </c>
      <c r="DN187" s="1420">
        <v>8338342.5800000001</v>
      </c>
      <c r="DO187" s="1420">
        <v>28733713.07</v>
      </c>
      <c r="DP187" s="1420">
        <v>26149086.07</v>
      </c>
      <c r="DQ187" s="1420">
        <v>17984656.57</v>
      </c>
      <c r="DR187" s="1420">
        <v>17873787.920000002</v>
      </c>
      <c r="DS187" s="1420">
        <v>1238360.17</v>
      </c>
      <c r="DT187" s="1420">
        <v>2355689.7799999998</v>
      </c>
      <c r="DU187" s="1420">
        <v>62625079.560000002</v>
      </c>
      <c r="DV187" s="1420">
        <v>58858487.039999999</v>
      </c>
      <c r="DW187" s="1458">
        <v>14674462.300000001</v>
      </c>
      <c r="DX187" s="1420">
        <v>15189558.32</v>
      </c>
      <c r="DY187" s="1420">
        <v>34871708.109999999</v>
      </c>
      <c r="DZ187" s="1420">
        <v>37779828.57</v>
      </c>
      <c r="EA187" s="1420">
        <v>16574701.65</v>
      </c>
      <c r="EB187" s="1420">
        <v>15606827.210000001</v>
      </c>
      <c r="EC187" s="1420">
        <v>66120872.060000002</v>
      </c>
      <c r="ED187" s="1420">
        <v>68576214.099999994</v>
      </c>
      <c r="EE187" s="1420">
        <v>11742948.220000001</v>
      </c>
      <c r="EF187" s="1422">
        <v>12696645</v>
      </c>
      <c r="EG187" s="1420">
        <v>1267448.58</v>
      </c>
      <c r="EH187" s="1422">
        <v>1460200</v>
      </c>
      <c r="EI187" s="1420">
        <v>271809.45</v>
      </c>
      <c r="EJ187" s="1420">
        <v>308011.3</v>
      </c>
      <c r="EK187" s="1422">
        <v>0</v>
      </c>
      <c r="EL187" s="1422">
        <v>0</v>
      </c>
      <c r="EM187" s="1420">
        <v>13282206.25</v>
      </c>
      <c r="EN187" s="1420">
        <v>14464856.300000001</v>
      </c>
      <c r="EO187" s="1420">
        <v>21212184.199999999</v>
      </c>
      <c r="EP187" s="1420">
        <v>21313046.960000001</v>
      </c>
      <c r="EQ187" s="1420">
        <v>13356632.48</v>
      </c>
      <c r="ER187" s="1420">
        <v>12361628.76</v>
      </c>
      <c r="ES187" s="1420">
        <v>10330357.279999999</v>
      </c>
      <c r="ET187" s="1420">
        <v>9996935.8800000008</v>
      </c>
      <c r="EU187" s="1420">
        <v>366732606.98000002</v>
      </c>
      <c r="EV187" s="1420">
        <v>362185732.69999999</v>
      </c>
      <c r="EW187" s="1420">
        <v>32117768.239999998</v>
      </c>
      <c r="EX187" s="1420">
        <v>26219065.940000001</v>
      </c>
      <c r="EY187" s="1420">
        <v>13356632.48</v>
      </c>
      <c r="EZ187" s="1420">
        <v>12361628.76</v>
      </c>
      <c r="FA187" s="1420">
        <v>321258206.25999999</v>
      </c>
      <c r="FB187" s="1422">
        <v>323605038</v>
      </c>
      <c r="FC187" s="1420">
        <v>25744502.25</v>
      </c>
      <c r="FD187" s="1439"/>
      <c r="FE187" s="1420">
        <v>295513704.00999999</v>
      </c>
      <c r="FF187" s="1439"/>
      <c r="FG187" s="1420">
        <v>12851.3777304</v>
      </c>
      <c r="FH187" s="1422">
        <v>0</v>
      </c>
      <c r="FI187" s="1420">
        <v>1936.39</v>
      </c>
      <c r="FJ187" s="1422">
        <v>0</v>
      </c>
      <c r="FK187" s="1420">
        <v>53069.311894799997</v>
      </c>
      <c r="FL187" s="1422">
        <v>0</v>
      </c>
      <c r="FM187" s="1420">
        <v>2136.59</v>
      </c>
      <c r="FN187" s="1422">
        <v>0</v>
      </c>
      <c r="FO187" s="1420">
        <v>55649.693244800001</v>
      </c>
      <c r="FP187" s="1422">
        <v>0</v>
      </c>
      <c r="FQ187" s="1420">
        <v>20598999.190000001</v>
      </c>
      <c r="FR187" s="1439"/>
      <c r="FS187" s="1422">
        <v>0</v>
      </c>
      <c r="FT187" s="1439"/>
      <c r="FU187" s="1422">
        <v>0</v>
      </c>
      <c r="FV187" s="1439"/>
      <c r="FW187" s="1420">
        <v>20598999.190000001</v>
      </c>
      <c r="FX187" s="1439"/>
      <c r="FY187" s="1420">
        <v>9146506.8599999994</v>
      </c>
      <c r="FZ187" s="1439"/>
      <c r="GA187" s="1420">
        <v>487731.62</v>
      </c>
      <c r="GB187" s="1439"/>
    </row>
    <row r="188" spans="1:184" ht="12.75" customHeight="1" thickBot="1">
      <c r="A188" s="1418" t="s">
        <v>251</v>
      </c>
      <c r="B188" s="1418" t="s">
        <v>252</v>
      </c>
      <c r="C188" s="1420">
        <v>28.65</v>
      </c>
      <c r="D188" s="1439"/>
      <c r="E188" s="1420">
        <v>8301.74</v>
      </c>
      <c r="F188" s="1439"/>
      <c r="G188" s="1421">
        <v>0</v>
      </c>
      <c r="H188" s="1439"/>
      <c r="I188" s="1420">
        <v>8729.74</v>
      </c>
      <c r="J188" s="1439"/>
      <c r="K188" s="1420">
        <v>8814.5</v>
      </c>
      <c r="L188" s="1439"/>
      <c r="M188" s="1422">
        <v>719817762</v>
      </c>
      <c r="N188" s="1439"/>
      <c r="O188" s="1420">
        <v>28.7</v>
      </c>
      <c r="P188" s="1439"/>
      <c r="Q188" s="1422">
        <v>25</v>
      </c>
      <c r="R188" s="1439"/>
      <c r="S188" s="1420">
        <v>3.7</v>
      </c>
      <c r="T188" s="1439"/>
      <c r="U188" s="1420">
        <v>2.9</v>
      </c>
      <c r="V188" s="1439"/>
      <c r="W188" s="1420">
        <v>9.3000000000000007</v>
      </c>
      <c r="X188" s="1439"/>
      <c r="Y188" s="1420">
        <v>40.9</v>
      </c>
      <c r="Z188" s="1439"/>
      <c r="AA188" s="1420">
        <v>31783870.59</v>
      </c>
      <c r="AB188" s="1455"/>
      <c r="AC188" s="1424">
        <v>26161544.420000002</v>
      </c>
      <c r="AD188" s="1420">
        <v>29097213.629999999</v>
      </c>
      <c r="AE188" s="1420">
        <v>6699488.4800000004</v>
      </c>
      <c r="AF188" s="1422">
        <v>2157264</v>
      </c>
      <c r="AG188" s="1420">
        <v>10954.26</v>
      </c>
      <c r="AH188" s="1456">
        <v>10800</v>
      </c>
      <c r="AI188" s="1428">
        <v>35784992</v>
      </c>
      <c r="AJ188" s="1422">
        <v>34983681</v>
      </c>
      <c r="AK188" s="1422">
        <v>335882</v>
      </c>
      <c r="AL188" s="1422">
        <v>335882</v>
      </c>
      <c r="AM188" s="1422">
        <v>0</v>
      </c>
      <c r="AN188" s="1422">
        <v>0</v>
      </c>
      <c r="AO188" s="1422">
        <v>0</v>
      </c>
      <c r="AP188" s="1422">
        <v>766771</v>
      </c>
      <c r="AQ188" s="1422">
        <v>0</v>
      </c>
      <c r="AR188" s="1422">
        <v>0</v>
      </c>
      <c r="AS188" s="1422">
        <v>0</v>
      </c>
      <c r="AT188" s="1422">
        <v>0</v>
      </c>
      <c r="AU188" s="1422">
        <v>0</v>
      </c>
      <c r="AV188" s="1422">
        <v>0</v>
      </c>
      <c r="AW188" s="1420">
        <v>7134.18</v>
      </c>
      <c r="AX188" s="1422">
        <v>7200</v>
      </c>
      <c r="AY188" s="1420">
        <v>68999995.340000004</v>
      </c>
      <c r="AZ188" s="1420">
        <v>67358811.629999995</v>
      </c>
      <c r="BA188" s="1422">
        <v>0</v>
      </c>
      <c r="BB188" s="1422">
        <v>0</v>
      </c>
      <c r="BC188" s="1422">
        <v>364568</v>
      </c>
      <c r="BD188" s="1422">
        <v>362980</v>
      </c>
      <c r="BE188" s="1420">
        <v>160402.10999999999</v>
      </c>
      <c r="BF188" s="1422">
        <v>147109</v>
      </c>
      <c r="BG188" s="1422">
        <v>11211</v>
      </c>
      <c r="BH188" s="1422">
        <v>11000</v>
      </c>
      <c r="BI188" s="1422">
        <v>618510</v>
      </c>
      <c r="BJ188" s="1422">
        <v>618510</v>
      </c>
      <c r="BK188" s="1422">
        <v>108410</v>
      </c>
      <c r="BL188" s="1422">
        <v>108410</v>
      </c>
      <c r="BM188" s="1422">
        <v>2897632</v>
      </c>
      <c r="BN188" s="1422">
        <v>2996532</v>
      </c>
      <c r="BO188" s="1420">
        <v>1613033.59</v>
      </c>
      <c r="BP188" s="1422">
        <v>1574300</v>
      </c>
      <c r="BQ188" s="1420">
        <v>6850.94</v>
      </c>
      <c r="BR188" s="1422">
        <v>0</v>
      </c>
      <c r="BS188" s="1420">
        <v>27674.03</v>
      </c>
      <c r="BT188" s="1422">
        <v>27650</v>
      </c>
      <c r="BU188" s="1422">
        <v>0</v>
      </c>
      <c r="BV188" s="1422">
        <v>0</v>
      </c>
      <c r="BW188" s="1420">
        <v>2778312.92</v>
      </c>
      <c r="BX188" s="1422">
        <v>2678160</v>
      </c>
      <c r="BY188" s="1420">
        <v>9792892.5700000003</v>
      </c>
      <c r="BZ188" s="1422">
        <v>9760000</v>
      </c>
      <c r="CA188" s="1420">
        <v>3053855.97</v>
      </c>
      <c r="CB188" s="1422">
        <v>294279</v>
      </c>
      <c r="CC188" s="1420">
        <v>21433353.129999999</v>
      </c>
      <c r="CD188" s="1422">
        <v>18578930</v>
      </c>
      <c r="CE188" s="1420">
        <v>22200098.940000001</v>
      </c>
      <c r="CF188" s="1422">
        <v>15446306</v>
      </c>
      <c r="CG188" s="1422">
        <v>0</v>
      </c>
      <c r="CH188" s="1422">
        <v>0</v>
      </c>
      <c r="CI188" s="1422">
        <v>0</v>
      </c>
      <c r="CJ188" s="1422">
        <v>0</v>
      </c>
      <c r="CK188" s="1422">
        <v>0</v>
      </c>
      <c r="CL188" s="1422">
        <v>110000</v>
      </c>
      <c r="CM188" s="1422">
        <v>722</v>
      </c>
      <c r="CN188" s="1422">
        <v>1000</v>
      </c>
      <c r="CO188" s="1420">
        <v>92725.66</v>
      </c>
      <c r="CP188" s="1422">
        <v>100000</v>
      </c>
      <c r="CQ188" s="1422">
        <v>0</v>
      </c>
      <c r="CR188" s="1422">
        <v>0</v>
      </c>
      <c r="CS188" s="1420">
        <v>93447.66</v>
      </c>
      <c r="CT188" s="1422">
        <v>211000</v>
      </c>
      <c r="CU188" s="1420">
        <v>112726895.06999999</v>
      </c>
      <c r="CV188" s="1420">
        <v>101595047.63</v>
      </c>
      <c r="CW188" s="1420">
        <v>33190348.859999999</v>
      </c>
      <c r="CX188" s="1420">
        <v>31513019.440000001</v>
      </c>
      <c r="CY188" s="1420">
        <v>9028268.8200000003</v>
      </c>
      <c r="CZ188" s="1420">
        <v>9005908.4700000007</v>
      </c>
      <c r="DA188" s="1420">
        <v>1446423.44</v>
      </c>
      <c r="DB188" s="1422">
        <v>1566514</v>
      </c>
      <c r="DC188" s="1422">
        <v>0</v>
      </c>
      <c r="DD188" s="1422">
        <v>0</v>
      </c>
      <c r="DE188" s="1420">
        <v>4579957.18</v>
      </c>
      <c r="DF188" s="1420">
        <v>4094116.25</v>
      </c>
      <c r="DG188" s="1420">
        <v>4876266.7699999996</v>
      </c>
      <c r="DH188" s="1420">
        <v>5023698.6900000004</v>
      </c>
      <c r="DI188" s="1420">
        <v>53121265.07</v>
      </c>
      <c r="DJ188" s="1420">
        <v>51203256.850000001</v>
      </c>
      <c r="DK188" s="1420">
        <v>1461982.02</v>
      </c>
      <c r="DL188" s="1422">
        <v>1372195</v>
      </c>
      <c r="DM188" s="1420">
        <v>4103883.07</v>
      </c>
      <c r="DN188" s="1420">
        <v>5138150.4800000004</v>
      </c>
      <c r="DO188" s="1420">
        <v>8004552.3399999999</v>
      </c>
      <c r="DP188" s="1420">
        <v>8750905.0700000003</v>
      </c>
      <c r="DQ188" s="1420">
        <v>5024473.8499999996</v>
      </c>
      <c r="DR188" s="1420">
        <v>4651116.93</v>
      </c>
      <c r="DS188" s="1422">
        <v>0</v>
      </c>
      <c r="DT188" s="1422">
        <v>110000</v>
      </c>
      <c r="DU188" s="1420">
        <v>18594891.280000001</v>
      </c>
      <c r="DV188" s="1420">
        <v>20022367.48</v>
      </c>
      <c r="DW188" s="1420">
        <v>7955019.8799999999</v>
      </c>
      <c r="DX188" s="1420">
        <v>8753761.5199999996</v>
      </c>
      <c r="DY188" s="1420">
        <v>9139221.8900000006</v>
      </c>
      <c r="DZ188" s="1420">
        <v>8177645.1799999997</v>
      </c>
      <c r="EA188" s="1420">
        <v>5163520.6399999997</v>
      </c>
      <c r="EB188" s="1422">
        <v>5250815</v>
      </c>
      <c r="EC188" s="1420">
        <v>22257762.41</v>
      </c>
      <c r="ED188" s="1420">
        <v>22182221.699999999</v>
      </c>
      <c r="EE188" s="1420">
        <v>5281697.53</v>
      </c>
      <c r="EF188" s="1422">
        <v>5266502</v>
      </c>
      <c r="EG188" s="1422">
        <v>0</v>
      </c>
      <c r="EH188" s="1422">
        <v>0</v>
      </c>
      <c r="EI188" s="1420">
        <v>19924.39</v>
      </c>
      <c r="EJ188" s="1422">
        <v>98012</v>
      </c>
      <c r="EK188" s="1422">
        <v>0</v>
      </c>
      <c r="EL188" s="1422">
        <v>0</v>
      </c>
      <c r="EM188" s="1420">
        <v>5301621.92</v>
      </c>
      <c r="EN188" s="1422">
        <v>5364514</v>
      </c>
      <c r="EO188" s="1420">
        <v>8379726.6299999999</v>
      </c>
      <c r="EP188" s="1420">
        <v>773563.55</v>
      </c>
      <c r="EQ188" s="1420">
        <v>1886777.66</v>
      </c>
      <c r="ER188" s="1422">
        <v>1748364</v>
      </c>
      <c r="ES188" s="1420">
        <v>1430200.01</v>
      </c>
      <c r="ET188" s="1422">
        <v>1200000</v>
      </c>
      <c r="EU188" s="1420">
        <v>110972244.98</v>
      </c>
      <c r="EV188" s="1420">
        <v>102494287.58</v>
      </c>
      <c r="EW188" s="1420">
        <v>10371679.140000001</v>
      </c>
      <c r="EX188" s="1420">
        <v>2209590.21</v>
      </c>
      <c r="EY188" s="1420">
        <v>1886777.66</v>
      </c>
      <c r="EZ188" s="1422">
        <v>1748364</v>
      </c>
      <c r="FA188" s="1420">
        <v>98713788.180000007</v>
      </c>
      <c r="FB188" s="1420">
        <v>98536333.370000005</v>
      </c>
      <c r="FC188" s="1420">
        <v>6414113.9100000001</v>
      </c>
      <c r="FD188" s="1439"/>
      <c r="FE188" s="1420">
        <v>92299674.269999996</v>
      </c>
      <c r="FF188" s="1439"/>
      <c r="FG188" s="1422">
        <v>11118</v>
      </c>
      <c r="FH188" s="1439"/>
      <c r="FI188" s="1420">
        <v>670.72</v>
      </c>
      <c r="FJ188" s="1439"/>
      <c r="FK188" s="1422">
        <v>49104</v>
      </c>
      <c r="FL188" s="1439"/>
      <c r="FM188" s="1420">
        <v>737.88</v>
      </c>
      <c r="FN188" s="1439"/>
      <c r="FO188" s="1422">
        <v>51388</v>
      </c>
      <c r="FP188" s="1439"/>
      <c r="FQ188" s="1420">
        <v>13557456.82</v>
      </c>
      <c r="FR188" s="1439"/>
      <c r="FS188" s="1420">
        <v>877692.11</v>
      </c>
      <c r="FT188" s="1439"/>
      <c r="FU188" s="1422">
        <v>0</v>
      </c>
      <c r="FV188" s="1439"/>
      <c r="FW188" s="1420">
        <v>12679764.710000001</v>
      </c>
      <c r="FX188" s="1439"/>
      <c r="FY188" s="1420">
        <v>1800715.24</v>
      </c>
      <c r="FZ188" s="1439"/>
      <c r="GA188" s="1420">
        <v>859033.39</v>
      </c>
      <c r="GB188" s="1439"/>
    </row>
    <row r="189" spans="1:184" ht="12.75" customHeight="1" thickBot="1">
      <c r="A189" s="1418" t="s">
        <v>253</v>
      </c>
      <c r="B189" s="1418" t="s">
        <v>254</v>
      </c>
      <c r="C189" s="1420">
        <v>729.83</v>
      </c>
      <c r="D189" s="1439"/>
      <c r="E189" s="1420">
        <v>15651.58</v>
      </c>
      <c r="F189" s="1439"/>
      <c r="G189" s="1421">
        <v>-0.06</v>
      </c>
      <c r="H189" s="1439"/>
      <c r="I189" s="1422">
        <v>16618</v>
      </c>
      <c r="J189" s="1439"/>
      <c r="K189" s="1420">
        <v>16740.45</v>
      </c>
      <c r="L189" s="1439"/>
      <c r="M189" s="1422">
        <v>2352330997</v>
      </c>
      <c r="N189" s="1439"/>
      <c r="O189" s="1422">
        <v>25</v>
      </c>
      <c r="P189" s="1439"/>
      <c r="Q189" s="1422">
        <v>25</v>
      </c>
      <c r="R189" s="1439"/>
      <c r="S189" s="1422">
        <v>0</v>
      </c>
      <c r="T189" s="1439"/>
      <c r="U189" s="1420">
        <v>0.9</v>
      </c>
      <c r="V189" s="1439"/>
      <c r="W189" s="1420">
        <v>14.8</v>
      </c>
      <c r="X189" s="1439"/>
      <c r="Y189" s="1420">
        <v>40.700000000000003</v>
      </c>
      <c r="Z189" s="1439"/>
      <c r="AA189" s="1420">
        <v>149919256.30000001</v>
      </c>
      <c r="AB189" s="1455"/>
      <c r="AC189" s="1424">
        <v>90455039.609999999</v>
      </c>
      <c r="AD189" s="1420">
        <v>105142937.94</v>
      </c>
      <c r="AE189" s="1420">
        <v>6315658.8899999997</v>
      </c>
      <c r="AF189" s="1420">
        <v>2822013.02</v>
      </c>
      <c r="AG189" s="1420">
        <v>83349.55</v>
      </c>
      <c r="AH189" s="1456">
        <v>13000</v>
      </c>
      <c r="AI189" s="1428">
        <v>44313364</v>
      </c>
      <c r="AJ189" s="1422">
        <v>43018176</v>
      </c>
      <c r="AK189" s="1422">
        <v>940437</v>
      </c>
      <c r="AL189" s="1422">
        <v>0</v>
      </c>
      <c r="AM189" s="1422">
        <v>0</v>
      </c>
      <c r="AN189" s="1422">
        <v>0</v>
      </c>
      <c r="AO189" s="1422">
        <v>528488</v>
      </c>
      <c r="AP189" s="1422">
        <v>1004083</v>
      </c>
      <c r="AQ189" s="1422">
        <v>0</v>
      </c>
      <c r="AR189" s="1422">
        <v>0</v>
      </c>
      <c r="AS189" s="1422">
        <v>0</v>
      </c>
      <c r="AT189" s="1422">
        <v>0</v>
      </c>
      <c r="AU189" s="1422">
        <v>0</v>
      </c>
      <c r="AV189" s="1422">
        <v>0</v>
      </c>
      <c r="AW189" s="1422">
        <v>0</v>
      </c>
      <c r="AX189" s="1422">
        <v>0</v>
      </c>
      <c r="AY189" s="1420">
        <v>142636337.05000001</v>
      </c>
      <c r="AZ189" s="1420">
        <v>152000209.96000001</v>
      </c>
      <c r="BA189" s="1420">
        <v>917128.97</v>
      </c>
      <c r="BB189" s="1420">
        <v>891655.24</v>
      </c>
      <c r="BC189" s="1422">
        <v>692385</v>
      </c>
      <c r="BD189" s="1422">
        <v>695608</v>
      </c>
      <c r="BE189" s="1420">
        <v>99762.19</v>
      </c>
      <c r="BF189" s="1422">
        <v>93800</v>
      </c>
      <c r="BG189" s="1422">
        <v>15900</v>
      </c>
      <c r="BH189" s="1422">
        <v>0</v>
      </c>
      <c r="BI189" s="1422">
        <v>412313</v>
      </c>
      <c r="BJ189" s="1422">
        <v>425816</v>
      </c>
      <c r="BK189" s="1422">
        <v>98155</v>
      </c>
      <c r="BL189" s="1422">
        <v>95000</v>
      </c>
      <c r="BM189" s="1422">
        <v>4325120</v>
      </c>
      <c r="BN189" s="1422">
        <v>4566144</v>
      </c>
      <c r="BO189" s="1420">
        <v>2698756.67</v>
      </c>
      <c r="BP189" s="1422">
        <v>2541257</v>
      </c>
      <c r="BQ189" s="1420">
        <v>171929.66</v>
      </c>
      <c r="BR189" s="1420">
        <v>136472.10999999999</v>
      </c>
      <c r="BS189" s="1420">
        <v>56119.23</v>
      </c>
      <c r="BT189" s="1422">
        <v>59000</v>
      </c>
      <c r="BU189" s="1422">
        <v>0</v>
      </c>
      <c r="BV189" s="1422">
        <v>0</v>
      </c>
      <c r="BW189" s="1422">
        <v>3368596</v>
      </c>
      <c r="BX189" s="1422">
        <v>3438850</v>
      </c>
      <c r="BY189" s="1420">
        <v>19981259.5</v>
      </c>
      <c r="BZ189" s="1422">
        <v>22696000</v>
      </c>
      <c r="CA189" s="1420">
        <v>7110566.9699999997</v>
      </c>
      <c r="CB189" s="1422">
        <v>3192013</v>
      </c>
      <c r="CC189" s="1420">
        <v>39947992.189999998</v>
      </c>
      <c r="CD189" s="1420">
        <v>38831615.350000001</v>
      </c>
      <c r="CE189" s="1420">
        <v>27933437.52</v>
      </c>
      <c r="CF189" s="1420">
        <v>26568627.170000002</v>
      </c>
      <c r="CG189" s="1420">
        <v>689204.09</v>
      </c>
      <c r="CH189" s="1422">
        <v>1021134</v>
      </c>
      <c r="CI189" s="1422">
        <v>0</v>
      </c>
      <c r="CJ189" s="1422">
        <v>0</v>
      </c>
      <c r="CK189" s="1420">
        <v>237262.34</v>
      </c>
      <c r="CL189" s="1422">
        <v>190000</v>
      </c>
      <c r="CM189" s="1420">
        <v>11722.3</v>
      </c>
      <c r="CN189" s="1422">
        <v>7000</v>
      </c>
      <c r="CO189" s="1420">
        <v>371021.48</v>
      </c>
      <c r="CP189" s="1422">
        <v>0</v>
      </c>
      <c r="CQ189" s="1422">
        <v>0</v>
      </c>
      <c r="CR189" s="1422">
        <v>0</v>
      </c>
      <c r="CS189" s="1420">
        <v>1309210.21</v>
      </c>
      <c r="CT189" s="1422">
        <v>1218134</v>
      </c>
      <c r="CU189" s="1420">
        <v>211826976.97</v>
      </c>
      <c r="CV189" s="1420">
        <v>218618586.47999999</v>
      </c>
      <c r="CW189" s="1420">
        <v>69304326.780000001</v>
      </c>
      <c r="CX189" s="1420">
        <v>63202553.310000002</v>
      </c>
      <c r="CY189" s="1420">
        <v>19786449.920000002</v>
      </c>
      <c r="CZ189" s="1420">
        <v>19519577.77</v>
      </c>
      <c r="DA189" s="1420">
        <v>5014095.2</v>
      </c>
      <c r="DB189" s="1420">
        <v>5358030.6500000004</v>
      </c>
      <c r="DC189" s="1420">
        <v>1174498.25</v>
      </c>
      <c r="DD189" s="1420">
        <v>1108961.5</v>
      </c>
      <c r="DE189" s="1420">
        <v>6489670.1600000001</v>
      </c>
      <c r="DF189" s="1420">
        <v>8800015.6899999995</v>
      </c>
      <c r="DG189" s="1420">
        <v>7119584.4400000004</v>
      </c>
      <c r="DH189" s="1420">
        <v>6503557.7999999998</v>
      </c>
      <c r="DI189" s="1420">
        <v>108888624.75</v>
      </c>
      <c r="DJ189" s="1420">
        <v>104492696.72</v>
      </c>
      <c r="DK189" s="1420">
        <v>2966788.05</v>
      </c>
      <c r="DL189" s="1420">
        <v>2887329.55</v>
      </c>
      <c r="DM189" s="1420">
        <v>6301897.0999999996</v>
      </c>
      <c r="DN189" s="1420">
        <v>7445013.2199999997</v>
      </c>
      <c r="DO189" s="1420">
        <v>15149433.689999999</v>
      </c>
      <c r="DP189" s="1420">
        <v>17075661.359999999</v>
      </c>
      <c r="DQ189" s="1420">
        <v>13593236.59</v>
      </c>
      <c r="DR189" s="1420">
        <v>12780678.880000001</v>
      </c>
      <c r="DS189" s="1422">
        <v>1464253</v>
      </c>
      <c r="DT189" s="1420">
        <v>1302403.76</v>
      </c>
      <c r="DU189" s="1420">
        <v>39475608.43</v>
      </c>
      <c r="DV189" s="1420">
        <v>41491086.770000003</v>
      </c>
      <c r="DW189" s="1420">
        <v>11400165.26</v>
      </c>
      <c r="DX189" s="1420">
        <v>12351483.710000001</v>
      </c>
      <c r="DY189" s="1420">
        <v>13153096.16</v>
      </c>
      <c r="DZ189" s="1420">
        <v>16797245.329999998</v>
      </c>
      <c r="EA189" s="1420">
        <v>11539041.130000001</v>
      </c>
      <c r="EB189" s="1422">
        <v>11752338</v>
      </c>
      <c r="EC189" s="1420">
        <v>36092302.549999997</v>
      </c>
      <c r="ED189" s="1420">
        <v>40901067.039999999</v>
      </c>
      <c r="EE189" s="1420">
        <v>8595241.6199999992</v>
      </c>
      <c r="EF189" s="1420">
        <v>7345877.4100000001</v>
      </c>
      <c r="EG189" s="1422">
        <v>0</v>
      </c>
      <c r="EH189" s="1422">
        <v>0</v>
      </c>
      <c r="EI189" s="1420">
        <v>39806.660000000003</v>
      </c>
      <c r="EJ189" s="1420">
        <v>120157.23</v>
      </c>
      <c r="EK189" s="1422">
        <v>0</v>
      </c>
      <c r="EL189" s="1422">
        <v>0</v>
      </c>
      <c r="EM189" s="1420">
        <v>8635048.2799999993</v>
      </c>
      <c r="EN189" s="1420">
        <v>7466034.6399999997</v>
      </c>
      <c r="EO189" s="1420">
        <v>51817943.850000001</v>
      </c>
      <c r="EP189" s="1420">
        <v>10194611.02</v>
      </c>
      <c r="EQ189" s="1420">
        <v>9670028.9800000004</v>
      </c>
      <c r="ER189" s="1420">
        <v>9533308.7599999998</v>
      </c>
      <c r="ES189" s="1420">
        <v>3454725.05</v>
      </c>
      <c r="ET189" s="1422">
        <v>3500000</v>
      </c>
      <c r="EU189" s="1420">
        <v>258034281.88999999</v>
      </c>
      <c r="EV189" s="1420">
        <v>217578804.94999999</v>
      </c>
      <c r="EW189" s="1420">
        <v>56352847.469999999</v>
      </c>
      <c r="EX189" s="1420">
        <v>14754307.359999999</v>
      </c>
      <c r="EY189" s="1420">
        <v>9670028.9800000004</v>
      </c>
      <c r="EZ189" s="1420">
        <v>9533308.7599999998</v>
      </c>
      <c r="FA189" s="1420">
        <v>192011405.44</v>
      </c>
      <c r="FB189" s="1420">
        <v>193291188.83000001</v>
      </c>
      <c r="FC189" s="1420">
        <v>13716080.41</v>
      </c>
      <c r="FD189" s="1439"/>
      <c r="FE189" s="1420">
        <v>178295325.03</v>
      </c>
      <c r="FF189" s="1439"/>
      <c r="FG189" s="1422">
        <v>11391</v>
      </c>
      <c r="FH189" s="1439"/>
      <c r="FI189" s="1420">
        <v>1447.02</v>
      </c>
      <c r="FJ189" s="1439"/>
      <c r="FK189" s="1422">
        <v>44930</v>
      </c>
      <c r="FL189" s="1439"/>
      <c r="FM189" s="1420">
        <v>1551.55</v>
      </c>
      <c r="FN189" s="1439"/>
      <c r="FO189" s="1422">
        <v>48186</v>
      </c>
      <c r="FP189" s="1439"/>
      <c r="FQ189" s="1420">
        <v>4087686.85</v>
      </c>
      <c r="FR189" s="1439"/>
      <c r="FS189" s="1420">
        <v>1596366.21</v>
      </c>
      <c r="FT189" s="1439"/>
      <c r="FU189" s="1422">
        <v>0</v>
      </c>
      <c r="FV189" s="1439"/>
      <c r="FW189" s="1420">
        <v>2491320.64</v>
      </c>
      <c r="FX189" s="1439"/>
      <c r="FY189" s="1420">
        <v>32969154.600000001</v>
      </c>
      <c r="FZ189" s="1439"/>
      <c r="GA189" s="1420">
        <v>611849.39</v>
      </c>
      <c r="GB189" s="1439"/>
    </row>
    <row r="190" spans="1:184" ht="12.75" customHeight="1" thickBot="1">
      <c r="A190" s="1418" t="s">
        <v>255</v>
      </c>
      <c r="B190" s="1418" t="s">
        <v>256</v>
      </c>
      <c r="C190" s="1420">
        <v>201.67</v>
      </c>
      <c r="D190" s="1439"/>
      <c r="E190" s="1420">
        <v>497.94</v>
      </c>
      <c r="F190" s="1439"/>
      <c r="G190" s="1421">
        <v>0.03</v>
      </c>
      <c r="H190" s="1439"/>
      <c r="I190" s="1420">
        <v>520.89</v>
      </c>
      <c r="J190" s="1439"/>
      <c r="K190" s="1420">
        <v>470.45</v>
      </c>
      <c r="L190" s="1439"/>
      <c r="M190" s="1422">
        <v>25409564</v>
      </c>
      <c r="N190" s="1439"/>
      <c r="O190" s="1420">
        <v>25.2</v>
      </c>
      <c r="P190" s="1439"/>
      <c r="Q190" s="1422">
        <v>25</v>
      </c>
      <c r="R190" s="1439"/>
      <c r="S190" s="1420">
        <v>0.2</v>
      </c>
      <c r="T190" s="1439"/>
      <c r="U190" s="1422">
        <v>3</v>
      </c>
      <c r="V190" s="1439"/>
      <c r="W190" s="1420">
        <v>2.5</v>
      </c>
      <c r="X190" s="1439"/>
      <c r="Y190" s="1420">
        <v>30.7</v>
      </c>
      <c r="Z190" s="1439"/>
      <c r="AA190" s="1420">
        <v>236378.4</v>
      </c>
      <c r="AB190" s="1455"/>
      <c r="AC190" s="1424">
        <v>653626.15</v>
      </c>
      <c r="AD190" s="1422">
        <v>556000</v>
      </c>
      <c r="AE190" s="1420">
        <v>208244.84</v>
      </c>
      <c r="AF190" s="1422">
        <v>127750</v>
      </c>
      <c r="AG190" s="1422">
        <v>0</v>
      </c>
      <c r="AH190" s="1456">
        <v>0</v>
      </c>
      <c r="AI190" s="1428">
        <v>2473056</v>
      </c>
      <c r="AJ190" s="1422">
        <v>2573943</v>
      </c>
      <c r="AK190" s="1422">
        <v>26321</v>
      </c>
      <c r="AL190" s="1422">
        <v>20000</v>
      </c>
      <c r="AM190" s="1422">
        <v>144818</v>
      </c>
      <c r="AN190" s="1422">
        <v>75000</v>
      </c>
      <c r="AO190" s="1422">
        <v>0</v>
      </c>
      <c r="AP190" s="1422">
        <v>0</v>
      </c>
      <c r="AQ190" s="1422">
        <v>146505</v>
      </c>
      <c r="AR190" s="1422">
        <v>73253</v>
      </c>
      <c r="AS190" s="1422">
        <v>12022</v>
      </c>
      <c r="AT190" s="1422">
        <v>0</v>
      </c>
      <c r="AU190" s="1422">
        <v>20789</v>
      </c>
      <c r="AV190" s="1422">
        <v>16631</v>
      </c>
      <c r="AW190" s="1422">
        <v>0</v>
      </c>
      <c r="AX190" s="1422">
        <v>0</v>
      </c>
      <c r="AY190" s="1420">
        <v>3685381.99</v>
      </c>
      <c r="AZ190" s="1422">
        <v>3442577</v>
      </c>
      <c r="BA190" s="1422">
        <v>0</v>
      </c>
      <c r="BB190" s="1422">
        <v>0</v>
      </c>
      <c r="BC190" s="1422">
        <v>20538</v>
      </c>
      <c r="BD190" s="1422">
        <v>22049</v>
      </c>
      <c r="BE190" s="1420">
        <v>2468.65</v>
      </c>
      <c r="BF190" s="1422">
        <v>4600</v>
      </c>
      <c r="BG190" s="1422">
        <v>150</v>
      </c>
      <c r="BH190" s="1422">
        <v>0</v>
      </c>
      <c r="BI190" s="1422">
        <v>1947</v>
      </c>
      <c r="BJ190" s="1422">
        <v>1500</v>
      </c>
      <c r="BK190" s="1422">
        <v>0</v>
      </c>
      <c r="BL190" s="1422">
        <v>0</v>
      </c>
      <c r="BM190" s="1422">
        <v>358595</v>
      </c>
      <c r="BN190" s="1422">
        <v>383548</v>
      </c>
      <c r="BO190" s="1420">
        <v>1927.3</v>
      </c>
      <c r="BP190" s="1422">
        <v>1404</v>
      </c>
      <c r="BQ190" s="1422">
        <v>0</v>
      </c>
      <c r="BR190" s="1422">
        <v>0</v>
      </c>
      <c r="BS190" s="1420">
        <v>2096.04</v>
      </c>
      <c r="BT190" s="1422">
        <v>2000</v>
      </c>
      <c r="BU190" s="1422">
        <v>0</v>
      </c>
      <c r="BV190" s="1422">
        <v>0</v>
      </c>
      <c r="BW190" s="1422">
        <v>0</v>
      </c>
      <c r="BX190" s="1422">
        <v>0</v>
      </c>
      <c r="BY190" s="1422">
        <v>0</v>
      </c>
      <c r="BZ190" s="1422">
        <v>0</v>
      </c>
      <c r="CA190" s="1420">
        <v>165058.10999999999</v>
      </c>
      <c r="CB190" s="1422">
        <v>13121</v>
      </c>
      <c r="CC190" s="1420">
        <v>552780.1</v>
      </c>
      <c r="CD190" s="1422">
        <v>428222</v>
      </c>
      <c r="CE190" s="1420">
        <v>1079912.6299999999</v>
      </c>
      <c r="CF190" s="1422">
        <v>696103</v>
      </c>
      <c r="CG190" s="1420">
        <v>76378.399999999994</v>
      </c>
      <c r="CH190" s="1422">
        <v>0</v>
      </c>
      <c r="CI190" s="1422">
        <v>0</v>
      </c>
      <c r="CJ190" s="1420">
        <v>67057.66</v>
      </c>
      <c r="CK190" s="1422">
        <v>0</v>
      </c>
      <c r="CL190" s="1422">
        <v>0</v>
      </c>
      <c r="CM190" s="1422">
        <v>125</v>
      </c>
      <c r="CN190" s="1422">
        <v>0</v>
      </c>
      <c r="CO190" s="1422">
        <v>0</v>
      </c>
      <c r="CP190" s="1422">
        <v>0</v>
      </c>
      <c r="CQ190" s="1422">
        <v>0</v>
      </c>
      <c r="CR190" s="1422">
        <v>0</v>
      </c>
      <c r="CS190" s="1420">
        <v>76503.399999999994</v>
      </c>
      <c r="CT190" s="1420">
        <v>67057.66</v>
      </c>
      <c r="CU190" s="1420">
        <v>5394578.1200000001</v>
      </c>
      <c r="CV190" s="1420">
        <v>4633959.66</v>
      </c>
      <c r="CW190" s="1420">
        <v>1710631.07</v>
      </c>
      <c r="CX190" s="1422">
        <v>1635999</v>
      </c>
      <c r="CY190" s="1420">
        <v>351059.98</v>
      </c>
      <c r="CZ190" s="1422">
        <v>351015</v>
      </c>
      <c r="DA190" s="1420">
        <v>194754.37</v>
      </c>
      <c r="DB190" s="1422">
        <v>194339</v>
      </c>
      <c r="DC190" s="1422">
        <v>0</v>
      </c>
      <c r="DD190" s="1422">
        <v>0</v>
      </c>
      <c r="DE190" s="1420">
        <v>237925.22</v>
      </c>
      <c r="DF190" s="1420">
        <v>177680.69</v>
      </c>
      <c r="DG190" s="1420">
        <v>207447.98</v>
      </c>
      <c r="DH190" s="1420">
        <v>219088.61</v>
      </c>
      <c r="DI190" s="1420">
        <v>2701818.62</v>
      </c>
      <c r="DJ190" s="1420">
        <v>2578122.2999999998</v>
      </c>
      <c r="DK190" s="1420">
        <v>153889.99</v>
      </c>
      <c r="DL190" s="1422">
        <v>172026</v>
      </c>
      <c r="DM190" s="1420">
        <v>140231.15</v>
      </c>
      <c r="DN190" s="1422">
        <v>130003</v>
      </c>
      <c r="DO190" s="1420">
        <v>478151.39</v>
      </c>
      <c r="DP190" s="1422">
        <v>356423</v>
      </c>
      <c r="DQ190" s="1420">
        <v>233458.39</v>
      </c>
      <c r="DR190" s="1422">
        <v>353296</v>
      </c>
      <c r="DS190" s="1420">
        <v>16948.39</v>
      </c>
      <c r="DT190" s="1422">
        <v>6000</v>
      </c>
      <c r="DU190" s="1420">
        <v>1022679.31</v>
      </c>
      <c r="DV190" s="1422">
        <v>1017748</v>
      </c>
      <c r="DW190" s="1420">
        <v>235685.15</v>
      </c>
      <c r="DX190" s="1422">
        <v>262923</v>
      </c>
      <c r="DY190" s="1420">
        <v>150247.94</v>
      </c>
      <c r="DZ190" s="1420">
        <v>264933.64</v>
      </c>
      <c r="EA190" s="1420">
        <v>181466.43</v>
      </c>
      <c r="EB190" s="1422">
        <v>214940</v>
      </c>
      <c r="EC190" s="1420">
        <v>567399.52</v>
      </c>
      <c r="ED190" s="1420">
        <v>742796.64</v>
      </c>
      <c r="EE190" s="1420">
        <v>334160.14</v>
      </c>
      <c r="EF190" s="1422">
        <v>336702</v>
      </c>
      <c r="EG190" s="1422">
        <v>0</v>
      </c>
      <c r="EH190" s="1422">
        <v>0</v>
      </c>
      <c r="EI190" s="1420">
        <v>1293.74</v>
      </c>
      <c r="EJ190" s="1422">
        <v>5000</v>
      </c>
      <c r="EK190" s="1422">
        <v>0</v>
      </c>
      <c r="EL190" s="1422">
        <v>0</v>
      </c>
      <c r="EM190" s="1420">
        <v>335453.88</v>
      </c>
      <c r="EN190" s="1422">
        <v>341702</v>
      </c>
      <c r="EO190" s="1420">
        <v>321339.98</v>
      </c>
      <c r="EP190" s="1422">
        <v>2500</v>
      </c>
      <c r="EQ190" s="1422">
        <v>29298</v>
      </c>
      <c r="ER190" s="1422">
        <v>28338</v>
      </c>
      <c r="ES190" s="1422">
        <v>0</v>
      </c>
      <c r="ET190" s="1422">
        <v>190</v>
      </c>
      <c r="EU190" s="1420">
        <v>4977989.3099999996</v>
      </c>
      <c r="EV190" s="1420">
        <v>4711396.9400000004</v>
      </c>
      <c r="EW190" s="1420">
        <v>452231.56</v>
      </c>
      <c r="EX190" s="1422">
        <v>169984</v>
      </c>
      <c r="EY190" s="1422">
        <v>29298</v>
      </c>
      <c r="EZ190" s="1422">
        <v>28338</v>
      </c>
      <c r="FA190" s="1420">
        <v>4496459.75</v>
      </c>
      <c r="FB190" s="1420">
        <v>4513074.9400000004</v>
      </c>
      <c r="FC190" s="1420">
        <v>186622.87</v>
      </c>
      <c r="FD190" s="1439"/>
      <c r="FE190" s="1420">
        <v>4309836.88</v>
      </c>
      <c r="FF190" s="1439"/>
      <c r="FG190" s="1422">
        <v>8655</v>
      </c>
      <c r="FH190" s="1439"/>
      <c r="FI190" s="1420">
        <v>39.200000000000003</v>
      </c>
      <c r="FJ190" s="1439"/>
      <c r="FK190" s="1422">
        <v>41160</v>
      </c>
      <c r="FL190" s="1439"/>
      <c r="FM190" s="1420">
        <v>41.77</v>
      </c>
      <c r="FN190" s="1439"/>
      <c r="FO190" s="1422">
        <v>42975</v>
      </c>
      <c r="FP190" s="1439"/>
      <c r="FQ190" s="1420">
        <v>823966.84</v>
      </c>
      <c r="FR190" s="1439"/>
      <c r="FS190" s="1420">
        <v>169887.59</v>
      </c>
      <c r="FT190" s="1439"/>
      <c r="FU190" s="1422">
        <v>0</v>
      </c>
      <c r="FV190" s="1439"/>
      <c r="FW190" s="1420">
        <v>654079.25</v>
      </c>
      <c r="FX190" s="1439"/>
      <c r="FY190" s="1422">
        <v>150000</v>
      </c>
      <c r="FZ190" s="1439"/>
      <c r="GA190" s="1420">
        <v>150936.60999999999</v>
      </c>
      <c r="GB190" s="1439"/>
    </row>
    <row r="191" spans="1:184" ht="12.75" customHeight="1" thickBot="1">
      <c r="A191" s="1418" t="s">
        <v>257</v>
      </c>
      <c r="B191" s="1418" t="s">
        <v>258</v>
      </c>
      <c r="C191" s="1420">
        <v>199.28</v>
      </c>
      <c r="D191" s="1439"/>
      <c r="E191" s="1420">
        <v>1734.41</v>
      </c>
      <c r="F191" s="1439"/>
      <c r="G191" s="1421">
        <v>-0.03</v>
      </c>
      <c r="H191" s="1439"/>
      <c r="I191" s="1420">
        <v>1819.36</v>
      </c>
      <c r="J191" s="1439"/>
      <c r="K191" s="1420">
        <v>1831.14</v>
      </c>
      <c r="L191" s="1439"/>
      <c r="M191" s="1422">
        <v>118666424</v>
      </c>
      <c r="N191" s="1439"/>
      <c r="O191" s="1422">
        <v>25</v>
      </c>
      <c r="P191" s="1439"/>
      <c r="Q191" s="1422">
        <v>25</v>
      </c>
      <c r="R191" s="1439"/>
      <c r="S191" s="1422">
        <v>0</v>
      </c>
      <c r="T191" s="1439"/>
      <c r="U191" s="1422">
        <v>0</v>
      </c>
      <c r="V191" s="1439"/>
      <c r="W191" s="1420">
        <v>4.37</v>
      </c>
      <c r="X191" s="1439"/>
      <c r="Y191" s="1420">
        <v>29.37</v>
      </c>
      <c r="Z191" s="1439"/>
      <c r="AA191" s="1422">
        <v>3530000</v>
      </c>
      <c r="AB191" s="1455"/>
      <c r="AC191" s="1424">
        <v>3039787.65</v>
      </c>
      <c r="AD191" s="1422">
        <v>2940000</v>
      </c>
      <c r="AE191" s="1420">
        <v>887643.66</v>
      </c>
      <c r="AF191" s="1422">
        <v>391750</v>
      </c>
      <c r="AG191" s="1422">
        <v>0</v>
      </c>
      <c r="AH191" s="1456">
        <v>0</v>
      </c>
      <c r="AI191" s="1428">
        <v>8351773</v>
      </c>
      <c r="AJ191" s="1422">
        <v>8269530</v>
      </c>
      <c r="AK191" s="1422">
        <v>162448</v>
      </c>
      <c r="AL191" s="1422">
        <v>207666</v>
      </c>
      <c r="AM191" s="1422">
        <v>0</v>
      </c>
      <c r="AN191" s="1422">
        <v>0</v>
      </c>
      <c r="AO191" s="1422">
        <v>0</v>
      </c>
      <c r="AP191" s="1422">
        <v>40178</v>
      </c>
      <c r="AQ191" s="1422">
        <v>6104</v>
      </c>
      <c r="AR191" s="1422">
        <v>0</v>
      </c>
      <c r="AS191" s="1422">
        <v>501</v>
      </c>
      <c r="AT191" s="1422">
        <v>0</v>
      </c>
      <c r="AU191" s="1422">
        <v>0</v>
      </c>
      <c r="AV191" s="1422">
        <v>0</v>
      </c>
      <c r="AW191" s="1422">
        <v>0</v>
      </c>
      <c r="AX191" s="1422">
        <v>0</v>
      </c>
      <c r="AY191" s="1420">
        <v>12448257.310000001</v>
      </c>
      <c r="AZ191" s="1422">
        <v>11849124</v>
      </c>
      <c r="BA191" s="1422">
        <v>0</v>
      </c>
      <c r="BB191" s="1422">
        <v>0</v>
      </c>
      <c r="BC191" s="1422">
        <v>75781</v>
      </c>
      <c r="BD191" s="1422">
        <v>77096</v>
      </c>
      <c r="BE191" s="1420">
        <v>17087.599999999999</v>
      </c>
      <c r="BF191" s="1422">
        <v>2000</v>
      </c>
      <c r="BG191" s="1422">
        <v>900</v>
      </c>
      <c r="BH191" s="1422">
        <v>0</v>
      </c>
      <c r="BI191" s="1422">
        <v>33484</v>
      </c>
      <c r="BJ191" s="1422">
        <v>21595</v>
      </c>
      <c r="BK191" s="1422">
        <v>0</v>
      </c>
      <c r="BL191" s="1422">
        <v>0</v>
      </c>
      <c r="BM191" s="1422">
        <v>548028</v>
      </c>
      <c r="BN191" s="1422">
        <v>571780</v>
      </c>
      <c r="BO191" s="1420">
        <v>320827.59000000003</v>
      </c>
      <c r="BP191" s="1422">
        <v>185500</v>
      </c>
      <c r="BQ191" s="1422">
        <v>0</v>
      </c>
      <c r="BR191" s="1422">
        <v>0</v>
      </c>
      <c r="BS191" s="1420">
        <v>7190.42</v>
      </c>
      <c r="BT191" s="1422">
        <v>7190</v>
      </c>
      <c r="BU191" s="1422">
        <v>0</v>
      </c>
      <c r="BV191" s="1422">
        <v>0</v>
      </c>
      <c r="BW191" s="1422">
        <v>194400</v>
      </c>
      <c r="BX191" s="1422">
        <v>194400</v>
      </c>
      <c r="BY191" s="1422">
        <v>0</v>
      </c>
      <c r="BZ191" s="1422">
        <v>0</v>
      </c>
      <c r="CA191" s="1422">
        <v>74171</v>
      </c>
      <c r="CB191" s="1422">
        <v>63227</v>
      </c>
      <c r="CC191" s="1420">
        <v>1271869.6100000001</v>
      </c>
      <c r="CD191" s="1422">
        <v>1122788</v>
      </c>
      <c r="CE191" s="1420">
        <v>3921618.32</v>
      </c>
      <c r="CF191" s="1420">
        <v>2408120.54</v>
      </c>
      <c r="CG191" s="1422">
        <v>0</v>
      </c>
      <c r="CH191" s="1422">
        <v>0</v>
      </c>
      <c r="CI191" s="1422">
        <v>0</v>
      </c>
      <c r="CJ191" s="1422">
        <v>0</v>
      </c>
      <c r="CK191" s="1420">
        <v>6614.45</v>
      </c>
      <c r="CL191" s="1422">
        <v>0</v>
      </c>
      <c r="CM191" s="1422">
        <v>0</v>
      </c>
      <c r="CN191" s="1422">
        <v>0</v>
      </c>
      <c r="CO191" s="1420">
        <v>440046.91</v>
      </c>
      <c r="CP191" s="1422">
        <v>0</v>
      </c>
      <c r="CQ191" s="1422">
        <v>0</v>
      </c>
      <c r="CR191" s="1422">
        <v>0</v>
      </c>
      <c r="CS191" s="1420">
        <v>446661.36</v>
      </c>
      <c r="CT191" s="1422">
        <v>0</v>
      </c>
      <c r="CU191" s="1420">
        <v>18088406.600000001</v>
      </c>
      <c r="CV191" s="1420">
        <v>15380032.539999999</v>
      </c>
      <c r="CW191" s="1420">
        <v>6193810.6399999997</v>
      </c>
      <c r="CX191" s="1420">
        <v>6225462.9500000002</v>
      </c>
      <c r="CY191" s="1420">
        <v>1676125.99</v>
      </c>
      <c r="CZ191" s="1420">
        <v>1886065.45</v>
      </c>
      <c r="DA191" s="1420">
        <v>509655.95</v>
      </c>
      <c r="DB191" s="1420">
        <v>489344.71</v>
      </c>
      <c r="DC191" s="1422">
        <v>0</v>
      </c>
      <c r="DD191" s="1422">
        <v>0</v>
      </c>
      <c r="DE191" s="1420">
        <v>558772.01</v>
      </c>
      <c r="DF191" s="1420">
        <v>627199.12</v>
      </c>
      <c r="DG191" s="1420">
        <v>290990.93</v>
      </c>
      <c r="DH191" s="1420">
        <v>327168.94</v>
      </c>
      <c r="DI191" s="1420">
        <v>9229355.5199999996</v>
      </c>
      <c r="DJ191" s="1420">
        <v>9555241.1699999999</v>
      </c>
      <c r="DK191" s="1420">
        <v>237530.2</v>
      </c>
      <c r="DL191" s="1420">
        <v>252831.89</v>
      </c>
      <c r="DM191" s="1420">
        <v>119448.72</v>
      </c>
      <c r="DN191" s="1420">
        <v>135942.03</v>
      </c>
      <c r="DO191" s="1420">
        <v>1203924.9099999999</v>
      </c>
      <c r="DP191" s="1420">
        <v>1316055.3999999999</v>
      </c>
      <c r="DQ191" s="1420">
        <v>651824.64000000001</v>
      </c>
      <c r="DR191" s="1420">
        <v>619901.06000000006</v>
      </c>
      <c r="DS191" s="1420">
        <v>47834.37</v>
      </c>
      <c r="DT191" s="1420">
        <v>38463.730000000003</v>
      </c>
      <c r="DU191" s="1420">
        <v>2260562.84</v>
      </c>
      <c r="DV191" s="1420">
        <v>2363194.11</v>
      </c>
      <c r="DW191" s="1420">
        <v>622745.51</v>
      </c>
      <c r="DX191" s="1420">
        <v>560785.21</v>
      </c>
      <c r="DY191" s="1420">
        <v>1167399.8700000001</v>
      </c>
      <c r="DZ191" s="1420">
        <v>1115261.96</v>
      </c>
      <c r="EA191" s="1420">
        <v>760716.54</v>
      </c>
      <c r="EB191" s="1420">
        <v>770063.6</v>
      </c>
      <c r="EC191" s="1420">
        <v>2550861.92</v>
      </c>
      <c r="ED191" s="1420">
        <v>2446110.77</v>
      </c>
      <c r="EE191" s="1420">
        <v>962975.75</v>
      </c>
      <c r="EF191" s="1420">
        <v>1003614.29</v>
      </c>
      <c r="EG191" s="1420">
        <v>98125.99</v>
      </c>
      <c r="EH191" s="1422">
        <v>0</v>
      </c>
      <c r="EI191" s="1420">
        <v>18676.98</v>
      </c>
      <c r="EJ191" s="1420">
        <v>26218.59</v>
      </c>
      <c r="EK191" s="1422">
        <v>0</v>
      </c>
      <c r="EL191" s="1422">
        <v>0</v>
      </c>
      <c r="EM191" s="1420">
        <v>1079778.72</v>
      </c>
      <c r="EN191" s="1420">
        <v>1029832.88</v>
      </c>
      <c r="EO191" s="1420">
        <v>2598231.62</v>
      </c>
      <c r="EP191" s="1420">
        <v>981896.4</v>
      </c>
      <c r="EQ191" s="1420">
        <v>230548.04</v>
      </c>
      <c r="ER191" s="1422">
        <v>296338</v>
      </c>
      <c r="ES191" s="1420">
        <v>14531.44</v>
      </c>
      <c r="ET191" s="1422">
        <v>12148</v>
      </c>
      <c r="EU191" s="1420">
        <v>17963870.100000001</v>
      </c>
      <c r="EV191" s="1420">
        <v>16684761.33</v>
      </c>
      <c r="EW191" s="1420">
        <v>3102056.59</v>
      </c>
      <c r="EX191" s="1420">
        <v>1223046.8999999999</v>
      </c>
      <c r="EY191" s="1420">
        <v>230548.04</v>
      </c>
      <c r="EZ191" s="1422">
        <v>296338</v>
      </c>
      <c r="FA191" s="1420">
        <v>14631265.470000001</v>
      </c>
      <c r="FB191" s="1420">
        <v>15165376.43</v>
      </c>
      <c r="FC191" s="1420">
        <v>1080998.01</v>
      </c>
      <c r="FD191" s="1439"/>
      <c r="FE191" s="1420">
        <v>13550267.460000001</v>
      </c>
      <c r="FF191" s="1439"/>
      <c r="FG191" s="1422">
        <v>7812</v>
      </c>
      <c r="FH191" s="1439"/>
      <c r="FI191" s="1420">
        <v>123.9</v>
      </c>
      <c r="FJ191" s="1439"/>
      <c r="FK191" s="1422">
        <v>44017</v>
      </c>
      <c r="FL191" s="1439"/>
      <c r="FM191" s="1420">
        <v>132.9</v>
      </c>
      <c r="FN191" s="1439"/>
      <c r="FO191" s="1422">
        <v>45736</v>
      </c>
      <c r="FP191" s="1439"/>
      <c r="FQ191" s="1420">
        <v>3606624.41</v>
      </c>
      <c r="FR191" s="1439"/>
      <c r="FS191" s="1420">
        <v>125997.18</v>
      </c>
      <c r="FT191" s="1439"/>
      <c r="FU191" s="1422">
        <v>0</v>
      </c>
      <c r="FV191" s="1439"/>
      <c r="FW191" s="1420">
        <v>3480627.23</v>
      </c>
      <c r="FX191" s="1439"/>
      <c r="FY191" s="1420">
        <v>3991339.58</v>
      </c>
      <c r="FZ191" s="1439"/>
      <c r="GA191" s="1422">
        <v>0</v>
      </c>
      <c r="GB191" s="1439"/>
    </row>
    <row r="192" spans="1:184" ht="12.75" customHeight="1" thickBot="1">
      <c r="A192" s="1418" t="s">
        <v>259</v>
      </c>
      <c r="B192" s="1418" t="s">
        <v>260</v>
      </c>
      <c r="C192" s="1420">
        <v>345.41</v>
      </c>
      <c r="D192" s="1439"/>
      <c r="E192" s="1420">
        <v>2937.13</v>
      </c>
      <c r="F192" s="1439"/>
      <c r="G192" s="1421">
        <v>-0.17</v>
      </c>
      <c r="H192" s="1439"/>
      <c r="I192" s="1420">
        <v>3138.09</v>
      </c>
      <c r="J192" s="1439"/>
      <c r="K192" s="1420">
        <v>3271.4</v>
      </c>
      <c r="L192" s="1439"/>
      <c r="M192" s="1422">
        <v>164698965</v>
      </c>
      <c r="N192" s="1439"/>
      <c r="O192" s="1422">
        <v>25</v>
      </c>
      <c r="P192" s="1439"/>
      <c r="Q192" s="1422">
        <v>25</v>
      </c>
      <c r="R192" s="1439"/>
      <c r="S192" s="1422">
        <v>0</v>
      </c>
      <c r="T192" s="1439"/>
      <c r="U192" s="1422">
        <v>0</v>
      </c>
      <c r="V192" s="1439"/>
      <c r="W192" s="1420">
        <v>7.6</v>
      </c>
      <c r="X192" s="1439"/>
      <c r="Y192" s="1420">
        <v>32.6</v>
      </c>
      <c r="Z192" s="1439"/>
      <c r="AA192" s="1422">
        <v>15255000</v>
      </c>
      <c r="AB192" s="1455"/>
      <c r="AC192" s="1424">
        <v>5147203.3600000003</v>
      </c>
      <c r="AD192" s="1420">
        <v>5202867.3099999996</v>
      </c>
      <c r="AE192" s="1420">
        <v>1090230.06</v>
      </c>
      <c r="AF192" s="1420">
        <v>811286.78</v>
      </c>
      <c r="AG192" s="1422">
        <v>0</v>
      </c>
      <c r="AH192" s="1456">
        <v>0</v>
      </c>
      <c r="AI192" s="1428">
        <v>15699208</v>
      </c>
      <c r="AJ192" s="1422">
        <v>15286190</v>
      </c>
      <c r="AK192" s="1422">
        <v>140345</v>
      </c>
      <c r="AL192" s="1422">
        <v>0</v>
      </c>
      <c r="AM192" s="1422">
        <v>0</v>
      </c>
      <c r="AN192" s="1422">
        <v>0</v>
      </c>
      <c r="AO192" s="1422">
        <v>449105</v>
      </c>
      <c r="AP192" s="1422">
        <v>383693</v>
      </c>
      <c r="AQ192" s="1422">
        <v>0</v>
      </c>
      <c r="AR192" s="1422">
        <v>0</v>
      </c>
      <c r="AS192" s="1422">
        <v>0</v>
      </c>
      <c r="AT192" s="1422">
        <v>0</v>
      </c>
      <c r="AU192" s="1422">
        <v>71890</v>
      </c>
      <c r="AV192" s="1422">
        <v>57512</v>
      </c>
      <c r="AW192" s="1422">
        <v>56571</v>
      </c>
      <c r="AX192" s="1422">
        <v>56571</v>
      </c>
      <c r="AY192" s="1420">
        <v>22654552.420000002</v>
      </c>
      <c r="AZ192" s="1420">
        <v>21798120.09</v>
      </c>
      <c r="BA192" s="1420">
        <v>99575.53</v>
      </c>
      <c r="BB192" s="1422">
        <v>0</v>
      </c>
      <c r="BC192" s="1422">
        <v>135305</v>
      </c>
      <c r="BD192" s="1422">
        <v>133349</v>
      </c>
      <c r="BE192" s="1420">
        <v>38074.17</v>
      </c>
      <c r="BF192" s="1422">
        <v>14400</v>
      </c>
      <c r="BG192" s="1422">
        <v>1200</v>
      </c>
      <c r="BH192" s="1422">
        <v>1200</v>
      </c>
      <c r="BI192" s="1422">
        <v>160204</v>
      </c>
      <c r="BJ192" s="1422">
        <v>232203</v>
      </c>
      <c r="BK192" s="1422">
        <v>5274</v>
      </c>
      <c r="BL192" s="1422">
        <v>0</v>
      </c>
      <c r="BM192" s="1422">
        <v>2639712</v>
      </c>
      <c r="BN192" s="1422">
        <v>2609948</v>
      </c>
      <c r="BO192" s="1420">
        <v>374107.08</v>
      </c>
      <c r="BP192" s="1422">
        <v>483040</v>
      </c>
      <c r="BQ192" s="1420">
        <v>71235.33</v>
      </c>
      <c r="BR192" s="1422">
        <v>0</v>
      </c>
      <c r="BS192" s="1420">
        <v>15506.38</v>
      </c>
      <c r="BT192" s="1422">
        <v>0</v>
      </c>
      <c r="BU192" s="1422">
        <v>0</v>
      </c>
      <c r="BV192" s="1422">
        <v>0</v>
      </c>
      <c r="BW192" s="1420">
        <v>1119498.8</v>
      </c>
      <c r="BX192" s="1420">
        <v>1130348.78</v>
      </c>
      <c r="BY192" s="1422">
        <v>0</v>
      </c>
      <c r="BZ192" s="1422">
        <v>0</v>
      </c>
      <c r="CA192" s="1420">
        <v>3173103.4</v>
      </c>
      <c r="CB192" s="1422">
        <v>560922</v>
      </c>
      <c r="CC192" s="1420">
        <v>7832795.6900000004</v>
      </c>
      <c r="CD192" s="1420">
        <v>5165410.78</v>
      </c>
      <c r="CE192" s="1420">
        <v>9561397.2599999998</v>
      </c>
      <c r="CF192" s="1420">
        <v>8700972.1099999994</v>
      </c>
      <c r="CG192" s="1422">
        <v>0</v>
      </c>
      <c r="CH192" s="1422">
        <v>0</v>
      </c>
      <c r="CI192" s="1422">
        <v>0</v>
      </c>
      <c r="CJ192" s="1422">
        <v>0</v>
      </c>
      <c r="CK192" s="1420">
        <v>91608.73</v>
      </c>
      <c r="CL192" s="1420">
        <v>54932.09</v>
      </c>
      <c r="CM192" s="1420">
        <v>50.4</v>
      </c>
      <c r="CN192" s="1422">
        <v>0</v>
      </c>
      <c r="CO192" s="1420">
        <v>5350.11</v>
      </c>
      <c r="CP192" s="1422">
        <v>2000</v>
      </c>
      <c r="CQ192" s="1422">
        <v>0</v>
      </c>
      <c r="CR192" s="1422">
        <v>0</v>
      </c>
      <c r="CS192" s="1420">
        <v>97009.24</v>
      </c>
      <c r="CT192" s="1420">
        <v>56932.09</v>
      </c>
      <c r="CU192" s="1420">
        <v>40145754.609999999</v>
      </c>
      <c r="CV192" s="1420">
        <v>35721435.07</v>
      </c>
      <c r="CW192" s="1420">
        <v>12362947.439999999</v>
      </c>
      <c r="CX192" s="1420">
        <v>11981898.26</v>
      </c>
      <c r="CY192" s="1420">
        <v>3056627.78</v>
      </c>
      <c r="CZ192" s="1420">
        <v>3382256.78</v>
      </c>
      <c r="DA192" s="1420">
        <v>804939.6</v>
      </c>
      <c r="DB192" s="1420">
        <v>830663.03</v>
      </c>
      <c r="DC192" s="1420">
        <v>94277.36</v>
      </c>
      <c r="DD192" s="1422">
        <v>0</v>
      </c>
      <c r="DE192" s="1420">
        <v>2388292.87</v>
      </c>
      <c r="DF192" s="1420">
        <v>1926105.76</v>
      </c>
      <c r="DG192" s="1420">
        <v>1824377.7</v>
      </c>
      <c r="DH192" s="1420">
        <v>1634377.99</v>
      </c>
      <c r="DI192" s="1420">
        <v>20531462.75</v>
      </c>
      <c r="DJ192" s="1420">
        <v>19755301.82</v>
      </c>
      <c r="DK192" s="1420">
        <v>809216.47</v>
      </c>
      <c r="DL192" s="1420">
        <v>830110.92</v>
      </c>
      <c r="DM192" s="1420">
        <v>692355.67</v>
      </c>
      <c r="DN192" s="1420">
        <v>586396.30000000005</v>
      </c>
      <c r="DO192" s="1420">
        <v>2784429.68</v>
      </c>
      <c r="DP192" s="1420">
        <v>2560052.7200000002</v>
      </c>
      <c r="DQ192" s="1420">
        <v>1290999.8</v>
      </c>
      <c r="DR192" s="1420">
        <v>1180948.08</v>
      </c>
      <c r="DS192" s="1420">
        <v>129253.25</v>
      </c>
      <c r="DT192" s="1420">
        <v>73776.09</v>
      </c>
      <c r="DU192" s="1420">
        <v>5706254.8700000001</v>
      </c>
      <c r="DV192" s="1420">
        <v>5231284.1100000003</v>
      </c>
      <c r="DW192" s="1420">
        <v>1891698.13</v>
      </c>
      <c r="DX192" s="1420">
        <v>1726901.91</v>
      </c>
      <c r="DY192" s="1420">
        <v>3506376.36</v>
      </c>
      <c r="DZ192" s="1420">
        <v>3572615.8</v>
      </c>
      <c r="EA192" s="1420">
        <v>1930595.59</v>
      </c>
      <c r="EB192" s="1420">
        <v>1758792.38</v>
      </c>
      <c r="EC192" s="1420">
        <v>7328670.0800000001</v>
      </c>
      <c r="ED192" s="1420">
        <v>7058310.0899999999</v>
      </c>
      <c r="EE192" s="1420">
        <v>2416857.2999999998</v>
      </c>
      <c r="EF192" s="1420">
        <v>2090483.59</v>
      </c>
      <c r="EG192" s="1420">
        <v>20116.169999999998</v>
      </c>
      <c r="EH192" s="1422">
        <v>0</v>
      </c>
      <c r="EI192" s="1420">
        <v>8077.37</v>
      </c>
      <c r="EJ192" s="1422">
        <v>15600</v>
      </c>
      <c r="EK192" s="1422">
        <v>0</v>
      </c>
      <c r="EL192" s="1422">
        <v>0</v>
      </c>
      <c r="EM192" s="1420">
        <v>2445050.84</v>
      </c>
      <c r="EN192" s="1420">
        <v>2106083.59</v>
      </c>
      <c r="EO192" s="1422">
        <v>5491044</v>
      </c>
      <c r="EP192" s="1420">
        <v>1681627.13</v>
      </c>
      <c r="EQ192" s="1420">
        <v>1114113.8799999999</v>
      </c>
      <c r="ER192" s="1422">
        <v>1112395</v>
      </c>
      <c r="ES192" s="1422">
        <v>0</v>
      </c>
      <c r="ET192" s="1422">
        <v>0</v>
      </c>
      <c r="EU192" s="1420">
        <v>42616596.420000002</v>
      </c>
      <c r="EV192" s="1420">
        <v>36945001.740000002</v>
      </c>
      <c r="EW192" s="1420">
        <v>6005468.2800000003</v>
      </c>
      <c r="EX192" s="1420">
        <v>2062232.73</v>
      </c>
      <c r="EY192" s="1420">
        <v>1114113.8799999999</v>
      </c>
      <c r="EZ192" s="1422">
        <v>1112395</v>
      </c>
      <c r="FA192" s="1420">
        <v>35497014.259999998</v>
      </c>
      <c r="FB192" s="1420">
        <v>33770374.009999998</v>
      </c>
      <c r="FC192" s="1420">
        <v>2063070.68</v>
      </c>
      <c r="FD192" s="1439"/>
      <c r="FE192" s="1420">
        <v>33433943.579999998</v>
      </c>
      <c r="FF192" s="1439"/>
      <c r="FG192" s="1422">
        <v>11383</v>
      </c>
      <c r="FH192" s="1439"/>
      <c r="FI192" s="1420">
        <v>221.61</v>
      </c>
      <c r="FJ192" s="1439"/>
      <c r="FK192" s="1422">
        <v>50845</v>
      </c>
      <c r="FL192" s="1439"/>
      <c r="FM192" s="1420">
        <v>249.5</v>
      </c>
      <c r="FN192" s="1439"/>
      <c r="FO192" s="1422">
        <v>53488</v>
      </c>
      <c r="FP192" s="1439"/>
      <c r="FQ192" s="1422">
        <v>2572351</v>
      </c>
      <c r="FR192" s="1439"/>
      <c r="FS192" s="1420">
        <v>146159.5</v>
      </c>
      <c r="FT192" s="1439"/>
      <c r="FU192" s="1422">
        <v>0</v>
      </c>
      <c r="FV192" s="1439"/>
      <c r="FW192" s="1420">
        <v>2426191.5</v>
      </c>
      <c r="FX192" s="1439"/>
      <c r="FY192" s="1420">
        <v>2300221.4</v>
      </c>
      <c r="FZ192" s="1439"/>
      <c r="GA192" s="1422">
        <v>0</v>
      </c>
      <c r="GB192" s="1439"/>
    </row>
    <row r="193" spans="1:184" ht="12.75" customHeight="1" thickBot="1">
      <c r="A193" s="1418" t="s">
        <v>261</v>
      </c>
      <c r="B193" s="1418" t="s">
        <v>262</v>
      </c>
      <c r="C193" s="1420">
        <v>242.18</v>
      </c>
      <c r="D193" s="1439"/>
      <c r="E193" s="1420">
        <v>380.9</v>
      </c>
      <c r="F193" s="1439"/>
      <c r="G193" s="1421">
        <v>-0.3</v>
      </c>
      <c r="H193" s="1439"/>
      <c r="I193" s="1420">
        <v>414.73</v>
      </c>
      <c r="J193" s="1439"/>
      <c r="K193" s="1420">
        <v>424.77</v>
      </c>
      <c r="L193" s="1439"/>
      <c r="M193" s="1422">
        <v>50397589</v>
      </c>
      <c r="N193" s="1439"/>
      <c r="O193" s="1422">
        <v>37</v>
      </c>
      <c r="P193" s="1439"/>
      <c r="Q193" s="1422">
        <v>25</v>
      </c>
      <c r="R193" s="1439"/>
      <c r="S193" s="1422">
        <v>12</v>
      </c>
      <c r="T193" s="1439"/>
      <c r="U193" s="1422">
        <v>0</v>
      </c>
      <c r="V193" s="1439"/>
      <c r="W193" s="1420">
        <v>2.4</v>
      </c>
      <c r="X193" s="1439"/>
      <c r="Y193" s="1420">
        <v>39.4</v>
      </c>
      <c r="Z193" s="1439"/>
      <c r="AA193" s="1420">
        <v>662583.92000000004</v>
      </c>
      <c r="AB193" s="1455"/>
      <c r="AC193" s="1424">
        <v>2192884.5099999998</v>
      </c>
      <c r="AD193" s="1420">
        <v>1792238.64</v>
      </c>
      <c r="AE193" s="1420">
        <v>1027013.03</v>
      </c>
      <c r="AF193" s="1422">
        <v>43000</v>
      </c>
      <c r="AG193" s="1422">
        <v>0</v>
      </c>
      <c r="AH193" s="1456">
        <v>0</v>
      </c>
      <c r="AI193" s="1428">
        <v>1359874</v>
      </c>
      <c r="AJ193" s="1422">
        <v>1306473</v>
      </c>
      <c r="AK193" s="1422">
        <v>41745</v>
      </c>
      <c r="AL193" s="1422">
        <v>42000</v>
      </c>
      <c r="AM193" s="1422">
        <v>316</v>
      </c>
      <c r="AN193" s="1422">
        <v>0</v>
      </c>
      <c r="AO193" s="1422">
        <v>0</v>
      </c>
      <c r="AP193" s="1422">
        <v>33454</v>
      </c>
      <c r="AQ193" s="1422">
        <v>0</v>
      </c>
      <c r="AR193" s="1422">
        <v>0</v>
      </c>
      <c r="AS193" s="1422">
        <v>0</v>
      </c>
      <c r="AT193" s="1422">
        <v>0</v>
      </c>
      <c r="AU193" s="1422">
        <v>0</v>
      </c>
      <c r="AV193" s="1422">
        <v>0</v>
      </c>
      <c r="AW193" s="1422">
        <v>0</v>
      </c>
      <c r="AX193" s="1422">
        <v>0</v>
      </c>
      <c r="AY193" s="1420">
        <v>4621832.54</v>
      </c>
      <c r="AZ193" s="1420">
        <v>3217165.64</v>
      </c>
      <c r="BA193" s="1422">
        <v>0</v>
      </c>
      <c r="BB193" s="1422">
        <v>0</v>
      </c>
      <c r="BC193" s="1422">
        <v>17568</v>
      </c>
      <c r="BD193" s="1420">
        <v>20929.5</v>
      </c>
      <c r="BE193" s="1420">
        <v>118340.7</v>
      </c>
      <c r="BF193" s="1422">
        <v>0</v>
      </c>
      <c r="BG193" s="1422">
        <v>384717</v>
      </c>
      <c r="BH193" s="1422">
        <v>0</v>
      </c>
      <c r="BI193" s="1422">
        <v>27344</v>
      </c>
      <c r="BJ193" s="1420">
        <v>84510.85</v>
      </c>
      <c r="BK193" s="1422">
        <v>0</v>
      </c>
      <c r="BL193" s="1422">
        <v>0</v>
      </c>
      <c r="BM193" s="1422">
        <v>346208</v>
      </c>
      <c r="BN193" s="1420">
        <v>444114.44</v>
      </c>
      <c r="BO193" s="1420">
        <v>1438.71</v>
      </c>
      <c r="BP193" s="1422">
        <v>0</v>
      </c>
      <c r="BQ193" s="1420">
        <v>9750.32</v>
      </c>
      <c r="BR193" s="1422">
        <v>0</v>
      </c>
      <c r="BS193" s="1420">
        <v>1940.34</v>
      </c>
      <c r="BT193" s="1422">
        <v>0</v>
      </c>
      <c r="BU193" s="1422">
        <v>0</v>
      </c>
      <c r="BV193" s="1422">
        <v>0</v>
      </c>
      <c r="BW193" s="1422">
        <v>0</v>
      </c>
      <c r="BX193" s="1422">
        <v>0</v>
      </c>
      <c r="BY193" s="1422">
        <v>0</v>
      </c>
      <c r="BZ193" s="1422">
        <v>0</v>
      </c>
      <c r="CA193" s="1422">
        <v>9297</v>
      </c>
      <c r="CB193" s="1422">
        <v>6849</v>
      </c>
      <c r="CC193" s="1420">
        <v>916604.07</v>
      </c>
      <c r="CD193" s="1420">
        <v>556403.79</v>
      </c>
      <c r="CE193" s="1420">
        <v>1492251.39</v>
      </c>
      <c r="CF193" s="1420">
        <v>1081907.1100000001</v>
      </c>
      <c r="CG193" s="1422">
        <v>0</v>
      </c>
      <c r="CH193" s="1422">
        <v>0</v>
      </c>
      <c r="CI193" s="1422">
        <v>0</v>
      </c>
      <c r="CJ193" s="1422">
        <v>0</v>
      </c>
      <c r="CK193" s="1422">
        <v>0</v>
      </c>
      <c r="CL193" s="1422">
        <v>0</v>
      </c>
      <c r="CM193" s="1422">
        <v>0</v>
      </c>
      <c r="CN193" s="1422">
        <v>0</v>
      </c>
      <c r="CO193" s="1422">
        <v>0</v>
      </c>
      <c r="CP193" s="1422">
        <v>0</v>
      </c>
      <c r="CQ193" s="1422">
        <v>0</v>
      </c>
      <c r="CR193" s="1422">
        <v>0</v>
      </c>
      <c r="CS193" s="1422">
        <v>0</v>
      </c>
      <c r="CT193" s="1422">
        <v>0</v>
      </c>
      <c r="CU193" s="1422">
        <v>7030688</v>
      </c>
      <c r="CV193" s="1420">
        <v>4855476.54</v>
      </c>
      <c r="CW193" s="1420">
        <v>2350926.9900000002</v>
      </c>
      <c r="CX193" s="1420">
        <v>2030435.87</v>
      </c>
      <c r="CY193" s="1420">
        <v>225283.88</v>
      </c>
      <c r="CZ193" s="1420">
        <v>343356.48</v>
      </c>
      <c r="DA193" s="1420">
        <v>60643.81</v>
      </c>
      <c r="DB193" s="1420">
        <v>112520.35</v>
      </c>
      <c r="DC193" s="1422">
        <v>0</v>
      </c>
      <c r="DD193" s="1422">
        <v>0</v>
      </c>
      <c r="DE193" s="1420">
        <v>427580.31</v>
      </c>
      <c r="DF193" s="1420">
        <v>408652.56</v>
      </c>
      <c r="DG193" s="1420">
        <v>87283.05</v>
      </c>
      <c r="DH193" s="1420">
        <v>101131.73</v>
      </c>
      <c r="DI193" s="1420">
        <v>3151718.04</v>
      </c>
      <c r="DJ193" s="1420">
        <v>2996096.99</v>
      </c>
      <c r="DK193" s="1420">
        <v>704091.63</v>
      </c>
      <c r="DL193" s="1420">
        <v>452896.5</v>
      </c>
      <c r="DM193" s="1420">
        <v>2059.8200000000002</v>
      </c>
      <c r="DN193" s="1422">
        <v>44901</v>
      </c>
      <c r="DO193" s="1420">
        <v>665843.19999999995</v>
      </c>
      <c r="DP193" s="1420">
        <v>818027.51</v>
      </c>
      <c r="DQ193" s="1420">
        <v>137408.14000000001</v>
      </c>
      <c r="DR193" s="1420">
        <v>103036.99</v>
      </c>
      <c r="DS193" s="1422">
        <v>6310</v>
      </c>
      <c r="DT193" s="1422">
        <v>8500</v>
      </c>
      <c r="DU193" s="1420">
        <v>1515712.79</v>
      </c>
      <c r="DV193" s="1422">
        <v>1427362</v>
      </c>
      <c r="DW193" s="1420">
        <v>186461.35</v>
      </c>
      <c r="DX193" s="1420">
        <v>226458.96</v>
      </c>
      <c r="DY193" s="1420">
        <v>801368.15</v>
      </c>
      <c r="DZ193" s="1420">
        <v>559278.21</v>
      </c>
      <c r="EA193" s="1420">
        <v>87178.82</v>
      </c>
      <c r="EB193" s="1420">
        <v>87924.6</v>
      </c>
      <c r="EC193" s="1420">
        <v>1075008.32</v>
      </c>
      <c r="ED193" s="1420">
        <v>873661.77</v>
      </c>
      <c r="EE193" s="1420">
        <v>316573.3</v>
      </c>
      <c r="EF193" s="1420">
        <v>316515.44</v>
      </c>
      <c r="EG193" s="1422">
        <v>0</v>
      </c>
      <c r="EH193" s="1422">
        <v>0</v>
      </c>
      <c r="EI193" s="1420">
        <v>347.44</v>
      </c>
      <c r="EJ193" s="1422">
        <v>3000</v>
      </c>
      <c r="EK193" s="1422">
        <v>0</v>
      </c>
      <c r="EL193" s="1422">
        <v>0</v>
      </c>
      <c r="EM193" s="1420">
        <v>316920.74</v>
      </c>
      <c r="EN193" s="1420">
        <v>319515.44</v>
      </c>
      <c r="EO193" s="1420">
        <v>119219.74</v>
      </c>
      <c r="EP193" s="1422">
        <v>0</v>
      </c>
      <c r="EQ193" s="1420">
        <v>126127.85</v>
      </c>
      <c r="ER193" s="1422">
        <v>160750</v>
      </c>
      <c r="ES193" s="1422">
        <v>0</v>
      </c>
      <c r="ET193" s="1422">
        <v>0</v>
      </c>
      <c r="EU193" s="1420">
        <v>6304707.4800000004</v>
      </c>
      <c r="EV193" s="1420">
        <v>5777386.2000000002</v>
      </c>
      <c r="EW193" s="1420">
        <v>131693.48000000001</v>
      </c>
      <c r="EX193" s="1422">
        <v>40100</v>
      </c>
      <c r="EY193" s="1420">
        <v>126127.85</v>
      </c>
      <c r="EZ193" s="1422">
        <v>160750</v>
      </c>
      <c r="FA193" s="1420">
        <v>6046886.1500000004</v>
      </c>
      <c r="FB193" s="1420">
        <v>5576536.2000000002</v>
      </c>
      <c r="FC193" s="1420">
        <v>120557.75</v>
      </c>
      <c r="FD193" s="1439"/>
      <c r="FE193" s="1420">
        <v>5926328.4000000004</v>
      </c>
      <c r="FF193" s="1439"/>
      <c r="FG193" s="1422">
        <v>15558</v>
      </c>
      <c r="FH193" s="1439"/>
      <c r="FI193" s="1420">
        <v>32.07</v>
      </c>
      <c r="FJ193" s="1439"/>
      <c r="FK193" s="1422">
        <v>50031</v>
      </c>
      <c r="FL193" s="1439"/>
      <c r="FM193" s="1420">
        <v>35.119999999999997</v>
      </c>
      <c r="FN193" s="1439"/>
      <c r="FO193" s="1422">
        <v>57593</v>
      </c>
      <c r="FP193" s="1439"/>
      <c r="FQ193" s="1420">
        <v>2228467.19</v>
      </c>
      <c r="FR193" s="1439"/>
      <c r="FS193" s="1420">
        <v>2884.19</v>
      </c>
      <c r="FT193" s="1439"/>
      <c r="FU193" s="1422">
        <v>0</v>
      </c>
      <c r="FV193" s="1439"/>
      <c r="FW193" s="1422">
        <v>2225583</v>
      </c>
      <c r="FX193" s="1439"/>
      <c r="FY193" s="1422">
        <v>0</v>
      </c>
      <c r="FZ193" s="1439"/>
      <c r="GA193" s="1420">
        <v>178.65</v>
      </c>
      <c r="GB193" s="1439"/>
    </row>
    <row r="194" spans="1:184" ht="12.75" customHeight="1" thickBot="1">
      <c r="A194" s="1418" t="s">
        <v>263</v>
      </c>
      <c r="B194" s="1418" t="s">
        <v>264</v>
      </c>
      <c r="C194" s="1420">
        <v>155.03</v>
      </c>
      <c r="D194" s="1439"/>
      <c r="E194" s="1420">
        <v>624.22</v>
      </c>
      <c r="F194" s="1439"/>
      <c r="G194" s="1421">
        <v>0.18</v>
      </c>
      <c r="H194" s="1439"/>
      <c r="I194" s="1420">
        <v>667.89</v>
      </c>
      <c r="J194" s="1439"/>
      <c r="K194" s="1420">
        <v>647.54</v>
      </c>
      <c r="L194" s="1439"/>
      <c r="M194" s="1422">
        <v>32545581</v>
      </c>
      <c r="N194" s="1439"/>
      <c r="O194" s="1422">
        <v>25</v>
      </c>
      <c r="P194" s="1439"/>
      <c r="Q194" s="1422">
        <v>25</v>
      </c>
      <c r="R194" s="1439"/>
      <c r="S194" s="1422">
        <v>0</v>
      </c>
      <c r="T194" s="1439"/>
      <c r="U194" s="1422">
        <v>0</v>
      </c>
      <c r="V194" s="1439"/>
      <c r="W194" s="1420">
        <v>11.8</v>
      </c>
      <c r="X194" s="1439"/>
      <c r="Y194" s="1420">
        <v>36.799999999999997</v>
      </c>
      <c r="Z194" s="1439"/>
      <c r="AA194" s="1422">
        <v>5116175</v>
      </c>
      <c r="AB194" s="1455"/>
      <c r="AC194" s="1424">
        <v>871124.91</v>
      </c>
      <c r="AD194" s="1422">
        <v>772000</v>
      </c>
      <c r="AE194" s="1420">
        <v>277420.15999999997</v>
      </c>
      <c r="AF194" s="1422">
        <v>242835</v>
      </c>
      <c r="AG194" s="1420">
        <v>34094.04</v>
      </c>
      <c r="AH194" s="1456">
        <v>72007</v>
      </c>
      <c r="AI194" s="1428">
        <v>3136050</v>
      </c>
      <c r="AJ194" s="1422">
        <v>3326179</v>
      </c>
      <c r="AK194" s="1422">
        <v>16787</v>
      </c>
      <c r="AL194" s="1422">
        <v>0</v>
      </c>
      <c r="AM194" s="1422">
        <v>134261</v>
      </c>
      <c r="AN194" s="1422">
        <v>105000</v>
      </c>
      <c r="AO194" s="1422">
        <v>0</v>
      </c>
      <c r="AP194" s="1422">
        <v>0</v>
      </c>
      <c r="AQ194" s="1422">
        <v>0</v>
      </c>
      <c r="AR194" s="1422">
        <v>0</v>
      </c>
      <c r="AS194" s="1422">
        <v>0</v>
      </c>
      <c r="AT194" s="1422">
        <v>0</v>
      </c>
      <c r="AU194" s="1422">
        <v>3674</v>
      </c>
      <c r="AV194" s="1422">
        <v>2939</v>
      </c>
      <c r="AW194" s="1420">
        <v>8510.3799999999992</v>
      </c>
      <c r="AX194" s="1422">
        <v>85959</v>
      </c>
      <c r="AY194" s="1420">
        <v>4481921.49</v>
      </c>
      <c r="AZ194" s="1422">
        <v>4606919</v>
      </c>
      <c r="BA194" s="1422">
        <v>0</v>
      </c>
      <c r="BB194" s="1422">
        <v>0</v>
      </c>
      <c r="BC194" s="1422">
        <v>26782</v>
      </c>
      <c r="BD194" s="1422">
        <v>28443</v>
      </c>
      <c r="BE194" s="1420">
        <v>152714.07</v>
      </c>
      <c r="BF194" s="1422">
        <v>35341</v>
      </c>
      <c r="BG194" s="1422">
        <v>0</v>
      </c>
      <c r="BH194" s="1422">
        <v>0</v>
      </c>
      <c r="BI194" s="1422">
        <v>0</v>
      </c>
      <c r="BJ194" s="1422">
        <v>0</v>
      </c>
      <c r="BK194" s="1422">
        <v>0</v>
      </c>
      <c r="BL194" s="1422">
        <v>0</v>
      </c>
      <c r="BM194" s="1422">
        <v>572186</v>
      </c>
      <c r="BN194" s="1422">
        <v>608873</v>
      </c>
      <c r="BO194" s="1420">
        <v>2652.86</v>
      </c>
      <c r="BP194" s="1422">
        <v>2400</v>
      </c>
      <c r="BQ194" s="1422">
        <v>0</v>
      </c>
      <c r="BR194" s="1422">
        <v>525</v>
      </c>
      <c r="BS194" s="1420">
        <v>2812.71</v>
      </c>
      <c r="BT194" s="1422">
        <v>2500</v>
      </c>
      <c r="BU194" s="1422">
        <v>0</v>
      </c>
      <c r="BV194" s="1422">
        <v>0</v>
      </c>
      <c r="BW194" s="1420">
        <v>142792.38</v>
      </c>
      <c r="BX194" s="1422">
        <v>145800</v>
      </c>
      <c r="BY194" s="1422">
        <v>0</v>
      </c>
      <c r="BZ194" s="1422">
        <v>0</v>
      </c>
      <c r="CA194" s="1420">
        <v>57746.97</v>
      </c>
      <c r="CB194" s="1422">
        <v>46202</v>
      </c>
      <c r="CC194" s="1420">
        <v>957686.99</v>
      </c>
      <c r="CD194" s="1422">
        <v>870084</v>
      </c>
      <c r="CE194" s="1420">
        <v>834008.59</v>
      </c>
      <c r="CF194" s="1422">
        <v>1060310</v>
      </c>
      <c r="CG194" s="1420">
        <v>4243941.95</v>
      </c>
      <c r="CH194" s="1422">
        <v>0</v>
      </c>
      <c r="CI194" s="1422">
        <v>0</v>
      </c>
      <c r="CJ194" s="1422">
        <v>0</v>
      </c>
      <c r="CK194" s="1422">
        <v>0</v>
      </c>
      <c r="CL194" s="1422">
        <v>0</v>
      </c>
      <c r="CM194" s="1422">
        <v>0</v>
      </c>
      <c r="CN194" s="1422">
        <v>0</v>
      </c>
      <c r="CO194" s="1422">
        <v>0</v>
      </c>
      <c r="CP194" s="1422">
        <v>0</v>
      </c>
      <c r="CQ194" s="1422">
        <v>0</v>
      </c>
      <c r="CR194" s="1422">
        <v>0</v>
      </c>
      <c r="CS194" s="1420">
        <v>4243941.95</v>
      </c>
      <c r="CT194" s="1422">
        <v>0</v>
      </c>
      <c r="CU194" s="1420">
        <v>10517559.02</v>
      </c>
      <c r="CV194" s="1422">
        <v>6537313</v>
      </c>
      <c r="CW194" s="1420">
        <v>2529507.79</v>
      </c>
      <c r="CX194" s="1420">
        <v>2636148.34</v>
      </c>
      <c r="CY194" s="1420">
        <v>301819.87</v>
      </c>
      <c r="CZ194" s="1422">
        <v>153811</v>
      </c>
      <c r="DA194" s="1420">
        <v>181029.27</v>
      </c>
      <c r="DB194" s="1422">
        <v>181353</v>
      </c>
      <c r="DC194" s="1422">
        <v>0</v>
      </c>
      <c r="DD194" s="1422">
        <v>0</v>
      </c>
      <c r="DE194" s="1420">
        <v>169711.19</v>
      </c>
      <c r="DF194" s="1422">
        <v>176322</v>
      </c>
      <c r="DG194" s="1420">
        <v>170119.04000000001</v>
      </c>
      <c r="DH194" s="1422">
        <v>282953</v>
      </c>
      <c r="DI194" s="1420">
        <v>3352187.16</v>
      </c>
      <c r="DJ194" s="1420">
        <v>3430587.34</v>
      </c>
      <c r="DK194" s="1420">
        <v>511185.55</v>
      </c>
      <c r="DL194" s="1422">
        <v>179707</v>
      </c>
      <c r="DM194" s="1420">
        <v>126844.31</v>
      </c>
      <c r="DN194" s="1420">
        <v>157169.18</v>
      </c>
      <c r="DO194" s="1420">
        <v>627761.34</v>
      </c>
      <c r="DP194" s="1422">
        <v>612885</v>
      </c>
      <c r="DQ194" s="1420">
        <v>296176.08</v>
      </c>
      <c r="DR194" s="1422">
        <v>237712</v>
      </c>
      <c r="DS194" s="1420">
        <v>6762.73</v>
      </c>
      <c r="DT194" s="1422">
        <v>8400</v>
      </c>
      <c r="DU194" s="1420">
        <v>1568730.01</v>
      </c>
      <c r="DV194" s="1420">
        <v>1195873.18</v>
      </c>
      <c r="DW194" s="1420">
        <v>317973.83</v>
      </c>
      <c r="DX194" s="1422">
        <v>225378</v>
      </c>
      <c r="DY194" s="1420">
        <v>398729.05</v>
      </c>
      <c r="DZ194" s="1422">
        <v>416839</v>
      </c>
      <c r="EA194" s="1420">
        <v>324511.94</v>
      </c>
      <c r="EB194" s="1422">
        <v>346411</v>
      </c>
      <c r="EC194" s="1420">
        <v>1041214.82</v>
      </c>
      <c r="ED194" s="1422">
        <v>988628</v>
      </c>
      <c r="EE194" s="1420">
        <v>558792.48</v>
      </c>
      <c r="EF194" s="1422">
        <v>526252</v>
      </c>
      <c r="EG194" s="1422">
        <v>0</v>
      </c>
      <c r="EH194" s="1422">
        <v>0</v>
      </c>
      <c r="EI194" s="1422">
        <v>3097</v>
      </c>
      <c r="EJ194" s="1422">
        <v>3461</v>
      </c>
      <c r="EK194" s="1422">
        <v>0</v>
      </c>
      <c r="EL194" s="1422">
        <v>0</v>
      </c>
      <c r="EM194" s="1420">
        <v>561889.48</v>
      </c>
      <c r="EN194" s="1422">
        <v>529713</v>
      </c>
      <c r="EO194" s="1420">
        <v>83077.13</v>
      </c>
      <c r="EP194" s="1422">
        <v>4064750</v>
      </c>
      <c r="EQ194" s="1420">
        <v>47149.57</v>
      </c>
      <c r="ER194" s="1422">
        <v>130000</v>
      </c>
      <c r="ES194" s="1420">
        <v>10662.6</v>
      </c>
      <c r="ET194" s="1422">
        <v>0</v>
      </c>
      <c r="EU194" s="1420">
        <v>6664910.7699999996</v>
      </c>
      <c r="EV194" s="1420">
        <v>10339551.52</v>
      </c>
      <c r="EW194" s="1420">
        <v>122293.95</v>
      </c>
      <c r="EX194" s="1422">
        <v>4116165</v>
      </c>
      <c r="EY194" s="1420">
        <v>47149.57</v>
      </c>
      <c r="EZ194" s="1422">
        <v>130000</v>
      </c>
      <c r="FA194" s="1420">
        <v>6495467.25</v>
      </c>
      <c r="FB194" s="1420">
        <v>6093386.5199999996</v>
      </c>
      <c r="FC194" s="1420">
        <v>451983.91</v>
      </c>
      <c r="FD194" s="1439"/>
      <c r="FE194" s="1420">
        <v>6043483.3399999999</v>
      </c>
      <c r="FF194" s="1439"/>
      <c r="FG194" s="1422">
        <v>9681</v>
      </c>
      <c r="FH194" s="1439"/>
      <c r="FI194" s="1420">
        <v>52.23</v>
      </c>
      <c r="FJ194" s="1439"/>
      <c r="FK194" s="1422">
        <v>38434</v>
      </c>
      <c r="FL194" s="1439"/>
      <c r="FM194" s="1420">
        <v>60.91</v>
      </c>
      <c r="FN194" s="1439"/>
      <c r="FO194" s="1422">
        <v>39765</v>
      </c>
      <c r="FP194" s="1439"/>
      <c r="FQ194" s="1420">
        <v>2738844.61</v>
      </c>
      <c r="FR194" s="1439"/>
      <c r="FS194" s="1420">
        <v>693389.71</v>
      </c>
      <c r="FT194" s="1439"/>
      <c r="FU194" s="1420">
        <v>67061.759999999995</v>
      </c>
      <c r="FV194" s="1439"/>
      <c r="FW194" s="1420">
        <v>1978393.14</v>
      </c>
      <c r="FX194" s="1439"/>
      <c r="FY194" s="1420">
        <v>4154145.08</v>
      </c>
      <c r="FZ194" s="1439"/>
      <c r="GA194" s="1422">
        <v>0</v>
      </c>
      <c r="GB194" s="1439"/>
    </row>
    <row r="195" spans="1:184" ht="12.75" customHeight="1" thickBot="1">
      <c r="A195" s="1418" t="s">
        <v>265</v>
      </c>
      <c r="B195" s="1418" t="s">
        <v>266</v>
      </c>
      <c r="C195" s="1420">
        <v>86.79</v>
      </c>
      <c r="D195" s="1439"/>
      <c r="E195" s="1420">
        <v>1406.29</v>
      </c>
      <c r="F195" s="1439"/>
      <c r="G195" s="1421">
        <v>0.28999999999999998</v>
      </c>
      <c r="H195" s="1439"/>
      <c r="I195" s="1420">
        <v>1485.27</v>
      </c>
      <c r="J195" s="1439"/>
      <c r="K195" s="1420">
        <v>1419.99</v>
      </c>
      <c r="L195" s="1439"/>
      <c r="M195" s="1422">
        <v>65210430</v>
      </c>
      <c r="N195" s="1439"/>
      <c r="O195" s="1422">
        <v>25</v>
      </c>
      <c r="P195" s="1439"/>
      <c r="Q195" s="1422">
        <v>25</v>
      </c>
      <c r="R195" s="1439"/>
      <c r="S195" s="1422">
        <v>0</v>
      </c>
      <c r="T195" s="1439"/>
      <c r="U195" s="1422">
        <v>0</v>
      </c>
      <c r="V195" s="1439"/>
      <c r="W195" s="1420">
        <v>13.6</v>
      </c>
      <c r="X195" s="1439"/>
      <c r="Y195" s="1420">
        <v>38.6</v>
      </c>
      <c r="Z195" s="1439"/>
      <c r="AA195" s="1420">
        <v>11409732.970000001</v>
      </c>
      <c r="AB195" s="1455"/>
      <c r="AC195" s="1424">
        <v>2139051.8199999998</v>
      </c>
      <c r="AD195" s="1422">
        <v>2205000</v>
      </c>
      <c r="AE195" s="1420">
        <v>610589.87</v>
      </c>
      <c r="AF195" s="1420">
        <v>611548.47</v>
      </c>
      <c r="AG195" s="1420">
        <v>7510.74</v>
      </c>
      <c r="AH195" s="1456">
        <v>0</v>
      </c>
      <c r="AI195" s="1428">
        <v>7021443</v>
      </c>
      <c r="AJ195" s="1422">
        <v>7556167</v>
      </c>
      <c r="AK195" s="1422">
        <v>39940</v>
      </c>
      <c r="AL195" s="1422">
        <v>0</v>
      </c>
      <c r="AM195" s="1422">
        <v>473501</v>
      </c>
      <c r="AN195" s="1422">
        <v>153600</v>
      </c>
      <c r="AO195" s="1422">
        <v>0</v>
      </c>
      <c r="AP195" s="1422">
        <v>0</v>
      </c>
      <c r="AQ195" s="1422">
        <v>0</v>
      </c>
      <c r="AR195" s="1422">
        <v>0</v>
      </c>
      <c r="AS195" s="1422">
        <v>0</v>
      </c>
      <c r="AT195" s="1422">
        <v>0</v>
      </c>
      <c r="AU195" s="1422">
        <v>24372</v>
      </c>
      <c r="AV195" s="1422">
        <v>19498</v>
      </c>
      <c r="AW195" s="1422">
        <v>159178</v>
      </c>
      <c r="AX195" s="1422">
        <v>159178</v>
      </c>
      <c r="AY195" s="1420">
        <v>10475586.43</v>
      </c>
      <c r="AZ195" s="1420">
        <v>10704991.470000001</v>
      </c>
      <c r="BA195" s="1422">
        <v>0</v>
      </c>
      <c r="BB195" s="1422">
        <v>0</v>
      </c>
      <c r="BC195" s="1422">
        <v>58731</v>
      </c>
      <c r="BD195" s="1422">
        <v>63141</v>
      </c>
      <c r="BE195" s="1420">
        <v>4296.29</v>
      </c>
      <c r="BF195" s="1422">
        <v>3800</v>
      </c>
      <c r="BG195" s="1422">
        <v>1450</v>
      </c>
      <c r="BH195" s="1422">
        <v>0</v>
      </c>
      <c r="BI195" s="1422">
        <v>12839</v>
      </c>
      <c r="BJ195" s="1422">
        <v>11823</v>
      </c>
      <c r="BK195" s="1422">
        <v>4395</v>
      </c>
      <c r="BL195" s="1422">
        <v>16353</v>
      </c>
      <c r="BM195" s="1422">
        <v>251568</v>
      </c>
      <c r="BN195" s="1420">
        <v>344601.83</v>
      </c>
      <c r="BO195" s="1420">
        <v>5817.17</v>
      </c>
      <c r="BP195" s="1422">
        <v>0</v>
      </c>
      <c r="BQ195" s="1422">
        <v>123500</v>
      </c>
      <c r="BR195" s="1422">
        <v>99125</v>
      </c>
      <c r="BS195" s="1420">
        <v>4148.2700000000004</v>
      </c>
      <c r="BT195" s="1422">
        <v>4250</v>
      </c>
      <c r="BU195" s="1422">
        <v>0</v>
      </c>
      <c r="BV195" s="1422">
        <v>0</v>
      </c>
      <c r="BW195" s="1422">
        <v>0</v>
      </c>
      <c r="BX195" s="1422">
        <v>0</v>
      </c>
      <c r="BY195" s="1422">
        <v>0</v>
      </c>
      <c r="BZ195" s="1422">
        <v>0</v>
      </c>
      <c r="CA195" s="1420">
        <v>705534.16</v>
      </c>
      <c r="CB195" s="1422">
        <v>141022</v>
      </c>
      <c r="CC195" s="1420">
        <v>1172278.8899999999</v>
      </c>
      <c r="CD195" s="1420">
        <v>684115.83</v>
      </c>
      <c r="CE195" s="1420">
        <v>1589763.27</v>
      </c>
      <c r="CF195" s="1420">
        <v>1114212.51</v>
      </c>
      <c r="CG195" s="1420">
        <v>602669.66</v>
      </c>
      <c r="CH195" s="1422">
        <v>0</v>
      </c>
      <c r="CI195" s="1422">
        <v>0</v>
      </c>
      <c r="CJ195" s="1422">
        <v>0</v>
      </c>
      <c r="CK195" s="1422">
        <v>0</v>
      </c>
      <c r="CL195" s="1422">
        <v>0</v>
      </c>
      <c r="CM195" s="1422">
        <v>0</v>
      </c>
      <c r="CN195" s="1422">
        <v>0</v>
      </c>
      <c r="CO195" s="1420">
        <v>11037.08</v>
      </c>
      <c r="CP195" s="1422">
        <v>0</v>
      </c>
      <c r="CQ195" s="1422">
        <v>0</v>
      </c>
      <c r="CR195" s="1422">
        <v>0</v>
      </c>
      <c r="CS195" s="1420">
        <v>613706.74</v>
      </c>
      <c r="CT195" s="1422">
        <v>0</v>
      </c>
      <c r="CU195" s="1420">
        <v>13851335.33</v>
      </c>
      <c r="CV195" s="1420">
        <v>12503319.810000001</v>
      </c>
      <c r="CW195" s="1420">
        <v>4927476.67</v>
      </c>
      <c r="CX195" s="1420">
        <v>5207223.63</v>
      </c>
      <c r="CY195" s="1420">
        <v>670998.30000000005</v>
      </c>
      <c r="CZ195" s="1420">
        <v>788688.36</v>
      </c>
      <c r="DA195" s="1420">
        <v>246733.21</v>
      </c>
      <c r="DB195" s="1420">
        <v>264448.27</v>
      </c>
      <c r="DC195" s="1422">
        <v>0</v>
      </c>
      <c r="DD195" s="1422">
        <v>0</v>
      </c>
      <c r="DE195" s="1420">
        <v>223409.07</v>
      </c>
      <c r="DF195" s="1420">
        <v>206948.36</v>
      </c>
      <c r="DG195" s="1420">
        <v>311324.39</v>
      </c>
      <c r="DH195" s="1420">
        <v>304802.32</v>
      </c>
      <c r="DI195" s="1420">
        <v>6379941.6399999997</v>
      </c>
      <c r="DJ195" s="1420">
        <v>6772110.9400000004</v>
      </c>
      <c r="DK195" s="1420">
        <v>476107.55</v>
      </c>
      <c r="DL195" s="1420">
        <v>280859.08</v>
      </c>
      <c r="DM195" s="1420">
        <v>126417.56</v>
      </c>
      <c r="DN195" s="1422">
        <v>131742</v>
      </c>
      <c r="DO195" s="1420">
        <v>1200603.3400000001</v>
      </c>
      <c r="DP195" s="1422">
        <v>1287635</v>
      </c>
      <c r="DQ195" s="1420">
        <v>445591.54</v>
      </c>
      <c r="DR195" s="1422">
        <v>425856</v>
      </c>
      <c r="DS195" s="1420">
        <v>14346.34</v>
      </c>
      <c r="DT195" s="1422">
        <v>26275</v>
      </c>
      <c r="DU195" s="1420">
        <v>2263066.33</v>
      </c>
      <c r="DV195" s="1420">
        <v>2152367.08</v>
      </c>
      <c r="DW195" s="1420">
        <v>595909.34</v>
      </c>
      <c r="DX195" s="1420">
        <v>669785.06999999995</v>
      </c>
      <c r="DY195" s="1420">
        <v>1053272.98</v>
      </c>
      <c r="DZ195" s="1420">
        <v>831126.21</v>
      </c>
      <c r="EA195" s="1420">
        <v>569126.73</v>
      </c>
      <c r="EB195" s="1420">
        <v>567963.16</v>
      </c>
      <c r="EC195" s="1420">
        <v>2218309.0499999998</v>
      </c>
      <c r="ED195" s="1420">
        <v>2068874.44</v>
      </c>
      <c r="EE195" s="1420">
        <v>649301.23</v>
      </c>
      <c r="EF195" s="1420">
        <v>486014.76</v>
      </c>
      <c r="EG195" s="1420">
        <v>26075.86</v>
      </c>
      <c r="EH195" s="1422">
        <v>15924</v>
      </c>
      <c r="EI195" s="1422">
        <v>0</v>
      </c>
      <c r="EJ195" s="1420">
        <v>501.2</v>
      </c>
      <c r="EK195" s="1422">
        <v>0</v>
      </c>
      <c r="EL195" s="1422">
        <v>0</v>
      </c>
      <c r="EM195" s="1420">
        <v>675377.09</v>
      </c>
      <c r="EN195" s="1420">
        <v>502439.96</v>
      </c>
      <c r="EO195" s="1420">
        <v>506960.72</v>
      </c>
      <c r="EP195" s="1420">
        <v>25529.06</v>
      </c>
      <c r="EQ195" s="1420">
        <v>662028.85</v>
      </c>
      <c r="ER195" s="1422">
        <v>607224</v>
      </c>
      <c r="ES195" s="1420">
        <v>41.36</v>
      </c>
      <c r="ET195" s="1422">
        <v>1150</v>
      </c>
      <c r="EU195" s="1420">
        <v>12705725.039999999</v>
      </c>
      <c r="EV195" s="1420">
        <v>12129695.48</v>
      </c>
      <c r="EW195" s="1420">
        <v>1054538.3700000001</v>
      </c>
      <c r="EX195" s="1420">
        <v>242651.25</v>
      </c>
      <c r="EY195" s="1420">
        <v>662028.85</v>
      </c>
      <c r="EZ195" s="1422">
        <v>607224</v>
      </c>
      <c r="FA195" s="1420">
        <v>10989157.82</v>
      </c>
      <c r="FB195" s="1420">
        <v>11279820.23</v>
      </c>
      <c r="FC195" s="1420">
        <v>431810.47</v>
      </c>
      <c r="FD195" s="1439"/>
      <c r="FE195" s="1420">
        <v>10557347.35</v>
      </c>
      <c r="FF195" s="1439"/>
      <c r="FG195" s="1422">
        <v>7507</v>
      </c>
      <c r="FH195" s="1439"/>
      <c r="FI195" s="1420">
        <v>87.6</v>
      </c>
      <c r="FJ195" s="1439"/>
      <c r="FK195" s="1422">
        <v>45150</v>
      </c>
      <c r="FL195" s="1439"/>
      <c r="FM195" s="1420">
        <v>96.18</v>
      </c>
      <c r="FN195" s="1439"/>
      <c r="FO195" s="1422">
        <v>47522</v>
      </c>
      <c r="FP195" s="1439"/>
      <c r="FQ195" s="1420">
        <v>1698206.48</v>
      </c>
      <c r="FR195" s="1439"/>
      <c r="FS195" s="1420">
        <v>85878.080000000002</v>
      </c>
      <c r="FT195" s="1439"/>
      <c r="FU195" s="1422">
        <v>0</v>
      </c>
      <c r="FV195" s="1439"/>
      <c r="FW195" s="1420">
        <v>1612328.4</v>
      </c>
      <c r="FX195" s="1439"/>
      <c r="FY195" s="1420">
        <v>521650.92</v>
      </c>
      <c r="FZ195" s="1439"/>
      <c r="GA195" s="1422">
        <v>0</v>
      </c>
      <c r="GB195" s="1439"/>
    </row>
    <row r="196" spans="1:184" ht="12.75" customHeight="1" thickBot="1">
      <c r="A196" s="1418" t="s">
        <v>267</v>
      </c>
      <c r="B196" s="1418" t="s">
        <v>268</v>
      </c>
      <c r="C196" s="1420">
        <v>105.21</v>
      </c>
      <c r="D196" s="1439"/>
      <c r="E196" s="1420">
        <v>4398.46</v>
      </c>
      <c r="F196" s="1439"/>
      <c r="G196" s="1421">
        <v>0.05</v>
      </c>
      <c r="H196" s="1439"/>
      <c r="I196" s="1420">
        <v>4629.22</v>
      </c>
      <c r="J196" s="1439"/>
      <c r="K196" s="1420">
        <v>4576.79</v>
      </c>
      <c r="L196" s="1439"/>
      <c r="M196" s="1422">
        <v>367117777</v>
      </c>
      <c r="N196" s="1439"/>
      <c r="O196" s="1422">
        <v>25</v>
      </c>
      <c r="P196" s="1439"/>
      <c r="Q196" s="1422">
        <v>25</v>
      </c>
      <c r="R196" s="1439"/>
      <c r="S196" s="1422">
        <v>0</v>
      </c>
      <c r="T196" s="1439"/>
      <c r="U196" s="1422">
        <v>0</v>
      </c>
      <c r="V196" s="1439"/>
      <c r="W196" s="1420">
        <v>16.899999999999999</v>
      </c>
      <c r="X196" s="1439"/>
      <c r="Y196" s="1420">
        <v>41.9</v>
      </c>
      <c r="Z196" s="1439"/>
      <c r="AA196" s="1422">
        <v>62630000</v>
      </c>
      <c r="AB196" s="1455"/>
      <c r="AC196" s="1424">
        <v>14444681.83</v>
      </c>
      <c r="AD196" s="1422">
        <v>14878188</v>
      </c>
      <c r="AE196" s="1420">
        <v>3311432.53</v>
      </c>
      <c r="AF196" s="1422">
        <v>1190573</v>
      </c>
      <c r="AG196" s="1422">
        <v>0</v>
      </c>
      <c r="AH196" s="1456">
        <v>0</v>
      </c>
      <c r="AI196" s="1428">
        <v>18854290</v>
      </c>
      <c r="AJ196" s="1422">
        <v>19577242</v>
      </c>
      <c r="AK196" s="1422">
        <v>172834</v>
      </c>
      <c r="AL196" s="1422">
        <v>179132</v>
      </c>
      <c r="AM196" s="1422">
        <v>475992</v>
      </c>
      <c r="AN196" s="1422">
        <v>0</v>
      </c>
      <c r="AO196" s="1422">
        <v>0</v>
      </c>
      <c r="AP196" s="1422">
        <v>0</v>
      </c>
      <c r="AQ196" s="1422">
        <v>0</v>
      </c>
      <c r="AR196" s="1422">
        <v>0</v>
      </c>
      <c r="AS196" s="1422">
        <v>0</v>
      </c>
      <c r="AT196" s="1422">
        <v>0</v>
      </c>
      <c r="AU196" s="1422">
        <v>0</v>
      </c>
      <c r="AV196" s="1422">
        <v>0</v>
      </c>
      <c r="AW196" s="1422">
        <v>0</v>
      </c>
      <c r="AX196" s="1422">
        <v>0</v>
      </c>
      <c r="AY196" s="1420">
        <v>37259230.359999999</v>
      </c>
      <c r="AZ196" s="1422">
        <v>35825135</v>
      </c>
      <c r="BA196" s="1422">
        <v>0</v>
      </c>
      <c r="BB196" s="1422">
        <v>0</v>
      </c>
      <c r="BC196" s="1422">
        <v>189296</v>
      </c>
      <c r="BD196" s="1422">
        <v>197081</v>
      </c>
      <c r="BE196" s="1420">
        <v>7118.25</v>
      </c>
      <c r="BF196" s="1420">
        <v>5179.47</v>
      </c>
      <c r="BG196" s="1422">
        <v>7300</v>
      </c>
      <c r="BH196" s="1422">
        <v>7300</v>
      </c>
      <c r="BI196" s="1422">
        <v>152159</v>
      </c>
      <c r="BJ196" s="1422">
        <v>155230</v>
      </c>
      <c r="BK196" s="1422">
        <v>52740</v>
      </c>
      <c r="BL196" s="1422">
        <v>53820</v>
      </c>
      <c r="BM196" s="1422">
        <v>847664</v>
      </c>
      <c r="BN196" s="1422">
        <v>898656</v>
      </c>
      <c r="BO196" s="1420">
        <v>354318.01</v>
      </c>
      <c r="BP196" s="1422">
        <v>155000</v>
      </c>
      <c r="BQ196" s="1420">
        <v>111520.17</v>
      </c>
      <c r="BR196" s="1422">
        <v>142517</v>
      </c>
      <c r="BS196" s="1420">
        <v>14814.12</v>
      </c>
      <c r="BT196" s="1422">
        <v>9814</v>
      </c>
      <c r="BU196" s="1422">
        <v>0</v>
      </c>
      <c r="BV196" s="1422">
        <v>0</v>
      </c>
      <c r="BW196" s="1422">
        <v>85925</v>
      </c>
      <c r="BX196" s="1422">
        <v>79728</v>
      </c>
      <c r="BY196" s="1422">
        <v>0</v>
      </c>
      <c r="BZ196" s="1422">
        <v>0</v>
      </c>
      <c r="CA196" s="1420">
        <v>4321946.38</v>
      </c>
      <c r="CB196" s="1422">
        <v>267841</v>
      </c>
      <c r="CC196" s="1420">
        <v>6144800.9299999997</v>
      </c>
      <c r="CD196" s="1420">
        <v>1972166.47</v>
      </c>
      <c r="CE196" s="1420">
        <v>4514297.32</v>
      </c>
      <c r="CF196" s="1422">
        <v>4253426</v>
      </c>
      <c r="CG196" s="1420">
        <v>8295945.75</v>
      </c>
      <c r="CH196" s="1422">
        <v>0</v>
      </c>
      <c r="CI196" s="1422">
        <v>0</v>
      </c>
      <c r="CJ196" s="1422">
        <v>0</v>
      </c>
      <c r="CK196" s="1420">
        <v>26333.3</v>
      </c>
      <c r="CL196" s="1420">
        <v>25041.53</v>
      </c>
      <c r="CM196" s="1422">
        <v>17000</v>
      </c>
      <c r="CN196" s="1422">
        <v>0</v>
      </c>
      <c r="CO196" s="1420">
        <v>24927.43</v>
      </c>
      <c r="CP196" s="1422">
        <v>0</v>
      </c>
      <c r="CQ196" s="1422">
        <v>0</v>
      </c>
      <c r="CR196" s="1422">
        <v>0</v>
      </c>
      <c r="CS196" s="1420">
        <v>8364206.4800000004</v>
      </c>
      <c r="CT196" s="1420">
        <v>25041.53</v>
      </c>
      <c r="CU196" s="1420">
        <v>56282535.090000004</v>
      </c>
      <c r="CV196" s="1422">
        <v>42075769</v>
      </c>
      <c r="CW196" s="1420">
        <v>16314741.41</v>
      </c>
      <c r="CX196" s="1420">
        <v>15728646.25</v>
      </c>
      <c r="CY196" s="1420">
        <v>2845405.28</v>
      </c>
      <c r="CZ196" s="1420">
        <v>2871998.28</v>
      </c>
      <c r="DA196" s="1420">
        <v>1131731.1100000001</v>
      </c>
      <c r="DB196" s="1420">
        <v>1188110.25</v>
      </c>
      <c r="DC196" s="1422">
        <v>0</v>
      </c>
      <c r="DD196" s="1422">
        <v>0</v>
      </c>
      <c r="DE196" s="1420">
        <v>303525.38</v>
      </c>
      <c r="DF196" s="1420">
        <v>254193.09</v>
      </c>
      <c r="DG196" s="1420">
        <v>1110073.6499999999</v>
      </c>
      <c r="DH196" s="1420">
        <v>1116953.3500000001</v>
      </c>
      <c r="DI196" s="1420">
        <v>21705476.829999998</v>
      </c>
      <c r="DJ196" s="1420">
        <v>21159901.219999999</v>
      </c>
      <c r="DK196" s="1420">
        <v>758674.22</v>
      </c>
      <c r="DL196" s="1420">
        <v>1012324.94</v>
      </c>
      <c r="DM196" s="1420">
        <v>1338543.25</v>
      </c>
      <c r="DN196" s="1420">
        <v>1277273.17</v>
      </c>
      <c r="DO196" s="1420">
        <v>4077207.1</v>
      </c>
      <c r="DP196" s="1420">
        <v>4005308.85</v>
      </c>
      <c r="DQ196" s="1420">
        <v>1068783.97</v>
      </c>
      <c r="DR196" s="1420">
        <v>1169250.48</v>
      </c>
      <c r="DS196" s="1420">
        <v>91009.600000000006</v>
      </c>
      <c r="DT196" s="1420">
        <v>77036.53</v>
      </c>
      <c r="DU196" s="1420">
        <v>7334218.1399999997</v>
      </c>
      <c r="DV196" s="1420">
        <v>7541193.9699999997</v>
      </c>
      <c r="DW196" s="1420">
        <v>1799233.79</v>
      </c>
      <c r="DX196" s="1420">
        <v>1772183.86</v>
      </c>
      <c r="DY196" s="1420">
        <v>2466059.31</v>
      </c>
      <c r="DZ196" s="1420">
        <v>2550642.5099999998</v>
      </c>
      <c r="EA196" s="1420">
        <v>2082729.83</v>
      </c>
      <c r="EB196" s="1420">
        <v>2062308.81</v>
      </c>
      <c r="EC196" s="1420">
        <v>6348022.9299999997</v>
      </c>
      <c r="ED196" s="1420">
        <v>6385135.1799999997</v>
      </c>
      <c r="EE196" s="1420">
        <v>1804559.28</v>
      </c>
      <c r="EF196" s="1420">
        <v>1856098.75</v>
      </c>
      <c r="EG196" s="1420">
        <v>633.39</v>
      </c>
      <c r="EH196" s="1422">
        <v>0</v>
      </c>
      <c r="EI196" s="1420">
        <v>114748.58</v>
      </c>
      <c r="EJ196" s="1420">
        <v>101009.7</v>
      </c>
      <c r="EK196" s="1422">
        <v>0</v>
      </c>
      <c r="EL196" s="1422">
        <v>0</v>
      </c>
      <c r="EM196" s="1420">
        <v>1919941.25</v>
      </c>
      <c r="EN196" s="1420">
        <v>1957108.45</v>
      </c>
      <c r="EO196" s="1420">
        <v>14448432.189999999</v>
      </c>
      <c r="EP196" s="1420">
        <v>8032632.8899999997</v>
      </c>
      <c r="EQ196" s="1420">
        <v>4007790.46</v>
      </c>
      <c r="ER196" s="1422">
        <v>4609102</v>
      </c>
      <c r="ES196" s="1420">
        <v>23825.35</v>
      </c>
      <c r="ET196" s="1422">
        <v>0</v>
      </c>
      <c r="EU196" s="1420">
        <v>55787707.149999999</v>
      </c>
      <c r="EV196" s="1420">
        <v>49685073.710000001</v>
      </c>
      <c r="EW196" s="1420">
        <v>15990494.359999999</v>
      </c>
      <c r="EX196" s="1420">
        <v>9349503.3800000008</v>
      </c>
      <c r="EY196" s="1420">
        <v>4007790.46</v>
      </c>
      <c r="EZ196" s="1422">
        <v>4609102</v>
      </c>
      <c r="FA196" s="1420">
        <v>35789422.329999998</v>
      </c>
      <c r="FB196" s="1420">
        <v>35726468.329999998</v>
      </c>
      <c r="FC196" s="1420">
        <v>1748001.86</v>
      </c>
      <c r="FD196" s="1439"/>
      <c r="FE196" s="1420">
        <v>34041420.469999999</v>
      </c>
      <c r="FF196" s="1439"/>
      <c r="FG196" s="1422">
        <v>7739</v>
      </c>
      <c r="FH196" s="1439"/>
      <c r="FI196" s="1420">
        <v>275.58</v>
      </c>
      <c r="FJ196" s="1439"/>
      <c r="FK196" s="1422">
        <v>50413</v>
      </c>
      <c r="FL196" s="1439"/>
      <c r="FM196" s="1420">
        <v>300.24</v>
      </c>
      <c r="FN196" s="1439"/>
      <c r="FO196" s="1422">
        <v>53472</v>
      </c>
      <c r="FP196" s="1439"/>
      <c r="FQ196" s="1420">
        <v>2874760.17</v>
      </c>
      <c r="FR196" s="1439"/>
      <c r="FS196" s="1420">
        <v>67635.89</v>
      </c>
      <c r="FT196" s="1439"/>
      <c r="FU196" s="1422">
        <v>0</v>
      </c>
      <c r="FV196" s="1439"/>
      <c r="FW196" s="1420">
        <v>2807124.28</v>
      </c>
      <c r="FX196" s="1439"/>
      <c r="FY196" s="1420">
        <v>7747565.7300000004</v>
      </c>
      <c r="FZ196" s="1439"/>
      <c r="GA196" s="1422">
        <v>0</v>
      </c>
      <c r="GB196" s="1439"/>
    </row>
    <row r="197" spans="1:184" ht="12.75" customHeight="1" thickBot="1">
      <c r="A197" s="1418" t="s">
        <v>269</v>
      </c>
      <c r="B197" s="1418" t="s">
        <v>270</v>
      </c>
      <c r="C197" s="1420">
        <v>345.37</v>
      </c>
      <c r="D197" s="1439"/>
      <c r="E197" s="1420">
        <v>7554.08</v>
      </c>
      <c r="F197" s="1439"/>
      <c r="G197" s="1421">
        <v>0.2</v>
      </c>
      <c r="H197" s="1439"/>
      <c r="I197" s="1420">
        <v>7879.11</v>
      </c>
      <c r="J197" s="1439"/>
      <c r="K197" s="1420">
        <v>7626.32</v>
      </c>
      <c r="L197" s="1439"/>
      <c r="M197" s="1422">
        <v>617572433</v>
      </c>
      <c r="N197" s="1439"/>
      <c r="O197" s="1422">
        <v>25</v>
      </c>
      <c r="P197" s="1439"/>
      <c r="Q197" s="1422">
        <v>25</v>
      </c>
      <c r="R197" s="1439"/>
      <c r="S197" s="1422">
        <v>0</v>
      </c>
      <c r="T197" s="1439"/>
      <c r="U197" s="1422">
        <v>0</v>
      </c>
      <c r="V197" s="1439"/>
      <c r="W197" s="1420">
        <v>12.2</v>
      </c>
      <c r="X197" s="1439"/>
      <c r="Y197" s="1420">
        <v>37.200000000000003</v>
      </c>
      <c r="Z197" s="1439"/>
      <c r="AA197" s="1420">
        <v>55012304.829999998</v>
      </c>
      <c r="AB197" s="1455"/>
      <c r="AC197" s="1424">
        <v>21325282.960000001</v>
      </c>
      <c r="AD197" s="1422">
        <v>25894101</v>
      </c>
      <c r="AE197" s="1420">
        <v>2791441.28</v>
      </c>
      <c r="AF197" s="1422">
        <v>2619600</v>
      </c>
      <c r="AG197" s="1422">
        <v>0</v>
      </c>
      <c r="AH197" s="1456">
        <v>0</v>
      </c>
      <c r="AI197" s="1428">
        <v>31396828</v>
      </c>
      <c r="AJ197" s="1422">
        <v>33502057</v>
      </c>
      <c r="AK197" s="1422">
        <v>342657</v>
      </c>
      <c r="AL197" s="1422">
        <v>325000</v>
      </c>
      <c r="AM197" s="1422">
        <v>1552534</v>
      </c>
      <c r="AN197" s="1422">
        <v>1000000</v>
      </c>
      <c r="AO197" s="1422">
        <v>0</v>
      </c>
      <c r="AP197" s="1422">
        <v>0</v>
      </c>
      <c r="AQ197" s="1422">
        <v>0</v>
      </c>
      <c r="AR197" s="1422">
        <v>0</v>
      </c>
      <c r="AS197" s="1422">
        <v>73256</v>
      </c>
      <c r="AT197" s="1422">
        <v>60670</v>
      </c>
      <c r="AU197" s="1422">
        <v>0</v>
      </c>
      <c r="AV197" s="1422">
        <v>0</v>
      </c>
      <c r="AW197" s="1422">
        <v>0</v>
      </c>
      <c r="AX197" s="1422">
        <v>0</v>
      </c>
      <c r="AY197" s="1420">
        <v>57481999.240000002</v>
      </c>
      <c r="AZ197" s="1422">
        <v>63401428</v>
      </c>
      <c r="BA197" s="1422">
        <v>0</v>
      </c>
      <c r="BB197" s="1422">
        <v>0</v>
      </c>
      <c r="BC197" s="1422">
        <v>315425</v>
      </c>
      <c r="BD197" s="1422">
        <v>336010</v>
      </c>
      <c r="BE197" s="1420">
        <v>14649.11</v>
      </c>
      <c r="BF197" s="1422">
        <v>26800</v>
      </c>
      <c r="BG197" s="1422">
        <v>9800</v>
      </c>
      <c r="BH197" s="1422">
        <v>8000</v>
      </c>
      <c r="BI197" s="1422">
        <v>307122</v>
      </c>
      <c r="BJ197" s="1422">
        <v>329735</v>
      </c>
      <c r="BK197" s="1422">
        <v>75301</v>
      </c>
      <c r="BL197" s="1422">
        <v>73250</v>
      </c>
      <c r="BM197" s="1422">
        <v>1293950</v>
      </c>
      <c r="BN197" s="1422">
        <v>1458646</v>
      </c>
      <c r="BO197" s="1420">
        <v>1076643.52</v>
      </c>
      <c r="BP197" s="1422">
        <v>1009002</v>
      </c>
      <c r="BQ197" s="1420">
        <v>159828.03</v>
      </c>
      <c r="BR197" s="1420">
        <v>295031.71000000002</v>
      </c>
      <c r="BS197" s="1420">
        <v>18318.86</v>
      </c>
      <c r="BT197" s="1422">
        <v>18000</v>
      </c>
      <c r="BU197" s="1422">
        <v>0</v>
      </c>
      <c r="BV197" s="1422">
        <v>0</v>
      </c>
      <c r="BW197" s="1422">
        <v>0</v>
      </c>
      <c r="BX197" s="1422">
        <v>0</v>
      </c>
      <c r="BY197" s="1422">
        <v>0</v>
      </c>
      <c r="BZ197" s="1422">
        <v>0</v>
      </c>
      <c r="CA197" s="1420">
        <v>1506960.19</v>
      </c>
      <c r="CB197" s="1422">
        <v>10180397</v>
      </c>
      <c r="CC197" s="1420">
        <v>4777997.71</v>
      </c>
      <c r="CD197" s="1420">
        <v>13734871.710000001</v>
      </c>
      <c r="CE197" s="1420">
        <v>6918712.5499999998</v>
      </c>
      <c r="CF197" s="1420">
        <v>4740656.66</v>
      </c>
      <c r="CG197" s="1420">
        <v>13838070.130000001</v>
      </c>
      <c r="CH197" s="1422">
        <v>199220</v>
      </c>
      <c r="CI197" s="1422">
        <v>0</v>
      </c>
      <c r="CJ197" s="1422">
        <v>0</v>
      </c>
      <c r="CK197" s="1420">
        <v>19242.439999999999</v>
      </c>
      <c r="CL197" s="1422">
        <v>22560</v>
      </c>
      <c r="CM197" s="1420">
        <v>10363.299999999999</v>
      </c>
      <c r="CN197" s="1422">
        <v>0</v>
      </c>
      <c r="CO197" s="1420">
        <v>28393.7</v>
      </c>
      <c r="CP197" s="1422">
        <v>0</v>
      </c>
      <c r="CQ197" s="1422">
        <v>0</v>
      </c>
      <c r="CR197" s="1422">
        <v>0</v>
      </c>
      <c r="CS197" s="1420">
        <v>13896069.57</v>
      </c>
      <c r="CT197" s="1422">
        <v>221780</v>
      </c>
      <c r="CU197" s="1420">
        <v>83074779.069999993</v>
      </c>
      <c r="CV197" s="1420">
        <v>82098736.370000005</v>
      </c>
      <c r="CW197" s="1420">
        <v>26495847.489999998</v>
      </c>
      <c r="CX197" s="1420">
        <v>28663408.73</v>
      </c>
      <c r="CY197" s="1420">
        <v>6964600.8399999999</v>
      </c>
      <c r="CZ197" s="1420">
        <v>6939006.21</v>
      </c>
      <c r="DA197" s="1420">
        <v>1793675.58</v>
      </c>
      <c r="DB197" s="1420">
        <v>2068048.94</v>
      </c>
      <c r="DC197" s="1422">
        <v>0</v>
      </c>
      <c r="DD197" s="1422">
        <v>0</v>
      </c>
      <c r="DE197" s="1420">
        <v>315189.75</v>
      </c>
      <c r="DF197" s="1422">
        <v>291688</v>
      </c>
      <c r="DG197" s="1420">
        <v>1258276.72</v>
      </c>
      <c r="DH197" s="1420">
        <v>1337377.0900000001</v>
      </c>
      <c r="DI197" s="1420">
        <v>36827590.380000003</v>
      </c>
      <c r="DJ197" s="1420">
        <v>39299528.969999999</v>
      </c>
      <c r="DK197" s="1420">
        <v>932660.04</v>
      </c>
      <c r="DL197" s="1420">
        <v>974717.13</v>
      </c>
      <c r="DM197" s="1420">
        <v>1168831.96</v>
      </c>
      <c r="DN197" s="1420">
        <v>1145542.71</v>
      </c>
      <c r="DO197" s="1420">
        <v>6205028.6799999997</v>
      </c>
      <c r="DP197" s="1420">
        <v>5665842.21</v>
      </c>
      <c r="DQ197" s="1420">
        <v>2155989.2000000002</v>
      </c>
      <c r="DR197" s="1420">
        <v>2595423.83</v>
      </c>
      <c r="DS197" s="1420">
        <v>76901.899999999994</v>
      </c>
      <c r="DT197" s="1422">
        <v>22560</v>
      </c>
      <c r="DU197" s="1420">
        <v>10539411.779999999</v>
      </c>
      <c r="DV197" s="1420">
        <v>10404085.880000001</v>
      </c>
      <c r="DW197" s="1420">
        <v>3286264.93</v>
      </c>
      <c r="DX197" s="1420">
        <v>3410579.08</v>
      </c>
      <c r="DY197" s="1420">
        <v>4229345.29</v>
      </c>
      <c r="DZ197" s="1420">
        <v>5849930.6299999999</v>
      </c>
      <c r="EA197" s="1420">
        <v>2735606.53</v>
      </c>
      <c r="EB197" s="1420">
        <v>2788471.13</v>
      </c>
      <c r="EC197" s="1420">
        <v>10251216.75</v>
      </c>
      <c r="ED197" s="1420">
        <v>12048980.84</v>
      </c>
      <c r="EE197" s="1420">
        <v>2305987.29</v>
      </c>
      <c r="EF197" s="1420">
        <v>2520169.62</v>
      </c>
      <c r="EG197" s="1420">
        <v>46.87</v>
      </c>
      <c r="EH197" s="1422">
        <v>0</v>
      </c>
      <c r="EI197" s="1420">
        <v>15985.6</v>
      </c>
      <c r="EJ197" s="1420">
        <v>12125.22</v>
      </c>
      <c r="EK197" s="1422">
        <v>0</v>
      </c>
      <c r="EL197" s="1422">
        <v>0</v>
      </c>
      <c r="EM197" s="1420">
        <v>2322019.7599999998</v>
      </c>
      <c r="EN197" s="1420">
        <v>2532294.84</v>
      </c>
      <c r="EO197" s="1420">
        <v>12337555.199999999</v>
      </c>
      <c r="EP197" s="1420">
        <v>38503021.689999998</v>
      </c>
      <c r="EQ197" s="1420">
        <v>2264157.63</v>
      </c>
      <c r="ER197" s="1420">
        <v>3671009.24</v>
      </c>
      <c r="ES197" s="1422">
        <v>97423</v>
      </c>
      <c r="ET197" s="1422">
        <v>0</v>
      </c>
      <c r="EU197" s="1420">
        <v>74639374.5</v>
      </c>
      <c r="EV197" s="1420">
        <v>106458921.45999999</v>
      </c>
      <c r="EW197" s="1420">
        <v>14314147.9</v>
      </c>
      <c r="EX197" s="1420">
        <v>41378530.990000002</v>
      </c>
      <c r="EY197" s="1420">
        <v>2264157.63</v>
      </c>
      <c r="EZ197" s="1420">
        <v>3671009.24</v>
      </c>
      <c r="FA197" s="1420">
        <v>58061068.969999999</v>
      </c>
      <c r="FB197" s="1420">
        <v>61409381.229999997</v>
      </c>
      <c r="FC197" s="1420">
        <v>2146644.02</v>
      </c>
      <c r="FD197" s="1439"/>
      <c r="FE197" s="1420">
        <v>55914424.950000003</v>
      </c>
      <c r="FF197" s="1439"/>
      <c r="FG197" s="1422">
        <v>7401</v>
      </c>
      <c r="FH197" s="1439"/>
      <c r="FI197" s="1420">
        <v>476.06</v>
      </c>
      <c r="FJ197" s="1439"/>
      <c r="FK197" s="1422">
        <v>52097</v>
      </c>
      <c r="FL197" s="1439"/>
      <c r="FM197" s="1420">
        <v>508.67</v>
      </c>
      <c r="FN197" s="1439"/>
      <c r="FO197" s="1422">
        <v>53916</v>
      </c>
      <c r="FP197" s="1439"/>
      <c r="FQ197" s="1420">
        <v>4427775.13</v>
      </c>
      <c r="FR197" s="1439"/>
      <c r="FS197" s="1420">
        <v>268995.89</v>
      </c>
      <c r="FT197" s="1439"/>
      <c r="FU197" s="1422">
        <v>0</v>
      </c>
      <c r="FV197" s="1439"/>
      <c r="FW197" s="1420">
        <v>4158779.24</v>
      </c>
      <c r="FX197" s="1439"/>
      <c r="FY197" s="1420">
        <v>26338575.289999999</v>
      </c>
      <c r="FZ197" s="1439"/>
      <c r="GA197" s="1420">
        <v>913394.3</v>
      </c>
      <c r="GB197" s="1439"/>
    </row>
    <row r="198" spans="1:184" ht="12.75" customHeight="1" thickBot="1">
      <c r="A198" s="1418" t="s">
        <v>271</v>
      </c>
      <c r="B198" s="1418" t="s">
        <v>272</v>
      </c>
      <c r="C198" s="1420">
        <v>21.88</v>
      </c>
      <c r="D198" s="1439"/>
      <c r="E198" s="1420">
        <v>1055.6300000000001</v>
      </c>
      <c r="F198" s="1439"/>
      <c r="G198" s="1421">
        <v>0.31</v>
      </c>
      <c r="H198" s="1439"/>
      <c r="I198" s="1420">
        <v>1097.18</v>
      </c>
      <c r="J198" s="1439"/>
      <c r="K198" s="1420">
        <v>1042.4100000000001</v>
      </c>
      <c r="L198" s="1439"/>
      <c r="M198" s="1422">
        <v>52662456</v>
      </c>
      <c r="N198" s="1439"/>
      <c r="O198" s="1422">
        <v>25</v>
      </c>
      <c r="P198" s="1439"/>
      <c r="Q198" s="1422">
        <v>25</v>
      </c>
      <c r="R198" s="1439"/>
      <c r="S198" s="1422">
        <v>0</v>
      </c>
      <c r="T198" s="1439"/>
      <c r="U198" s="1422">
        <v>0</v>
      </c>
      <c r="V198" s="1439"/>
      <c r="W198" s="1420">
        <v>14.4</v>
      </c>
      <c r="X198" s="1439"/>
      <c r="Y198" s="1420">
        <v>39.4</v>
      </c>
      <c r="Z198" s="1439"/>
      <c r="AA198" s="1422">
        <v>8035000</v>
      </c>
      <c r="AB198" s="1455"/>
      <c r="AC198" s="1424">
        <v>1959719.31</v>
      </c>
      <c r="AD198" s="1422">
        <v>2232000</v>
      </c>
      <c r="AE198" s="1420">
        <v>576528.52</v>
      </c>
      <c r="AF198" s="1420">
        <v>240477.5</v>
      </c>
      <c r="AG198" s="1420">
        <v>5605.33</v>
      </c>
      <c r="AH198" s="1456">
        <v>5000</v>
      </c>
      <c r="AI198" s="1428">
        <v>5048263</v>
      </c>
      <c r="AJ198" s="1422">
        <v>5486909</v>
      </c>
      <c r="AK198" s="1422">
        <v>34286</v>
      </c>
      <c r="AL198" s="1422">
        <v>25000</v>
      </c>
      <c r="AM198" s="1422">
        <v>330422</v>
      </c>
      <c r="AN198" s="1422">
        <v>0</v>
      </c>
      <c r="AO198" s="1422">
        <v>0</v>
      </c>
      <c r="AP198" s="1422">
        <v>0</v>
      </c>
      <c r="AQ198" s="1422">
        <v>0</v>
      </c>
      <c r="AR198" s="1422">
        <v>0</v>
      </c>
      <c r="AS198" s="1422">
        <v>0</v>
      </c>
      <c r="AT198" s="1422">
        <v>0</v>
      </c>
      <c r="AU198" s="1422">
        <v>9852</v>
      </c>
      <c r="AV198" s="1422">
        <v>7881</v>
      </c>
      <c r="AW198" s="1422">
        <v>0</v>
      </c>
      <c r="AX198" s="1422">
        <v>0</v>
      </c>
      <c r="AY198" s="1420">
        <v>7964676.1600000001</v>
      </c>
      <c r="AZ198" s="1420">
        <v>7997267.5</v>
      </c>
      <c r="BA198" s="1422">
        <v>0</v>
      </c>
      <c r="BB198" s="1422">
        <v>0</v>
      </c>
      <c r="BC198" s="1422">
        <v>43114</v>
      </c>
      <c r="BD198" s="1422">
        <v>46747</v>
      </c>
      <c r="BE198" s="1420">
        <v>1934.58</v>
      </c>
      <c r="BF198" s="1422">
        <v>0</v>
      </c>
      <c r="BG198" s="1422">
        <v>200</v>
      </c>
      <c r="BH198" s="1422">
        <v>0</v>
      </c>
      <c r="BI198" s="1422">
        <v>11173</v>
      </c>
      <c r="BJ198" s="1422">
        <v>0</v>
      </c>
      <c r="BK198" s="1422">
        <v>0</v>
      </c>
      <c r="BL198" s="1422">
        <v>0</v>
      </c>
      <c r="BM198" s="1422">
        <v>249711</v>
      </c>
      <c r="BN198" s="1422">
        <v>253000</v>
      </c>
      <c r="BO198" s="1420">
        <v>4270.3999999999996</v>
      </c>
      <c r="BP198" s="1422">
        <v>0</v>
      </c>
      <c r="BQ198" s="1422">
        <v>8125</v>
      </c>
      <c r="BR198" s="1422">
        <v>0</v>
      </c>
      <c r="BS198" s="1420">
        <v>3401.46</v>
      </c>
      <c r="BT198" s="1422">
        <v>3500</v>
      </c>
      <c r="BU198" s="1422">
        <v>0</v>
      </c>
      <c r="BV198" s="1422">
        <v>0</v>
      </c>
      <c r="BW198" s="1422">
        <v>0</v>
      </c>
      <c r="BX198" s="1422">
        <v>0</v>
      </c>
      <c r="BY198" s="1422">
        <v>0</v>
      </c>
      <c r="BZ198" s="1422">
        <v>0</v>
      </c>
      <c r="CA198" s="1420">
        <v>551396.74</v>
      </c>
      <c r="CB198" s="1422">
        <v>88799</v>
      </c>
      <c r="CC198" s="1420">
        <v>873326.18</v>
      </c>
      <c r="CD198" s="1422">
        <v>392046</v>
      </c>
      <c r="CE198" s="1420">
        <v>851230.54</v>
      </c>
      <c r="CF198" s="1420">
        <v>809497.65</v>
      </c>
      <c r="CG198" s="1420">
        <v>1508331.38</v>
      </c>
      <c r="CH198" s="1422">
        <v>0</v>
      </c>
      <c r="CI198" s="1422">
        <v>0</v>
      </c>
      <c r="CJ198" s="1422">
        <v>0</v>
      </c>
      <c r="CK198" s="1422">
        <v>0</v>
      </c>
      <c r="CL198" s="1422">
        <v>0</v>
      </c>
      <c r="CM198" s="1422">
        <v>0</v>
      </c>
      <c r="CN198" s="1422">
        <v>0</v>
      </c>
      <c r="CO198" s="1422">
        <v>0</v>
      </c>
      <c r="CP198" s="1422">
        <v>0</v>
      </c>
      <c r="CQ198" s="1422">
        <v>0</v>
      </c>
      <c r="CR198" s="1422">
        <v>0</v>
      </c>
      <c r="CS198" s="1420">
        <v>1508331.38</v>
      </c>
      <c r="CT198" s="1422">
        <v>0</v>
      </c>
      <c r="CU198" s="1420">
        <v>11197564.26</v>
      </c>
      <c r="CV198" s="1420">
        <v>9198811.1500000004</v>
      </c>
      <c r="CW198" s="1420">
        <v>3747825.33</v>
      </c>
      <c r="CX198" s="1420">
        <v>3515825.07</v>
      </c>
      <c r="CY198" s="1422">
        <v>646161</v>
      </c>
      <c r="CZ198" s="1420">
        <v>660419.29</v>
      </c>
      <c r="DA198" s="1420">
        <v>288843.88</v>
      </c>
      <c r="DB198" s="1420">
        <v>274823.15000000002</v>
      </c>
      <c r="DC198" s="1422">
        <v>0</v>
      </c>
      <c r="DD198" s="1422">
        <v>0</v>
      </c>
      <c r="DE198" s="1420">
        <v>171237.92</v>
      </c>
      <c r="DF198" s="1420">
        <v>177979.79</v>
      </c>
      <c r="DG198" s="1420">
        <v>404866.38</v>
      </c>
      <c r="DH198" s="1420">
        <v>413825.22</v>
      </c>
      <c r="DI198" s="1420">
        <v>5258934.51</v>
      </c>
      <c r="DJ198" s="1420">
        <v>5042872.5199999996</v>
      </c>
      <c r="DK198" s="1420">
        <v>237558.93</v>
      </c>
      <c r="DL198" s="1420">
        <v>236163.20000000001</v>
      </c>
      <c r="DM198" s="1420">
        <v>122935.53</v>
      </c>
      <c r="DN198" s="1420">
        <v>114854.22</v>
      </c>
      <c r="DO198" s="1420">
        <v>1054489.6499999999</v>
      </c>
      <c r="DP198" s="1420">
        <v>991110.54</v>
      </c>
      <c r="DQ198" s="1420">
        <v>141434.57999999999</v>
      </c>
      <c r="DR198" s="1420">
        <v>213440.73</v>
      </c>
      <c r="DS198" s="1420">
        <v>19868.63</v>
      </c>
      <c r="DT198" s="1422">
        <v>4000</v>
      </c>
      <c r="DU198" s="1420">
        <v>1576287.32</v>
      </c>
      <c r="DV198" s="1420">
        <v>1559568.69</v>
      </c>
      <c r="DW198" s="1420">
        <v>352970.9</v>
      </c>
      <c r="DX198" s="1420">
        <v>467458.8</v>
      </c>
      <c r="DY198" s="1420">
        <v>571050.23999999999</v>
      </c>
      <c r="DZ198" s="1420">
        <v>563370.79</v>
      </c>
      <c r="EA198" s="1420">
        <v>440298.05</v>
      </c>
      <c r="EB198" s="1420">
        <v>559319.41</v>
      </c>
      <c r="EC198" s="1420">
        <v>1364319.19</v>
      </c>
      <c r="ED198" s="1422">
        <v>1590149</v>
      </c>
      <c r="EE198" s="1422">
        <v>445056</v>
      </c>
      <c r="EF198" s="1420">
        <v>419763.65</v>
      </c>
      <c r="EG198" s="1420">
        <v>67169.66</v>
      </c>
      <c r="EH198" s="1422">
        <v>0</v>
      </c>
      <c r="EI198" s="1422">
        <v>0</v>
      </c>
      <c r="EJ198" s="1422">
        <v>500</v>
      </c>
      <c r="EK198" s="1422">
        <v>0</v>
      </c>
      <c r="EL198" s="1422">
        <v>0</v>
      </c>
      <c r="EM198" s="1420">
        <v>512225.66</v>
      </c>
      <c r="EN198" s="1420">
        <v>420263.65</v>
      </c>
      <c r="EO198" s="1420">
        <v>1070740.67</v>
      </c>
      <c r="EP198" s="1420">
        <v>13701.45</v>
      </c>
      <c r="EQ198" s="1422">
        <v>406994</v>
      </c>
      <c r="ER198" s="1422">
        <v>462379</v>
      </c>
      <c r="ES198" s="1422">
        <v>44225</v>
      </c>
      <c r="ET198" s="1422">
        <v>0</v>
      </c>
      <c r="EU198" s="1420">
        <v>10233726.35</v>
      </c>
      <c r="EV198" s="1420">
        <v>9088934.3100000005</v>
      </c>
      <c r="EW198" s="1420">
        <v>1142802.19</v>
      </c>
      <c r="EX198" s="1420">
        <v>105376.45</v>
      </c>
      <c r="EY198" s="1422">
        <v>406994</v>
      </c>
      <c r="EZ198" s="1422">
        <v>462379</v>
      </c>
      <c r="FA198" s="1420">
        <v>8683930.1600000001</v>
      </c>
      <c r="FB198" s="1420">
        <v>8521178.8599999994</v>
      </c>
      <c r="FC198" s="1420">
        <v>558084.56999999995</v>
      </c>
      <c r="FD198" s="1439"/>
      <c r="FE198" s="1420">
        <v>8125845.5899999999</v>
      </c>
      <c r="FF198" s="1439"/>
      <c r="FG198" s="1422">
        <v>7697</v>
      </c>
      <c r="FH198" s="1439"/>
      <c r="FI198" s="1420">
        <v>76.22</v>
      </c>
      <c r="FJ198" s="1439"/>
      <c r="FK198" s="1422">
        <v>47145</v>
      </c>
      <c r="FL198" s="1439"/>
      <c r="FM198" s="1420">
        <v>82.48</v>
      </c>
      <c r="FN198" s="1439"/>
      <c r="FO198" s="1422">
        <v>49429</v>
      </c>
      <c r="FP198" s="1439"/>
      <c r="FQ198" s="1420">
        <v>797806.78</v>
      </c>
      <c r="FR198" s="1439"/>
      <c r="FS198" s="1420">
        <v>45338.35</v>
      </c>
      <c r="FT198" s="1439"/>
      <c r="FU198" s="1422">
        <v>0</v>
      </c>
      <c r="FV198" s="1439"/>
      <c r="FW198" s="1420">
        <v>752468.43</v>
      </c>
      <c r="FX198" s="1439"/>
      <c r="FY198" s="1420">
        <v>1485861.52</v>
      </c>
      <c r="FZ198" s="1439"/>
      <c r="GA198" s="1422">
        <v>0</v>
      </c>
      <c r="GB198" s="1439"/>
    </row>
    <row r="199" spans="1:184" ht="12.75" customHeight="1" thickBot="1">
      <c r="A199" s="1418" t="s">
        <v>273</v>
      </c>
      <c r="B199" s="1418" t="s">
        <v>274</v>
      </c>
      <c r="C199" s="1420">
        <v>764.4</v>
      </c>
      <c r="D199" s="1439"/>
      <c r="E199" s="1420">
        <v>1487.76</v>
      </c>
      <c r="F199" s="1439"/>
      <c r="G199" s="1421">
        <v>-0.1</v>
      </c>
      <c r="H199" s="1439"/>
      <c r="I199" s="1420">
        <v>1620.77</v>
      </c>
      <c r="J199" s="1439"/>
      <c r="K199" s="1420">
        <v>1660.3</v>
      </c>
      <c r="L199" s="1439"/>
      <c r="M199" s="1422">
        <v>74220677</v>
      </c>
      <c r="N199" s="1439"/>
      <c r="O199" s="1422">
        <v>25</v>
      </c>
      <c r="P199" s="1439"/>
      <c r="Q199" s="1422">
        <v>25</v>
      </c>
      <c r="R199" s="1439"/>
      <c r="S199" s="1422">
        <v>0</v>
      </c>
      <c r="T199" s="1439"/>
      <c r="U199" s="1422">
        <v>0</v>
      </c>
      <c r="V199" s="1439"/>
      <c r="W199" s="1420">
        <v>10.6</v>
      </c>
      <c r="X199" s="1439"/>
      <c r="Y199" s="1420">
        <v>35.6</v>
      </c>
      <c r="Z199" s="1439"/>
      <c r="AA199" s="1422">
        <v>11115000</v>
      </c>
      <c r="AB199" s="1455"/>
      <c r="AC199" s="1424">
        <v>2248428.59</v>
      </c>
      <c r="AD199" s="1422">
        <v>2358099</v>
      </c>
      <c r="AE199" s="1420">
        <v>657177.07999999996</v>
      </c>
      <c r="AF199" s="1422">
        <v>604068</v>
      </c>
      <c r="AG199" s="1422">
        <v>0</v>
      </c>
      <c r="AH199" s="1456">
        <v>0</v>
      </c>
      <c r="AI199" s="1428">
        <v>7494880</v>
      </c>
      <c r="AJ199" s="1422">
        <v>7433532</v>
      </c>
      <c r="AK199" s="1422">
        <v>136649</v>
      </c>
      <c r="AL199" s="1422">
        <v>0</v>
      </c>
      <c r="AM199" s="1422">
        <v>0</v>
      </c>
      <c r="AN199" s="1422">
        <v>0</v>
      </c>
      <c r="AO199" s="1422">
        <v>0</v>
      </c>
      <c r="AP199" s="1422">
        <v>111544</v>
      </c>
      <c r="AQ199" s="1422">
        <v>0</v>
      </c>
      <c r="AR199" s="1422">
        <v>0</v>
      </c>
      <c r="AS199" s="1422">
        <v>0</v>
      </c>
      <c r="AT199" s="1422">
        <v>0</v>
      </c>
      <c r="AU199" s="1422">
        <v>102285</v>
      </c>
      <c r="AV199" s="1422">
        <v>81828</v>
      </c>
      <c r="AW199" s="1422">
        <v>0</v>
      </c>
      <c r="AX199" s="1422">
        <v>0</v>
      </c>
      <c r="AY199" s="1420">
        <v>10639419.67</v>
      </c>
      <c r="AZ199" s="1422">
        <v>10589071</v>
      </c>
      <c r="BA199" s="1422">
        <v>0</v>
      </c>
      <c r="BB199" s="1422">
        <v>0</v>
      </c>
      <c r="BC199" s="1422">
        <v>68670</v>
      </c>
      <c r="BD199" s="1422">
        <v>68825</v>
      </c>
      <c r="BE199" s="1420">
        <v>18134.82</v>
      </c>
      <c r="BF199" s="1422">
        <v>16800</v>
      </c>
      <c r="BG199" s="1422">
        <v>1800</v>
      </c>
      <c r="BH199" s="1422">
        <v>0</v>
      </c>
      <c r="BI199" s="1422">
        <v>281647</v>
      </c>
      <c r="BJ199" s="1422">
        <v>188888</v>
      </c>
      <c r="BK199" s="1422">
        <v>44536</v>
      </c>
      <c r="BL199" s="1422">
        <v>44540</v>
      </c>
      <c r="BM199" s="1422">
        <v>562960</v>
      </c>
      <c r="BN199" s="1422">
        <v>767100</v>
      </c>
      <c r="BO199" s="1420">
        <v>11801.62</v>
      </c>
      <c r="BP199" s="1422">
        <v>0</v>
      </c>
      <c r="BQ199" s="1420">
        <v>47667.12</v>
      </c>
      <c r="BR199" s="1422">
        <v>35479</v>
      </c>
      <c r="BS199" s="1420">
        <v>32475.57</v>
      </c>
      <c r="BT199" s="1422">
        <v>32470</v>
      </c>
      <c r="BU199" s="1422">
        <v>0</v>
      </c>
      <c r="BV199" s="1422">
        <v>0</v>
      </c>
      <c r="BW199" s="1422">
        <v>491948</v>
      </c>
      <c r="BX199" s="1422">
        <v>498500</v>
      </c>
      <c r="BY199" s="1422">
        <v>0</v>
      </c>
      <c r="BZ199" s="1422">
        <v>0</v>
      </c>
      <c r="CA199" s="1420">
        <v>897030.24</v>
      </c>
      <c r="CB199" s="1422">
        <v>1124387</v>
      </c>
      <c r="CC199" s="1420">
        <v>2458670.37</v>
      </c>
      <c r="CD199" s="1422">
        <v>2776989</v>
      </c>
      <c r="CE199" s="1420">
        <v>4337646.4400000004</v>
      </c>
      <c r="CF199" s="1420">
        <v>3603537.42</v>
      </c>
      <c r="CG199" s="1422">
        <v>1602300</v>
      </c>
      <c r="CH199" s="1422">
        <v>0</v>
      </c>
      <c r="CI199" s="1422">
        <v>0</v>
      </c>
      <c r="CJ199" s="1422">
        <v>0</v>
      </c>
      <c r="CK199" s="1420">
        <v>15489.9</v>
      </c>
      <c r="CL199" s="1422">
        <v>15180</v>
      </c>
      <c r="CM199" s="1422">
        <v>0</v>
      </c>
      <c r="CN199" s="1422">
        <v>0</v>
      </c>
      <c r="CO199" s="1422">
        <v>0</v>
      </c>
      <c r="CP199" s="1422">
        <v>0</v>
      </c>
      <c r="CQ199" s="1422">
        <v>0</v>
      </c>
      <c r="CR199" s="1422">
        <v>0</v>
      </c>
      <c r="CS199" s="1420">
        <v>1617789.9</v>
      </c>
      <c r="CT199" s="1422">
        <v>15180</v>
      </c>
      <c r="CU199" s="1420">
        <v>19053526.379999999</v>
      </c>
      <c r="CV199" s="1420">
        <v>16984777.420000002</v>
      </c>
      <c r="CW199" s="1420">
        <v>5915330.1100000003</v>
      </c>
      <c r="CX199" s="1420">
        <v>6071386.96</v>
      </c>
      <c r="CY199" s="1420">
        <v>984217.23</v>
      </c>
      <c r="CZ199" s="1420">
        <v>1012658.9</v>
      </c>
      <c r="DA199" s="1420">
        <v>545684.98</v>
      </c>
      <c r="DB199" s="1420">
        <v>526669.01</v>
      </c>
      <c r="DC199" s="1422">
        <v>0</v>
      </c>
      <c r="DD199" s="1422">
        <v>0</v>
      </c>
      <c r="DE199" s="1420">
        <v>590912.98</v>
      </c>
      <c r="DF199" s="1420">
        <v>821738.4</v>
      </c>
      <c r="DG199" s="1420">
        <v>563149.06000000006</v>
      </c>
      <c r="DH199" s="1420">
        <v>562118.96</v>
      </c>
      <c r="DI199" s="1420">
        <v>8599294.3599999994</v>
      </c>
      <c r="DJ199" s="1420">
        <v>8994572.2300000004</v>
      </c>
      <c r="DK199" s="1420">
        <v>391882.48</v>
      </c>
      <c r="DL199" s="1420">
        <v>389413.79</v>
      </c>
      <c r="DM199" s="1420">
        <v>347043.8</v>
      </c>
      <c r="DN199" s="1420">
        <v>326730.89</v>
      </c>
      <c r="DO199" s="1420">
        <v>1452411.93</v>
      </c>
      <c r="DP199" s="1420">
        <v>1654857.62</v>
      </c>
      <c r="DQ199" s="1420">
        <v>672287.58</v>
      </c>
      <c r="DR199" s="1420">
        <v>712060.81</v>
      </c>
      <c r="DS199" s="1420">
        <v>50436.15</v>
      </c>
      <c r="DT199" s="1422">
        <v>46080</v>
      </c>
      <c r="DU199" s="1420">
        <v>2914061.94</v>
      </c>
      <c r="DV199" s="1420">
        <v>3129143.11</v>
      </c>
      <c r="DW199" s="1420">
        <v>530343.31000000006</v>
      </c>
      <c r="DX199" s="1420">
        <v>672552.77</v>
      </c>
      <c r="DY199" s="1422">
        <v>755996</v>
      </c>
      <c r="DZ199" s="1420">
        <v>1074700.98</v>
      </c>
      <c r="EA199" s="1420">
        <v>625168.06000000006</v>
      </c>
      <c r="EB199" s="1420">
        <v>624213.43999999994</v>
      </c>
      <c r="EC199" s="1420">
        <v>1911507.37</v>
      </c>
      <c r="ED199" s="1420">
        <v>2371467.19</v>
      </c>
      <c r="EE199" s="1420">
        <v>883448.86</v>
      </c>
      <c r="EF199" s="1420">
        <v>880736.76</v>
      </c>
      <c r="EG199" s="1420">
        <v>16805.91</v>
      </c>
      <c r="EH199" s="1422">
        <v>2740</v>
      </c>
      <c r="EI199" s="1420">
        <v>134632.29</v>
      </c>
      <c r="EJ199" s="1420">
        <v>144309.85999999999</v>
      </c>
      <c r="EK199" s="1422">
        <v>0</v>
      </c>
      <c r="EL199" s="1422">
        <v>0</v>
      </c>
      <c r="EM199" s="1420">
        <v>1034887.06</v>
      </c>
      <c r="EN199" s="1420">
        <v>1027786.62</v>
      </c>
      <c r="EO199" s="1420">
        <v>4966716.93</v>
      </c>
      <c r="EP199" s="1422">
        <v>4174616</v>
      </c>
      <c r="EQ199" s="1420">
        <v>672422.14</v>
      </c>
      <c r="ER199" s="1422">
        <v>640561</v>
      </c>
      <c r="ES199" s="1420">
        <v>2732.91</v>
      </c>
      <c r="ET199" s="1422">
        <v>0</v>
      </c>
      <c r="EU199" s="1420">
        <v>20101622.710000001</v>
      </c>
      <c r="EV199" s="1420">
        <v>20338146.149999999</v>
      </c>
      <c r="EW199" s="1420">
        <v>5267354.71</v>
      </c>
      <c r="EX199" s="1420">
        <v>4420027.37</v>
      </c>
      <c r="EY199" s="1420">
        <v>672422.14</v>
      </c>
      <c r="EZ199" s="1422">
        <v>640561</v>
      </c>
      <c r="FA199" s="1420">
        <v>14161845.859999999</v>
      </c>
      <c r="FB199" s="1420">
        <v>15277557.779999999</v>
      </c>
      <c r="FC199" s="1420">
        <v>828939.88</v>
      </c>
      <c r="FD199" s="1439"/>
      <c r="FE199" s="1420">
        <v>13332905.98</v>
      </c>
      <c r="FF199" s="1439"/>
      <c r="FG199" s="1422">
        <v>8961</v>
      </c>
      <c r="FH199" s="1439"/>
      <c r="FI199" s="1420">
        <v>122.13</v>
      </c>
      <c r="FJ199" s="1439"/>
      <c r="FK199" s="1422">
        <v>42150</v>
      </c>
      <c r="FL199" s="1439"/>
      <c r="FM199" s="1420">
        <v>131.41999999999999</v>
      </c>
      <c r="FN199" s="1439"/>
      <c r="FO199" s="1422">
        <v>43787</v>
      </c>
      <c r="FP199" s="1439"/>
      <c r="FQ199" s="1420">
        <v>3305300.88</v>
      </c>
      <c r="FR199" s="1439"/>
      <c r="FS199" s="1420">
        <v>120998.93</v>
      </c>
      <c r="FT199" s="1439"/>
      <c r="FU199" s="1422">
        <v>0</v>
      </c>
      <c r="FV199" s="1439"/>
      <c r="FW199" s="1420">
        <v>3184301.95</v>
      </c>
      <c r="FX199" s="1439"/>
      <c r="FY199" s="1420">
        <v>8240547.46</v>
      </c>
      <c r="FZ199" s="1439"/>
      <c r="GA199" s="1422">
        <v>0</v>
      </c>
      <c r="GB199" s="1439"/>
    </row>
    <row r="200" spans="1:184" ht="12.75" customHeight="1" thickBot="1">
      <c r="A200" s="1418" t="s">
        <v>275</v>
      </c>
      <c r="B200" s="1418" t="s">
        <v>276</v>
      </c>
      <c r="C200" s="1422">
        <v>547</v>
      </c>
      <c r="D200" s="1439"/>
      <c r="E200" s="1420">
        <v>877.78</v>
      </c>
      <c r="F200" s="1439"/>
      <c r="G200" s="1421">
        <v>-0.05</v>
      </c>
      <c r="H200" s="1439"/>
      <c r="I200" s="1420">
        <v>929.44</v>
      </c>
      <c r="J200" s="1439"/>
      <c r="K200" s="1420">
        <v>920.84</v>
      </c>
      <c r="L200" s="1439"/>
      <c r="M200" s="1422">
        <v>47905802</v>
      </c>
      <c r="N200" s="1439"/>
      <c r="O200" s="1422">
        <v>25</v>
      </c>
      <c r="P200" s="1439"/>
      <c r="Q200" s="1422">
        <v>25</v>
      </c>
      <c r="R200" s="1439"/>
      <c r="S200" s="1422">
        <v>0</v>
      </c>
      <c r="T200" s="1439"/>
      <c r="U200" s="1422">
        <v>0</v>
      </c>
      <c r="V200" s="1439"/>
      <c r="W200" s="1420">
        <v>7.75</v>
      </c>
      <c r="X200" s="1439"/>
      <c r="Y200" s="1420">
        <v>32.75</v>
      </c>
      <c r="Z200" s="1439"/>
      <c r="AA200" s="1420">
        <v>3414572.72</v>
      </c>
      <c r="AB200" s="1455"/>
      <c r="AC200" s="1424">
        <v>1698618.53</v>
      </c>
      <c r="AD200" s="1422">
        <v>1687048</v>
      </c>
      <c r="AE200" s="1420">
        <v>616111.56999999995</v>
      </c>
      <c r="AF200" s="1422">
        <v>353880</v>
      </c>
      <c r="AG200" s="1422">
        <v>0</v>
      </c>
      <c r="AH200" s="1456">
        <v>0</v>
      </c>
      <c r="AI200" s="1428">
        <v>3978762</v>
      </c>
      <c r="AJ200" s="1422">
        <v>4471037</v>
      </c>
      <c r="AK200" s="1422">
        <v>103966</v>
      </c>
      <c r="AL200" s="1422">
        <v>103966</v>
      </c>
      <c r="AM200" s="1422">
        <v>53981</v>
      </c>
      <c r="AN200" s="1422">
        <v>50000</v>
      </c>
      <c r="AO200" s="1422">
        <v>0</v>
      </c>
      <c r="AP200" s="1422">
        <v>0</v>
      </c>
      <c r="AQ200" s="1422">
        <v>0</v>
      </c>
      <c r="AR200" s="1422">
        <v>0</v>
      </c>
      <c r="AS200" s="1422">
        <v>68207</v>
      </c>
      <c r="AT200" s="1422">
        <v>0</v>
      </c>
      <c r="AU200" s="1422">
        <v>24245</v>
      </c>
      <c r="AV200" s="1422">
        <v>19396</v>
      </c>
      <c r="AW200" s="1422">
        <v>14667</v>
      </c>
      <c r="AX200" s="1422">
        <v>0</v>
      </c>
      <c r="AY200" s="1420">
        <v>6558558.0999999996</v>
      </c>
      <c r="AZ200" s="1422">
        <v>6685327</v>
      </c>
      <c r="BA200" s="1420">
        <v>155842.95000000001</v>
      </c>
      <c r="BB200" s="1422">
        <v>182858</v>
      </c>
      <c r="BC200" s="1422">
        <v>38086</v>
      </c>
      <c r="BD200" s="1422">
        <v>39454</v>
      </c>
      <c r="BE200" s="1420">
        <v>11088.47</v>
      </c>
      <c r="BF200" s="1422">
        <v>4000</v>
      </c>
      <c r="BG200" s="1422">
        <v>100</v>
      </c>
      <c r="BH200" s="1422">
        <v>0</v>
      </c>
      <c r="BI200" s="1422">
        <v>91133</v>
      </c>
      <c r="BJ200" s="1422">
        <v>122982</v>
      </c>
      <c r="BK200" s="1422">
        <v>1465</v>
      </c>
      <c r="BL200" s="1422">
        <v>0</v>
      </c>
      <c r="BM200" s="1422">
        <v>658688</v>
      </c>
      <c r="BN200" s="1422">
        <v>681076</v>
      </c>
      <c r="BO200" s="1420">
        <v>53389.39</v>
      </c>
      <c r="BP200" s="1422">
        <v>0</v>
      </c>
      <c r="BQ200" s="1420">
        <v>185625.32</v>
      </c>
      <c r="BR200" s="1420">
        <v>241075.65</v>
      </c>
      <c r="BS200" s="1420">
        <v>3371.43</v>
      </c>
      <c r="BT200" s="1422">
        <v>3400</v>
      </c>
      <c r="BU200" s="1422">
        <v>0</v>
      </c>
      <c r="BV200" s="1422">
        <v>0</v>
      </c>
      <c r="BW200" s="1422">
        <v>169950</v>
      </c>
      <c r="BX200" s="1422">
        <v>194400</v>
      </c>
      <c r="BY200" s="1422">
        <v>0</v>
      </c>
      <c r="BZ200" s="1422">
        <v>0</v>
      </c>
      <c r="CA200" s="1422">
        <v>39599</v>
      </c>
      <c r="CB200" s="1422">
        <v>48576</v>
      </c>
      <c r="CC200" s="1420">
        <v>1408338.56</v>
      </c>
      <c r="CD200" s="1420">
        <v>1517821.65</v>
      </c>
      <c r="CE200" s="1420">
        <v>2003404.61</v>
      </c>
      <c r="CF200" s="1422">
        <v>2069073</v>
      </c>
      <c r="CG200" s="1422">
        <v>0</v>
      </c>
      <c r="CH200" s="1422">
        <v>0</v>
      </c>
      <c r="CI200" s="1422">
        <v>0</v>
      </c>
      <c r="CJ200" s="1422">
        <v>0</v>
      </c>
      <c r="CK200" s="1420">
        <v>12191.17</v>
      </c>
      <c r="CL200" s="1422">
        <v>0</v>
      </c>
      <c r="CM200" s="1420">
        <v>39422.35</v>
      </c>
      <c r="CN200" s="1422">
        <v>0</v>
      </c>
      <c r="CO200" s="1420">
        <v>7120.02</v>
      </c>
      <c r="CP200" s="1422">
        <v>0</v>
      </c>
      <c r="CQ200" s="1422">
        <v>0</v>
      </c>
      <c r="CR200" s="1422">
        <v>0</v>
      </c>
      <c r="CS200" s="1420">
        <v>58733.54</v>
      </c>
      <c r="CT200" s="1422">
        <v>0</v>
      </c>
      <c r="CU200" s="1420">
        <v>10029034.810000001</v>
      </c>
      <c r="CV200" s="1420">
        <v>10272221.65</v>
      </c>
      <c r="CW200" s="1420">
        <v>3501807.93</v>
      </c>
      <c r="CX200" s="1420">
        <v>3365896.75</v>
      </c>
      <c r="CY200" s="1420">
        <v>724995.02</v>
      </c>
      <c r="CZ200" s="1420">
        <v>1011635.85</v>
      </c>
      <c r="DA200" s="1420">
        <v>532601.25</v>
      </c>
      <c r="DB200" s="1420">
        <v>510107.77</v>
      </c>
      <c r="DC200" s="1420">
        <v>204756.54</v>
      </c>
      <c r="DD200" s="1422">
        <v>171952</v>
      </c>
      <c r="DE200" s="1420">
        <v>651940.43000000005</v>
      </c>
      <c r="DF200" s="1420">
        <v>911433.17</v>
      </c>
      <c r="DG200" s="1420">
        <v>363155.46</v>
      </c>
      <c r="DH200" s="1420">
        <v>232319.44</v>
      </c>
      <c r="DI200" s="1420">
        <v>5979256.6299999999</v>
      </c>
      <c r="DJ200" s="1420">
        <v>6203344.9800000004</v>
      </c>
      <c r="DK200" s="1420">
        <v>219397.58</v>
      </c>
      <c r="DL200" s="1420">
        <v>218678.68</v>
      </c>
      <c r="DM200" s="1420">
        <v>188728.25</v>
      </c>
      <c r="DN200" s="1420">
        <v>204162.37</v>
      </c>
      <c r="DO200" s="1420">
        <v>904808.69</v>
      </c>
      <c r="DP200" s="1420">
        <v>812627.66</v>
      </c>
      <c r="DQ200" s="1420">
        <v>572014.56999999995</v>
      </c>
      <c r="DR200" s="1420">
        <v>551373.38</v>
      </c>
      <c r="DS200" s="1420">
        <v>44361.43</v>
      </c>
      <c r="DT200" s="1422">
        <v>23402</v>
      </c>
      <c r="DU200" s="1420">
        <v>1929310.52</v>
      </c>
      <c r="DV200" s="1420">
        <v>1810244.09</v>
      </c>
      <c r="DW200" s="1420">
        <v>441619.56</v>
      </c>
      <c r="DX200" s="1420">
        <v>487318.26</v>
      </c>
      <c r="DY200" s="1420">
        <v>814929.98</v>
      </c>
      <c r="DZ200" s="1420">
        <v>1012839.27</v>
      </c>
      <c r="EA200" s="1420">
        <v>388244.72</v>
      </c>
      <c r="EB200" s="1420">
        <v>369496.42</v>
      </c>
      <c r="EC200" s="1420">
        <v>1644794.26</v>
      </c>
      <c r="ED200" s="1420">
        <v>1869653.95</v>
      </c>
      <c r="EE200" s="1420">
        <v>557170.07999999996</v>
      </c>
      <c r="EF200" s="1422">
        <v>505299</v>
      </c>
      <c r="EG200" s="1420">
        <v>29175.4</v>
      </c>
      <c r="EH200" s="1422">
        <v>0</v>
      </c>
      <c r="EI200" s="1420">
        <v>3229.32</v>
      </c>
      <c r="EJ200" s="1422">
        <v>6000</v>
      </c>
      <c r="EK200" s="1422">
        <v>0</v>
      </c>
      <c r="EL200" s="1422">
        <v>0</v>
      </c>
      <c r="EM200" s="1420">
        <v>589574.80000000005</v>
      </c>
      <c r="EN200" s="1422">
        <v>511299</v>
      </c>
      <c r="EO200" s="1420">
        <v>143375.16</v>
      </c>
      <c r="EP200" s="1422">
        <v>19680</v>
      </c>
      <c r="EQ200" s="1420">
        <v>211903.16</v>
      </c>
      <c r="ER200" s="1422">
        <v>211945</v>
      </c>
      <c r="ES200" s="1422">
        <v>0</v>
      </c>
      <c r="ET200" s="1422">
        <v>0</v>
      </c>
      <c r="EU200" s="1420">
        <v>10498214.529999999</v>
      </c>
      <c r="EV200" s="1420">
        <v>10626167.02</v>
      </c>
      <c r="EW200" s="1420">
        <v>287031.77</v>
      </c>
      <c r="EX200" s="1420">
        <v>227708.25</v>
      </c>
      <c r="EY200" s="1420">
        <v>211903.16</v>
      </c>
      <c r="EZ200" s="1422">
        <v>211945</v>
      </c>
      <c r="FA200" s="1420">
        <v>9999279.5999999996</v>
      </c>
      <c r="FB200" s="1420">
        <v>10186513.77</v>
      </c>
      <c r="FC200" s="1420">
        <v>866220.17</v>
      </c>
      <c r="FD200" s="1439"/>
      <c r="FE200" s="1420">
        <v>9133059.4299999997</v>
      </c>
      <c r="FF200" s="1439"/>
      <c r="FG200" s="1422">
        <v>10404</v>
      </c>
      <c r="FH200" s="1439"/>
      <c r="FI200" s="1420">
        <v>89.31</v>
      </c>
      <c r="FJ200" s="1439"/>
      <c r="FK200" s="1422">
        <v>38088</v>
      </c>
      <c r="FL200" s="1439"/>
      <c r="FM200" s="1420">
        <v>99.62</v>
      </c>
      <c r="FN200" s="1439"/>
      <c r="FO200" s="1422">
        <v>40131</v>
      </c>
      <c r="FP200" s="1439"/>
      <c r="FQ200" s="1420">
        <v>1076526.17</v>
      </c>
      <c r="FR200" s="1439"/>
      <c r="FS200" s="1420">
        <v>257544.08</v>
      </c>
      <c r="FT200" s="1439"/>
      <c r="FU200" s="1422">
        <v>0</v>
      </c>
      <c r="FV200" s="1439"/>
      <c r="FW200" s="1420">
        <v>818982.09</v>
      </c>
      <c r="FX200" s="1439"/>
      <c r="FY200" s="1420">
        <v>723098.3</v>
      </c>
      <c r="FZ200" s="1439"/>
      <c r="GA200" s="1422">
        <v>0</v>
      </c>
      <c r="GB200" s="1439"/>
    </row>
    <row r="201" spans="1:184" ht="12.75" customHeight="1" thickBot="1">
      <c r="A201" s="1418" t="s">
        <v>277</v>
      </c>
      <c r="B201" s="1418" t="s">
        <v>278</v>
      </c>
      <c r="C201" s="1420">
        <v>385.46</v>
      </c>
      <c r="D201" s="1439"/>
      <c r="E201" s="1420">
        <v>612.57000000000005</v>
      </c>
      <c r="F201" s="1439"/>
      <c r="G201" s="1421">
        <v>-0.11</v>
      </c>
      <c r="H201" s="1439"/>
      <c r="I201" s="1420">
        <v>649.03</v>
      </c>
      <c r="J201" s="1439"/>
      <c r="K201" s="1420">
        <v>679.88</v>
      </c>
      <c r="L201" s="1439"/>
      <c r="M201" s="1422">
        <v>46574777</v>
      </c>
      <c r="N201" s="1439"/>
      <c r="O201" s="1422">
        <v>25</v>
      </c>
      <c r="P201" s="1439"/>
      <c r="Q201" s="1422">
        <v>25</v>
      </c>
      <c r="R201" s="1439"/>
      <c r="S201" s="1422">
        <v>0</v>
      </c>
      <c r="T201" s="1439"/>
      <c r="U201" s="1422">
        <v>0</v>
      </c>
      <c r="V201" s="1439"/>
      <c r="W201" s="1420">
        <v>11.5</v>
      </c>
      <c r="X201" s="1439"/>
      <c r="Y201" s="1420">
        <v>36.5</v>
      </c>
      <c r="Z201" s="1439"/>
      <c r="AA201" s="1422">
        <v>2700322</v>
      </c>
      <c r="AB201" s="1455"/>
      <c r="AC201" s="1424">
        <v>1588146.73</v>
      </c>
      <c r="AD201" s="1422">
        <v>1589000</v>
      </c>
      <c r="AE201" s="1420">
        <v>291150.40999999997</v>
      </c>
      <c r="AF201" s="1422">
        <v>123005</v>
      </c>
      <c r="AG201" s="1420">
        <v>793.33</v>
      </c>
      <c r="AH201" s="1456">
        <v>800</v>
      </c>
      <c r="AI201" s="1443">
        <v>3003894.17</v>
      </c>
      <c r="AJ201" s="1422">
        <v>2889201</v>
      </c>
      <c r="AK201" s="1422">
        <v>55939</v>
      </c>
      <c r="AL201" s="1422">
        <v>55000</v>
      </c>
      <c r="AM201" s="1422">
        <v>0</v>
      </c>
      <c r="AN201" s="1422">
        <v>0</v>
      </c>
      <c r="AO201" s="1422">
        <v>0</v>
      </c>
      <c r="AP201" s="1422">
        <v>0</v>
      </c>
      <c r="AQ201" s="1422">
        <v>0</v>
      </c>
      <c r="AR201" s="1422">
        <v>0</v>
      </c>
      <c r="AS201" s="1422">
        <v>576856</v>
      </c>
      <c r="AT201" s="1422">
        <v>581401</v>
      </c>
      <c r="AU201" s="1422">
        <v>14732</v>
      </c>
      <c r="AV201" s="1422">
        <v>11786</v>
      </c>
      <c r="AW201" s="1422">
        <v>5548</v>
      </c>
      <c r="AX201" s="1422">
        <v>5500</v>
      </c>
      <c r="AY201" s="1420">
        <v>5537059.6399999997</v>
      </c>
      <c r="AZ201" s="1422">
        <v>5255693</v>
      </c>
      <c r="BA201" s="1422">
        <v>0</v>
      </c>
      <c r="BB201" s="1422">
        <v>0</v>
      </c>
      <c r="BC201" s="1422">
        <v>28120</v>
      </c>
      <c r="BD201" s="1422">
        <v>27523</v>
      </c>
      <c r="BE201" s="1420">
        <v>392100.64</v>
      </c>
      <c r="BF201" s="1422">
        <v>369900</v>
      </c>
      <c r="BG201" s="1422">
        <v>150</v>
      </c>
      <c r="BH201" s="1422">
        <v>150</v>
      </c>
      <c r="BI201" s="1422">
        <v>46359</v>
      </c>
      <c r="BJ201" s="1422">
        <v>54921</v>
      </c>
      <c r="BK201" s="1422">
        <v>0</v>
      </c>
      <c r="BL201" s="1422">
        <v>0</v>
      </c>
      <c r="BM201" s="1422">
        <v>530720</v>
      </c>
      <c r="BN201" s="1422">
        <v>523204</v>
      </c>
      <c r="BO201" s="1420">
        <v>107986.33</v>
      </c>
      <c r="BP201" s="1422">
        <v>84500</v>
      </c>
      <c r="BQ201" s="1422">
        <v>24375</v>
      </c>
      <c r="BR201" s="1422">
        <v>20312</v>
      </c>
      <c r="BS201" s="1420">
        <v>2711.73</v>
      </c>
      <c r="BT201" s="1422">
        <v>2700</v>
      </c>
      <c r="BU201" s="1422">
        <v>0</v>
      </c>
      <c r="BV201" s="1422">
        <v>0</v>
      </c>
      <c r="BW201" s="1422">
        <v>0</v>
      </c>
      <c r="BX201" s="1422">
        <v>0</v>
      </c>
      <c r="BY201" s="1422">
        <v>0</v>
      </c>
      <c r="BZ201" s="1422">
        <v>0</v>
      </c>
      <c r="CA201" s="1420">
        <v>360241.64</v>
      </c>
      <c r="CB201" s="1422">
        <v>257498</v>
      </c>
      <c r="CC201" s="1420">
        <v>1492764.34</v>
      </c>
      <c r="CD201" s="1422">
        <v>1340708</v>
      </c>
      <c r="CE201" s="1420">
        <v>1463132.58</v>
      </c>
      <c r="CF201" s="1422">
        <v>1913046</v>
      </c>
      <c r="CG201" s="1420">
        <v>1778.43</v>
      </c>
      <c r="CH201" s="1422">
        <v>1500</v>
      </c>
      <c r="CI201" s="1422">
        <v>0</v>
      </c>
      <c r="CJ201" s="1422">
        <v>0</v>
      </c>
      <c r="CK201" s="1422">
        <v>0</v>
      </c>
      <c r="CL201" s="1422">
        <v>0</v>
      </c>
      <c r="CM201" s="1422">
        <v>11120</v>
      </c>
      <c r="CN201" s="1422">
        <v>1500</v>
      </c>
      <c r="CO201" s="1420">
        <v>5309.16</v>
      </c>
      <c r="CP201" s="1422">
        <v>0</v>
      </c>
      <c r="CQ201" s="1422">
        <v>0</v>
      </c>
      <c r="CR201" s="1422">
        <v>0</v>
      </c>
      <c r="CS201" s="1420">
        <v>18207.59</v>
      </c>
      <c r="CT201" s="1422">
        <v>3000</v>
      </c>
      <c r="CU201" s="1420">
        <v>8511164.1500000004</v>
      </c>
      <c r="CV201" s="1422">
        <v>8512447</v>
      </c>
      <c r="CW201" s="1420">
        <v>2888659.78</v>
      </c>
      <c r="CX201" s="1420">
        <v>2993250.44</v>
      </c>
      <c r="CY201" s="1420">
        <v>434666.73</v>
      </c>
      <c r="CZ201" s="1420">
        <v>469263.83</v>
      </c>
      <c r="DA201" s="1420">
        <v>314960.28999999998</v>
      </c>
      <c r="DB201" s="1420">
        <v>306975.78999999998</v>
      </c>
      <c r="DC201" s="1422">
        <v>0</v>
      </c>
      <c r="DD201" s="1422">
        <v>0</v>
      </c>
      <c r="DE201" s="1420">
        <v>371521.95</v>
      </c>
      <c r="DF201" s="1420">
        <v>608562.01</v>
      </c>
      <c r="DG201" s="1420">
        <v>143389.95000000001</v>
      </c>
      <c r="DH201" s="1420">
        <v>117786.53</v>
      </c>
      <c r="DI201" s="1420">
        <v>4153198.7</v>
      </c>
      <c r="DJ201" s="1420">
        <v>4495838.5999999996</v>
      </c>
      <c r="DK201" s="1420">
        <v>192300.1</v>
      </c>
      <c r="DL201" s="1422">
        <v>190373</v>
      </c>
      <c r="DM201" s="1420">
        <v>188793.07</v>
      </c>
      <c r="DN201" s="1420">
        <v>178392.37</v>
      </c>
      <c r="DO201" s="1420">
        <v>846498.29</v>
      </c>
      <c r="DP201" s="1420">
        <v>1024701.02</v>
      </c>
      <c r="DQ201" s="1420">
        <v>441748.49</v>
      </c>
      <c r="DR201" s="1420">
        <v>489027.12</v>
      </c>
      <c r="DS201" s="1420">
        <v>22317.02</v>
      </c>
      <c r="DT201" s="1422">
        <v>2000</v>
      </c>
      <c r="DU201" s="1420">
        <v>1691656.97</v>
      </c>
      <c r="DV201" s="1420">
        <v>1884493.51</v>
      </c>
      <c r="DW201" s="1420">
        <v>323287.63</v>
      </c>
      <c r="DX201" s="1420">
        <v>357933.13</v>
      </c>
      <c r="DY201" s="1420">
        <v>747664.86</v>
      </c>
      <c r="DZ201" s="1420">
        <v>645348.68999999994</v>
      </c>
      <c r="EA201" s="1420">
        <v>435059.07</v>
      </c>
      <c r="EB201" s="1420">
        <v>392057.44</v>
      </c>
      <c r="EC201" s="1420">
        <v>1506011.56</v>
      </c>
      <c r="ED201" s="1420">
        <v>1395339.26</v>
      </c>
      <c r="EE201" s="1420">
        <v>498192.07</v>
      </c>
      <c r="EF201" s="1420">
        <v>420458.33</v>
      </c>
      <c r="EG201" s="1420">
        <v>30000.16</v>
      </c>
      <c r="EH201" s="1422">
        <v>0</v>
      </c>
      <c r="EI201" s="1420">
        <v>2618.84</v>
      </c>
      <c r="EJ201" s="1422">
        <v>3000</v>
      </c>
      <c r="EK201" s="1422">
        <v>0</v>
      </c>
      <c r="EL201" s="1422">
        <v>0</v>
      </c>
      <c r="EM201" s="1420">
        <v>530811.06999999995</v>
      </c>
      <c r="EN201" s="1420">
        <v>423458.33</v>
      </c>
      <c r="EO201" s="1420">
        <v>671367.48</v>
      </c>
      <c r="EP201" s="1420">
        <v>542337.5</v>
      </c>
      <c r="EQ201" s="1420">
        <v>210238.5</v>
      </c>
      <c r="ER201" s="1422">
        <v>202343</v>
      </c>
      <c r="ES201" s="1422">
        <v>450</v>
      </c>
      <c r="ET201" s="1422">
        <v>0</v>
      </c>
      <c r="EU201" s="1420">
        <v>8763734.2799999993</v>
      </c>
      <c r="EV201" s="1420">
        <v>8943810.1999999993</v>
      </c>
      <c r="EW201" s="1420">
        <v>867036.71</v>
      </c>
      <c r="EX201" s="1420">
        <v>1095263.5</v>
      </c>
      <c r="EY201" s="1420">
        <v>210238.5</v>
      </c>
      <c r="EZ201" s="1422">
        <v>202343</v>
      </c>
      <c r="FA201" s="1420">
        <v>7686459.0700000003</v>
      </c>
      <c r="FB201" s="1420">
        <v>7646203.7000000002</v>
      </c>
      <c r="FC201" s="1420">
        <v>265525.51</v>
      </c>
      <c r="FD201" s="1439"/>
      <c r="FE201" s="1420">
        <v>7420933.5599999996</v>
      </c>
      <c r="FF201" s="1439"/>
      <c r="FG201" s="1422">
        <v>12114</v>
      </c>
      <c r="FH201" s="1439"/>
      <c r="FI201" s="1420">
        <v>65.47</v>
      </c>
      <c r="FJ201" s="1439"/>
      <c r="FK201" s="1422">
        <v>36698</v>
      </c>
      <c r="FL201" s="1439"/>
      <c r="FM201" s="1420">
        <v>72.489999999999995</v>
      </c>
      <c r="FN201" s="1439"/>
      <c r="FO201" s="1422">
        <v>40312</v>
      </c>
      <c r="FP201" s="1439"/>
      <c r="FQ201" s="1420">
        <v>1444629.74</v>
      </c>
      <c r="FR201" s="1439"/>
      <c r="FS201" s="1420">
        <v>66878.5</v>
      </c>
      <c r="FT201" s="1439"/>
      <c r="FU201" s="1422">
        <v>0</v>
      </c>
      <c r="FV201" s="1439"/>
      <c r="FW201" s="1420">
        <v>1377751.24</v>
      </c>
      <c r="FX201" s="1439"/>
      <c r="FY201" s="1420">
        <v>1173958.5</v>
      </c>
      <c r="FZ201" s="1439"/>
      <c r="GA201" s="1422">
        <v>0</v>
      </c>
      <c r="GB201" s="1439"/>
    </row>
    <row r="202" spans="1:184" ht="12.75" customHeight="1" thickBot="1">
      <c r="A202" s="1418" t="s">
        <v>279</v>
      </c>
      <c r="B202" s="1418" t="s">
        <v>280</v>
      </c>
      <c r="C202" s="1420">
        <v>69.16</v>
      </c>
      <c r="D202" s="1439"/>
      <c r="E202" s="1420">
        <v>12941.49</v>
      </c>
      <c r="F202" s="1439"/>
      <c r="G202" s="1421">
        <v>0.04</v>
      </c>
      <c r="H202" s="1439"/>
      <c r="I202" s="1420">
        <v>13692.05</v>
      </c>
      <c r="J202" s="1439"/>
      <c r="K202" s="1420">
        <v>13711.29</v>
      </c>
      <c r="L202" s="1439"/>
      <c r="M202" s="1422">
        <v>1372844802</v>
      </c>
      <c r="N202" s="1439"/>
      <c r="O202" s="1422">
        <v>25</v>
      </c>
      <c r="P202" s="1439"/>
      <c r="Q202" s="1422">
        <v>25</v>
      </c>
      <c r="R202" s="1439"/>
      <c r="S202" s="1422">
        <v>0</v>
      </c>
      <c r="T202" s="1439"/>
      <c r="U202" s="1422">
        <v>0</v>
      </c>
      <c r="V202" s="1439"/>
      <c r="W202" s="1420">
        <v>11.5</v>
      </c>
      <c r="X202" s="1439"/>
      <c r="Y202" s="1420">
        <v>36.5</v>
      </c>
      <c r="Z202" s="1439"/>
      <c r="AA202" s="1420">
        <v>64613383.969999999</v>
      </c>
      <c r="AB202" s="1455"/>
      <c r="AC202" s="1424">
        <v>47494789.460000001</v>
      </c>
      <c r="AD202" s="1422">
        <v>48124784</v>
      </c>
      <c r="AE202" s="1420">
        <v>4148846.7</v>
      </c>
      <c r="AF202" s="1422">
        <v>1842832</v>
      </c>
      <c r="AG202" s="1420">
        <v>2012.67</v>
      </c>
      <c r="AH202" s="1456">
        <v>5000</v>
      </c>
      <c r="AI202" s="1428">
        <v>49838972</v>
      </c>
      <c r="AJ202" s="1422">
        <v>50779999</v>
      </c>
      <c r="AK202" s="1422">
        <v>240910</v>
      </c>
      <c r="AL202" s="1422">
        <v>248450</v>
      </c>
      <c r="AM202" s="1422">
        <v>293049</v>
      </c>
      <c r="AN202" s="1422">
        <v>0</v>
      </c>
      <c r="AO202" s="1422">
        <v>0</v>
      </c>
      <c r="AP202" s="1422">
        <v>0</v>
      </c>
      <c r="AQ202" s="1422">
        <v>0</v>
      </c>
      <c r="AR202" s="1422">
        <v>0</v>
      </c>
      <c r="AS202" s="1422">
        <v>0</v>
      </c>
      <c r="AT202" s="1422">
        <v>0</v>
      </c>
      <c r="AU202" s="1422">
        <v>0</v>
      </c>
      <c r="AV202" s="1422">
        <v>0</v>
      </c>
      <c r="AW202" s="1422">
        <v>0</v>
      </c>
      <c r="AX202" s="1422">
        <v>0</v>
      </c>
      <c r="AY202" s="1420">
        <v>102018579.83</v>
      </c>
      <c r="AZ202" s="1422">
        <v>101001065</v>
      </c>
      <c r="BA202" s="1420">
        <v>1250565.81</v>
      </c>
      <c r="BB202" s="1420">
        <v>1212936.27</v>
      </c>
      <c r="BC202" s="1422">
        <v>567099</v>
      </c>
      <c r="BD202" s="1422">
        <v>582256</v>
      </c>
      <c r="BE202" s="1420">
        <v>48408.93</v>
      </c>
      <c r="BF202" s="1422">
        <v>70000</v>
      </c>
      <c r="BG202" s="1422">
        <v>38102</v>
      </c>
      <c r="BH202" s="1422">
        <v>32150</v>
      </c>
      <c r="BI202" s="1422">
        <v>349093</v>
      </c>
      <c r="BJ202" s="1422">
        <v>341299</v>
      </c>
      <c r="BK202" s="1422">
        <v>963677</v>
      </c>
      <c r="BL202" s="1422">
        <v>981318</v>
      </c>
      <c r="BM202" s="1422">
        <v>4670336</v>
      </c>
      <c r="BN202" s="1422">
        <v>4837360</v>
      </c>
      <c r="BO202" s="1420">
        <v>1582805.47</v>
      </c>
      <c r="BP202" s="1422">
        <v>1429458</v>
      </c>
      <c r="BQ202" s="1420">
        <v>275437.5</v>
      </c>
      <c r="BR202" s="1422">
        <v>372437</v>
      </c>
      <c r="BS202" s="1420">
        <v>45323.95</v>
      </c>
      <c r="BT202" s="1422">
        <v>45500</v>
      </c>
      <c r="BU202" s="1422">
        <v>0</v>
      </c>
      <c r="BV202" s="1422">
        <v>0</v>
      </c>
      <c r="BW202" s="1422">
        <v>1237480</v>
      </c>
      <c r="BX202" s="1422">
        <v>1247200</v>
      </c>
      <c r="BY202" s="1422">
        <v>0</v>
      </c>
      <c r="BZ202" s="1422">
        <v>0</v>
      </c>
      <c r="CA202" s="1420">
        <v>1090157.78</v>
      </c>
      <c r="CB202" s="1420">
        <v>2766297.9</v>
      </c>
      <c r="CC202" s="1420">
        <v>12118486.439999999</v>
      </c>
      <c r="CD202" s="1420">
        <v>13918212.17</v>
      </c>
      <c r="CE202" s="1420">
        <v>28261982.25</v>
      </c>
      <c r="CF202" s="1420">
        <v>21886578.960000001</v>
      </c>
      <c r="CG202" s="1422">
        <v>16270000</v>
      </c>
      <c r="CH202" s="1422">
        <v>0</v>
      </c>
      <c r="CI202" s="1422">
        <v>0</v>
      </c>
      <c r="CJ202" s="1422">
        <v>0</v>
      </c>
      <c r="CK202" s="1420">
        <v>192199.81</v>
      </c>
      <c r="CL202" s="1422">
        <v>163239</v>
      </c>
      <c r="CM202" s="1422">
        <v>0</v>
      </c>
      <c r="CN202" s="1422">
        <v>0</v>
      </c>
      <c r="CO202" s="1420">
        <v>148919.13</v>
      </c>
      <c r="CP202" s="1422">
        <v>0</v>
      </c>
      <c r="CQ202" s="1422">
        <v>0</v>
      </c>
      <c r="CR202" s="1422">
        <v>0</v>
      </c>
      <c r="CS202" s="1420">
        <v>16611118.939999999</v>
      </c>
      <c r="CT202" s="1422">
        <v>163239</v>
      </c>
      <c r="CU202" s="1420">
        <v>159010167.46000001</v>
      </c>
      <c r="CV202" s="1420">
        <v>136969095.13</v>
      </c>
      <c r="CW202" s="1420">
        <v>49389670.909999996</v>
      </c>
      <c r="CX202" s="1420">
        <v>48531043.170000002</v>
      </c>
      <c r="CY202" s="1420">
        <v>9995909.8399999999</v>
      </c>
      <c r="CZ202" s="1420">
        <v>10605889.51</v>
      </c>
      <c r="DA202" s="1420">
        <v>3031521.72</v>
      </c>
      <c r="DB202" s="1420">
        <v>2970505.99</v>
      </c>
      <c r="DC202" s="1420">
        <v>1481298.95</v>
      </c>
      <c r="DD202" s="1420">
        <v>1444929.1</v>
      </c>
      <c r="DE202" s="1420">
        <v>6305369.1799999997</v>
      </c>
      <c r="DF202" s="1422">
        <v>5378896</v>
      </c>
      <c r="DG202" s="1420">
        <v>4314712.68</v>
      </c>
      <c r="DH202" s="1420">
        <v>4909825.75</v>
      </c>
      <c r="DI202" s="1420">
        <v>74518483.280000001</v>
      </c>
      <c r="DJ202" s="1420">
        <v>73841089.519999996</v>
      </c>
      <c r="DK202" s="1420">
        <v>768769.51</v>
      </c>
      <c r="DL202" s="1420">
        <v>1140787.53</v>
      </c>
      <c r="DM202" s="1420">
        <v>2787519.68</v>
      </c>
      <c r="DN202" s="1420">
        <v>2919854.76</v>
      </c>
      <c r="DO202" s="1420">
        <v>15174574.869999999</v>
      </c>
      <c r="DP202" s="1420">
        <v>14097528.35</v>
      </c>
      <c r="DQ202" s="1420">
        <v>2489521.23</v>
      </c>
      <c r="DR202" s="1420">
        <v>2923010.03</v>
      </c>
      <c r="DS202" s="1420">
        <v>356594.16</v>
      </c>
      <c r="DT202" s="1422">
        <v>264614</v>
      </c>
      <c r="DU202" s="1420">
        <v>21576979.449999999</v>
      </c>
      <c r="DV202" s="1420">
        <v>21345794.670000002</v>
      </c>
      <c r="DW202" s="1420">
        <v>9135334.8900000006</v>
      </c>
      <c r="DX202" s="1420">
        <v>9267830.8100000005</v>
      </c>
      <c r="DY202" s="1420">
        <v>14530282.890000001</v>
      </c>
      <c r="DZ202" s="1420">
        <v>13786593.1</v>
      </c>
      <c r="EA202" s="1420">
        <v>7266484.6299999999</v>
      </c>
      <c r="EB202" s="1420">
        <v>7371609.6500000004</v>
      </c>
      <c r="EC202" s="1420">
        <v>30932102.41</v>
      </c>
      <c r="ED202" s="1420">
        <v>30426033.559999999</v>
      </c>
      <c r="EE202" s="1420">
        <v>6851480.1299999999</v>
      </c>
      <c r="EF202" s="1420">
        <v>6918541.6600000001</v>
      </c>
      <c r="EG202" s="1422">
        <v>0</v>
      </c>
      <c r="EH202" s="1422">
        <v>0</v>
      </c>
      <c r="EI202" s="1420">
        <v>672359.45</v>
      </c>
      <c r="EJ202" s="1420">
        <v>729177.31</v>
      </c>
      <c r="EK202" s="1422">
        <v>0</v>
      </c>
      <c r="EL202" s="1422">
        <v>0</v>
      </c>
      <c r="EM202" s="1420">
        <v>7523839.5800000001</v>
      </c>
      <c r="EN202" s="1420">
        <v>7647718.9699999997</v>
      </c>
      <c r="EO202" s="1420">
        <v>13578533.880000001</v>
      </c>
      <c r="EP202" s="1420">
        <v>19167849.41</v>
      </c>
      <c r="EQ202" s="1420">
        <v>3521680.34</v>
      </c>
      <c r="ER202" s="1420">
        <v>13227811.800000001</v>
      </c>
      <c r="ES202" s="1420">
        <v>49614.86</v>
      </c>
      <c r="ET202" s="1422">
        <v>0</v>
      </c>
      <c r="EU202" s="1420">
        <v>151701233.80000001</v>
      </c>
      <c r="EV202" s="1420">
        <v>165656297.93000001</v>
      </c>
      <c r="EW202" s="1420">
        <v>17157242.989999998</v>
      </c>
      <c r="EX202" s="1420">
        <v>21294262.940000001</v>
      </c>
      <c r="EY202" s="1420">
        <v>3521680.34</v>
      </c>
      <c r="EZ202" s="1420">
        <v>13227811.800000001</v>
      </c>
      <c r="FA202" s="1420">
        <v>131022310.47</v>
      </c>
      <c r="FB202" s="1420">
        <v>131134223.19</v>
      </c>
      <c r="FC202" s="1420">
        <v>6214801.7999999998</v>
      </c>
      <c r="FD202" s="1439"/>
      <c r="FE202" s="1420">
        <v>124807508.67</v>
      </c>
      <c r="FF202" s="1439"/>
      <c r="FG202" s="1422">
        <v>9643</v>
      </c>
      <c r="FH202" s="1439"/>
      <c r="FI202" s="1420">
        <v>895.15</v>
      </c>
      <c r="FJ202" s="1439"/>
      <c r="FK202" s="1422">
        <v>53406</v>
      </c>
      <c r="FL202" s="1439"/>
      <c r="FM202" s="1420">
        <v>968.96</v>
      </c>
      <c r="FN202" s="1439"/>
      <c r="FO202" s="1422">
        <v>55924</v>
      </c>
      <c r="FP202" s="1439"/>
      <c r="FQ202" s="1420">
        <v>22671031.199999999</v>
      </c>
      <c r="FR202" s="1439"/>
      <c r="FS202" s="1420">
        <v>2191769.5699999998</v>
      </c>
      <c r="FT202" s="1439"/>
      <c r="FU202" s="1420">
        <v>10003344.189999999</v>
      </c>
      <c r="FV202" s="1439"/>
      <c r="FW202" s="1420">
        <v>10475917.439999999</v>
      </c>
      <c r="FX202" s="1439"/>
      <c r="FY202" s="1420">
        <v>16376593.529999999</v>
      </c>
      <c r="FZ202" s="1439"/>
      <c r="GA202" s="1422">
        <v>0</v>
      </c>
      <c r="GB202" s="1439"/>
    </row>
    <row r="203" spans="1:184" ht="12.75" customHeight="1" thickBot="1">
      <c r="A203" s="1418" t="s">
        <v>281</v>
      </c>
      <c r="B203" s="1418" t="s">
        <v>282</v>
      </c>
      <c r="C203" s="1420">
        <v>180.05</v>
      </c>
      <c r="D203" s="1439"/>
      <c r="E203" s="1420">
        <v>3379.32</v>
      </c>
      <c r="F203" s="1439"/>
      <c r="G203" s="1421">
        <v>0.09</v>
      </c>
      <c r="H203" s="1439"/>
      <c r="I203" s="1420">
        <v>3561.77</v>
      </c>
      <c r="J203" s="1439"/>
      <c r="K203" s="1420">
        <v>3539.76</v>
      </c>
      <c r="L203" s="1439"/>
      <c r="M203" s="1422">
        <v>284500265</v>
      </c>
      <c r="N203" s="1439"/>
      <c r="O203" s="1422">
        <v>25</v>
      </c>
      <c r="P203" s="1439"/>
      <c r="Q203" s="1422">
        <v>25</v>
      </c>
      <c r="R203" s="1439"/>
      <c r="S203" s="1422">
        <v>0</v>
      </c>
      <c r="T203" s="1439"/>
      <c r="U203" s="1422">
        <v>0</v>
      </c>
      <c r="V203" s="1439"/>
      <c r="W203" s="1420">
        <v>13.7</v>
      </c>
      <c r="X203" s="1439"/>
      <c r="Y203" s="1420">
        <v>38.700000000000003</v>
      </c>
      <c r="Z203" s="1439"/>
      <c r="AA203" s="1422">
        <v>37359647</v>
      </c>
      <c r="AB203" s="1455"/>
      <c r="AC203" s="1424">
        <v>11361794.460000001</v>
      </c>
      <c r="AD203" s="1422">
        <v>11061854</v>
      </c>
      <c r="AE203" s="1420">
        <v>1469428.38</v>
      </c>
      <c r="AF203" s="1422">
        <v>1031650</v>
      </c>
      <c r="AG203" s="1420">
        <v>519.85</v>
      </c>
      <c r="AH203" s="1456">
        <v>0</v>
      </c>
      <c r="AI203" s="1428">
        <v>13977750</v>
      </c>
      <c r="AJ203" s="1422">
        <v>14697858</v>
      </c>
      <c r="AK203" s="1422">
        <v>112243</v>
      </c>
      <c r="AL203" s="1422">
        <v>0</v>
      </c>
      <c r="AM203" s="1422">
        <v>167651</v>
      </c>
      <c r="AN203" s="1422">
        <v>0</v>
      </c>
      <c r="AO203" s="1422">
        <v>0</v>
      </c>
      <c r="AP203" s="1422">
        <v>0</v>
      </c>
      <c r="AQ203" s="1422">
        <v>0</v>
      </c>
      <c r="AR203" s="1422">
        <v>0</v>
      </c>
      <c r="AS203" s="1422">
        <v>0</v>
      </c>
      <c r="AT203" s="1422">
        <v>0</v>
      </c>
      <c r="AU203" s="1422">
        <v>0</v>
      </c>
      <c r="AV203" s="1422">
        <v>0</v>
      </c>
      <c r="AW203" s="1422">
        <v>63950</v>
      </c>
      <c r="AX203" s="1422">
        <v>0</v>
      </c>
      <c r="AY203" s="1420">
        <v>27153336.690000001</v>
      </c>
      <c r="AZ203" s="1422">
        <v>26791362</v>
      </c>
      <c r="BA203" s="1422">
        <v>0</v>
      </c>
      <c r="BB203" s="1422">
        <v>0</v>
      </c>
      <c r="BC203" s="1422">
        <v>146404</v>
      </c>
      <c r="BD203" s="1422">
        <v>151410</v>
      </c>
      <c r="BE203" s="1422">
        <v>7800</v>
      </c>
      <c r="BF203" s="1422">
        <v>11800</v>
      </c>
      <c r="BG203" s="1422">
        <v>4150</v>
      </c>
      <c r="BH203" s="1422">
        <v>3000</v>
      </c>
      <c r="BI203" s="1422">
        <v>108523</v>
      </c>
      <c r="BJ203" s="1422">
        <v>84392</v>
      </c>
      <c r="BK203" s="1422">
        <v>10255</v>
      </c>
      <c r="BL203" s="1422">
        <v>10000</v>
      </c>
      <c r="BM203" s="1422">
        <v>528240</v>
      </c>
      <c r="BN203" s="1422">
        <v>594550</v>
      </c>
      <c r="BO203" s="1420">
        <v>148612.67000000001</v>
      </c>
      <c r="BP203" s="1422">
        <v>120000</v>
      </c>
      <c r="BQ203" s="1420">
        <v>66562.52</v>
      </c>
      <c r="BR203" s="1422">
        <v>60000</v>
      </c>
      <c r="BS203" s="1420">
        <v>10833.25</v>
      </c>
      <c r="BT203" s="1422">
        <v>10000</v>
      </c>
      <c r="BU203" s="1422">
        <v>0</v>
      </c>
      <c r="BV203" s="1422">
        <v>0</v>
      </c>
      <c r="BW203" s="1422">
        <v>271188</v>
      </c>
      <c r="BX203" s="1422">
        <v>280000</v>
      </c>
      <c r="BY203" s="1422">
        <v>0</v>
      </c>
      <c r="BZ203" s="1422">
        <v>0</v>
      </c>
      <c r="CA203" s="1420">
        <v>312992.7</v>
      </c>
      <c r="CB203" s="1422">
        <v>271934</v>
      </c>
      <c r="CC203" s="1420">
        <v>1615561.14</v>
      </c>
      <c r="CD203" s="1422">
        <v>1597086</v>
      </c>
      <c r="CE203" s="1420">
        <v>3008570.37</v>
      </c>
      <c r="CF203" s="1422">
        <v>2171372</v>
      </c>
      <c r="CG203" s="1422">
        <v>960000</v>
      </c>
      <c r="CH203" s="1422">
        <v>980000</v>
      </c>
      <c r="CI203" s="1422">
        <v>0</v>
      </c>
      <c r="CJ203" s="1422">
        <v>0</v>
      </c>
      <c r="CK203" s="1422">
        <v>0</v>
      </c>
      <c r="CL203" s="1422">
        <v>0</v>
      </c>
      <c r="CM203" s="1422">
        <v>0</v>
      </c>
      <c r="CN203" s="1422">
        <v>0</v>
      </c>
      <c r="CO203" s="1420">
        <v>2500.9</v>
      </c>
      <c r="CP203" s="1422">
        <v>0</v>
      </c>
      <c r="CQ203" s="1422">
        <v>0</v>
      </c>
      <c r="CR203" s="1422">
        <v>0</v>
      </c>
      <c r="CS203" s="1420">
        <v>962500.9</v>
      </c>
      <c r="CT203" s="1422">
        <v>980000</v>
      </c>
      <c r="CU203" s="1420">
        <v>32739969.100000001</v>
      </c>
      <c r="CV203" s="1422">
        <v>31539820</v>
      </c>
      <c r="CW203" s="1420">
        <v>12759440.869999999</v>
      </c>
      <c r="CX203" s="1420">
        <v>11919931.82</v>
      </c>
      <c r="CY203" s="1420">
        <v>2813659.06</v>
      </c>
      <c r="CZ203" s="1420">
        <v>3410983.02</v>
      </c>
      <c r="DA203" s="1420">
        <v>717222.87</v>
      </c>
      <c r="DB203" s="1420">
        <v>680720.92</v>
      </c>
      <c r="DC203" s="1422">
        <v>0</v>
      </c>
      <c r="DD203" s="1422">
        <v>0</v>
      </c>
      <c r="DE203" s="1420">
        <v>499260.33</v>
      </c>
      <c r="DF203" s="1420">
        <v>477433.61</v>
      </c>
      <c r="DG203" s="1420">
        <v>719898.59</v>
      </c>
      <c r="DH203" s="1420">
        <v>698477.48</v>
      </c>
      <c r="DI203" s="1420">
        <v>17509481.719999999</v>
      </c>
      <c r="DJ203" s="1420">
        <v>17187546.850000001</v>
      </c>
      <c r="DK203" s="1420">
        <v>445200.95</v>
      </c>
      <c r="DL203" s="1420">
        <v>566737.23</v>
      </c>
      <c r="DM203" s="1420">
        <v>1277877.51</v>
      </c>
      <c r="DN203" s="1420">
        <v>1443321.13</v>
      </c>
      <c r="DO203" s="1420">
        <v>2662532.14</v>
      </c>
      <c r="DP203" s="1420">
        <v>2673422.77</v>
      </c>
      <c r="DQ203" s="1420">
        <v>1213291.22</v>
      </c>
      <c r="DR203" s="1420">
        <v>1398411.12</v>
      </c>
      <c r="DS203" s="1420">
        <v>44880.27</v>
      </c>
      <c r="DT203" s="1422">
        <v>16000</v>
      </c>
      <c r="DU203" s="1420">
        <v>5643782.0899999999</v>
      </c>
      <c r="DV203" s="1420">
        <v>6097892.25</v>
      </c>
      <c r="DW203" s="1420">
        <v>1364541.56</v>
      </c>
      <c r="DX203" s="1420">
        <v>1415876.76</v>
      </c>
      <c r="DY203" s="1420">
        <v>1797394.52</v>
      </c>
      <c r="DZ203" s="1420">
        <v>1757657.39</v>
      </c>
      <c r="EA203" s="1420">
        <v>1518162.23</v>
      </c>
      <c r="EB203" s="1420">
        <v>1520575.84</v>
      </c>
      <c r="EC203" s="1420">
        <v>4680098.3099999996</v>
      </c>
      <c r="ED203" s="1420">
        <v>4694109.99</v>
      </c>
      <c r="EE203" s="1420">
        <v>1242719.1599999999</v>
      </c>
      <c r="EF203" s="1420">
        <v>1063810.17</v>
      </c>
      <c r="EG203" s="1420">
        <v>24132.17</v>
      </c>
      <c r="EH203" s="1422">
        <v>0</v>
      </c>
      <c r="EI203" s="1420">
        <v>119605.77</v>
      </c>
      <c r="EJ203" s="1420">
        <v>110778.48</v>
      </c>
      <c r="EK203" s="1422">
        <v>0</v>
      </c>
      <c r="EL203" s="1422">
        <v>0</v>
      </c>
      <c r="EM203" s="1420">
        <v>1386457.1</v>
      </c>
      <c r="EN203" s="1420">
        <v>1174588.6499999999</v>
      </c>
      <c r="EO203" s="1420">
        <v>1505256.39</v>
      </c>
      <c r="EP203" s="1422">
        <v>1900000</v>
      </c>
      <c r="EQ203" s="1420">
        <v>1822188.26</v>
      </c>
      <c r="ER203" s="1420">
        <v>2170068.42</v>
      </c>
      <c r="ES203" s="1420">
        <v>1672.31</v>
      </c>
      <c r="ET203" s="1422">
        <v>0</v>
      </c>
      <c r="EU203" s="1420">
        <v>32548936.18</v>
      </c>
      <c r="EV203" s="1420">
        <v>33224206.16</v>
      </c>
      <c r="EW203" s="1420">
        <v>2044394.52</v>
      </c>
      <c r="EX203" s="1422">
        <v>2275515</v>
      </c>
      <c r="EY203" s="1420">
        <v>1822188.26</v>
      </c>
      <c r="EZ203" s="1420">
        <v>2170068.42</v>
      </c>
      <c r="FA203" s="1420">
        <v>28682353.399999999</v>
      </c>
      <c r="FB203" s="1420">
        <v>28778622.739999998</v>
      </c>
      <c r="FC203" s="1420">
        <v>1210292.47</v>
      </c>
      <c r="FD203" s="1439"/>
      <c r="FE203" s="1420">
        <v>27472060.93</v>
      </c>
      <c r="FF203" s="1439"/>
      <c r="FG203" s="1422">
        <v>8129</v>
      </c>
      <c r="FH203" s="1439"/>
      <c r="FI203" s="1420">
        <v>227.19</v>
      </c>
      <c r="FJ203" s="1439"/>
      <c r="FK203" s="1422">
        <v>49208</v>
      </c>
      <c r="FL203" s="1439"/>
      <c r="FM203" s="1420">
        <v>247.37</v>
      </c>
      <c r="FN203" s="1439"/>
      <c r="FO203" s="1422">
        <v>51955</v>
      </c>
      <c r="FP203" s="1439"/>
      <c r="FQ203" s="1420">
        <v>3352263.15</v>
      </c>
      <c r="FR203" s="1439"/>
      <c r="FS203" s="1420">
        <v>20582.82</v>
      </c>
      <c r="FT203" s="1439"/>
      <c r="FU203" s="1422">
        <v>0</v>
      </c>
      <c r="FV203" s="1439"/>
      <c r="FW203" s="1420">
        <v>3331680.33</v>
      </c>
      <c r="FX203" s="1439"/>
      <c r="FY203" s="1420">
        <v>1359048.49</v>
      </c>
      <c r="FZ203" s="1439"/>
      <c r="GA203" s="1422">
        <v>0</v>
      </c>
      <c r="GB203" s="1439"/>
    </row>
    <row r="204" spans="1:184" ht="12.75" customHeight="1" thickBot="1">
      <c r="A204" s="1418" t="s">
        <v>283</v>
      </c>
      <c r="B204" s="1418" t="s">
        <v>284</v>
      </c>
      <c r="C204" s="1420">
        <v>30.02</v>
      </c>
      <c r="D204" s="1439"/>
      <c r="E204" s="1420">
        <v>586.83000000000004</v>
      </c>
      <c r="F204" s="1439"/>
      <c r="G204" s="1421">
        <v>0.02</v>
      </c>
      <c r="H204" s="1439"/>
      <c r="I204" s="1420">
        <v>620.59</v>
      </c>
      <c r="J204" s="1439"/>
      <c r="K204" s="1420">
        <v>636.20000000000005</v>
      </c>
      <c r="L204" s="1439"/>
      <c r="M204" s="1422">
        <v>29385407</v>
      </c>
      <c r="N204" s="1439"/>
      <c r="O204" s="1422">
        <v>25</v>
      </c>
      <c r="P204" s="1439"/>
      <c r="Q204" s="1422">
        <v>25</v>
      </c>
      <c r="R204" s="1439"/>
      <c r="S204" s="1422">
        <v>0</v>
      </c>
      <c r="T204" s="1439"/>
      <c r="U204" s="1422">
        <v>0</v>
      </c>
      <c r="V204" s="1439"/>
      <c r="W204" s="1422">
        <v>13</v>
      </c>
      <c r="X204" s="1439"/>
      <c r="Y204" s="1422">
        <v>38</v>
      </c>
      <c r="Z204" s="1439"/>
      <c r="AA204" s="1422">
        <v>3265000</v>
      </c>
      <c r="AB204" s="1455"/>
      <c r="AC204" s="1441">
        <v>1022780</v>
      </c>
      <c r="AD204" s="1422">
        <v>1023000</v>
      </c>
      <c r="AE204" s="1420">
        <v>188515.67</v>
      </c>
      <c r="AF204" s="1422">
        <v>85775</v>
      </c>
      <c r="AG204" s="1420">
        <v>92.56</v>
      </c>
      <c r="AH204" s="1456">
        <v>100</v>
      </c>
      <c r="AI204" s="1428">
        <v>3156736</v>
      </c>
      <c r="AJ204" s="1422">
        <v>3082246</v>
      </c>
      <c r="AK204" s="1422">
        <v>11906</v>
      </c>
      <c r="AL204" s="1422">
        <v>0</v>
      </c>
      <c r="AM204" s="1422">
        <v>0</v>
      </c>
      <c r="AN204" s="1422">
        <v>0</v>
      </c>
      <c r="AO204" s="1422">
        <v>0</v>
      </c>
      <c r="AP204" s="1422">
        <v>51241</v>
      </c>
      <c r="AQ204" s="1422">
        <v>0</v>
      </c>
      <c r="AR204" s="1422">
        <v>0</v>
      </c>
      <c r="AS204" s="1422">
        <v>0</v>
      </c>
      <c r="AT204" s="1422">
        <v>0</v>
      </c>
      <c r="AU204" s="1422">
        <v>37124</v>
      </c>
      <c r="AV204" s="1422">
        <v>29699</v>
      </c>
      <c r="AW204" s="1422">
        <v>0</v>
      </c>
      <c r="AX204" s="1422">
        <v>0</v>
      </c>
      <c r="AY204" s="1420">
        <v>4417154.2300000004</v>
      </c>
      <c r="AZ204" s="1422">
        <v>4272061</v>
      </c>
      <c r="BA204" s="1422">
        <v>0</v>
      </c>
      <c r="BB204" s="1422">
        <v>0</v>
      </c>
      <c r="BC204" s="1422">
        <v>26313</v>
      </c>
      <c r="BD204" s="1422">
        <v>26255</v>
      </c>
      <c r="BE204" s="1422">
        <v>3900</v>
      </c>
      <c r="BF204" s="1422">
        <v>2400</v>
      </c>
      <c r="BG204" s="1422">
        <v>927</v>
      </c>
      <c r="BH204" s="1422">
        <v>0</v>
      </c>
      <c r="BI204" s="1422">
        <v>52819</v>
      </c>
      <c r="BJ204" s="1422">
        <v>57408</v>
      </c>
      <c r="BK204" s="1422">
        <v>0</v>
      </c>
      <c r="BL204" s="1422">
        <v>0</v>
      </c>
      <c r="BM204" s="1422">
        <v>164176</v>
      </c>
      <c r="BN204" s="1422">
        <v>166980</v>
      </c>
      <c r="BO204" s="1420">
        <v>2606.3200000000002</v>
      </c>
      <c r="BP204" s="1422">
        <v>0</v>
      </c>
      <c r="BQ204" s="1422">
        <v>9750</v>
      </c>
      <c r="BR204" s="1420">
        <v>79743.75</v>
      </c>
      <c r="BS204" s="1420">
        <v>2013.11</v>
      </c>
      <c r="BT204" s="1422">
        <v>0</v>
      </c>
      <c r="BU204" s="1422">
        <v>0</v>
      </c>
      <c r="BV204" s="1422">
        <v>0</v>
      </c>
      <c r="BW204" s="1422">
        <v>0</v>
      </c>
      <c r="BX204" s="1422">
        <v>0</v>
      </c>
      <c r="BY204" s="1422">
        <v>0</v>
      </c>
      <c r="BZ204" s="1422">
        <v>0</v>
      </c>
      <c r="CA204" s="1420">
        <v>298533.56</v>
      </c>
      <c r="CB204" s="1420">
        <v>120848.19</v>
      </c>
      <c r="CC204" s="1420">
        <v>561037.99</v>
      </c>
      <c r="CD204" s="1420">
        <v>453634.94</v>
      </c>
      <c r="CE204" s="1422">
        <v>895374</v>
      </c>
      <c r="CF204" s="1420">
        <v>551092.75</v>
      </c>
      <c r="CG204" s="1420">
        <v>3468.17</v>
      </c>
      <c r="CH204" s="1422">
        <v>0</v>
      </c>
      <c r="CI204" s="1422">
        <v>0</v>
      </c>
      <c r="CJ204" s="1422">
        <v>0</v>
      </c>
      <c r="CK204" s="1422">
        <v>0</v>
      </c>
      <c r="CL204" s="1422">
        <v>0</v>
      </c>
      <c r="CM204" s="1422">
        <v>0</v>
      </c>
      <c r="CN204" s="1422">
        <v>0</v>
      </c>
      <c r="CO204" s="1420">
        <v>33954.339999999997</v>
      </c>
      <c r="CP204" s="1422">
        <v>15000</v>
      </c>
      <c r="CQ204" s="1422">
        <v>0</v>
      </c>
      <c r="CR204" s="1422">
        <v>0</v>
      </c>
      <c r="CS204" s="1420">
        <v>37422.51</v>
      </c>
      <c r="CT204" s="1422">
        <v>15000</v>
      </c>
      <c r="CU204" s="1420">
        <v>5910988.7300000004</v>
      </c>
      <c r="CV204" s="1420">
        <v>5291788.6900000004</v>
      </c>
      <c r="CW204" s="1420">
        <v>2234699.5099999998</v>
      </c>
      <c r="CX204" s="1420">
        <v>2192763.21</v>
      </c>
      <c r="CY204" s="1420">
        <v>222659.32</v>
      </c>
      <c r="CZ204" s="1420">
        <v>230485.51</v>
      </c>
      <c r="DA204" s="1420">
        <v>219714.19</v>
      </c>
      <c r="DB204" s="1420">
        <v>255617.63</v>
      </c>
      <c r="DC204" s="1422">
        <v>0</v>
      </c>
      <c r="DD204" s="1422">
        <v>0</v>
      </c>
      <c r="DE204" s="1420">
        <v>98207.93</v>
      </c>
      <c r="DF204" s="1420">
        <v>96520.2</v>
      </c>
      <c r="DG204" s="1420">
        <v>119328.74</v>
      </c>
      <c r="DH204" s="1420">
        <v>132102.71</v>
      </c>
      <c r="DI204" s="1420">
        <v>2894609.69</v>
      </c>
      <c r="DJ204" s="1420">
        <v>2907489.26</v>
      </c>
      <c r="DK204" s="1420">
        <v>158899.06</v>
      </c>
      <c r="DL204" s="1420">
        <v>161047.53</v>
      </c>
      <c r="DM204" s="1420">
        <v>135311.18</v>
      </c>
      <c r="DN204" s="1420">
        <v>126633.4</v>
      </c>
      <c r="DO204" s="1420">
        <v>552127.51</v>
      </c>
      <c r="DP204" s="1420">
        <v>638892.36</v>
      </c>
      <c r="DQ204" s="1420">
        <v>138446.89000000001</v>
      </c>
      <c r="DR204" s="1420">
        <v>131057.13</v>
      </c>
      <c r="DS204" s="1420">
        <v>11566.33</v>
      </c>
      <c r="DT204" s="1422">
        <v>1550</v>
      </c>
      <c r="DU204" s="1420">
        <v>996350.97</v>
      </c>
      <c r="DV204" s="1420">
        <v>1059180.42</v>
      </c>
      <c r="DW204" s="1422">
        <v>259768</v>
      </c>
      <c r="DX204" s="1420">
        <v>244273.13</v>
      </c>
      <c r="DY204" s="1420">
        <v>388442.79</v>
      </c>
      <c r="DZ204" s="1420">
        <v>366307.27</v>
      </c>
      <c r="EA204" s="1420">
        <v>245880.07</v>
      </c>
      <c r="EB204" s="1420">
        <v>246009.28</v>
      </c>
      <c r="EC204" s="1420">
        <v>894090.86</v>
      </c>
      <c r="ED204" s="1420">
        <v>856589.68</v>
      </c>
      <c r="EE204" s="1420">
        <v>250534.04</v>
      </c>
      <c r="EF204" s="1420">
        <v>241743.03</v>
      </c>
      <c r="EG204" s="1420">
        <v>44768.04</v>
      </c>
      <c r="EH204" s="1422">
        <v>0</v>
      </c>
      <c r="EI204" s="1422">
        <v>0</v>
      </c>
      <c r="EJ204" s="1420">
        <v>223.24</v>
      </c>
      <c r="EK204" s="1422">
        <v>0</v>
      </c>
      <c r="EL204" s="1422">
        <v>0</v>
      </c>
      <c r="EM204" s="1420">
        <v>295302.08</v>
      </c>
      <c r="EN204" s="1420">
        <v>241966.27</v>
      </c>
      <c r="EO204" s="1420">
        <v>683744.9</v>
      </c>
      <c r="EP204" s="1422">
        <v>184085</v>
      </c>
      <c r="EQ204" s="1420">
        <v>194377.42</v>
      </c>
      <c r="ER204" s="1422">
        <v>251715</v>
      </c>
      <c r="ES204" s="1422">
        <v>69273</v>
      </c>
      <c r="ET204" s="1422">
        <v>0</v>
      </c>
      <c r="EU204" s="1420">
        <v>6027748.9199999999</v>
      </c>
      <c r="EV204" s="1420">
        <v>5501025.6299999999</v>
      </c>
      <c r="EW204" s="1420">
        <v>698339.57</v>
      </c>
      <c r="EX204" s="1420">
        <v>213989.49</v>
      </c>
      <c r="EY204" s="1420">
        <v>194377.42</v>
      </c>
      <c r="EZ204" s="1422">
        <v>251715</v>
      </c>
      <c r="FA204" s="1420">
        <v>5135031.93</v>
      </c>
      <c r="FB204" s="1420">
        <v>5035321.1399999997</v>
      </c>
      <c r="FC204" s="1420">
        <v>226257.16</v>
      </c>
      <c r="FD204" s="1439"/>
      <c r="FE204" s="1420">
        <v>4908774.7699999996</v>
      </c>
      <c r="FF204" s="1439"/>
      <c r="FG204" s="1422">
        <v>8364</v>
      </c>
      <c r="FH204" s="1439"/>
      <c r="FI204" s="1420">
        <v>46.32</v>
      </c>
      <c r="FJ204" s="1439"/>
      <c r="FK204" s="1422">
        <v>43197</v>
      </c>
      <c r="FL204" s="1439"/>
      <c r="FM204" s="1420">
        <v>51.38</v>
      </c>
      <c r="FN204" s="1439"/>
      <c r="FO204" s="1422">
        <v>45369</v>
      </c>
      <c r="FP204" s="1439"/>
      <c r="FQ204" s="1420">
        <v>1152858.1100000001</v>
      </c>
      <c r="FR204" s="1439"/>
      <c r="FS204" s="1420">
        <v>5435.19</v>
      </c>
      <c r="FT204" s="1439"/>
      <c r="FU204" s="1422">
        <v>0</v>
      </c>
      <c r="FV204" s="1439"/>
      <c r="FW204" s="1420">
        <v>1147422.92</v>
      </c>
      <c r="FX204" s="1439"/>
      <c r="FY204" s="1420">
        <v>481525.91</v>
      </c>
      <c r="FZ204" s="1439"/>
      <c r="GA204" s="1422">
        <v>0</v>
      </c>
      <c r="GB204" s="1439"/>
    </row>
    <row r="205" spans="1:184" ht="12.75" customHeight="1" thickBot="1">
      <c r="A205" s="1418" t="s">
        <v>285</v>
      </c>
      <c r="B205" s="1418" t="s">
        <v>286</v>
      </c>
      <c r="C205" s="1420">
        <v>91.8</v>
      </c>
      <c r="D205" s="1439"/>
      <c r="E205" s="1420">
        <v>313.82</v>
      </c>
      <c r="F205" s="1439"/>
      <c r="G205" s="1421">
        <v>-0.22</v>
      </c>
      <c r="H205" s="1439"/>
      <c r="I205" s="1420">
        <v>339.65</v>
      </c>
      <c r="J205" s="1439"/>
      <c r="K205" s="1420">
        <v>356.47</v>
      </c>
      <c r="L205" s="1439"/>
      <c r="M205" s="1422">
        <v>27920036</v>
      </c>
      <c r="N205" s="1439"/>
      <c r="O205" s="1422">
        <v>25</v>
      </c>
      <c r="P205" s="1439"/>
      <c r="Q205" s="1422">
        <v>25</v>
      </c>
      <c r="R205" s="1439"/>
      <c r="S205" s="1422">
        <v>0</v>
      </c>
      <c r="T205" s="1439"/>
      <c r="U205" s="1422">
        <v>0</v>
      </c>
      <c r="V205" s="1439"/>
      <c r="W205" s="1420">
        <v>14.3</v>
      </c>
      <c r="X205" s="1439"/>
      <c r="Y205" s="1420">
        <v>39.299999999999997</v>
      </c>
      <c r="Z205" s="1439"/>
      <c r="AA205" s="1422">
        <v>1288104</v>
      </c>
      <c r="AB205" s="1455"/>
      <c r="AC205" s="1424">
        <v>886127.19</v>
      </c>
      <c r="AD205" s="1422">
        <v>885700</v>
      </c>
      <c r="AE205" s="1420">
        <v>169540.55</v>
      </c>
      <c r="AF205" s="1422">
        <v>129601</v>
      </c>
      <c r="AG205" s="1420">
        <v>51.91</v>
      </c>
      <c r="AH205" s="1456">
        <v>50</v>
      </c>
      <c r="AI205" s="1428">
        <v>1431817</v>
      </c>
      <c r="AJ205" s="1422">
        <v>1382407</v>
      </c>
      <c r="AK205" s="1422">
        <v>119582</v>
      </c>
      <c r="AL205" s="1422">
        <v>120000</v>
      </c>
      <c r="AM205" s="1422">
        <v>0</v>
      </c>
      <c r="AN205" s="1422">
        <v>100000</v>
      </c>
      <c r="AO205" s="1422">
        <v>64476</v>
      </c>
      <c r="AP205" s="1422">
        <v>54589</v>
      </c>
      <c r="AQ205" s="1422">
        <v>0</v>
      </c>
      <c r="AR205" s="1422">
        <v>0</v>
      </c>
      <c r="AS205" s="1422">
        <v>0</v>
      </c>
      <c r="AT205" s="1422">
        <v>0</v>
      </c>
      <c r="AU205" s="1422">
        <v>25433</v>
      </c>
      <c r="AV205" s="1422">
        <v>20346</v>
      </c>
      <c r="AW205" s="1422">
        <v>0</v>
      </c>
      <c r="AX205" s="1422">
        <v>0</v>
      </c>
      <c r="AY205" s="1420">
        <v>2697027.65</v>
      </c>
      <c r="AZ205" s="1422">
        <v>2692693</v>
      </c>
      <c r="BA205" s="1422">
        <v>0</v>
      </c>
      <c r="BB205" s="1422">
        <v>0</v>
      </c>
      <c r="BC205" s="1422">
        <v>14744</v>
      </c>
      <c r="BD205" s="1422">
        <v>14354</v>
      </c>
      <c r="BE205" s="1422">
        <v>2400</v>
      </c>
      <c r="BF205" s="1422">
        <v>9600</v>
      </c>
      <c r="BG205" s="1422">
        <v>0</v>
      </c>
      <c r="BH205" s="1422">
        <v>0</v>
      </c>
      <c r="BI205" s="1422">
        <v>47943</v>
      </c>
      <c r="BJ205" s="1422">
        <v>39087</v>
      </c>
      <c r="BK205" s="1422">
        <v>0</v>
      </c>
      <c r="BL205" s="1422">
        <v>0</v>
      </c>
      <c r="BM205" s="1422">
        <v>183188</v>
      </c>
      <c r="BN205" s="1422">
        <v>116886</v>
      </c>
      <c r="BO205" s="1420">
        <v>1460.33</v>
      </c>
      <c r="BP205" s="1422">
        <v>0</v>
      </c>
      <c r="BQ205" s="1420">
        <v>5416.76</v>
      </c>
      <c r="BR205" s="1422">
        <v>4062</v>
      </c>
      <c r="BS205" s="1420">
        <v>4013.1</v>
      </c>
      <c r="BT205" s="1422">
        <v>4000</v>
      </c>
      <c r="BU205" s="1422">
        <v>0</v>
      </c>
      <c r="BV205" s="1422">
        <v>0</v>
      </c>
      <c r="BW205" s="1420">
        <v>92437.2</v>
      </c>
      <c r="BX205" s="1422">
        <v>97200</v>
      </c>
      <c r="BY205" s="1422">
        <v>0</v>
      </c>
      <c r="BZ205" s="1422">
        <v>0</v>
      </c>
      <c r="CA205" s="1422">
        <v>9439</v>
      </c>
      <c r="CB205" s="1422">
        <v>8603</v>
      </c>
      <c r="CC205" s="1420">
        <v>361041.39</v>
      </c>
      <c r="CD205" s="1422">
        <v>293792</v>
      </c>
      <c r="CE205" s="1420">
        <v>654770.51</v>
      </c>
      <c r="CF205" s="1420">
        <v>843471.55</v>
      </c>
      <c r="CG205" s="1420">
        <v>316.41000000000003</v>
      </c>
      <c r="CH205" s="1422">
        <v>0</v>
      </c>
      <c r="CI205" s="1422">
        <v>0</v>
      </c>
      <c r="CJ205" s="1422">
        <v>0</v>
      </c>
      <c r="CK205" s="1422">
        <v>0</v>
      </c>
      <c r="CL205" s="1422">
        <v>0</v>
      </c>
      <c r="CM205" s="1422">
        <v>550</v>
      </c>
      <c r="CN205" s="1422">
        <v>0</v>
      </c>
      <c r="CO205" s="1422">
        <v>0</v>
      </c>
      <c r="CP205" s="1422">
        <v>0</v>
      </c>
      <c r="CQ205" s="1422">
        <v>0</v>
      </c>
      <c r="CR205" s="1422">
        <v>0</v>
      </c>
      <c r="CS205" s="1420">
        <v>866.41</v>
      </c>
      <c r="CT205" s="1422">
        <v>0</v>
      </c>
      <c r="CU205" s="1420">
        <v>3713705.96</v>
      </c>
      <c r="CV205" s="1420">
        <v>3829956.55</v>
      </c>
      <c r="CW205" s="1420">
        <v>1289663.44</v>
      </c>
      <c r="CX205" s="1422">
        <v>1287020</v>
      </c>
      <c r="CY205" s="1420">
        <v>231703.35</v>
      </c>
      <c r="CZ205" s="1422">
        <v>208720</v>
      </c>
      <c r="DA205" s="1420">
        <v>181160.51</v>
      </c>
      <c r="DB205" s="1422">
        <v>174448</v>
      </c>
      <c r="DC205" s="1422">
        <v>0</v>
      </c>
      <c r="DD205" s="1422">
        <v>0</v>
      </c>
      <c r="DE205" s="1420">
        <v>84706.67</v>
      </c>
      <c r="DF205" s="1422">
        <v>81505</v>
      </c>
      <c r="DG205" s="1420">
        <v>177582.89</v>
      </c>
      <c r="DH205" s="1420">
        <v>184034.82</v>
      </c>
      <c r="DI205" s="1420">
        <v>1964816.86</v>
      </c>
      <c r="DJ205" s="1420">
        <v>1935727.82</v>
      </c>
      <c r="DK205" s="1420">
        <v>149633.96</v>
      </c>
      <c r="DL205" s="1422">
        <v>153716</v>
      </c>
      <c r="DM205" s="1420">
        <v>102693.73</v>
      </c>
      <c r="DN205" s="1422">
        <v>99832</v>
      </c>
      <c r="DO205" s="1420">
        <v>366921.98</v>
      </c>
      <c r="DP205" s="1422">
        <v>364296</v>
      </c>
      <c r="DQ205" s="1420">
        <v>164345.43</v>
      </c>
      <c r="DR205" s="1422">
        <v>184357</v>
      </c>
      <c r="DS205" s="1420">
        <v>13203.64</v>
      </c>
      <c r="DT205" s="1422">
        <v>6850</v>
      </c>
      <c r="DU205" s="1420">
        <v>796798.74</v>
      </c>
      <c r="DV205" s="1422">
        <v>809051</v>
      </c>
      <c r="DW205" s="1420">
        <v>189795.7</v>
      </c>
      <c r="DX205" s="1422">
        <v>142957</v>
      </c>
      <c r="DY205" s="1420">
        <v>352322.51</v>
      </c>
      <c r="DZ205" s="1420">
        <v>363882.7</v>
      </c>
      <c r="EA205" s="1420">
        <v>169998.52</v>
      </c>
      <c r="EB205" s="1422">
        <v>185179</v>
      </c>
      <c r="EC205" s="1420">
        <v>712116.73</v>
      </c>
      <c r="ED205" s="1420">
        <v>692018.7</v>
      </c>
      <c r="EE205" s="1420">
        <v>254242.99</v>
      </c>
      <c r="EF205" s="1422">
        <v>248195</v>
      </c>
      <c r="EG205" s="1422">
        <v>0</v>
      </c>
      <c r="EH205" s="1422">
        <v>0</v>
      </c>
      <c r="EI205" s="1422">
        <v>0</v>
      </c>
      <c r="EJ205" s="1420">
        <v>2176.84</v>
      </c>
      <c r="EK205" s="1422">
        <v>0</v>
      </c>
      <c r="EL205" s="1422">
        <v>0</v>
      </c>
      <c r="EM205" s="1420">
        <v>254242.99</v>
      </c>
      <c r="EN205" s="1420">
        <v>250371.84</v>
      </c>
      <c r="EO205" s="1420">
        <v>84775.3</v>
      </c>
      <c r="EP205" s="1420">
        <v>1075617.49</v>
      </c>
      <c r="EQ205" s="1420">
        <v>55994.080000000002</v>
      </c>
      <c r="ER205" s="1422">
        <v>71801</v>
      </c>
      <c r="ES205" s="1422">
        <v>0</v>
      </c>
      <c r="ET205" s="1422">
        <v>0</v>
      </c>
      <c r="EU205" s="1420">
        <v>3868744.7</v>
      </c>
      <c r="EV205" s="1420">
        <v>4834587.8499999996</v>
      </c>
      <c r="EW205" s="1420">
        <v>97098.9</v>
      </c>
      <c r="EX205" s="1420">
        <v>1077117.49</v>
      </c>
      <c r="EY205" s="1420">
        <v>55994.080000000002</v>
      </c>
      <c r="EZ205" s="1422">
        <v>71801</v>
      </c>
      <c r="FA205" s="1420">
        <v>3715651.72</v>
      </c>
      <c r="FB205" s="1420">
        <v>3685669.36</v>
      </c>
      <c r="FC205" s="1420">
        <v>238839.79</v>
      </c>
      <c r="FD205" s="1439"/>
      <c r="FE205" s="1420">
        <v>3476811.93</v>
      </c>
      <c r="FF205" s="1439"/>
      <c r="FG205" s="1422">
        <v>11079</v>
      </c>
      <c r="FH205" s="1439"/>
      <c r="FI205" s="1420">
        <v>24.51</v>
      </c>
      <c r="FJ205" s="1439"/>
      <c r="FK205" s="1422">
        <v>50882</v>
      </c>
      <c r="FL205" s="1439"/>
      <c r="FM205" s="1420">
        <v>25.52</v>
      </c>
      <c r="FN205" s="1439"/>
      <c r="FO205" s="1422">
        <v>56961</v>
      </c>
      <c r="FP205" s="1439"/>
      <c r="FQ205" s="1420">
        <v>366908.63</v>
      </c>
      <c r="FR205" s="1439"/>
      <c r="FS205" s="1420">
        <v>20163.41</v>
      </c>
      <c r="FT205" s="1439"/>
      <c r="FU205" s="1422">
        <v>0</v>
      </c>
      <c r="FV205" s="1439"/>
      <c r="FW205" s="1420">
        <v>346745.22</v>
      </c>
      <c r="FX205" s="1439"/>
      <c r="FY205" s="1420">
        <v>797057.72</v>
      </c>
      <c r="FZ205" s="1439"/>
      <c r="GA205" s="1422">
        <v>0</v>
      </c>
      <c r="GB205" s="1439"/>
    </row>
    <row r="206" spans="1:184" ht="12.75" customHeight="1" thickBot="1">
      <c r="A206" s="1418" t="s">
        <v>287</v>
      </c>
      <c r="B206" s="1418" t="s">
        <v>288</v>
      </c>
      <c r="C206" s="1420">
        <v>63.35</v>
      </c>
      <c r="D206" s="1439"/>
      <c r="E206" s="1420">
        <v>803.49</v>
      </c>
      <c r="F206" s="1439"/>
      <c r="G206" s="1421">
        <v>-0.05</v>
      </c>
      <c r="H206" s="1439"/>
      <c r="I206" s="1420">
        <v>846.71</v>
      </c>
      <c r="J206" s="1439"/>
      <c r="K206" s="1420">
        <v>832.67</v>
      </c>
      <c r="L206" s="1439"/>
      <c r="M206" s="1422">
        <v>54346830</v>
      </c>
      <c r="N206" s="1439"/>
      <c r="O206" s="1422">
        <v>25</v>
      </c>
      <c r="P206" s="1439"/>
      <c r="Q206" s="1422">
        <v>25</v>
      </c>
      <c r="R206" s="1439"/>
      <c r="S206" s="1422">
        <v>0</v>
      </c>
      <c r="T206" s="1439"/>
      <c r="U206" s="1422">
        <v>0</v>
      </c>
      <c r="V206" s="1439"/>
      <c r="W206" s="1420">
        <v>16.899999999999999</v>
      </c>
      <c r="X206" s="1439"/>
      <c r="Y206" s="1420">
        <v>41.9</v>
      </c>
      <c r="Z206" s="1439"/>
      <c r="AA206" s="1420">
        <v>12815466.800000001</v>
      </c>
      <c r="AB206" s="1455"/>
      <c r="AC206" s="1424">
        <v>2269237.38</v>
      </c>
      <c r="AD206" s="1422">
        <v>1951497</v>
      </c>
      <c r="AE206" s="1420">
        <v>633297.38</v>
      </c>
      <c r="AF206" s="1420">
        <v>454918.29</v>
      </c>
      <c r="AG206" s="1420">
        <v>122.56</v>
      </c>
      <c r="AH206" s="1456">
        <v>100</v>
      </c>
      <c r="AI206" s="1428">
        <v>3642677</v>
      </c>
      <c r="AJ206" s="1422">
        <v>3838384</v>
      </c>
      <c r="AK206" s="1422">
        <v>42648</v>
      </c>
      <c r="AL206" s="1422">
        <v>0</v>
      </c>
      <c r="AM206" s="1422">
        <v>0</v>
      </c>
      <c r="AN206" s="1422">
        <v>0</v>
      </c>
      <c r="AO206" s="1422">
        <v>138198</v>
      </c>
      <c r="AP206" s="1422">
        <v>0</v>
      </c>
      <c r="AQ206" s="1422">
        <v>0</v>
      </c>
      <c r="AR206" s="1422">
        <v>0</v>
      </c>
      <c r="AS206" s="1422">
        <v>0</v>
      </c>
      <c r="AT206" s="1422">
        <v>0</v>
      </c>
      <c r="AU206" s="1422">
        <v>11291</v>
      </c>
      <c r="AV206" s="1422">
        <v>9033</v>
      </c>
      <c r="AW206" s="1422">
        <v>0</v>
      </c>
      <c r="AX206" s="1422">
        <v>0</v>
      </c>
      <c r="AY206" s="1420">
        <v>6737471.3200000003</v>
      </c>
      <c r="AZ206" s="1420">
        <v>6253932.29</v>
      </c>
      <c r="BA206" s="1422">
        <v>0</v>
      </c>
      <c r="BB206" s="1422">
        <v>0</v>
      </c>
      <c r="BC206" s="1422">
        <v>34439</v>
      </c>
      <c r="BD206" s="1422">
        <v>35941</v>
      </c>
      <c r="BE206" s="1420">
        <v>4630.07</v>
      </c>
      <c r="BF206" s="1422">
        <v>8400</v>
      </c>
      <c r="BG206" s="1422">
        <v>867</v>
      </c>
      <c r="BH206" s="1422">
        <v>0</v>
      </c>
      <c r="BI206" s="1422">
        <v>12920</v>
      </c>
      <c r="BJ206" s="1422">
        <v>45222</v>
      </c>
      <c r="BK206" s="1422">
        <v>879</v>
      </c>
      <c r="BL206" s="1422">
        <v>897</v>
      </c>
      <c r="BM206" s="1422">
        <v>194432</v>
      </c>
      <c r="BN206" s="1422">
        <v>210496</v>
      </c>
      <c r="BO206" s="1420">
        <v>6779.15</v>
      </c>
      <c r="BP206" s="1422">
        <v>0</v>
      </c>
      <c r="BQ206" s="1420">
        <v>45972.52</v>
      </c>
      <c r="BR206" s="1422">
        <v>8125</v>
      </c>
      <c r="BS206" s="1420">
        <v>3293.71</v>
      </c>
      <c r="BT206" s="1422">
        <v>3400</v>
      </c>
      <c r="BU206" s="1422">
        <v>0</v>
      </c>
      <c r="BV206" s="1422">
        <v>0</v>
      </c>
      <c r="BW206" s="1422">
        <v>267300</v>
      </c>
      <c r="BX206" s="1422">
        <v>267300</v>
      </c>
      <c r="BY206" s="1422">
        <v>0</v>
      </c>
      <c r="BZ206" s="1422">
        <v>0</v>
      </c>
      <c r="CA206" s="1420">
        <v>442097.84</v>
      </c>
      <c r="CB206" s="1420">
        <v>514991.73</v>
      </c>
      <c r="CC206" s="1420">
        <v>1013610.29</v>
      </c>
      <c r="CD206" s="1420">
        <v>1094772.73</v>
      </c>
      <c r="CE206" s="1420">
        <v>1491812.75</v>
      </c>
      <c r="CF206" s="1420">
        <v>1188901.74</v>
      </c>
      <c r="CG206" s="1420">
        <v>1140630.93</v>
      </c>
      <c r="CH206" s="1422">
        <v>149000</v>
      </c>
      <c r="CI206" s="1422">
        <v>0</v>
      </c>
      <c r="CJ206" s="1422">
        <v>0</v>
      </c>
      <c r="CK206" s="1420">
        <v>14388.52</v>
      </c>
      <c r="CL206" s="1420">
        <v>13014.12</v>
      </c>
      <c r="CM206" s="1422">
        <v>0</v>
      </c>
      <c r="CN206" s="1422">
        <v>11500</v>
      </c>
      <c r="CO206" s="1420">
        <v>6676.92</v>
      </c>
      <c r="CP206" s="1422">
        <v>15216</v>
      </c>
      <c r="CQ206" s="1422">
        <v>0</v>
      </c>
      <c r="CR206" s="1422">
        <v>0</v>
      </c>
      <c r="CS206" s="1420">
        <v>1161696.3700000001</v>
      </c>
      <c r="CT206" s="1420">
        <v>188730.12</v>
      </c>
      <c r="CU206" s="1420">
        <v>10404590.73</v>
      </c>
      <c r="CV206" s="1420">
        <v>8726336.8800000008</v>
      </c>
      <c r="CW206" s="1420">
        <v>3187520.54</v>
      </c>
      <c r="CX206" s="1420">
        <v>2998165.67</v>
      </c>
      <c r="CY206" s="1420">
        <v>405402.8</v>
      </c>
      <c r="CZ206" s="1420">
        <v>380029.83</v>
      </c>
      <c r="DA206" s="1420">
        <v>233355.94</v>
      </c>
      <c r="DB206" s="1420">
        <v>239096.49</v>
      </c>
      <c r="DC206" s="1422">
        <v>0</v>
      </c>
      <c r="DD206" s="1422">
        <v>0</v>
      </c>
      <c r="DE206" s="1420">
        <v>422320.19</v>
      </c>
      <c r="DF206" s="1420">
        <v>307361.05</v>
      </c>
      <c r="DG206" s="1420">
        <v>113231.74</v>
      </c>
      <c r="DH206" s="1420">
        <v>112640.37</v>
      </c>
      <c r="DI206" s="1420">
        <v>4361831.21</v>
      </c>
      <c r="DJ206" s="1420">
        <v>4037293.41</v>
      </c>
      <c r="DK206" s="1420">
        <v>430902.9</v>
      </c>
      <c r="DL206" s="1420">
        <v>353568.16</v>
      </c>
      <c r="DM206" s="1420">
        <v>227577.14</v>
      </c>
      <c r="DN206" s="1420">
        <v>171101.26</v>
      </c>
      <c r="DO206" s="1420">
        <v>894196.39</v>
      </c>
      <c r="DP206" s="1420">
        <v>841401.94</v>
      </c>
      <c r="DQ206" s="1420">
        <v>446918.81</v>
      </c>
      <c r="DR206" s="1420">
        <v>298416.7</v>
      </c>
      <c r="DS206" s="1420">
        <v>41243.449999999997</v>
      </c>
      <c r="DT206" s="1420">
        <v>20314.12</v>
      </c>
      <c r="DU206" s="1420">
        <v>2040838.69</v>
      </c>
      <c r="DV206" s="1420">
        <v>1684802.18</v>
      </c>
      <c r="DW206" s="1420">
        <v>496992.3</v>
      </c>
      <c r="DX206" s="1420">
        <v>556597.74</v>
      </c>
      <c r="DY206" s="1420">
        <v>573375.68000000005</v>
      </c>
      <c r="DZ206" s="1420">
        <v>396300.64</v>
      </c>
      <c r="EA206" s="1420">
        <v>368056.52</v>
      </c>
      <c r="EB206" s="1422">
        <v>355043</v>
      </c>
      <c r="EC206" s="1420">
        <v>1438424.5</v>
      </c>
      <c r="ED206" s="1420">
        <v>1307941.3799999999</v>
      </c>
      <c r="EE206" s="1420">
        <v>408532.94</v>
      </c>
      <c r="EF206" s="1420">
        <v>427929.21</v>
      </c>
      <c r="EG206" s="1420">
        <v>17246.310000000001</v>
      </c>
      <c r="EH206" s="1422">
        <v>0</v>
      </c>
      <c r="EI206" s="1420">
        <v>3764.79</v>
      </c>
      <c r="EJ206" s="1420">
        <v>955.95</v>
      </c>
      <c r="EK206" s="1422">
        <v>0</v>
      </c>
      <c r="EL206" s="1422">
        <v>0</v>
      </c>
      <c r="EM206" s="1420">
        <v>429544.04</v>
      </c>
      <c r="EN206" s="1420">
        <v>428885.16</v>
      </c>
      <c r="EO206" s="1420">
        <v>1153162.67</v>
      </c>
      <c r="EP206" s="1420">
        <v>571525.73</v>
      </c>
      <c r="EQ206" s="1420">
        <v>828698.01</v>
      </c>
      <c r="ER206" s="1420">
        <v>949406.75</v>
      </c>
      <c r="ES206" s="1420">
        <v>132302.01</v>
      </c>
      <c r="ET206" s="1420">
        <v>17356.189999999999</v>
      </c>
      <c r="EU206" s="1420">
        <v>10384801.130000001</v>
      </c>
      <c r="EV206" s="1420">
        <v>8997210.8000000007</v>
      </c>
      <c r="EW206" s="1420">
        <v>1511302.25</v>
      </c>
      <c r="EX206" s="1420">
        <v>765373.52</v>
      </c>
      <c r="EY206" s="1420">
        <v>828698.01</v>
      </c>
      <c r="EZ206" s="1420">
        <v>949406.75</v>
      </c>
      <c r="FA206" s="1420">
        <v>8044800.8700000001</v>
      </c>
      <c r="FB206" s="1420">
        <v>7282430.5300000003</v>
      </c>
      <c r="FC206" s="1420">
        <v>887451.97</v>
      </c>
      <c r="FD206" s="1439"/>
      <c r="FE206" s="1420">
        <v>7157348.9000000004</v>
      </c>
      <c r="FF206" s="1439"/>
      <c r="FG206" s="1422">
        <v>8907</v>
      </c>
      <c r="FH206" s="1439"/>
      <c r="FI206" s="1420">
        <v>66.69</v>
      </c>
      <c r="FJ206" s="1439"/>
      <c r="FK206" s="1422">
        <v>40112</v>
      </c>
      <c r="FL206" s="1439"/>
      <c r="FM206" s="1420">
        <v>71.02</v>
      </c>
      <c r="FN206" s="1439"/>
      <c r="FO206" s="1422">
        <v>42550</v>
      </c>
      <c r="FP206" s="1439"/>
      <c r="FQ206" s="1420">
        <v>1316820.27</v>
      </c>
      <c r="FR206" s="1439"/>
      <c r="FS206" s="1420">
        <v>1850.73</v>
      </c>
      <c r="FT206" s="1439"/>
      <c r="FU206" s="1422">
        <v>0</v>
      </c>
      <c r="FV206" s="1439"/>
      <c r="FW206" s="1420">
        <v>1314969.54</v>
      </c>
      <c r="FX206" s="1439"/>
      <c r="FY206" s="1420">
        <v>2357500.89</v>
      </c>
      <c r="FZ206" s="1439"/>
      <c r="GA206" s="1422">
        <v>0</v>
      </c>
      <c r="GB206" s="1439"/>
    </row>
    <row r="207" spans="1:184" ht="12.75" customHeight="1" thickBot="1">
      <c r="A207" s="1418" t="s">
        <v>289</v>
      </c>
      <c r="B207" s="1418" t="s">
        <v>290</v>
      </c>
      <c r="C207" s="1420">
        <v>154.34</v>
      </c>
      <c r="D207" s="1439"/>
      <c r="E207" s="1420">
        <v>887.06</v>
      </c>
      <c r="F207" s="1439"/>
      <c r="G207" s="1421">
        <v>-0.12</v>
      </c>
      <c r="H207" s="1439"/>
      <c r="I207" s="1420">
        <v>955.23</v>
      </c>
      <c r="J207" s="1439"/>
      <c r="K207" s="1420">
        <v>951.16</v>
      </c>
      <c r="L207" s="1439"/>
      <c r="M207" s="1422">
        <v>57421445</v>
      </c>
      <c r="N207" s="1439"/>
      <c r="O207" s="1422">
        <v>25</v>
      </c>
      <c r="P207" s="1439"/>
      <c r="Q207" s="1422">
        <v>25</v>
      </c>
      <c r="R207" s="1439"/>
      <c r="S207" s="1422">
        <v>0</v>
      </c>
      <c r="T207" s="1439"/>
      <c r="U207" s="1422">
        <v>0</v>
      </c>
      <c r="V207" s="1439"/>
      <c r="W207" s="1420">
        <v>15.01</v>
      </c>
      <c r="X207" s="1439"/>
      <c r="Y207" s="1420">
        <v>40.01</v>
      </c>
      <c r="Z207" s="1439"/>
      <c r="AA207" s="1420">
        <v>9540870.0500000007</v>
      </c>
      <c r="AB207" s="1455"/>
      <c r="AC207" s="1424">
        <v>2222300.91</v>
      </c>
      <c r="AD207" s="1422">
        <v>2151039</v>
      </c>
      <c r="AE207" s="1422">
        <v>400745</v>
      </c>
      <c r="AF207" s="1422">
        <v>351275</v>
      </c>
      <c r="AG207" s="1420">
        <v>138.66</v>
      </c>
      <c r="AH207" s="1456">
        <v>150</v>
      </c>
      <c r="AI207" s="1428">
        <v>4298159</v>
      </c>
      <c r="AJ207" s="1422">
        <v>4449648</v>
      </c>
      <c r="AK207" s="1422">
        <v>53902</v>
      </c>
      <c r="AL207" s="1422">
        <v>0</v>
      </c>
      <c r="AM207" s="1422">
        <v>0</v>
      </c>
      <c r="AN207" s="1422">
        <v>0</v>
      </c>
      <c r="AO207" s="1422">
        <v>109709</v>
      </c>
      <c r="AP207" s="1422">
        <v>0</v>
      </c>
      <c r="AQ207" s="1422">
        <v>0</v>
      </c>
      <c r="AR207" s="1422">
        <v>0</v>
      </c>
      <c r="AS207" s="1422">
        <v>0</v>
      </c>
      <c r="AT207" s="1422">
        <v>0</v>
      </c>
      <c r="AU207" s="1422">
        <v>15871</v>
      </c>
      <c r="AV207" s="1422">
        <v>12696</v>
      </c>
      <c r="AW207" s="1422">
        <v>0</v>
      </c>
      <c r="AX207" s="1422">
        <v>0</v>
      </c>
      <c r="AY207" s="1420">
        <v>7100825.5700000003</v>
      </c>
      <c r="AZ207" s="1422">
        <v>6964808</v>
      </c>
      <c r="BA207" s="1422">
        <v>0</v>
      </c>
      <c r="BB207" s="1422">
        <v>0</v>
      </c>
      <c r="BC207" s="1422">
        <v>39340</v>
      </c>
      <c r="BD207" s="1422">
        <v>40621</v>
      </c>
      <c r="BE207" s="1420">
        <v>1126.1500000000001</v>
      </c>
      <c r="BF207" s="1422">
        <v>3600</v>
      </c>
      <c r="BG207" s="1422">
        <v>250</v>
      </c>
      <c r="BH207" s="1422">
        <v>0</v>
      </c>
      <c r="BI207" s="1422">
        <v>37014</v>
      </c>
      <c r="BJ207" s="1422">
        <v>38673</v>
      </c>
      <c r="BK207" s="1422">
        <v>586</v>
      </c>
      <c r="BL207" s="1422">
        <v>0</v>
      </c>
      <c r="BM207" s="1422">
        <v>248496</v>
      </c>
      <c r="BN207" s="1422">
        <v>280324</v>
      </c>
      <c r="BO207" s="1420">
        <v>3896.58</v>
      </c>
      <c r="BP207" s="1422">
        <v>0</v>
      </c>
      <c r="BQ207" s="1422">
        <v>13000</v>
      </c>
      <c r="BR207" s="1422">
        <v>13000</v>
      </c>
      <c r="BS207" s="1420">
        <v>2145.81</v>
      </c>
      <c r="BT207" s="1422">
        <v>2145</v>
      </c>
      <c r="BU207" s="1422">
        <v>0</v>
      </c>
      <c r="BV207" s="1422">
        <v>0</v>
      </c>
      <c r="BW207" s="1422">
        <v>0</v>
      </c>
      <c r="BX207" s="1422">
        <v>0</v>
      </c>
      <c r="BY207" s="1422">
        <v>0</v>
      </c>
      <c r="BZ207" s="1422">
        <v>0</v>
      </c>
      <c r="CA207" s="1422">
        <v>125667</v>
      </c>
      <c r="CB207" s="1422">
        <v>124572</v>
      </c>
      <c r="CC207" s="1420">
        <v>471521.54</v>
      </c>
      <c r="CD207" s="1422">
        <v>502935</v>
      </c>
      <c r="CE207" s="1420">
        <v>1279653.73</v>
      </c>
      <c r="CF207" s="1420">
        <v>996186.91</v>
      </c>
      <c r="CG207" s="1422">
        <v>0</v>
      </c>
      <c r="CH207" s="1422">
        <v>0</v>
      </c>
      <c r="CI207" s="1422">
        <v>0</v>
      </c>
      <c r="CJ207" s="1422">
        <v>0</v>
      </c>
      <c r="CK207" s="1422">
        <v>0</v>
      </c>
      <c r="CL207" s="1422">
        <v>0</v>
      </c>
      <c r="CM207" s="1422">
        <v>0</v>
      </c>
      <c r="CN207" s="1422">
        <v>0</v>
      </c>
      <c r="CO207" s="1422">
        <v>0</v>
      </c>
      <c r="CP207" s="1422">
        <v>0</v>
      </c>
      <c r="CQ207" s="1422">
        <v>0</v>
      </c>
      <c r="CR207" s="1422">
        <v>0</v>
      </c>
      <c r="CS207" s="1422">
        <v>0</v>
      </c>
      <c r="CT207" s="1422">
        <v>0</v>
      </c>
      <c r="CU207" s="1420">
        <v>8852000.8399999999</v>
      </c>
      <c r="CV207" s="1420">
        <v>8463929.9100000001</v>
      </c>
      <c r="CW207" s="1420">
        <v>2858930.93</v>
      </c>
      <c r="CX207" s="1420">
        <v>3243078.84</v>
      </c>
      <c r="CY207" s="1420">
        <v>614010.37</v>
      </c>
      <c r="CZ207" s="1420">
        <v>525582.62</v>
      </c>
      <c r="DA207" s="1420">
        <v>245059.91</v>
      </c>
      <c r="DB207" s="1420">
        <v>254620.52</v>
      </c>
      <c r="DC207" s="1422">
        <v>0</v>
      </c>
      <c r="DD207" s="1422">
        <v>0</v>
      </c>
      <c r="DE207" s="1420">
        <v>349654.77</v>
      </c>
      <c r="DF207" s="1420">
        <v>368944.15</v>
      </c>
      <c r="DG207" s="1420">
        <v>268131.15000000002</v>
      </c>
      <c r="DH207" s="1420">
        <v>321124.34999999998</v>
      </c>
      <c r="DI207" s="1420">
        <v>4335787.13</v>
      </c>
      <c r="DJ207" s="1420">
        <v>4713350.4800000004</v>
      </c>
      <c r="DK207" s="1420">
        <v>286249.09000000003</v>
      </c>
      <c r="DL207" s="1420">
        <v>243473.32</v>
      </c>
      <c r="DM207" s="1420">
        <v>168780.03</v>
      </c>
      <c r="DN207" s="1420">
        <v>205235.68</v>
      </c>
      <c r="DO207" s="1420">
        <v>601468.19999999995</v>
      </c>
      <c r="DP207" s="1420">
        <v>696747.88</v>
      </c>
      <c r="DQ207" s="1420">
        <v>420186.63</v>
      </c>
      <c r="DR207" s="1420">
        <v>474354.57</v>
      </c>
      <c r="DS207" s="1420">
        <v>31818.04</v>
      </c>
      <c r="DT207" s="1422">
        <v>28000</v>
      </c>
      <c r="DU207" s="1420">
        <v>1508501.99</v>
      </c>
      <c r="DV207" s="1420">
        <v>1647811.45</v>
      </c>
      <c r="DW207" s="1420">
        <v>268237.86</v>
      </c>
      <c r="DX207" s="1420">
        <v>332739.90999999997</v>
      </c>
      <c r="DY207" s="1420">
        <v>504619.89</v>
      </c>
      <c r="DZ207" s="1422">
        <v>352750</v>
      </c>
      <c r="EA207" s="1420">
        <v>376859.29</v>
      </c>
      <c r="EB207" s="1420">
        <v>395863.95</v>
      </c>
      <c r="EC207" s="1420">
        <v>1149717.04</v>
      </c>
      <c r="ED207" s="1420">
        <v>1081353.8600000001</v>
      </c>
      <c r="EE207" s="1420">
        <v>414889.75</v>
      </c>
      <c r="EF207" s="1420">
        <v>371447.33</v>
      </c>
      <c r="EG207" s="1422">
        <v>0</v>
      </c>
      <c r="EH207" s="1422">
        <v>0</v>
      </c>
      <c r="EI207" s="1422">
        <v>0</v>
      </c>
      <c r="EJ207" s="1422">
        <v>0</v>
      </c>
      <c r="EK207" s="1422">
        <v>0</v>
      </c>
      <c r="EL207" s="1422">
        <v>0</v>
      </c>
      <c r="EM207" s="1420">
        <v>414889.75</v>
      </c>
      <c r="EN207" s="1420">
        <v>371447.33</v>
      </c>
      <c r="EO207" s="1422">
        <v>0</v>
      </c>
      <c r="EP207" s="1422">
        <v>0</v>
      </c>
      <c r="EQ207" s="1420">
        <v>765215.75</v>
      </c>
      <c r="ER207" s="1420">
        <v>646032.13</v>
      </c>
      <c r="ES207" s="1420">
        <v>7610.87</v>
      </c>
      <c r="ET207" s="1422">
        <v>0</v>
      </c>
      <c r="EU207" s="1420">
        <v>8181722.5300000003</v>
      </c>
      <c r="EV207" s="1420">
        <v>8459995.25</v>
      </c>
      <c r="EW207" s="1420">
        <v>240267.97</v>
      </c>
      <c r="EX207" s="1420">
        <v>235534.38</v>
      </c>
      <c r="EY207" s="1420">
        <v>765215.75</v>
      </c>
      <c r="EZ207" s="1420">
        <v>646032.13</v>
      </c>
      <c r="FA207" s="1420">
        <v>7176238.8099999996</v>
      </c>
      <c r="FB207" s="1420">
        <v>7578428.7400000002</v>
      </c>
      <c r="FC207" s="1420">
        <v>359668.45</v>
      </c>
      <c r="FD207" s="1439"/>
      <c r="FE207" s="1420">
        <v>6816570.3600000003</v>
      </c>
      <c r="FF207" s="1439"/>
      <c r="FG207" s="1422">
        <v>7684</v>
      </c>
      <c r="FH207" s="1439"/>
      <c r="FI207" s="1420">
        <v>69.75</v>
      </c>
      <c r="FJ207" s="1439"/>
      <c r="FK207" s="1422">
        <v>42355</v>
      </c>
      <c r="FL207" s="1439"/>
      <c r="FM207" s="1420">
        <v>75.260000000000005</v>
      </c>
      <c r="FN207" s="1439"/>
      <c r="FO207" s="1422">
        <v>44198</v>
      </c>
      <c r="FP207" s="1439"/>
      <c r="FQ207" s="1420">
        <v>1036664.91</v>
      </c>
      <c r="FR207" s="1439"/>
      <c r="FS207" s="1420">
        <v>61555.81</v>
      </c>
      <c r="FT207" s="1439"/>
      <c r="FU207" s="1422">
        <v>0</v>
      </c>
      <c r="FV207" s="1439"/>
      <c r="FW207" s="1420">
        <v>975109.1</v>
      </c>
      <c r="FX207" s="1439"/>
      <c r="FY207" s="1420">
        <v>196539.16</v>
      </c>
      <c r="FZ207" s="1439"/>
      <c r="GA207" s="1422">
        <v>0</v>
      </c>
      <c r="GB207" s="1439"/>
    </row>
    <row r="208" spans="1:184" ht="12.75" customHeight="1" thickBot="1">
      <c r="A208" s="1418" t="s">
        <v>291</v>
      </c>
      <c r="B208" s="1418" t="s">
        <v>292</v>
      </c>
      <c r="C208" s="1420">
        <v>381.44</v>
      </c>
      <c r="D208" s="1439"/>
      <c r="E208" s="1420">
        <v>2268.67</v>
      </c>
      <c r="F208" s="1439"/>
      <c r="G208" s="1421">
        <v>-0.01</v>
      </c>
      <c r="H208" s="1439"/>
      <c r="I208" s="1420">
        <v>2380.2600000000002</v>
      </c>
      <c r="J208" s="1439"/>
      <c r="K208" s="1420">
        <v>2495.6799999999998</v>
      </c>
      <c r="L208" s="1439"/>
      <c r="M208" s="1422">
        <v>112572139</v>
      </c>
      <c r="N208" s="1439"/>
      <c r="O208" s="1422">
        <v>25</v>
      </c>
      <c r="P208" s="1439"/>
      <c r="Q208" s="1422">
        <v>25</v>
      </c>
      <c r="R208" s="1439"/>
      <c r="S208" s="1422">
        <v>0</v>
      </c>
      <c r="T208" s="1439"/>
      <c r="U208" s="1422">
        <v>0</v>
      </c>
      <c r="V208" s="1439"/>
      <c r="W208" s="1420">
        <v>2.2999999999999998</v>
      </c>
      <c r="X208" s="1439"/>
      <c r="Y208" s="1420">
        <v>27.3</v>
      </c>
      <c r="Z208" s="1439"/>
      <c r="AA208" s="1422">
        <v>4715000</v>
      </c>
      <c r="AB208" s="1455"/>
      <c r="AC208" s="1424">
        <v>2748640.62</v>
      </c>
      <c r="AD208" s="1422">
        <v>2254500</v>
      </c>
      <c r="AE208" s="1420">
        <v>1093321.82</v>
      </c>
      <c r="AF208" s="1422">
        <v>2315182</v>
      </c>
      <c r="AG208" s="1422">
        <v>0</v>
      </c>
      <c r="AH208" s="1456">
        <v>0</v>
      </c>
      <c r="AI208" s="1428">
        <v>12422470</v>
      </c>
      <c r="AJ208" s="1422">
        <v>11880841</v>
      </c>
      <c r="AK208" s="1422">
        <v>128796</v>
      </c>
      <c r="AL208" s="1422">
        <v>128000</v>
      </c>
      <c r="AM208" s="1422">
        <v>12089</v>
      </c>
      <c r="AN208" s="1422">
        <v>0</v>
      </c>
      <c r="AO208" s="1422">
        <v>0</v>
      </c>
      <c r="AP208" s="1422">
        <v>0</v>
      </c>
      <c r="AQ208" s="1422">
        <v>0</v>
      </c>
      <c r="AR208" s="1422">
        <v>0</v>
      </c>
      <c r="AS208" s="1422">
        <v>0</v>
      </c>
      <c r="AT208" s="1422">
        <v>0</v>
      </c>
      <c r="AU208" s="1422">
        <v>14220</v>
      </c>
      <c r="AV208" s="1422">
        <v>11376</v>
      </c>
      <c r="AW208" s="1422">
        <v>0</v>
      </c>
      <c r="AX208" s="1422">
        <v>0</v>
      </c>
      <c r="AY208" s="1420">
        <v>16419537.439999999</v>
      </c>
      <c r="AZ208" s="1422">
        <v>16589899</v>
      </c>
      <c r="BA208" s="1422">
        <v>0</v>
      </c>
      <c r="BB208" s="1422">
        <v>0</v>
      </c>
      <c r="BC208" s="1422">
        <v>103221</v>
      </c>
      <c r="BD208" s="1422">
        <v>101025</v>
      </c>
      <c r="BE208" s="1422">
        <v>7500</v>
      </c>
      <c r="BF208" s="1422">
        <v>67500</v>
      </c>
      <c r="BG208" s="1422">
        <v>850</v>
      </c>
      <c r="BH208" s="1422">
        <v>0</v>
      </c>
      <c r="BI208" s="1422">
        <v>56598</v>
      </c>
      <c r="BJ208" s="1422">
        <v>59232</v>
      </c>
      <c r="BK208" s="1422">
        <v>268095</v>
      </c>
      <c r="BL208" s="1422">
        <v>540560</v>
      </c>
      <c r="BM208" s="1422">
        <v>1839168</v>
      </c>
      <c r="BN208" s="1422">
        <v>0</v>
      </c>
      <c r="BO208" s="1420">
        <v>27758.52</v>
      </c>
      <c r="BP208" s="1422">
        <v>24000</v>
      </c>
      <c r="BQ208" s="1420">
        <v>47125.64</v>
      </c>
      <c r="BR208" s="1422">
        <v>46041</v>
      </c>
      <c r="BS208" s="1420">
        <v>9664.73</v>
      </c>
      <c r="BT208" s="1422">
        <v>10100</v>
      </c>
      <c r="BU208" s="1422">
        <v>0</v>
      </c>
      <c r="BV208" s="1422">
        <v>0</v>
      </c>
      <c r="BW208" s="1422">
        <v>0</v>
      </c>
      <c r="BX208" s="1422">
        <v>0</v>
      </c>
      <c r="BY208" s="1422">
        <v>0</v>
      </c>
      <c r="BZ208" s="1422">
        <v>0</v>
      </c>
      <c r="CA208" s="1420">
        <v>1996404.13</v>
      </c>
      <c r="CB208" s="1422">
        <v>1316348</v>
      </c>
      <c r="CC208" s="1420">
        <v>4356385.0199999996</v>
      </c>
      <c r="CD208" s="1422">
        <v>2164806</v>
      </c>
      <c r="CE208" s="1420">
        <v>3970047.71</v>
      </c>
      <c r="CF208" s="1422">
        <v>3763347</v>
      </c>
      <c r="CG208" s="1420">
        <v>1776076.66</v>
      </c>
      <c r="CH208" s="1422">
        <v>10000</v>
      </c>
      <c r="CI208" s="1422">
        <v>0</v>
      </c>
      <c r="CJ208" s="1422">
        <v>0</v>
      </c>
      <c r="CK208" s="1422">
        <v>0</v>
      </c>
      <c r="CL208" s="1422">
        <v>0</v>
      </c>
      <c r="CM208" s="1422">
        <v>0</v>
      </c>
      <c r="CN208" s="1422">
        <v>0</v>
      </c>
      <c r="CO208" s="1422">
        <v>0</v>
      </c>
      <c r="CP208" s="1422">
        <v>0</v>
      </c>
      <c r="CQ208" s="1422">
        <v>0</v>
      </c>
      <c r="CR208" s="1422">
        <v>0</v>
      </c>
      <c r="CS208" s="1420">
        <v>1776076.66</v>
      </c>
      <c r="CT208" s="1422">
        <v>10000</v>
      </c>
      <c r="CU208" s="1420">
        <v>26522046.829999998</v>
      </c>
      <c r="CV208" s="1422">
        <v>22528052</v>
      </c>
      <c r="CW208" s="1420">
        <v>10248144.59</v>
      </c>
      <c r="CX208" s="1422">
        <v>10425865</v>
      </c>
      <c r="CY208" s="1420">
        <v>1161094.81</v>
      </c>
      <c r="CZ208" s="1422">
        <v>1319421</v>
      </c>
      <c r="DA208" s="1420">
        <v>657724.35</v>
      </c>
      <c r="DB208" s="1422">
        <v>668100</v>
      </c>
      <c r="DC208" s="1422">
        <v>0</v>
      </c>
      <c r="DD208" s="1422">
        <v>0</v>
      </c>
      <c r="DE208" s="1420">
        <v>688894.62</v>
      </c>
      <c r="DF208" s="1422">
        <v>969914</v>
      </c>
      <c r="DG208" s="1420">
        <v>539540.14</v>
      </c>
      <c r="DH208" s="1422">
        <v>831930</v>
      </c>
      <c r="DI208" s="1420">
        <v>13295398.51</v>
      </c>
      <c r="DJ208" s="1422">
        <v>14215230</v>
      </c>
      <c r="DK208" s="1420">
        <v>598227.42000000004</v>
      </c>
      <c r="DL208" s="1422">
        <v>619802</v>
      </c>
      <c r="DM208" s="1420">
        <v>126988.51</v>
      </c>
      <c r="DN208" s="1422">
        <v>115741</v>
      </c>
      <c r="DO208" s="1420">
        <v>1880556.78</v>
      </c>
      <c r="DP208" s="1422">
        <v>2186446</v>
      </c>
      <c r="DQ208" s="1420">
        <v>828150.99</v>
      </c>
      <c r="DR208" s="1422">
        <v>967359</v>
      </c>
      <c r="DS208" s="1420">
        <v>22044.84</v>
      </c>
      <c r="DT208" s="1422">
        <v>5600</v>
      </c>
      <c r="DU208" s="1420">
        <v>3455968.54</v>
      </c>
      <c r="DV208" s="1422">
        <v>3894948</v>
      </c>
      <c r="DW208" s="1420">
        <v>931509.91</v>
      </c>
      <c r="DX208" s="1422">
        <v>1113715</v>
      </c>
      <c r="DY208" s="1420">
        <v>1583191.51</v>
      </c>
      <c r="DZ208" s="1422">
        <v>1846519</v>
      </c>
      <c r="EA208" s="1420">
        <v>1285904.94</v>
      </c>
      <c r="EB208" s="1422">
        <v>1313435</v>
      </c>
      <c r="EC208" s="1420">
        <v>3800606.36</v>
      </c>
      <c r="ED208" s="1422">
        <v>4273669</v>
      </c>
      <c r="EE208" s="1420">
        <v>1467113.87</v>
      </c>
      <c r="EF208" s="1422">
        <v>1532457</v>
      </c>
      <c r="EG208" s="1422">
        <v>0</v>
      </c>
      <c r="EH208" s="1422">
        <v>0</v>
      </c>
      <c r="EI208" s="1420">
        <v>5858.05</v>
      </c>
      <c r="EJ208" s="1422">
        <v>6000</v>
      </c>
      <c r="EK208" s="1422">
        <v>0</v>
      </c>
      <c r="EL208" s="1422">
        <v>0</v>
      </c>
      <c r="EM208" s="1420">
        <v>1472971.92</v>
      </c>
      <c r="EN208" s="1422">
        <v>1538457</v>
      </c>
      <c r="EO208" s="1420">
        <v>3540523.26</v>
      </c>
      <c r="EP208" s="1422">
        <v>3716061</v>
      </c>
      <c r="EQ208" s="1420">
        <v>254451.76</v>
      </c>
      <c r="ER208" s="1422">
        <v>304540</v>
      </c>
      <c r="ES208" s="1422">
        <v>0</v>
      </c>
      <c r="ET208" s="1422">
        <v>0</v>
      </c>
      <c r="EU208" s="1420">
        <v>25819920.350000001</v>
      </c>
      <c r="EV208" s="1422">
        <v>27942905</v>
      </c>
      <c r="EW208" s="1420">
        <v>3864669.93</v>
      </c>
      <c r="EX208" s="1422">
        <v>4351595</v>
      </c>
      <c r="EY208" s="1420">
        <v>254451.76</v>
      </c>
      <c r="EZ208" s="1422">
        <v>304540</v>
      </c>
      <c r="FA208" s="1420">
        <v>21700798.66</v>
      </c>
      <c r="FB208" s="1422">
        <v>23286770</v>
      </c>
      <c r="FC208" s="1420">
        <v>814640.34</v>
      </c>
      <c r="FD208" s="1439"/>
      <c r="FE208" s="1420">
        <v>20886158.32</v>
      </c>
      <c r="FF208" s="1439"/>
      <c r="FG208" s="1422">
        <v>9206</v>
      </c>
      <c r="FH208" s="1439"/>
      <c r="FI208" s="1420">
        <v>169.76</v>
      </c>
      <c r="FJ208" s="1439"/>
      <c r="FK208" s="1422">
        <v>47683</v>
      </c>
      <c r="FL208" s="1439"/>
      <c r="FM208" s="1420">
        <v>196.16</v>
      </c>
      <c r="FN208" s="1439"/>
      <c r="FO208" s="1422">
        <v>49906</v>
      </c>
      <c r="FP208" s="1439"/>
      <c r="FQ208" s="1420">
        <v>7647978.0999999996</v>
      </c>
      <c r="FR208" s="1439"/>
      <c r="FS208" s="1420">
        <v>932830.2</v>
      </c>
      <c r="FT208" s="1439"/>
      <c r="FU208" s="1422">
        <v>0</v>
      </c>
      <c r="FV208" s="1439"/>
      <c r="FW208" s="1420">
        <v>6715147.9000000004</v>
      </c>
      <c r="FX208" s="1439"/>
      <c r="FY208" s="1420">
        <v>1591723.19</v>
      </c>
      <c r="FZ208" s="1439"/>
      <c r="GA208" s="1422">
        <v>0</v>
      </c>
      <c r="GB208" s="1439"/>
    </row>
    <row r="209" spans="1:184" ht="12.75" customHeight="1" thickBot="1">
      <c r="A209" s="1418" t="s">
        <v>293</v>
      </c>
      <c r="B209" s="1418" t="s">
        <v>294</v>
      </c>
      <c r="C209" s="1420">
        <v>153.43</v>
      </c>
      <c r="D209" s="1439"/>
      <c r="E209" s="1420">
        <v>798.98</v>
      </c>
      <c r="F209" s="1439"/>
      <c r="G209" s="1421">
        <v>0.04</v>
      </c>
      <c r="H209" s="1439"/>
      <c r="I209" s="1420">
        <v>855.35</v>
      </c>
      <c r="J209" s="1439"/>
      <c r="K209" s="1420">
        <v>826.8</v>
      </c>
      <c r="L209" s="1439"/>
      <c r="M209" s="1422">
        <v>27679478</v>
      </c>
      <c r="N209" s="1439"/>
      <c r="O209" s="1422">
        <v>25</v>
      </c>
      <c r="P209" s="1439"/>
      <c r="Q209" s="1422">
        <v>25</v>
      </c>
      <c r="R209" s="1439"/>
      <c r="S209" s="1422">
        <v>0</v>
      </c>
      <c r="T209" s="1439"/>
      <c r="U209" s="1422">
        <v>0</v>
      </c>
      <c r="V209" s="1439"/>
      <c r="W209" s="1422">
        <v>19</v>
      </c>
      <c r="X209" s="1439"/>
      <c r="Y209" s="1422">
        <v>44</v>
      </c>
      <c r="Z209" s="1439"/>
      <c r="AA209" s="1422">
        <v>6796316</v>
      </c>
      <c r="AB209" s="1455"/>
      <c r="AC209" s="1424">
        <v>1141764.0900000001</v>
      </c>
      <c r="AD209" s="1422">
        <v>1236322</v>
      </c>
      <c r="AE209" s="1420">
        <v>369597.73</v>
      </c>
      <c r="AF209" s="1422">
        <v>132600</v>
      </c>
      <c r="AG209" s="1420">
        <v>144.4</v>
      </c>
      <c r="AH209" s="1456">
        <v>0</v>
      </c>
      <c r="AI209" s="1428">
        <v>4304431</v>
      </c>
      <c r="AJ209" s="1422">
        <v>4604035</v>
      </c>
      <c r="AK209" s="1422">
        <v>890</v>
      </c>
      <c r="AL209" s="1422">
        <v>0</v>
      </c>
      <c r="AM209" s="1422">
        <v>176865</v>
      </c>
      <c r="AN209" s="1422">
        <v>0</v>
      </c>
      <c r="AO209" s="1422">
        <v>0</v>
      </c>
      <c r="AP209" s="1422">
        <v>0</v>
      </c>
      <c r="AQ209" s="1422">
        <v>0</v>
      </c>
      <c r="AR209" s="1422">
        <v>0</v>
      </c>
      <c r="AS209" s="1422">
        <v>0</v>
      </c>
      <c r="AT209" s="1422">
        <v>0</v>
      </c>
      <c r="AU209" s="1422">
        <v>45758</v>
      </c>
      <c r="AV209" s="1422">
        <v>36607</v>
      </c>
      <c r="AW209" s="1422">
        <v>0</v>
      </c>
      <c r="AX209" s="1422">
        <v>0</v>
      </c>
      <c r="AY209" s="1420">
        <v>6039450.2199999997</v>
      </c>
      <c r="AZ209" s="1422">
        <v>6009564</v>
      </c>
      <c r="BA209" s="1422">
        <v>0</v>
      </c>
      <c r="BB209" s="1422">
        <v>0</v>
      </c>
      <c r="BC209" s="1422">
        <v>34196</v>
      </c>
      <c r="BD209" s="1422">
        <v>36443</v>
      </c>
      <c r="BE209" s="1420">
        <v>6298.54</v>
      </c>
      <c r="BF209" s="1422">
        <v>11200</v>
      </c>
      <c r="BG209" s="1422">
        <v>50</v>
      </c>
      <c r="BH209" s="1422">
        <v>0</v>
      </c>
      <c r="BI209" s="1422">
        <v>0</v>
      </c>
      <c r="BJ209" s="1422">
        <v>57035</v>
      </c>
      <c r="BK209" s="1422">
        <v>20217</v>
      </c>
      <c r="BL209" s="1422">
        <v>0</v>
      </c>
      <c r="BM209" s="1422">
        <v>253456</v>
      </c>
      <c r="BN209" s="1420">
        <v>308766.07</v>
      </c>
      <c r="BO209" s="1420">
        <v>4497.09</v>
      </c>
      <c r="BP209" s="1422">
        <v>0</v>
      </c>
      <c r="BQ209" s="1420">
        <v>44958.559999999998</v>
      </c>
      <c r="BR209" s="1422">
        <v>35000</v>
      </c>
      <c r="BS209" s="1422">
        <v>0</v>
      </c>
      <c r="BT209" s="1422">
        <v>0</v>
      </c>
      <c r="BU209" s="1422">
        <v>0</v>
      </c>
      <c r="BV209" s="1422">
        <v>0</v>
      </c>
      <c r="BW209" s="1422">
        <v>0</v>
      </c>
      <c r="BX209" s="1422">
        <v>0</v>
      </c>
      <c r="BY209" s="1422">
        <v>0</v>
      </c>
      <c r="BZ209" s="1422">
        <v>0</v>
      </c>
      <c r="CA209" s="1420">
        <v>2310817.0699999998</v>
      </c>
      <c r="CB209" s="1420">
        <v>6979464.9199999999</v>
      </c>
      <c r="CC209" s="1420">
        <v>2674490.2599999998</v>
      </c>
      <c r="CD209" s="1420">
        <v>7427908.9900000002</v>
      </c>
      <c r="CE209" s="1420">
        <v>1359391.24</v>
      </c>
      <c r="CF209" s="1420">
        <v>1418701.97</v>
      </c>
      <c r="CG209" s="1420">
        <v>4922555.5</v>
      </c>
      <c r="CH209" s="1422">
        <v>0</v>
      </c>
      <c r="CI209" s="1422">
        <v>0</v>
      </c>
      <c r="CJ209" s="1422">
        <v>0</v>
      </c>
      <c r="CK209" s="1422">
        <v>0</v>
      </c>
      <c r="CL209" s="1422">
        <v>0</v>
      </c>
      <c r="CM209" s="1422">
        <v>0</v>
      </c>
      <c r="CN209" s="1422">
        <v>0</v>
      </c>
      <c r="CO209" s="1422">
        <v>0</v>
      </c>
      <c r="CP209" s="1422">
        <v>0</v>
      </c>
      <c r="CQ209" s="1422">
        <v>0</v>
      </c>
      <c r="CR209" s="1422">
        <v>0</v>
      </c>
      <c r="CS209" s="1420">
        <v>4922555.5</v>
      </c>
      <c r="CT209" s="1422">
        <v>0</v>
      </c>
      <c r="CU209" s="1420">
        <v>14995887.220000001</v>
      </c>
      <c r="CV209" s="1420">
        <v>14856174.960000001</v>
      </c>
      <c r="CW209" s="1420">
        <v>3298999.11</v>
      </c>
      <c r="CX209" s="1420">
        <v>3221256.45</v>
      </c>
      <c r="CY209" s="1420">
        <v>320179.34999999998</v>
      </c>
      <c r="CZ209" s="1420">
        <v>292690.92</v>
      </c>
      <c r="DA209" s="1420">
        <v>186214.26</v>
      </c>
      <c r="DB209" s="1420">
        <v>235064.65</v>
      </c>
      <c r="DC209" s="1422">
        <v>0</v>
      </c>
      <c r="DD209" s="1422">
        <v>0</v>
      </c>
      <c r="DE209" s="1420">
        <v>120473.85</v>
      </c>
      <c r="DF209" s="1420">
        <v>147829.94</v>
      </c>
      <c r="DG209" s="1420">
        <v>170732.58</v>
      </c>
      <c r="DH209" s="1420">
        <v>208312.26</v>
      </c>
      <c r="DI209" s="1420">
        <v>4096599.15</v>
      </c>
      <c r="DJ209" s="1420">
        <v>4105154.22</v>
      </c>
      <c r="DK209" s="1420">
        <v>251264.84</v>
      </c>
      <c r="DL209" s="1420">
        <v>230467.83</v>
      </c>
      <c r="DM209" s="1420">
        <v>85822.65</v>
      </c>
      <c r="DN209" s="1420">
        <v>96711.52</v>
      </c>
      <c r="DO209" s="1420">
        <v>719499.53</v>
      </c>
      <c r="DP209" s="1420">
        <v>584014.84</v>
      </c>
      <c r="DQ209" s="1420">
        <v>265274.34000000003</v>
      </c>
      <c r="DR209" s="1420">
        <v>484198.15</v>
      </c>
      <c r="DS209" s="1420">
        <v>59.4</v>
      </c>
      <c r="DT209" s="1422">
        <v>6000</v>
      </c>
      <c r="DU209" s="1420">
        <v>1321920.76</v>
      </c>
      <c r="DV209" s="1420">
        <v>1401392.34</v>
      </c>
      <c r="DW209" s="1420">
        <v>371017.17</v>
      </c>
      <c r="DX209" s="1420">
        <v>365131.98</v>
      </c>
      <c r="DY209" s="1420">
        <v>664615.64</v>
      </c>
      <c r="DZ209" s="1420">
        <v>783386.15</v>
      </c>
      <c r="EA209" s="1420">
        <v>232195.91</v>
      </c>
      <c r="EB209" s="1420">
        <v>319207.38</v>
      </c>
      <c r="EC209" s="1420">
        <v>1267828.72</v>
      </c>
      <c r="ED209" s="1420">
        <v>1467725.51</v>
      </c>
      <c r="EE209" s="1420">
        <v>389340.52</v>
      </c>
      <c r="EF209" s="1420">
        <v>359327.05</v>
      </c>
      <c r="EG209" s="1422">
        <v>0</v>
      </c>
      <c r="EH209" s="1422">
        <v>0</v>
      </c>
      <c r="EI209" s="1422">
        <v>0</v>
      </c>
      <c r="EJ209" s="1422">
        <v>1000</v>
      </c>
      <c r="EK209" s="1422">
        <v>0</v>
      </c>
      <c r="EL209" s="1422">
        <v>0</v>
      </c>
      <c r="EM209" s="1420">
        <v>389340.52</v>
      </c>
      <c r="EN209" s="1420">
        <v>360327.05</v>
      </c>
      <c r="EO209" s="1420">
        <v>4082842.8</v>
      </c>
      <c r="EP209" s="1420">
        <v>8783391.0399999991</v>
      </c>
      <c r="EQ209" s="1420">
        <v>388711.02</v>
      </c>
      <c r="ER209" s="1422">
        <v>572295</v>
      </c>
      <c r="ES209" s="1422">
        <v>0</v>
      </c>
      <c r="ET209" s="1422">
        <v>0</v>
      </c>
      <c r="EU209" s="1420">
        <v>11547242.970000001</v>
      </c>
      <c r="EV209" s="1420">
        <v>16690285.16</v>
      </c>
      <c r="EW209" s="1420">
        <v>4162842.37</v>
      </c>
      <c r="EX209" s="1420">
        <v>9107436.1699999999</v>
      </c>
      <c r="EY209" s="1420">
        <v>388711.02</v>
      </c>
      <c r="EZ209" s="1422">
        <v>572295</v>
      </c>
      <c r="FA209" s="1420">
        <v>6995689.5800000001</v>
      </c>
      <c r="FB209" s="1420">
        <v>7010553.9900000002</v>
      </c>
      <c r="FC209" s="1420">
        <v>275540.59000000003</v>
      </c>
      <c r="FD209" s="1439"/>
      <c r="FE209" s="1420">
        <v>6720148.9900000002</v>
      </c>
      <c r="FF209" s="1439"/>
      <c r="FG209" s="1422">
        <v>8410</v>
      </c>
      <c r="FH209" s="1439"/>
      <c r="FI209" s="1420">
        <v>68.97</v>
      </c>
      <c r="FJ209" s="1439"/>
      <c r="FK209" s="1422">
        <v>41048</v>
      </c>
      <c r="FL209" s="1439"/>
      <c r="FM209" s="1420">
        <v>74.349999999999994</v>
      </c>
      <c r="FN209" s="1439"/>
      <c r="FO209" s="1422">
        <v>42365</v>
      </c>
      <c r="FP209" s="1439"/>
      <c r="FQ209" s="1420">
        <v>1669905.86</v>
      </c>
      <c r="FR209" s="1439"/>
      <c r="FS209" s="1420">
        <v>19269.34</v>
      </c>
      <c r="FT209" s="1439"/>
      <c r="FU209" s="1422">
        <v>0</v>
      </c>
      <c r="FV209" s="1439"/>
      <c r="FW209" s="1420">
        <v>1650636.52</v>
      </c>
      <c r="FX209" s="1439"/>
      <c r="FY209" s="1420">
        <v>3324271.74</v>
      </c>
      <c r="FZ209" s="1439"/>
      <c r="GA209" s="1422">
        <v>0</v>
      </c>
      <c r="GB209" s="1439"/>
    </row>
    <row r="210" spans="1:184" ht="12.75" customHeight="1" thickBot="1">
      <c r="A210" s="1418" t="s">
        <v>295</v>
      </c>
      <c r="B210" s="1418" t="s">
        <v>296</v>
      </c>
      <c r="C210" s="1420">
        <v>285.01</v>
      </c>
      <c r="D210" s="1439"/>
      <c r="E210" s="1420">
        <v>1256.27</v>
      </c>
      <c r="F210" s="1439"/>
      <c r="G210" s="1421">
        <v>0.02</v>
      </c>
      <c r="H210" s="1439"/>
      <c r="I210" s="1420">
        <v>1339.23</v>
      </c>
      <c r="J210" s="1439"/>
      <c r="K210" s="1420">
        <v>1342.4</v>
      </c>
      <c r="L210" s="1439"/>
      <c r="M210" s="1422">
        <v>60211458</v>
      </c>
      <c r="N210" s="1439"/>
      <c r="O210" s="1422">
        <v>25</v>
      </c>
      <c r="P210" s="1439"/>
      <c r="Q210" s="1422">
        <v>25</v>
      </c>
      <c r="R210" s="1439"/>
      <c r="S210" s="1422">
        <v>0</v>
      </c>
      <c r="T210" s="1439"/>
      <c r="U210" s="1422">
        <v>0</v>
      </c>
      <c r="V210" s="1439"/>
      <c r="W210" s="1422">
        <v>14</v>
      </c>
      <c r="X210" s="1439"/>
      <c r="Y210" s="1422">
        <v>39</v>
      </c>
      <c r="Z210" s="1439"/>
      <c r="AA210" s="1420">
        <v>8363349.9699999997</v>
      </c>
      <c r="AB210" s="1455"/>
      <c r="AC210" s="1424">
        <v>2283145.73</v>
      </c>
      <c r="AD210" s="1422">
        <v>2087000</v>
      </c>
      <c r="AE210" s="1420">
        <v>658462.68000000005</v>
      </c>
      <c r="AF210" s="1422">
        <v>276650</v>
      </c>
      <c r="AG210" s="1422">
        <v>0</v>
      </c>
      <c r="AH210" s="1456">
        <v>0</v>
      </c>
      <c r="AI210" s="1428">
        <v>6649120</v>
      </c>
      <c r="AJ210" s="1422">
        <v>6813382</v>
      </c>
      <c r="AK210" s="1422">
        <v>71269</v>
      </c>
      <c r="AL210" s="1422">
        <v>0</v>
      </c>
      <c r="AM210" s="1422">
        <v>35310</v>
      </c>
      <c r="AN210" s="1422">
        <v>0</v>
      </c>
      <c r="AO210" s="1422">
        <v>0</v>
      </c>
      <c r="AP210" s="1422">
        <v>0</v>
      </c>
      <c r="AQ210" s="1422">
        <v>0</v>
      </c>
      <c r="AR210" s="1422">
        <v>0</v>
      </c>
      <c r="AS210" s="1422">
        <v>11944</v>
      </c>
      <c r="AT210" s="1422">
        <v>10000</v>
      </c>
      <c r="AU210" s="1422">
        <v>37115</v>
      </c>
      <c r="AV210" s="1422">
        <v>29692</v>
      </c>
      <c r="AW210" s="1422">
        <v>0</v>
      </c>
      <c r="AX210" s="1422">
        <v>0</v>
      </c>
      <c r="AY210" s="1420">
        <v>9746366.4100000001</v>
      </c>
      <c r="AZ210" s="1422">
        <v>9216724</v>
      </c>
      <c r="BA210" s="1422">
        <v>0</v>
      </c>
      <c r="BB210" s="1422">
        <v>0</v>
      </c>
      <c r="BC210" s="1422">
        <v>55522</v>
      </c>
      <c r="BD210" s="1422">
        <v>57173</v>
      </c>
      <c r="BE210" s="1422">
        <v>2600</v>
      </c>
      <c r="BF210" s="1422">
        <v>3600</v>
      </c>
      <c r="BG210" s="1422">
        <v>150</v>
      </c>
      <c r="BH210" s="1422">
        <v>0</v>
      </c>
      <c r="BI210" s="1422">
        <v>36851</v>
      </c>
      <c r="BJ210" s="1422">
        <v>63170</v>
      </c>
      <c r="BK210" s="1422">
        <v>879</v>
      </c>
      <c r="BL210" s="1422">
        <v>0</v>
      </c>
      <c r="BM210" s="1422">
        <v>459296</v>
      </c>
      <c r="BN210" s="1422">
        <v>470580</v>
      </c>
      <c r="BO210" s="1420">
        <v>78206.649999999994</v>
      </c>
      <c r="BP210" s="1422">
        <v>0</v>
      </c>
      <c r="BQ210" s="1420">
        <v>18091.740000000002</v>
      </c>
      <c r="BR210" s="1422">
        <v>0</v>
      </c>
      <c r="BS210" s="1420">
        <v>5305.84</v>
      </c>
      <c r="BT210" s="1422">
        <v>5000</v>
      </c>
      <c r="BU210" s="1422">
        <v>0</v>
      </c>
      <c r="BV210" s="1422">
        <v>0</v>
      </c>
      <c r="BW210" s="1422">
        <v>291600</v>
      </c>
      <c r="BX210" s="1422">
        <v>291600</v>
      </c>
      <c r="BY210" s="1422">
        <v>0</v>
      </c>
      <c r="BZ210" s="1422">
        <v>0</v>
      </c>
      <c r="CA210" s="1422">
        <v>179718</v>
      </c>
      <c r="CB210" s="1422">
        <v>366925</v>
      </c>
      <c r="CC210" s="1420">
        <v>1128220.23</v>
      </c>
      <c r="CD210" s="1422">
        <v>1258048</v>
      </c>
      <c r="CE210" s="1420">
        <v>1893838.79</v>
      </c>
      <c r="CF210" s="1420">
        <v>1697719.51</v>
      </c>
      <c r="CG210" s="1420">
        <v>683500.03</v>
      </c>
      <c r="CH210" s="1422">
        <v>0</v>
      </c>
      <c r="CI210" s="1422">
        <v>0</v>
      </c>
      <c r="CJ210" s="1422">
        <v>0</v>
      </c>
      <c r="CK210" s="1422">
        <v>0</v>
      </c>
      <c r="CL210" s="1422">
        <v>0</v>
      </c>
      <c r="CM210" s="1420">
        <v>7465.95</v>
      </c>
      <c r="CN210" s="1422">
        <v>0</v>
      </c>
      <c r="CO210" s="1420">
        <v>13670.88</v>
      </c>
      <c r="CP210" s="1422">
        <v>0</v>
      </c>
      <c r="CQ210" s="1422">
        <v>0</v>
      </c>
      <c r="CR210" s="1422">
        <v>0</v>
      </c>
      <c r="CS210" s="1420">
        <v>704636.86</v>
      </c>
      <c r="CT210" s="1422">
        <v>0</v>
      </c>
      <c r="CU210" s="1420">
        <v>13473062.289999999</v>
      </c>
      <c r="CV210" s="1420">
        <v>12172491.51</v>
      </c>
      <c r="CW210" s="1420">
        <v>4851399.6399999997</v>
      </c>
      <c r="CX210" s="1420">
        <v>4613861.46</v>
      </c>
      <c r="CY210" s="1420">
        <v>964443.57</v>
      </c>
      <c r="CZ210" s="1420">
        <v>949844.33</v>
      </c>
      <c r="DA210" s="1420">
        <v>482308.2</v>
      </c>
      <c r="DB210" s="1420">
        <v>435599.58</v>
      </c>
      <c r="DC210" s="1422">
        <v>0</v>
      </c>
      <c r="DD210" s="1422">
        <v>0</v>
      </c>
      <c r="DE210" s="1420">
        <v>421220.36</v>
      </c>
      <c r="DF210" s="1420">
        <v>431983.48</v>
      </c>
      <c r="DG210" s="1420">
        <v>177479.42</v>
      </c>
      <c r="DH210" s="1420">
        <v>176374.41</v>
      </c>
      <c r="DI210" s="1420">
        <v>6896851.1900000004</v>
      </c>
      <c r="DJ210" s="1420">
        <v>6607663.2599999998</v>
      </c>
      <c r="DK210" s="1420">
        <v>302911.61</v>
      </c>
      <c r="DL210" s="1420">
        <v>222077.81</v>
      </c>
      <c r="DM210" s="1420">
        <v>179912.78</v>
      </c>
      <c r="DN210" s="1420">
        <v>181869.94</v>
      </c>
      <c r="DO210" s="1420">
        <v>1092996.05</v>
      </c>
      <c r="DP210" s="1420">
        <v>1134363.24</v>
      </c>
      <c r="DQ210" s="1420">
        <v>629591.26</v>
      </c>
      <c r="DR210" s="1420">
        <v>621995.38</v>
      </c>
      <c r="DS210" s="1420">
        <v>36602.03</v>
      </c>
      <c r="DT210" s="1422">
        <v>20000</v>
      </c>
      <c r="DU210" s="1420">
        <v>2242013.73</v>
      </c>
      <c r="DV210" s="1420">
        <v>2180306.37</v>
      </c>
      <c r="DW210" s="1420">
        <v>394048.16</v>
      </c>
      <c r="DX210" s="1420">
        <v>391780.18</v>
      </c>
      <c r="DY210" s="1420">
        <v>554004.22</v>
      </c>
      <c r="DZ210" s="1420">
        <v>654260.09</v>
      </c>
      <c r="EA210" s="1420">
        <v>552808.93000000005</v>
      </c>
      <c r="EB210" s="1420">
        <v>536101.32999999996</v>
      </c>
      <c r="EC210" s="1420">
        <v>1500861.31</v>
      </c>
      <c r="ED210" s="1420">
        <v>1582141.6</v>
      </c>
      <c r="EE210" s="1420">
        <v>918359.65</v>
      </c>
      <c r="EF210" s="1420">
        <v>937435.93</v>
      </c>
      <c r="EG210" s="1420">
        <v>26702.99</v>
      </c>
      <c r="EH210" s="1422">
        <v>0</v>
      </c>
      <c r="EI210" s="1420">
        <v>52162.5</v>
      </c>
      <c r="EJ210" s="1420">
        <v>58542.76</v>
      </c>
      <c r="EK210" s="1422">
        <v>0</v>
      </c>
      <c r="EL210" s="1422">
        <v>0</v>
      </c>
      <c r="EM210" s="1420">
        <v>997225.14</v>
      </c>
      <c r="EN210" s="1420">
        <v>995978.69</v>
      </c>
      <c r="EO210" s="1420">
        <v>1181433.6000000001</v>
      </c>
      <c r="EP210" s="1422">
        <v>404950</v>
      </c>
      <c r="EQ210" s="1420">
        <v>516054.11</v>
      </c>
      <c r="ER210" s="1420">
        <v>714874.08</v>
      </c>
      <c r="ES210" s="1422">
        <v>457</v>
      </c>
      <c r="ET210" s="1422">
        <v>0</v>
      </c>
      <c r="EU210" s="1420">
        <v>13334896.08</v>
      </c>
      <c r="EV210" s="1422">
        <v>12485914</v>
      </c>
      <c r="EW210" s="1420">
        <v>1597132.66</v>
      </c>
      <c r="EX210" s="1420">
        <v>669523.04</v>
      </c>
      <c r="EY210" s="1420">
        <v>516054.11</v>
      </c>
      <c r="EZ210" s="1420">
        <v>714874.08</v>
      </c>
      <c r="FA210" s="1420">
        <v>11221709.310000001</v>
      </c>
      <c r="FB210" s="1420">
        <v>11101516.880000001</v>
      </c>
      <c r="FC210" s="1420">
        <v>913860.4</v>
      </c>
      <c r="FD210" s="1439"/>
      <c r="FE210" s="1420">
        <v>10307848.91</v>
      </c>
      <c r="FF210" s="1439"/>
      <c r="FG210" s="1422">
        <v>8205</v>
      </c>
      <c r="FH210" s="1439"/>
      <c r="FI210" s="1420">
        <v>98.58</v>
      </c>
      <c r="FJ210" s="1439"/>
      <c r="FK210" s="1422">
        <v>40199</v>
      </c>
      <c r="FL210" s="1439"/>
      <c r="FM210" s="1420">
        <v>107.72</v>
      </c>
      <c r="FN210" s="1439"/>
      <c r="FO210" s="1422">
        <v>42391</v>
      </c>
      <c r="FP210" s="1439"/>
      <c r="FQ210" s="1420">
        <v>2024255.99</v>
      </c>
      <c r="FR210" s="1439"/>
      <c r="FS210" s="1420">
        <v>83356.5</v>
      </c>
      <c r="FT210" s="1439"/>
      <c r="FU210" s="1422">
        <v>0</v>
      </c>
      <c r="FV210" s="1439"/>
      <c r="FW210" s="1420">
        <v>1940899.49</v>
      </c>
      <c r="FX210" s="1439"/>
      <c r="FY210" s="1420">
        <v>513805.85</v>
      </c>
      <c r="FZ210" s="1439"/>
      <c r="GA210" s="1422">
        <v>153500</v>
      </c>
      <c r="GB210" s="1439"/>
    </row>
    <row r="211" spans="1:184" ht="12.75" customHeight="1" thickBot="1">
      <c r="A211" s="1418" t="s">
        <v>297</v>
      </c>
      <c r="B211" s="1418" t="s">
        <v>298</v>
      </c>
      <c r="C211" s="1420">
        <v>325.64999999999998</v>
      </c>
      <c r="D211" s="1439"/>
      <c r="E211" s="1420">
        <v>1503.26</v>
      </c>
      <c r="F211" s="1439"/>
      <c r="G211" s="1421">
        <v>0.02</v>
      </c>
      <c r="H211" s="1439"/>
      <c r="I211" s="1420">
        <v>1592.39</v>
      </c>
      <c r="J211" s="1439"/>
      <c r="K211" s="1420">
        <v>1557.75</v>
      </c>
      <c r="L211" s="1439"/>
      <c r="M211" s="1422">
        <v>149377231</v>
      </c>
      <c r="N211" s="1439"/>
      <c r="O211" s="1422">
        <v>25</v>
      </c>
      <c r="P211" s="1439"/>
      <c r="Q211" s="1422">
        <v>25</v>
      </c>
      <c r="R211" s="1439"/>
      <c r="S211" s="1422">
        <v>0</v>
      </c>
      <c r="T211" s="1439"/>
      <c r="U211" s="1422">
        <v>0</v>
      </c>
      <c r="V211" s="1439"/>
      <c r="W211" s="1422">
        <v>5</v>
      </c>
      <c r="X211" s="1439"/>
      <c r="Y211" s="1422">
        <v>30</v>
      </c>
      <c r="Z211" s="1439"/>
      <c r="AA211" s="1422">
        <v>4990000</v>
      </c>
      <c r="AB211" s="1455"/>
      <c r="AC211" s="1424">
        <v>3928866.92</v>
      </c>
      <c r="AD211" s="1420">
        <v>3836754.9</v>
      </c>
      <c r="AE211" s="1420">
        <v>712594.89</v>
      </c>
      <c r="AF211" s="1422">
        <v>346000</v>
      </c>
      <c r="AG211" s="1422">
        <v>0</v>
      </c>
      <c r="AH211" s="1456">
        <v>0</v>
      </c>
      <c r="AI211" s="1428">
        <v>6257137</v>
      </c>
      <c r="AJ211" s="1422">
        <v>6177785</v>
      </c>
      <c r="AK211" s="1422">
        <v>200215</v>
      </c>
      <c r="AL211" s="1422">
        <v>0</v>
      </c>
      <c r="AM211" s="1422">
        <v>0</v>
      </c>
      <c r="AN211" s="1422">
        <v>0</v>
      </c>
      <c r="AO211" s="1422">
        <v>50593</v>
      </c>
      <c r="AP211" s="1422">
        <v>0</v>
      </c>
      <c r="AQ211" s="1422">
        <v>225863</v>
      </c>
      <c r="AR211" s="1422">
        <v>112931</v>
      </c>
      <c r="AS211" s="1422">
        <v>18533</v>
      </c>
      <c r="AT211" s="1422">
        <v>0</v>
      </c>
      <c r="AU211" s="1422">
        <v>0</v>
      </c>
      <c r="AV211" s="1422">
        <v>0</v>
      </c>
      <c r="AW211" s="1422">
        <v>0</v>
      </c>
      <c r="AX211" s="1422">
        <v>0</v>
      </c>
      <c r="AY211" s="1420">
        <v>11393802.810000001</v>
      </c>
      <c r="AZ211" s="1420">
        <v>10473470.9</v>
      </c>
      <c r="BA211" s="1422">
        <v>0</v>
      </c>
      <c r="BB211" s="1422">
        <v>0</v>
      </c>
      <c r="BC211" s="1422">
        <v>66095</v>
      </c>
      <c r="BD211" s="1420">
        <v>99598.83</v>
      </c>
      <c r="BE211" s="1420">
        <v>35326.629999999997</v>
      </c>
      <c r="BF211" s="1422">
        <v>0</v>
      </c>
      <c r="BG211" s="1422">
        <v>2918</v>
      </c>
      <c r="BH211" s="1422">
        <v>0</v>
      </c>
      <c r="BI211" s="1422">
        <v>59218</v>
      </c>
      <c r="BJ211" s="1422">
        <v>91091</v>
      </c>
      <c r="BK211" s="1422">
        <v>0</v>
      </c>
      <c r="BL211" s="1422">
        <v>0</v>
      </c>
      <c r="BM211" s="1422">
        <v>504990</v>
      </c>
      <c r="BN211" s="1420">
        <v>647309.01</v>
      </c>
      <c r="BO211" s="1420">
        <v>14297.59</v>
      </c>
      <c r="BP211" s="1422">
        <v>0</v>
      </c>
      <c r="BQ211" s="1422">
        <v>8000</v>
      </c>
      <c r="BR211" s="1422">
        <v>0</v>
      </c>
      <c r="BS211" s="1420">
        <v>6344.53</v>
      </c>
      <c r="BT211" s="1422">
        <v>0</v>
      </c>
      <c r="BU211" s="1422">
        <v>0</v>
      </c>
      <c r="BV211" s="1422">
        <v>0</v>
      </c>
      <c r="BW211" s="1422">
        <v>0</v>
      </c>
      <c r="BX211" s="1422">
        <v>0</v>
      </c>
      <c r="BY211" s="1422">
        <v>0</v>
      </c>
      <c r="BZ211" s="1422">
        <v>0</v>
      </c>
      <c r="CA211" s="1420">
        <v>44989.03</v>
      </c>
      <c r="CB211" s="1422">
        <v>31742</v>
      </c>
      <c r="CC211" s="1420">
        <v>742178.78</v>
      </c>
      <c r="CD211" s="1420">
        <v>869740.84</v>
      </c>
      <c r="CE211" s="1420">
        <v>3446107.52</v>
      </c>
      <c r="CF211" s="1420">
        <v>3296893.19</v>
      </c>
      <c r="CG211" s="1422">
        <v>906500</v>
      </c>
      <c r="CH211" s="1422">
        <v>0</v>
      </c>
      <c r="CI211" s="1422">
        <v>0</v>
      </c>
      <c r="CJ211" s="1420">
        <v>204052.05</v>
      </c>
      <c r="CK211" s="1422">
        <v>8500</v>
      </c>
      <c r="CL211" s="1422">
        <v>0</v>
      </c>
      <c r="CM211" s="1422">
        <v>530</v>
      </c>
      <c r="CN211" s="1422">
        <v>0</v>
      </c>
      <c r="CO211" s="1422">
        <v>0</v>
      </c>
      <c r="CP211" s="1422">
        <v>0</v>
      </c>
      <c r="CQ211" s="1422">
        <v>0</v>
      </c>
      <c r="CR211" s="1422">
        <v>0</v>
      </c>
      <c r="CS211" s="1422">
        <v>915530</v>
      </c>
      <c r="CT211" s="1420">
        <v>204052.05</v>
      </c>
      <c r="CU211" s="1420">
        <v>16497619.109999999</v>
      </c>
      <c r="CV211" s="1420">
        <v>14844156.98</v>
      </c>
      <c r="CW211" s="1420">
        <v>5183005.5199999996</v>
      </c>
      <c r="CX211" s="1420">
        <v>5322270.32</v>
      </c>
      <c r="CY211" s="1420">
        <v>769216.63</v>
      </c>
      <c r="CZ211" s="1420">
        <v>821126.4</v>
      </c>
      <c r="DA211" s="1420">
        <v>387712.49</v>
      </c>
      <c r="DB211" s="1420">
        <v>365304.6</v>
      </c>
      <c r="DC211" s="1422">
        <v>0</v>
      </c>
      <c r="DD211" s="1422">
        <v>0</v>
      </c>
      <c r="DE211" s="1420">
        <v>689230.52</v>
      </c>
      <c r="DF211" s="1420">
        <v>554718.89</v>
      </c>
      <c r="DG211" s="1420">
        <v>418168.2</v>
      </c>
      <c r="DH211" s="1420">
        <v>297457.86</v>
      </c>
      <c r="DI211" s="1420">
        <v>7447333.3600000003</v>
      </c>
      <c r="DJ211" s="1420">
        <v>7360878.0700000003</v>
      </c>
      <c r="DK211" s="1420">
        <v>279941.94</v>
      </c>
      <c r="DL211" s="1420">
        <v>285649.11</v>
      </c>
      <c r="DM211" s="1420">
        <v>126750.5</v>
      </c>
      <c r="DN211" s="1420">
        <v>138710.91</v>
      </c>
      <c r="DO211" s="1420">
        <v>1425872.17</v>
      </c>
      <c r="DP211" s="1420">
        <v>1320783.98</v>
      </c>
      <c r="DQ211" s="1420">
        <v>1031022.76</v>
      </c>
      <c r="DR211" s="1420">
        <v>878990.42</v>
      </c>
      <c r="DS211" s="1420">
        <v>36774.33</v>
      </c>
      <c r="DT211" s="1422">
        <v>25000</v>
      </c>
      <c r="DU211" s="1420">
        <v>2900361.7</v>
      </c>
      <c r="DV211" s="1420">
        <v>2649134.42</v>
      </c>
      <c r="DW211" s="1420">
        <v>450730.89</v>
      </c>
      <c r="DX211" s="1420">
        <v>506244.45</v>
      </c>
      <c r="DY211" s="1420">
        <v>1257207.43</v>
      </c>
      <c r="DZ211" s="1420">
        <v>1535226.36</v>
      </c>
      <c r="EA211" s="1420">
        <v>593452.96</v>
      </c>
      <c r="EB211" s="1420">
        <v>488721.76</v>
      </c>
      <c r="EC211" s="1420">
        <v>2301391.2799999998</v>
      </c>
      <c r="ED211" s="1420">
        <v>2530192.5699999998</v>
      </c>
      <c r="EE211" s="1420">
        <v>830235.39</v>
      </c>
      <c r="EF211" s="1422">
        <v>763500</v>
      </c>
      <c r="EG211" s="1422">
        <v>0</v>
      </c>
      <c r="EH211" s="1422">
        <v>0</v>
      </c>
      <c r="EI211" s="1422">
        <v>0</v>
      </c>
      <c r="EJ211" s="1422">
        <v>4000</v>
      </c>
      <c r="EK211" s="1422">
        <v>0</v>
      </c>
      <c r="EL211" s="1422">
        <v>0</v>
      </c>
      <c r="EM211" s="1420">
        <v>830235.39</v>
      </c>
      <c r="EN211" s="1422">
        <v>767500</v>
      </c>
      <c r="EO211" s="1420">
        <v>832563.27</v>
      </c>
      <c r="EP211" s="1420">
        <v>1888992.23</v>
      </c>
      <c r="EQ211" s="1420">
        <v>438196.5</v>
      </c>
      <c r="ER211" s="1420">
        <v>576007.74</v>
      </c>
      <c r="ES211" s="1420">
        <v>8622.67</v>
      </c>
      <c r="ET211" s="1422">
        <v>0</v>
      </c>
      <c r="EU211" s="1420">
        <v>14758704.17</v>
      </c>
      <c r="EV211" s="1420">
        <v>15772705.029999999</v>
      </c>
      <c r="EW211" s="1420">
        <v>1280089.29</v>
      </c>
      <c r="EX211" s="1420">
        <v>2347433.23</v>
      </c>
      <c r="EY211" s="1420">
        <v>438196.5</v>
      </c>
      <c r="EZ211" s="1420">
        <v>576007.74</v>
      </c>
      <c r="FA211" s="1420">
        <v>13040418.380000001</v>
      </c>
      <c r="FB211" s="1420">
        <v>12849264.060000001</v>
      </c>
      <c r="FC211" s="1420">
        <v>567969.71</v>
      </c>
      <c r="FD211" s="1439"/>
      <c r="FE211" s="1420">
        <v>12472448.67</v>
      </c>
      <c r="FF211" s="1439"/>
      <c r="FG211" s="1422">
        <v>8296</v>
      </c>
      <c r="FH211" s="1439"/>
      <c r="FI211" s="1420">
        <v>109.13</v>
      </c>
      <c r="FJ211" s="1439"/>
      <c r="FK211" s="1422">
        <v>39850</v>
      </c>
      <c r="FL211" s="1439"/>
      <c r="FM211" s="1420">
        <v>117.92</v>
      </c>
      <c r="FN211" s="1439"/>
      <c r="FO211" s="1422">
        <v>41909</v>
      </c>
      <c r="FP211" s="1439"/>
      <c r="FQ211" s="1420">
        <v>4008796.84</v>
      </c>
      <c r="FR211" s="1439"/>
      <c r="FS211" s="1420">
        <v>172182.84</v>
      </c>
      <c r="FT211" s="1439"/>
      <c r="FU211" s="1422">
        <v>0</v>
      </c>
      <c r="FV211" s="1439"/>
      <c r="FW211" s="1422">
        <v>3836614</v>
      </c>
      <c r="FX211" s="1439"/>
      <c r="FY211" s="1420">
        <v>2146855.0499999998</v>
      </c>
      <c r="FZ211" s="1439"/>
      <c r="GA211" s="1422">
        <v>0</v>
      </c>
      <c r="GB211" s="1439"/>
    </row>
    <row r="212" spans="1:184" ht="12.75" customHeight="1" thickBot="1">
      <c r="A212" s="1418" t="s">
        <v>299</v>
      </c>
      <c r="B212" s="1418" t="s">
        <v>300</v>
      </c>
      <c r="C212" s="1420">
        <v>569.32000000000005</v>
      </c>
      <c r="D212" s="1439"/>
      <c r="E212" s="1420">
        <v>1616.66</v>
      </c>
      <c r="F212" s="1439"/>
      <c r="G212" s="1421">
        <v>0.02</v>
      </c>
      <c r="H212" s="1439"/>
      <c r="I212" s="1420">
        <v>1710.57</v>
      </c>
      <c r="J212" s="1439"/>
      <c r="K212" s="1420">
        <v>1684.9</v>
      </c>
      <c r="L212" s="1439"/>
      <c r="M212" s="1422">
        <v>133473816</v>
      </c>
      <c r="N212" s="1439"/>
      <c r="O212" s="1422">
        <v>25</v>
      </c>
      <c r="P212" s="1439"/>
      <c r="Q212" s="1422">
        <v>25</v>
      </c>
      <c r="R212" s="1439"/>
      <c r="S212" s="1422">
        <v>0</v>
      </c>
      <c r="T212" s="1439"/>
      <c r="U212" s="1422">
        <v>0</v>
      </c>
      <c r="V212" s="1439"/>
      <c r="W212" s="1420">
        <v>3.91</v>
      </c>
      <c r="X212" s="1439"/>
      <c r="Y212" s="1420">
        <v>28.91</v>
      </c>
      <c r="Z212" s="1439"/>
      <c r="AA212" s="1422">
        <v>2381316</v>
      </c>
      <c r="AB212" s="1455"/>
      <c r="AC212" s="1424">
        <v>3489702.24</v>
      </c>
      <c r="AD212" s="1422">
        <v>3250600</v>
      </c>
      <c r="AE212" s="1420">
        <v>704840.94</v>
      </c>
      <c r="AF212" s="1422">
        <v>236300</v>
      </c>
      <c r="AG212" s="1420">
        <v>782.86</v>
      </c>
      <c r="AH212" s="1456">
        <v>0</v>
      </c>
      <c r="AI212" s="1428">
        <v>6915718</v>
      </c>
      <c r="AJ212" s="1422">
        <v>7128193</v>
      </c>
      <c r="AK212" s="1422">
        <v>244900</v>
      </c>
      <c r="AL212" s="1422">
        <v>244000</v>
      </c>
      <c r="AM212" s="1422">
        <v>219853</v>
      </c>
      <c r="AN212" s="1422">
        <v>155890</v>
      </c>
      <c r="AO212" s="1422">
        <v>0</v>
      </c>
      <c r="AP212" s="1422">
        <v>0</v>
      </c>
      <c r="AQ212" s="1422">
        <v>0</v>
      </c>
      <c r="AR212" s="1422">
        <v>0</v>
      </c>
      <c r="AS212" s="1422">
        <v>461237</v>
      </c>
      <c r="AT212" s="1422">
        <v>461237</v>
      </c>
      <c r="AU212" s="1422">
        <v>0</v>
      </c>
      <c r="AV212" s="1422">
        <v>0</v>
      </c>
      <c r="AW212" s="1422">
        <v>0</v>
      </c>
      <c r="AX212" s="1422">
        <v>0</v>
      </c>
      <c r="AY212" s="1420">
        <v>12037034.039999999</v>
      </c>
      <c r="AZ212" s="1422">
        <v>11476220</v>
      </c>
      <c r="BA212" s="1422">
        <v>0</v>
      </c>
      <c r="BB212" s="1422">
        <v>0</v>
      </c>
      <c r="BC212" s="1422">
        <v>69687</v>
      </c>
      <c r="BD212" s="1422">
        <v>72552</v>
      </c>
      <c r="BE212" s="1420">
        <v>390647.86</v>
      </c>
      <c r="BF212" s="1422">
        <v>387856</v>
      </c>
      <c r="BG212" s="1422">
        <v>350</v>
      </c>
      <c r="BH212" s="1422">
        <v>0</v>
      </c>
      <c r="BI212" s="1422">
        <v>3860</v>
      </c>
      <c r="BJ212" s="1422">
        <v>1782</v>
      </c>
      <c r="BK212" s="1422">
        <v>2637</v>
      </c>
      <c r="BL212" s="1422">
        <v>2000</v>
      </c>
      <c r="BM212" s="1422">
        <v>513856</v>
      </c>
      <c r="BN212" s="1422">
        <v>524216</v>
      </c>
      <c r="BO212" s="1420">
        <v>80886.350000000006</v>
      </c>
      <c r="BP212" s="1422">
        <v>34160</v>
      </c>
      <c r="BQ212" s="1422">
        <v>0</v>
      </c>
      <c r="BR212" s="1422">
        <v>0</v>
      </c>
      <c r="BS212" s="1420">
        <v>5620.75</v>
      </c>
      <c r="BT212" s="1422">
        <v>5000</v>
      </c>
      <c r="BU212" s="1422">
        <v>0</v>
      </c>
      <c r="BV212" s="1422">
        <v>0</v>
      </c>
      <c r="BW212" s="1422">
        <v>257580</v>
      </c>
      <c r="BX212" s="1422">
        <v>256357</v>
      </c>
      <c r="BY212" s="1422">
        <v>0</v>
      </c>
      <c r="BZ212" s="1422">
        <v>0</v>
      </c>
      <c r="CA212" s="1422">
        <v>53279</v>
      </c>
      <c r="CB212" s="1422">
        <v>38521</v>
      </c>
      <c r="CC212" s="1420">
        <v>1378403.96</v>
      </c>
      <c r="CD212" s="1422">
        <v>1322444</v>
      </c>
      <c r="CE212" s="1420">
        <v>3369772.7</v>
      </c>
      <c r="CF212" s="1422">
        <v>2488324</v>
      </c>
      <c r="CG212" s="1422">
        <v>0</v>
      </c>
      <c r="CH212" s="1422">
        <v>0</v>
      </c>
      <c r="CI212" s="1422">
        <v>0</v>
      </c>
      <c r="CJ212" s="1422">
        <v>0</v>
      </c>
      <c r="CK212" s="1422">
        <v>0</v>
      </c>
      <c r="CL212" s="1422">
        <v>0</v>
      </c>
      <c r="CM212" s="1422">
        <v>0</v>
      </c>
      <c r="CN212" s="1422">
        <v>0</v>
      </c>
      <c r="CO212" s="1420">
        <v>16334.07</v>
      </c>
      <c r="CP212" s="1422">
        <v>0</v>
      </c>
      <c r="CQ212" s="1422">
        <v>0</v>
      </c>
      <c r="CR212" s="1422">
        <v>0</v>
      </c>
      <c r="CS212" s="1420">
        <v>16334.07</v>
      </c>
      <c r="CT212" s="1422">
        <v>0</v>
      </c>
      <c r="CU212" s="1420">
        <v>16801544.77</v>
      </c>
      <c r="CV212" s="1422">
        <v>15286988</v>
      </c>
      <c r="CW212" s="1420">
        <v>6836653.4800000004</v>
      </c>
      <c r="CX212" s="1420">
        <v>6653325.6799999997</v>
      </c>
      <c r="CY212" s="1420">
        <v>988895.84</v>
      </c>
      <c r="CZ212" s="1422">
        <v>1027777</v>
      </c>
      <c r="DA212" s="1420">
        <v>640658.25</v>
      </c>
      <c r="DB212" s="1420">
        <v>647203.73</v>
      </c>
      <c r="DC212" s="1422">
        <v>0</v>
      </c>
      <c r="DD212" s="1422">
        <v>0</v>
      </c>
      <c r="DE212" s="1420">
        <v>769633.19</v>
      </c>
      <c r="DF212" s="1422">
        <v>719256</v>
      </c>
      <c r="DG212" s="1420">
        <v>148673.37</v>
      </c>
      <c r="DH212" s="1420">
        <v>152961.95000000001</v>
      </c>
      <c r="DI212" s="1420">
        <v>9384514.1300000008</v>
      </c>
      <c r="DJ212" s="1420">
        <v>9200524.3599999994</v>
      </c>
      <c r="DK212" s="1420">
        <v>343709.39</v>
      </c>
      <c r="DL212" s="1420">
        <v>558914.30000000005</v>
      </c>
      <c r="DM212" s="1420">
        <v>87856.63</v>
      </c>
      <c r="DN212" s="1420">
        <v>86426.51</v>
      </c>
      <c r="DO212" s="1420">
        <v>1146153.49</v>
      </c>
      <c r="DP212" s="1420">
        <v>1119810.3999999999</v>
      </c>
      <c r="DQ212" s="1420">
        <v>1010521.58</v>
      </c>
      <c r="DR212" s="1420">
        <v>1039325.06</v>
      </c>
      <c r="DS212" s="1420">
        <v>52704.800000000003</v>
      </c>
      <c r="DT212" s="1422">
        <v>23138</v>
      </c>
      <c r="DU212" s="1420">
        <v>2640945.89</v>
      </c>
      <c r="DV212" s="1420">
        <v>2827614.27</v>
      </c>
      <c r="DW212" s="1420">
        <v>516474.4</v>
      </c>
      <c r="DX212" s="1420">
        <v>622438.97</v>
      </c>
      <c r="DY212" s="1420">
        <v>695118.09</v>
      </c>
      <c r="DZ212" s="1420">
        <v>713610.83</v>
      </c>
      <c r="EA212" s="1420">
        <v>820794.17</v>
      </c>
      <c r="EB212" s="1420">
        <v>893743.88</v>
      </c>
      <c r="EC212" s="1420">
        <v>2032386.66</v>
      </c>
      <c r="ED212" s="1420">
        <v>2229793.6800000002</v>
      </c>
      <c r="EE212" s="1420">
        <v>770163.12</v>
      </c>
      <c r="EF212" s="1420">
        <v>737717.45</v>
      </c>
      <c r="EG212" s="1422">
        <v>0</v>
      </c>
      <c r="EH212" s="1422">
        <v>0</v>
      </c>
      <c r="EI212" s="1420">
        <v>541.44000000000005</v>
      </c>
      <c r="EJ212" s="1422">
        <v>3000</v>
      </c>
      <c r="EK212" s="1422">
        <v>0</v>
      </c>
      <c r="EL212" s="1422">
        <v>0</v>
      </c>
      <c r="EM212" s="1420">
        <v>770704.56</v>
      </c>
      <c r="EN212" s="1420">
        <v>740717.45</v>
      </c>
      <c r="EO212" s="1420">
        <v>812477.31</v>
      </c>
      <c r="EP212" s="1422">
        <v>27641</v>
      </c>
      <c r="EQ212" s="1420">
        <v>394084.19</v>
      </c>
      <c r="ER212" s="1422">
        <v>373066</v>
      </c>
      <c r="ES212" s="1422">
        <v>0</v>
      </c>
      <c r="ET212" s="1422">
        <v>0</v>
      </c>
      <c r="EU212" s="1420">
        <v>16035112.74</v>
      </c>
      <c r="EV212" s="1420">
        <v>15399356.76</v>
      </c>
      <c r="EW212" s="1420">
        <v>1401591.11</v>
      </c>
      <c r="EX212" s="1422">
        <v>473516</v>
      </c>
      <c r="EY212" s="1420">
        <v>394084.19</v>
      </c>
      <c r="EZ212" s="1422">
        <v>373066</v>
      </c>
      <c r="FA212" s="1420">
        <v>14239437.439999999</v>
      </c>
      <c r="FB212" s="1420">
        <v>14552774.76</v>
      </c>
      <c r="FC212" s="1420">
        <v>808011.07</v>
      </c>
      <c r="FD212" s="1439"/>
      <c r="FE212" s="1420">
        <v>13431426.369999999</v>
      </c>
      <c r="FF212" s="1439"/>
      <c r="FG212" s="1422">
        <v>8308</v>
      </c>
      <c r="FH212" s="1439"/>
      <c r="FI212" s="1420">
        <v>128.66999999999999</v>
      </c>
      <c r="FJ212" s="1439"/>
      <c r="FK212" s="1422">
        <v>43712</v>
      </c>
      <c r="FL212" s="1439"/>
      <c r="FM212" s="1420">
        <v>137.74</v>
      </c>
      <c r="FN212" s="1439"/>
      <c r="FO212" s="1422">
        <v>45709</v>
      </c>
      <c r="FP212" s="1439"/>
      <c r="FQ212" s="1420">
        <v>5911714.9400000004</v>
      </c>
      <c r="FR212" s="1439"/>
      <c r="FS212" s="1420">
        <v>154546.51999999999</v>
      </c>
      <c r="FT212" s="1439"/>
      <c r="FU212" s="1422">
        <v>0</v>
      </c>
      <c r="FV212" s="1439"/>
      <c r="FW212" s="1420">
        <v>5757168.4199999999</v>
      </c>
      <c r="FX212" s="1439"/>
      <c r="FY212" s="1420">
        <v>25051.69</v>
      </c>
      <c r="FZ212" s="1439"/>
      <c r="GA212" s="1422">
        <v>0</v>
      </c>
      <c r="GB212" s="1439"/>
    </row>
    <row r="213" spans="1:184" ht="12.75" customHeight="1" thickBot="1">
      <c r="A213" s="1418" t="s">
        <v>301</v>
      </c>
      <c r="B213" s="1418" t="s">
        <v>302</v>
      </c>
      <c r="C213" s="1420">
        <v>273.58</v>
      </c>
      <c r="D213" s="1439"/>
      <c r="E213" s="1420">
        <v>4289.07</v>
      </c>
      <c r="F213" s="1439"/>
      <c r="G213" s="1421">
        <v>0.01</v>
      </c>
      <c r="H213" s="1439"/>
      <c r="I213" s="1420">
        <v>4598.2700000000004</v>
      </c>
      <c r="J213" s="1439"/>
      <c r="K213" s="1422">
        <v>4580</v>
      </c>
      <c r="L213" s="1439"/>
      <c r="M213" s="1422">
        <v>387032696</v>
      </c>
      <c r="N213" s="1439"/>
      <c r="O213" s="1420">
        <v>26.9</v>
      </c>
      <c r="P213" s="1439"/>
      <c r="Q213" s="1422">
        <v>25</v>
      </c>
      <c r="R213" s="1439"/>
      <c r="S213" s="1420">
        <v>1.9</v>
      </c>
      <c r="T213" s="1439"/>
      <c r="U213" s="1422">
        <v>0</v>
      </c>
      <c r="V213" s="1439"/>
      <c r="W213" s="1420">
        <v>6.6</v>
      </c>
      <c r="X213" s="1439"/>
      <c r="Y213" s="1420">
        <v>33.5</v>
      </c>
      <c r="Z213" s="1439"/>
      <c r="AA213" s="1420">
        <v>29618345.539999999</v>
      </c>
      <c r="AB213" s="1455"/>
      <c r="AC213" s="1424">
        <v>12281055.4</v>
      </c>
      <c r="AD213" s="1422">
        <v>12360744</v>
      </c>
      <c r="AE213" s="1420">
        <v>2402476.5699999998</v>
      </c>
      <c r="AF213" s="1422">
        <v>641000</v>
      </c>
      <c r="AG213" s="1420">
        <v>380567.55</v>
      </c>
      <c r="AH213" s="1456">
        <v>350000</v>
      </c>
      <c r="AI213" s="1428">
        <v>18069325</v>
      </c>
      <c r="AJ213" s="1422">
        <v>18611789</v>
      </c>
      <c r="AK213" s="1422">
        <v>116939</v>
      </c>
      <c r="AL213" s="1422">
        <v>50000</v>
      </c>
      <c r="AM213" s="1422">
        <v>156854</v>
      </c>
      <c r="AN213" s="1422">
        <v>0</v>
      </c>
      <c r="AO213" s="1422">
        <v>0</v>
      </c>
      <c r="AP213" s="1422">
        <v>0</v>
      </c>
      <c r="AQ213" s="1422">
        <v>0</v>
      </c>
      <c r="AR213" s="1422">
        <v>0</v>
      </c>
      <c r="AS213" s="1422">
        <v>6147</v>
      </c>
      <c r="AT213" s="1422">
        <v>0</v>
      </c>
      <c r="AU213" s="1422">
        <v>0</v>
      </c>
      <c r="AV213" s="1422">
        <v>0</v>
      </c>
      <c r="AW213" s="1422">
        <v>0</v>
      </c>
      <c r="AX213" s="1422">
        <v>4000</v>
      </c>
      <c r="AY213" s="1420">
        <v>33413364.52</v>
      </c>
      <c r="AZ213" s="1422">
        <v>32017533</v>
      </c>
      <c r="BA213" s="1420">
        <v>27405.5</v>
      </c>
      <c r="BB213" s="1422">
        <v>0</v>
      </c>
      <c r="BC213" s="1422">
        <v>189429</v>
      </c>
      <c r="BD213" s="1422">
        <v>195540</v>
      </c>
      <c r="BE213" s="1420">
        <v>26526.15</v>
      </c>
      <c r="BF213" s="1422">
        <v>0</v>
      </c>
      <c r="BG213" s="1422">
        <v>6250</v>
      </c>
      <c r="BH213" s="1422">
        <v>4000</v>
      </c>
      <c r="BI213" s="1422">
        <v>149884</v>
      </c>
      <c r="BJ213" s="1422">
        <v>159790</v>
      </c>
      <c r="BK213" s="1422">
        <v>42192</v>
      </c>
      <c r="BL213" s="1422">
        <v>42159</v>
      </c>
      <c r="BM213" s="1422">
        <v>1417568</v>
      </c>
      <c r="BN213" s="1422">
        <v>1426920</v>
      </c>
      <c r="BO213" s="1422">
        <v>92299</v>
      </c>
      <c r="BP213" s="1422">
        <v>0</v>
      </c>
      <c r="BQ213" s="1422">
        <v>86125</v>
      </c>
      <c r="BR213" s="1422">
        <v>0</v>
      </c>
      <c r="BS213" s="1420">
        <v>13770.05</v>
      </c>
      <c r="BT213" s="1422">
        <v>13000</v>
      </c>
      <c r="BU213" s="1422">
        <v>0</v>
      </c>
      <c r="BV213" s="1422">
        <v>0</v>
      </c>
      <c r="BW213" s="1422">
        <v>0</v>
      </c>
      <c r="BX213" s="1422">
        <v>0</v>
      </c>
      <c r="BY213" s="1422">
        <v>0</v>
      </c>
      <c r="BZ213" s="1422">
        <v>0</v>
      </c>
      <c r="CA213" s="1420">
        <v>6518396.1200000001</v>
      </c>
      <c r="CB213" s="1422">
        <v>2192010</v>
      </c>
      <c r="CC213" s="1420">
        <v>8569844.8200000003</v>
      </c>
      <c r="CD213" s="1422">
        <v>4033419</v>
      </c>
      <c r="CE213" s="1420">
        <v>6546940.8899999997</v>
      </c>
      <c r="CF213" s="1420">
        <v>7167315.8300000001</v>
      </c>
      <c r="CG213" s="1422">
        <v>0</v>
      </c>
      <c r="CH213" s="1422">
        <v>0</v>
      </c>
      <c r="CI213" s="1422">
        <v>0</v>
      </c>
      <c r="CJ213" s="1422">
        <v>0</v>
      </c>
      <c r="CK213" s="1422">
        <v>41305</v>
      </c>
      <c r="CL213" s="1422">
        <v>41305</v>
      </c>
      <c r="CM213" s="1422">
        <v>1986</v>
      </c>
      <c r="CN213" s="1422">
        <v>0</v>
      </c>
      <c r="CO213" s="1422">
        <v>0</v>
      </c>
      <c r="CP213" s="1422">
        <v>0</v>
      </c>
      <c r="CQ213" s="1420">
        <v>55374.68</v>
      </c>
      <c r="CR213" s="1422">
        <v>0</v>
      </c>
      <c r="CS213" s="1420">
        <v>98665.68</v>
      </c>
      <c r="CT213" s="1422">
        <v>41305</v>
      </c>
      <c r="CU213" s="1420">
        <v>48628815.909999996</v>
      </c>
      <c r="CV213" s="1420">
        <v>43259572.829999998</v>
      </c>
      <c r="CW213" s="1420">
        <v>16253522.67</v>
      </c>
      <c r="CX213" s="1420">
        <v>16537346.25</v>
      </c>
      <c r="CY213" s="1420">
        <v>2353995.44</v>
      </c>
      <c r="CZ213" s="1420">
        <v>2301125.62</v>
      </c>
      <c r="DA213" s="1420">
        <v>766483.11</v>
      </c>
      <c r="DB213" s="1420">
        <v>790046.88</v>
      </c>
      <c r="DC213" s="1422">
        <v>0</v>
      </c>
      <c r="DD213" s="1422">
        <v>0</v>
      </c>
      <c r="DE213" s="1420">
        <v>2035405.34</v>
      </c>
      <c r="DF213" s="1420">
        <v>1744055.91</v>
      </c>
      <c r="DG213" s="1420">
        <v>1303399.3500000001</v>
      </c>
      <c r="DH213" s="1420">
        <v>1190475.6299999999</v>
      </c>
      <c r="DI213" s="1420">
        <v>22712805.91</v>
      </c>
      <c r="DJ213" s="1420">
        <v>22563050.289999999</v>
      </c>
      <c r="DK213" s="1420">
        <v>595211.59</v>
      </c>
      <c r="DL213" s="1420">
        <v>594742.82999999996</v>
      </c>
      <c r="DM213" s="1420">
        <v>1301378.23</v>
      </c>
      <c r="DN213" s="1420">
        <v>1129954.75</v>
      </c>
      <c r="DO213" s="1420">
        <v>3247214.2</v>
      </c>
      <c r="DP213" s="1420">
        <v>4149834.31</v>
      </c>
      <c r="DQ213" s="1420">
        <v>1406727.06</v>
      </c>
      <c r="DR213" s="1420">
        <v>1649027.95</v>
      </c>
      <c r="DS213" s="1420">
        <v>89041.17</v>
      </c>
      <c r="DT213" s="1422">
        <v>89281</v>
      </c>
      <c r="DU213" s="1420">
        <v>6639572.25</v>
      </c>
      <c r="DV213" s="1420">
        <v>7612840.8399999999</v>
      </c>
      <c r="DW213" s="1420">
        <v>2409331.44</v>
      </c>
      <c r="DX213" s="1420">
        <v>2530144.3199999998</v>
      </c>
      <c r="DY213" s="1420">
        <v>3440301.18</v>
      </c>
      <c r="DZ213" s="1420">
        <v>3530197.8</v>
      </c>
      <c r="EA213" s="1420">
        <v>1684346.9</v>
      </c>
      <c r="EB213" s="1420">
        <v>1772650.55</v>
      </c>
      <c r="EC213" s="1420">
        <v>7533979.5199999996</v>
      </c>
      <c r="ED213" s="1420">
        <v>7832992.6699999999</v>
      </c>
      <c r="EE213" s="1420">
        <v>1949155.71</v>
      </c>
      <c r="EF213" s="1422">
        <v>1828316</v>
      </c>
      <c r="EG213" s="1422">
        <v>0</v>
      </c>
      <c r="EH213" s="1422">
        <v>0</v>
      </c>
      <c r="EI213" s="1420">
        <v>4265.76</v>
      </c>
      <c r="EJ213" s="1422">
        <v>2500</v>
      </c>
      <c r="EK213" s="1422">
        <v>0</v>
      </c>
      <c r="EL213" s="1422">
        <v>0</v>
      </c>
      <c r="EM213" s="1420">
        <v>1953421.47</v>
      </c>
      <c r="EN213" s="1422">
        <v>1830816</v>
      </c>
      <c r="EO213" s="1420">
        <v>17943481.93</v>
      </c>
      <c r="EP213" s="1420">
        <v>5048803.67</v>
      </c>
      <c r="EQ213" s="1420">
        <v>2080266.79</v>
      </c>
      <c r="ER213" s="1422">
        <v>2080249</v>
      </c>
      <c r="ES213" s="1420">
        <v>258932.47</v>
      </c>
      <c r="ET213" s="1420">
        <v>1438.28</v>
      </c>
      <c r="EU213" s="1420">
        <v>59122460.340000004</v>
      </c>
      <c r="EV213" s="1420">
        <v>46970190.75</v>
      </c>
      <c r="EW213" s="1420">
        <v>19081942.34</v>
      </c>
      <c r="EX213" s="1420">
        <v>7104727.3300000001</v>
      </c>
      <c r="EY213" s="1420">
        <v>2080266.79</v>
      </c>
      <c r="EZ213" s="1422">
        <v>2080249</v>
      </c>
      <c r="FA213" s="1420">
        <v>37960251.210000001</v>
      </c>
      <c r="FB213" s="1420">
        <v>37785214.420000002</v>
      </c>
      <c r="FC213" s="1420">
        <v>1625129.34</v>
      </c>
      <c r="FD213" s="1439"/>
      <c r="FE213" s="1420">
        <v>36335121.869999997</v>
      </c>
      <c r="FF213" s="1439"/>
      <c r="FG213" s="1422">
        <v>8471</v>
      </c>
      <c r="FH213" s="1439"/>
      <c r="FI213" s="1420">
        <v>354.41</v>
      </c>
      <c r="FJ213" s="1439"/>
      <c r="FK213" s="1422">
        <v>40889</v>
      </c>
      <c r="FL213" s="1439"/>
      <c r="FM213" s="1420">
        <v>389.45</v>
      </c>
      <c r="FN213" s="1439"/>
      <c r="FO213" s="1422">
        <v>43309</v>
      </c>
      <c r="FP213" s="1439"/>
      <c r="FQ213" s="1420">
        <v>4250887.3499999996</v>
      </c>
      <c r="FR213" s="1439"/>
      <c r="FS213" s="1420">
        <v>29870.720000000001</v>
      </c>
      <c r="FT213" s="1439"/>
      <c r="FU213" s="1422">
        <v>0</v>
      </c>
      <c r="FV213" s="1439"/>
      <c r="FW213" s="1420">
        <v>4221016.63</v>
      </c>
      <c r="FX213" s="1439"/>
      <c r="FY213" s="1420">
        <v>2374626.58</v>
      </c>
      <c r="FZ213" s="1439"/>
      <c r="GA213" s="1420">
        <v>409843.99</v>
      </c>
      <c r="GB213" s="1439"/>
    </row>
    <row r="214" spans="1:184" ht="12.75" customHeight="1" thickBot="1">
      <c r="A214" s="1418" t="s">
        <v>303</v>
      </c>
      <c r="B214" s="1418" t="s">
        <v>304</v>
      </c>
      <c r="C214" s="1420">
        <v>203.74</v>
      </c>
      <c r="D214" s="1439"/>
      <c r="E214" s="1420">
        <v>441.24</v>
      </c>
      <c r="F214" s="1439"/>
      <c r="G214" s="1421">
        <v>-0.31</v>
      </c>
      <c r="H214" s="1439"/>
      <c r="I214" s="1420">
        <v>468.02</v>
      </c>
      <c r="J214" s="1439"/>
      <c r="K214" s="1420">
        <v>553.36</v>
      </c>
      <c r="L214" s="1439"/>
      <c r="M214" s="1422">
        <v>56772300</v>
      </c>
      <c r="N214" s="1439"/>
      <c r="O214" s="1422">
        <v>25</v>
      </c>
      <c r="P214" s="1439"/>
      <c r="Q214" s="1422">
        <v>25</v>
      </c>
      <c r="R214" s="1439"/>
      <c r="S214" s="1422">
        <v>0</v>
      </c>
      <c r="T214" s="1439"/>
      <c r="U214" s="1422">
        <v>0</v>
      </c>
      <c r="V214" s="1439"/>
      <c r="W214" s="1422">
        <v>10</v>
      </c>
      <c r="X214" s="1439"/>
      <c r="Y214" s="1422">
        <v>35</v>
      </c>
      <c r="Z214" s="1439"/>
      <c r="AA214" s="1420">
        <v>2815168.33</v>
      </c>
      <c r="AB214" s="1455"/>
      <c r="AC214" s="1424">
        <v>1851282.29</v>
      </c>
      <c r="AD214" s="1422">
        <v>1677273</v>
      </c>
      <c r="AE214" s="1420">
        <v>413770.74</v>
      </c>
      <c r="AF214" s="1422">
        <v>205447</v>
      </c>
      <c r="AG214" s="1420">
        <v>45980.56</v>
      </c>
      <c r="AH214" s="1456">
        <v>46000</v>
      </c>
      <c r="AI214" s="1428">
        <v>1956985</v>
      </c>
      <c r="AJ214" s="1422">
        <v>1901681</v>
      </c>
      <c r="AK214" s="1422">
        <v>33008</v>
      </c>
      <c r="AL214" s="1422">
        <v>30000</v>
      </c>
      <c r="AM214" s="1422">
        <v>0</v>
      </c>
      <c r="AN214" s="1422">
        <v>0</v>
      </c>
      <c r="AO214" s="1422">
        <v>93387</v>
      </c>
      <c r="AP214" s="1422">
        <v>36557</v>
      </c>
      <c r="AQ214" s="1422">
        <v>0</v>
      </c>
      <c r="AR214" s="1422">
        <v>0</v>
      </c>
      <c r="AS214" s="1422">
        <v>0</v>
      </c>
      <c r="AT214" s="1422">
        <v>0</v>
      </c>
      <c r="AU214" s="1422">
        <v>0</v>
      </c>
      <c r="AV214" s="1422">
        <v>0</v>
      </c>
      <c r="AW214" s="1422">
        <v>0</v>
      </c>
      <c r="AX214" s="1422">
        <v>0</v>
      </c>
      <c r="AY214" s="1420">
        <v>4394413.59</v>
      </c>
      <c r="AZ214" s="1422">
        <v>3896958</v>
      </c>
      <c r="BA214" s="1422">
        <v>0</v>
      </c>
      <c r="BB214" s="1422">
        <v>0</v>
      </c>
      <c r="BC214" s="1422">
        <v>22887</v>
      </c>
      <c r="BD214" s="1422">
        <v>22947</v>
      </c>
      <c r="BE214" s="1420">
        <v>3885.7</v>
      </c>
      <c r="BF214" s="1422">
        <v>0</v>
      </c>
      <c r="BG214" s="1422">
        <v>250</v>
      </c>
      <c r="BH214" s="1422">
        <v>0</v>
      </c>
      <c r="BI214" s="1422">
        <v>0</v>
      </c>
      <c r="BJ214" s="1422">
        <v>0</v>
      </c>
      <c r="BK214" s="1422">
        <v>0</v>
      </c>
      <c r="BL214" s="1422">
        <v>0</v>
      </c>
      <c r="BM214" s="1422">
        <v>143840</v>
      </c>
      <c r="BN214" s="1422">
        <v>168498</v>
      </c>
      <c r="BO214" s="1420">
        <v>39334.47</v>
      </c>
      <c r="BP214" s="1422">
        <v>0</v>
      </c>
      <c r="BQ214" s="1422">
        <v>17875</v>
      </c>
      <c r="BR214" s="1422">
        <v>0</v>
      </c>
      <c r="BS214" s="1420">
        <v>2843.45</v>
      </c>
      <c r="BT214" s="1422">
        <v>2844</v>
      </c>
      <c r="BU214" s="1422">
        <v>0</v>
      </c>
      <c r="BV214" s="1422">
        <v>0</v>
      </c>
      <c r="BW214" s="1422">
        <v>0</v>
      </c>
      <c r="BX214" s="1422">
        <v>0</v>
      </c>
      <c r="BY214" s="1422">
        <v>0</v>
      </c>
      <c r="BZ214" s="1422">
        <v>0</v>
      </c>
      <c r="CA214" s="1422">
        <v>12279</v>
      </c>
      <c r="CB214" s="1422">
        <v>9919</v>
      </c>
      <c r="CC214" s="1420">
        <v>243194.62</v>
      </c>
      <c r="CD214" s="1422">
        <v>204208</v>
      </c>
      <c r="CE214" s="1420">
        <v>929830.78</v>
      </c>
      <c r="CF214" s="1422">
        <v>541763</v>
      </c>
      <c r="CG214" s="1422">
        <v>0</v>
      </c>
      <c r="CH214" s="1422">
        <v>0</v>
      </c>
      <c r="CI214" s="1422">
        <v>0</v>
      </c>
      <c r="CJ214" s="1422">
        <v>0</v>
      </c>
      <c r="CK214" s="1422">
        <v>0</v>
      </c>
      <c r="CL214" s="1422">
        <v>0</v>
      </c>
      <c r="CM214" s="1422">
        <v>0</v>
      </c>
      <c r="CN214" s="1422">
        <v>0</v>
      </c>
      <c r="CO214" s="1422">
        <v>0</v>
      </c>
      <c r="CP214" s="1422">
        <v>0</v>
      </c>
      <c r="CQ214" s="1422">
        <v>0</v>
      </c>
      <c r="CR214" s="1422">
        <v>0</v>
      </c>
      <c r="CS214" s="1422">
        <v>0</v>
      </c>
      <c r="CT214" s="1422">
        <v>0</v>
      </c>
      <c r="CU214" s="1420">
        <v>5567438.9900000002</v>
      </c>
      <c r="CV214" s="1422">
        <v>4642929</v>
      </c>
      <c r="CW214" s="1420">
        <v>2177650.5699999998</v>
      </c>
      <c r="CX214" s="1420">
        <v>1833956.78</v>
      </c>
      <c r="CY214" s="1420">
        <v>447035.29</v>
      </c>
      <c r="CZ214" s="1420">
        <v>403276.37</v>
      </c>
      <c r="DA214" s="1420">
        <v>146484.84</v>
      </c>
      <c r="DB214" s="1420">
        <v>129272.09</v>
      </c>
      <c r="DC214" s="1422">
        <v>0</v>
      </c>
      <c r="DD214" s="1422">
        <v>0</v>
      </c>
      <c r="DE214" s="1420">
        <v>265580.87</v>
      </c>
      <c r="DF214" s="1420">
        <v>84785.36</v>
      </c>
      <c r="DG214" s="1422">
        <v>6500</v>
      </c>
      <c r="DH214" s="1422">
        <v>6500</v>
      </c>
      <c r="DI214" s="1420">
        <v>3043251.57</v>
      </c>
      <c r="DJ214" s="1420">
        <v>2457790.6</v>
      </c>
      <c r="DK214" s="1420">
        <v>184455.9</v>
      </c>
      <c r="DL214" s="1420">
        <v>187438.55</v>
      </c>
      <c r="DM214" s="1422">
        <v>137193</v>
      </c>
      <c r="DN214" s="1420">
        <v>131638.60999999999</v>
      </c>
      <c r="DO214" s="1420">
        <v>516202.17</v>
      </c>
      <c r="DP214" s="1420">
        <v>578760.47</v>
      </c>
      <c r="DQ214" s="1420">
        <v>284789.28000000003</v>
      </c>
      <c r="DR214" s="1422">
        <v>330228</v>
      </c>
      <c r="DS214" s="1422">
        <v>11785</v>
      </c>
      <c r="DT214" s="1422">
        <v>18000</v>
      </c>
      <c r="DU214" s="1420">
        <v>1134425.3500000001</v>
      </c>
      <c r="DV214" s="1420">
        <v>1246065.6299999999</v>
      </c>
      <c r="DW214" s="1420">
        <v>137413.89000000001</v>
      </c>
      <c r="DX214" s="1420">
        <v>118450.97</v>
      </c>
      <c r="DY214" s="1420">
        <v>460429.29</v>
      </c>
      <c r="DZ214" s="1420">
        <v>518884.54</v>
      </c>
      <c r="EA214" s="1420">
        <v>285522.06</v>
      </c>
      <c r="EB214" s="1420">
        <v>279967.74</v>
      </c>
      <c r="EC214" s="1420">
        <v>883365.24</v>
      </c>
      <c r="ED214" s="1420">
        <v>917303.25</v>
      </c>
      <c r="EE214" s="1420">
        <v>377263.51</v>
      </c>
      <c r="EF214" s="1420">
        <v>366525.56</v>
      </c>
      <c r="EG214" s="1422">
        <v>0</v>
      </c>
      <c r="EH214" s="1422">
        <v>0</v>
      </c>
      <c r="EI214" s="1422">
        <v>0</v>
      </c>
      <c r="EJ214" s="1422">
        <v>200</v>
      </c>
      <c r="EK214" s="1422">
        <v>0</v>
      </c>
      <c r="EL214" s="1422">
        <v>0</v>
      </c>
      <c r="EM214" s="1420">
        <v>377263.51</v>
      </c>
      <c r="EN214" s="1420">
        <v>366725.56</v>
      </c>
      <c r="EO214" s="1422">
        <v>66437</v>
      </c>
      <c r="EP214" s="1422">
        <v>3500</v>
      </c>
      <c r="EQ214" s="1420">
        <v>209621.8</v>
      </c>
      <c r="ER214" s="1422">
        <v>206642</v>
      </c>
      <c r="ES214" s="1422">
        <v>0</v>
      </c>
      <c r="ET214" s="1422">
        <v>0</v>
      </c>
      <c r="EU214" s="1420">
        <v>5714364.4699999997</v>
      </c>
      <c r="EV214" s="1420">
        <v>5198027.04</v>
      </c>
      <c r="EW214" s="1420">
        <v>117050.04</v>
      </c>
      <c r="EX214" s="1420">
        <v>65563.62</v>
      </c>
      <c r="EY214" s="1420">
        <v>209621.8</v>
      </c>
      <c r="EZ214" s="1422">
        <v>206642</v>
      </c>
      <c r="FA214" s="1420">
        <v>5387692.6299999999</v>
      </c>
      <c r="FB214" s="1420">
        <v>4925821.42</v>
      </c>
      <c r="FC214" s="1420">
        <v>371083.53</v>
      </c>
      <c r="FD214" s="1439"/>
      <c r="FE214" s="1420">
        <v>5016609.0999999996</v>
      </c>
      <c r="FF214" s="1439"/>
      <c r="FG214" s="1422">
        <v>11369</v>
      </c>
      <c r="FH214" s="1439"/>
      <c r="FI214" s="1420">
        <v>38.17</v>
      </c>
      <c r="FJ214" s="1439"/>
      <c r="FK214" s="1422">
        <v>43393</v>
      </c>
      <c r="FL214" s="1439"/>
      <c r="FM214" s="1420">
        <v>44.68</v>
      </c>
      <c r="FN214" s="1439"/>
      <c r="FO214" s="1422">
        <v>46842</v>
      </c>
      <c r="FP214" s="1439"/>
      <c r="FQ214" s="1420">
        <v>1288068.31</v>
      </c>
      <c r="FR214" s="1439"/>
      <c r="FS214" s="1420">
        <v>565.86</v>
      </c>
      <c r="FT214" s="1439"/>
      <c r="FU214" s="1422">
        <v>0</v>
      </c>
      <c r="FV214" s="1439"/>
      <c r="FW214" s="1420">
        <v>1287502.45</v>
      </c>
      <c r="FX214" s="1439"/>
      <c r="FY214" s="1420">
        <v>101978.16</v>
      </c>
      <c r="FZ214" s="1439"/>
      <c r="GA214" s="1422">
        <v>0</v>
      </c>
      <c r="GB214" s="1439"/>
    </row>
    <row r="215" spans="1:184" ht="12.75" customHeight="1" thickBot="1">
      <c r="A215" s="1418" t="s">
        <v>305</v>
      </c>
      <c r="B215" s="1418" t="s">
        <v>306</v>
      </c>
      <c r="C215" s="1420">
        <v>51.29</v>
      </c>
      <c r="D215" s="1439"/>
      <c r="E215" s="1420">
        <v>395.16</v>
      </c>
      <c r="F215" s="1439"/>
      <c r="G215" s="1421">
        <v>-0.23</v>
      </c>
      <c r="H215" s="1439"/>
      <c r="I215" s="1420">
        <v>411.58</v>
      </c>
      <c r="J215" s="1439"/>
      <c r="K215" s="1420">
        <v>425.85</v>
      </c>
      <c r="L215" s="1439"/>
      <c r="M215" s="1422">
        <v>40574276</v>
      </c>
      <c r="N215" s="1439"/>
      <c r="O215" s="1422">
        <v>25</v>
      </c>
      <c r="P215" s="1439"/>
      <c r="Q215" s="1422">
        <v>25</v>
      </c>
      <c r="R215" s="1439"/>
      <c r="S215" s="1422">
        <v>0</v>
      </c>
      <c r="T215" s="1439"/>
      <c r="U215" s="1422">
        <v>0</v>
      </c>
      <c r="V215" s="1439"/>
      <c r="W215" s="1422">
        <v>17</v>
      </c>
      <c r="X215" s="1439"/>
      <c r="Y215" s="1422">
        <v>42</v>
      </c>
      <c r="Z215" s="1439"/>
      <c r="AA215" s="1422">
        <v>3415760</v>
      </c>
      <c r="AB215" s="1455"/>
      <c r="AC215" s="1424">
        <v>1636330.54</v>
      </c>
      <c r="AD215" s="1422">
        <v>1539713</v>
      </c>
      <c r="AE215" s="1420">
        <v>251549.48</v>
      </c>
      <c r="AF215" s="1422">
        <v>180200</v>
      </c>
      <c r="AG215" s="1420">
        <v>35385.31</v>
      </c>
      <c r="AH215" s="1456">
        <v>26000</v>
      </c>
      <c r="AI215" s="1428">
        <v>1551744</v>
      </c>
      <c r="AJ215" s="1422">
        <v>1509431</v>
      </c>
      <c r="AK215" s="1422">
        <v>412</v>
      </c>
      <c r="AL215" s="1422">
        <v>0</v>
      </c>
      <c r="AM215" s="1422">
        <v>0</v>
      </c>
      <c r="AN215" s="1422">
        <v>0</v>
      </c>
      <c r="AO215" s="1422">
        <v>45323</v>
      </c>
      <c r="AP215" s="1422">
        <v>45220</v>
      </c>
      <c r="AQ215" s="1422">
        <v>0</v>
      </c>
      <c r="AR215" s="1422">
        <v>0</v>
      </c>
      <c r="AS215" s="1422">
        <v>0</v>
      </c>
      <c r="AT215" s="1422">
        <v>0</v>
      </c>
      <c r="AU215" s="1422">
        <v>8907</v>
      </c>
      <c r="AV215" s="1422">
        <v>7126</v>
      </c>
      <c r="AW215" s="1422">
        <v>0</v>
      </c>
      <c r="AX215" s="1422">
        <v>0</v>
      </c>
      <c r="AY215" s="1420">
        <v>3529651.33</v>
      </c>
      <c r="AZ215" s="1422">
        <v>3307690</v>
      </c>
      <c r="BA215" s="1422">
        <v>0</v>
      </c>
      <c r="BB215" s="1422">
        <v>0</v>
      </c>
      <c r="BC215" s="1422">
        <v>17613</v>
      </c>
      <c r="BD215" s="1422">
        <v>17424</v>
      </c>
      <c r="BE215" s="1420">
        <v>1187.8800000000001</v>
      </c>
      <c r="BF215" s="1422">
        <v>0</v>
      </c>
      <c r="BG215" s="1422">
        <v>100</v>
      </c>
      <c r="BH215" s="1422">
        <v>0</v>
      </c>
      <c r="BI215" s="1422">
        <v>853</v>
      </c>
      <c r="BJ215" s="1422">
        <v>10072</v>
      </c>
      <c r="BK215" s="1422">
        <v>0</v>
      </c>
      <c r="BL215" s="1422">
        <v>0</v>
      </c>
      <c r="BM215" s="1422">
        <v>100192</v>
      </c>
      <c r="BN215" s="1422">
        <v>104236</v>
      </c>
      <c r="BO215" s="1420">
        <v>1744.58</v>
      </c>
      <c r="BP215" s="1422">
        <v>0</v>
      </c>
      <c r="BQ215" s="1422">
        <v>0</v>
      </c>
      <c r="BR215" s="1422">
        <v>11375</v>
      </c>
      <c r="BS215" s="1420">
        <v>1523.12</v>
      </c>
      <c r="BT215" s="1422">
        <v>1000</v>
      </c>
      <c r="BU215" s="1422">
        <v>0</v>
      </c>
      <c r="BV215" s="1422">
        <v>0</v>
      </c>
      <c r="BW215" s="1422">
        <v>0</v>
      </c>
      <c r="BX215" s="1422">
        <v>0</v>
      </c>
      <c r="BY215" s="1422">
        <v>0</v>
      </c>
      <c r="BZ215" s="1422">
        <v>0</v>
      </c>
      <c r="CA215" s="1420">
        <v>527709.48</v>
      </c>
      <c r="CB215" s="1422">
        <v>15567</v>
      </c>
      <c r="CC215" s="1420">
        <v>650923.06000000006</v>
      </c>
      <c r="CD215" s="1422">
        <v>159674</v>
      </c>
      <c r="CE215" s="1420">
        <v>616125.55000000005</v>
      </c>
      <c r="CF215" s="1420">
        <v>443728.2</v>
      </c>
      <c r="CG215" s="1422">
        <v>75760</v>
      </c>
      <c r="CH215" s="1422">
        <v>0</v>
      </c>
      <c r="CI215" s="1422">
        <v>0</v>
      </c>
      <c r="CJ215" s="1422">
        <v>0</v>
      </c>
      <c r="CK215" s="1422">
        <v>0</v>
      </c>
      <c r="CL215" s="1422">
        <v>0</v>
      </c>
      <c r="CM215" s="1422">
        <v>0</v>
      </c>
      <c r="CN215" s="1422">
        <v>0</v>
      </c>
      <c r="CO215" s="1422">
        <v>0</v>
      </c>
      <c r="CP215" s="1422">
        <v>0</v>
      </c>
      <c r="CQ215" s="1422">
        <v>0</v>
      </c>
      <c r="CR215" s="1422">
        <v>0</v>
      </c>
      <c r="CS215" s="1422">
        <v>75760</v>
      </c>
      <c r="CT215" s="1422">
        <v>0</v>
      </c>
      <c r="CU215" s="1420">
        <v>4872459.9400000004</v>
      </c>
      <c r="CV215" s="1420">
        <v>3911092.2</v>
      </c>
      <c r="CW215" s="1420">
        <v>1829825.45</v>
      </c>
      <c r="CX215" s="1420">
        <v>1797798.99</v>
      </c>
      <c r="CY215" s="1420">
        <v>291497.83</v>
      </c>
      <c r="CZ215" s="1420">
        <v>308739.92</v>
      </c>
      <c r="DA215" s="1420">
        <v>113895.61</v>
      </c>
      <c r="DB215" s="1420">
        <v>122727.56</v>
      </c>
      <c r="DC215" s="1422">
        <v>0</v>
      </c>
      <c r="DD215" s="1422">
        <v>0</v>
      </c>
      <c r="DE215" s="1420">
        <v>99541.63</v>
      </c>
      <c r="DF215" s="1420">
        <v>104224.63</v>
      </c>
      <c r="DG215" s="1420">
        <v>65822.34</v>
      </c>
      <c r="DH215" s="1420">
        <v>50148.66</v>
      </c>
      <c r="DI215" s="1420">
        <v>2400582.86</v>
      </c>
      <c r="DJ215" s="1420">
        <v>2383639.7599999998</v>
      </c>
      <c r="DK215" s="1420">
        <v>193032.23</v>
      </c>
      <c r="DL215" s="1420">
        <v>186598.7</v>
      </c>
      <c r="DM215" s="1420">
        <v>187208.83</v>
      </c>
      <c r="DN215" s="1420">
        <v>178015.83</v>
      </c>
      <c r="DO215" s="1420">
        <v>402480.1</v>
      </c>
      <c r="DP215" s="1420">
        <v>400842.04</v>
      </c>
      <c r="DQ215" s="1420">
        <v>137210.22</v>
      </c>
      <c r="DR215" s="1420">
        <v>200020.54</v>
      </c>
      <c r="DS215" s="1420">
        <v>12073.83</v>
      </c>
      <c r="DT215" s="1422">
        <v>12245</v>
      </c>
      <c r="DU215" s="1420">
        <v>932005.21</v>
      </c>
      <c r="DV215" s="1420">
        <v>977722.11</v>
      </c>
      <c r="DW215" s="1420">
        <v>225763.8</v>
      </c>
      <c r="DX215" s="1420">
        <v>205952.01</v>
      </c>
      <c r="DY215" s="1420">
        <v>281080.71999999997</v>
      </c>
      <c r="DZ215" s="1420">
        <v>251140.3</v>
      </c>
      <c r="EA215" s="1420">
        <v>216354.77</v>
      </c>
      <c r="EB215" s="1420">
        <v>205148.48</v>
      </c>
      <c r="EC215" s="1420">
        <v>723199.29</v>
      </c>
      <c r="ED215" s="1420">
        <v>662240.79</v>
      </c>
      <c r="EE215" s="1420">
        <v>171633.4</v>
      </c>
      <c r="EF215" s="1420">
        <v>150173.84</v>
      </c>
      <c r="EG215" s="1422">
        <v>0</v>
      </c>
      <c r="EH215" s="1422">
        <v>0</v>
      </c>
      <c r="EI215" s="1422">
        <v>0</v>
      </c>
      <c r="EJ215" s="1420">
        <v>950.16</v>
      </c>
      <c r="EK215" s="1422">
        <v>0</v>
      </c>
      <c r="EL215" s="1422">
        <v>0</v>
      </c>
      <c r="EM215" s="1420">
        <v>171633.4</v>
      </c>
      <c r="EN215" s="1422">
        <v>151124</v>
      </c>
      <c r="EO215" s="1420">
        <v>946727.17</v>
      </c>
      <c r="EP215" s="1420">
        <v>334169.34000000003</v>
      </c>
      <c r="EQ215" s="1420">
        <v>202413.76</v>
      </c>
      <c r="ER215" s="1422">
        <v>224277</v>
      </c>
      <c r="ES215" s="1422">
        <v>0</v>
      </c>
      <c r="ET215" s="1422">
        <v>0</v>
      </c>
      <c r="EU215" s="1420">
        <v>5376561.6900000004</v>
      </c>
      <c r="EV215" s="1422">
        <v>4733173</v>
      </c>
      <c r="EW215" s="1420">
        <v>957012.65</v>
      </c>
      <c r="EX215" s="1420">
        <v>413929.34</v>
      </c>
      <c r="EY215" s="1420">
        <v>202413.76</v>
      </c>
      <c r="EZ215" s="1422">
        <v>224277</v>
      </c>
      <c r="FA215" s="1420">
        <v>4217135.28</v>
      </c>
      <c r="FB215" s="1420">
        <v>4094966.66</v>
      </c>
      <c r="FC215" s="1420">
        <v>218028.14</v>
      </c>
      <c r="FD215" s="1439"/>
      <c r="FE215" s="1420">
        <v>3999107.14</v>
      </c>
      <c r="FF215" s="1439"/>
      <c r="FG215" s="1422">
        <v>10120</v>
      </c>
      <c r="FH215" s="1439"/>
      <c r="FI215" s="1420">
        <v>36.78</v>
      </c>
      <c r="FJ215" s="1439"/>
      <c r="FK215" s="1422">
        <v>38960</v>
      </c>
      <c r="FL215" s="1439"/>
      <c r="FM215" s="1420">
        <v>41.01</v>
      </c>
      <c r="FN215" s="1439"/>
      <c r="FO215" s="1422">
        <v>42076</v>
      </c>
      <c r="FP215" s="1439"/>
      <c r="FQ215" s="1420">
        <v>1017120.35</v>
      </c>
      <c r="FR215" s="1439"/>
      <c r="FS215" s="1420">
        <v>16840.009999999998</v>
      </c>
      <c r="FT215" s="1439"/>
      <c r="FU215" s="1422">
        <v>0</v>
      </c>
      <c r="FV215" s="1439"/>
      <c r="FW215" s="1420">
        <v>1000280.34</v>
      </c>
      <c r="FX215" s="1439"/>
      <c r="FY215" s="1420">
        <v>334135.61</v>
      </c>
      <c r="FZ215" s="1439"/>
      <c r="GA215" s="1420">
        <v>3.73</v>
      </c>
      <c r="GB215" s="1439"/>
    </row>
    <row r="216" spans="1:184" ht="12.75" customHeight="1" thickBot="1">
      <c r="A216" s="1418" t="s">
        <v>115</v>
      </c>
      <c r="B216" s="1418" t="s">
        <v>116</v>
      </c>
      <c r="C216" s="1420">
        <v>45.27</v>
      </c>
      <c r="D216" s="1439"/>
      <c r="E216" s="1420">
        <v>628.69000000000005</v>
      </c>
      <c r="F216" s="1439"/>
      <c r="G216" s="1421">
        <v>-0.11</v>
      </c>
      <c r="H216" s="1439"/>
      <c r="I216" s="1420">
        <v>657.58</v>
      </c>
      <c r="J216" s="1439"/>
      <c r="K216" s="1420">
        <v>713.23</v>
      </c>
      <c r="L216" s="1439"/>
      <c r="M216" s="1422">
        <v>52270384</v>
      </c>
      <c r="N216" s="1439"/>
      <c r="O216" s="1422">
        <v>25</v>
      </c>
      <c r="P216" s="1439"/>
      <c r="Q216" s="1422">
        <v>25</v>
      </c>
      <c r="R216" s="1439"/>
      <c r="S216" s="1422">
        <v>0</v>
      </c>
      <c r="T216" s="1439"/>
      <c r="U216" s="1422">
        <v>0</v>
      </c>
      <c r="V216" s="1439"/>
      <c r="W216" s="1420">
        <v>7.8</v>
      </c>
      <c r="X216" s="1439"/>
      <c r="Y216" s="1420">
        <v>32.799999999999997</v>
      </c>
      <c r="Z216" s="1439"/>
      <c r="AA216" s="1422">
        <v>3550000</v>
      </c>
      <c r="AB216" s="1455"/>
      <c r="AC216" s="1424">
        <v>1565654.13</v>
      </c>
      <c r="AD216" s="1422">
        <v>1533072</v>
      </c>
      <c r="AE216" s="1420">
        <v>521555.77</v>
      </c>
      <c r="AF216" s="1422">
        <v>569350</v>
      </c>
      <c r="AG216" s="1420">
        <v>59264.67</v>
      </c>
      <c r="AH216" s="1456">
        <v>40000</v>
      </c>
      <c r="AI216" s="1428">
        <v>3041561</v>
      </c>
      <c r="AJ216" s="1422">
        <v>2720183</v>
      </c>
      <c r="AK216" s="1422">
        <v>18104</v>
      </c>
      <c r="AL216" s="1422">
        <v>0</v>
      </c>
      <c r="AM216" s="1422">
        <v>0</v>
      </c>
      <c r="AN216" s="1422">
        <v>16303</v>
      </c>
      <c r="AO216" s="1422">
        <v>0</v>
      </c>
      <c r="AP216" s="1422">
        <v>170127</v>
      </c>
      <c r="AQ216" s="1422">
        <v>0</v>
      </c>
      <c r="AR216" s="1422">
        <v>0</v>
      </c>
      <c r="AS216" s="1422">
        <v>0</v>
      </c>
      <c r="AT216" s="1422">
        <v>0</v>
      </c>
      <c r="AU216" s="1422">
        <v>0</v>
      </c>
      <c r="AV216" s="1422">
        <v>0</v>
      </c>
      <c r="AW216" s="1422">
        <v>0</v>
      </c>
      <c r="AX216" s="1422">
        <v>0</v>
      </c>
      <c r="AY216" s="1420">
        <v>5206139.57</v>
      </c>
      <c r="AZ216" s="1422">
        <v>5049035</v>
      </c>
      <c r="BA216" s="1422">
        <v>0</v>
      </c>
      <c r="BB216" s="1422">
        <v>0</v>
      </c>
      <c r="BC216" s="1422">
        <v>29499</v>
      </c>
      <c r="BD216" s="1422">
        <v>27880</v>
      </c>
      <c r="BE216" s="1420">
        <v>1989.5</v>
      </c>
      <c r="BF216" s="1422">
        <v>2000</v>
      </c>
      <c r="BG216" s="1422">
        <v>1450</v>
      </c>
      <c r="BH216" s="1422">
        <v>0</v>
      </c>
      <c r="BI216" s="1422">
        <v>0</v>
      </c>
      <c r="BJ216" s="1422">
        <v>0</v>
      </c>
      <c r="BK216" s="1422">
        <v>879</v>
      </c>
      <c r="BL216" s="1422">
        <v>0</v>
      </c>
      <c r="BM216" s="1422">
        <v>109120</v>
      </c>
      <c r="BN216" s="1422">
        <v>98447</v>
      </c>
      <c r="BO216" s="1420">
        <v>120641.94</v>
      </c>
      <c r="BP216" s="1422">
        <v>0</v>
      </c>
      <c r="BQ216" s="1422">
        <v>26000</v>
      </c>
      <c r="BR216" s="1422">
        <v>17062</v>
      </c>
      <c r="BS216" s="1420">
        <v>2338.0700000000002</v>
      </c>
      <c r="BT216" s="1422">
        <v>2338</v>
      </c>
      <c r="BU216" s="1422">
        <v>0</v>
      </c>
      <c r="BV216" s="1422">
        <v>0</v>
      </c>
      <c r="BW216" s="1422">
        <v>0</v>
      </c>
      <c r="BX216" s="1422">
        <v>0</v>
      </c>
      <c r="BY216" s="1422">
        <v>0</v>
      </c>
      <c r="BZ216" s="1422">
        <v>0</v>
      </c>
      <c r="CA216" s="1420">
        <v>433606.86</v>
      </c>
      <c r="CB216" s="1422">
        <v>70297</v>
      </c>
      <c r="CC216" s="1420">
        <v>725524.37</v>
      </c>
      <c r="CD216" s="1422">
        <v>218024</v>
      </c>
      <c r="CE216" s="1420">
        <v>687196.97</v>
      </c>
      <c r="CF216" s="1420">
        <v>347477.67</v>
      </c>
      <c r="CG216" s="1422">
        <v>0</v>
      </c>
      <c r="CH216" s="1422">
        <v>906500</v>
      </c>
      <c r="CI216" s="1422">
        <v>0</v>
      </c>
      <c r="CJ216" s="1422">
        <v>0</v>
      </c>
      <c r="CK216" s="1422">
        <v>0</v>
      </c>
      <c r="CL216" s="1422">
        <v>0</v>
      </c>
      <c r="CM216" s="1422">
        <v>0</v>
      </c>
      <c r="CN216" s="1422">
        <v>0</v>
      </c>
      <c r="CO216" s="1422">
        <v>0</v>
      </c>
      <c r="CP216" s="1422">
        <v>0</v>
      </c>
      <c r="CQ216" s="1422">
        <v>0</v>
      </c>
      <c r="CR216" s="1422">
        <v>0</v>
      </c>
      <c r="CS216" s="1422">
        <v>0</v>
      </c>
      <c r="CT216" s="1422">
        <v>906500</v>
      </c>
      <c r="CU216" s="1420">
        <v>6618860.9100000001</v>
      </c>
      <c r="CV216" s="1420">
        <v>6521036.6699999999</v>
      </c>
      <c r="CW216" s="1420">
        <v>2987325.9</v>
      </c>
      <c r="CX216" s="1420">
        <v>2978174.98</v>
      </c>
      <c r="CY216" s="1420">
        <v>393873.34</v>
      </c>
      <c r="CZ216" s="1420">
        <v>386688.17</v>
      </c>
      <c r="DA216" s="1420">
        <v>112693.13</v>
      </c>
      <c r="DB216" s="1420">
        <v>113069.15</v>
      </c>
      <c r="DC216" s="1422">
        <v>0</v>
      </c>
      <c r="DD216" s="1422">
        <v>0</v>
      </c>
      <c r="DE216" s="1420">
        <v>105897.44</v>
      </c>
      <c r="DF216" s="1420">
        <v>101842.33</v>
      </c>
      <c r="DG216" s="1420">
        <v>42951.86</v>
      </c>
      <c r="DH216" s="1420">
        <v>43774.99</v>
      </c>
      <c r="DI216" s="1420">
        <v>3642741.67</v>
      </c>
      <c r="DJ216" s="1420">
        <v>3623549.62</v>
      </c>
      <c r="DK216" s="1420">
        <v>220002.08</v>
      </c>
      <c r="DL216" s="1420">
        <v>200201.34</v>
      </c>
      <c r="DM216" s="1420">
        <v>172001.18</v>
      </c>
      <c r="DN216" s="1420">
        <v>156625.41</v>
      </c>
      <c r="DO216" s="1420">
        <v>462606.64</v>
      </c>
      <c r="DP216" s="1420">
        <v>517830.12</v>
      </c>
      <c r="DQ216" s="1420">
        <v>263929.32</v>
      </c>
      <c r="DR216" s="1420">
        <v>185114.2</v>
      </c>
      <c r="DS216" s="1420">
        <v>11563.46</v>
      </c>
      <c r="DT216" s="1420">
        <v>11563.46</v>
      </c>
      <c r="DU216" s="1420">
        <v>1130102.68</v>
      </c>
      <c r="DV216" s="1420">
        <v>1071334.53</v>
      </c>
      <c r="DW216" s="1420">
        <v>324345.90000000002</v>
      </c>
      <c r="DX216" s="1420">
        <v>261471.06</v>
      </c>
      <c r="DY216" s="1420">
        <v>152276.68</v>
      </c>
      <c r="DZ216" s="1420">
        <v>161415.26999999999</v>
      </c>
      <c r="EA216" s="1420">
        <v>233357.97</v>
      </c>
      <c r="EB216" s="1420">
        <v>281829.01</v>
      </c>
      <c r="EC216" s="1420">
        <v>709980.55</v>
      </c>
      <c r="ED216" s="1420">
        <v>704715.34</v>
      </c>
      <c r="EE216" s="1420">
        <v>293780.86</v>
      </c>
      <c r="EF216" s="1420">
        <v>260814.88</v>
      </c>
      <c r="EG216" s="1422">
        <v>0</v>
      </c>
      <c r="EH216" s="1422">
        <v>0</v>
      </c>
      <c r="EI216" s="1420">
        <v>718.56</v>
      </c>
      <c r="EJ216" s="1420">
        <v>4001.71</v>
      </c>
      <c r="EK216" s="1422">
        <v>0</v>
      </c>
      <c r="EL216" s="1422">
        <v>0</v>
      </c>
      <c r="EM216" s="1420">
        <v>294499.42</v>
      </c>
      <c r="EN216" s="1420">
        <v>264816.59000000003</v>
      </c>
      <c r="EO216" s="1420">
        <v>1938093.58</v>
      </c>
      <c r="EP216" s="1420">
        <v>379979.69</v>
      </c>
      <c r="EQ216" s="1422">
        <v>224390</v>
      </c>
      <c r="ER216" s="1422">
        <v>223190</v>
      </c>
      <c r="ES216" s="1422">
        <v>138693</v>
      </c>
      <c r="ET216" s="1422">
        <v>0</v>
      </c>
      <c r="EU216" s="1420">
        <v>8078500.9000000004</v>
      </c>
      <c r="EV216" s="1420">
        <v>6267585.7699999996</v>
      </c>
      <c r="EW216" s="1420">
        <v>2062424.25</v>
      </c>
      <c r="EX216" s="1420">
        <v>428760.1</v>
      </c>
      <c r="EY216" s="1422">
        <v>224390</v>
      </c>
      <c r="EZ216" s="1422">
        <v>223190</v>
      </c>
      <c r="FA216" s="1420">
        <v>5791686.6500000004</v>
      </c>
      <c r="FB216" s="1420">
        <v>5615635.6699999999</v>
      </c>
      <c r="FC216" s="1422">
        <v>538728</v>
      </c>
      <c r="FD216" s="1439"/>
      <c r="FE216" s="1420">
        <v>5252958.6500000004</v>
      </c>
      <c r="FF216" s="1439"/>
      <c r="FG216" s="1422">
        <v>8355</v>
      </c>
      <c r="FH216" s="1439"/>
      <c r="FI216" s="1420">
        <v>51.84</v>
      </c>
      <c r="FJ216" s="1439"/>
      <c r="FK216" s="1422">
        <v>42984</v>
      </c>
      <c r="FL216" s="1439"/>
      <c r="FM216" s="1420">
        <v>55.5</v>
      </c>
      <c r="FN216" s="1439"/>
      <c r="FO216" s="1422">
        <v>45610</v>
      </c>
      <c r="FP216" s="1439"/>
      <c r="FQ216" s="1420">
        <v>1552520.68</v>
      </c>
      <c r="FR216" s="1439"/>
      <c r="FS216" s="1420">
        <v>4687.8100000000004</v>
      </c>
      <c r="FT216" s="1439"/>
      <c r="FU216" s="1422">
        <v>0</v>
      </c>
      <c r="FV216" s="1439"/>
      <c r="FW216" s="1420">
        <v>1547832.87</v>
      </c>
      <c r="FX216" s="1439"/>
      <c r="FY216" s="1420">
        <v>719349.59</v>
      </c>
      <c r="FZ216" s="1439"/>
      <c r="GA216" s="1420">
        <v>85777.85</v>
      </c>
      <c r="GB216" s="1439"/>
    </row>
    <row r="217" spans="1:184" ht="12.75" customHeight="1" thickBot="1">
      <c r="A217" s="1418" t="s">
        <v>117</v>
      </c>
      <c r="B217" s="1418" t="s">
        <v>118</v>
      </c>
      <c r="C217" s="1420">
        <v>241.7</v>
      </c>
      <c r="D217" s="1439"/>
      <c r="E217" s="1420">
        <v>807.92</v>
      </c>
      <c r="F217" s="1439"/>
      <c r="G217" s="1421">
        <v>0.03</v>
      </c>
      <c r="H217" s="1439"/>
      <c r="I217" s="1420">
        <v>850.11</v>
      </c>
      <c r="J217" s="1439"/>
      <c r="K217" s="1420">
        <v>897.38</v>
      </c>
      <c r="L217" s="1439"/>
      <c r="M217" s="1422">
        <v>76580465</v>
      </c>
      <c r="N217" s="1439"/>
      <c r="O217" s="1422">
        <v>25</v>
      </c>
      <c r="P217" s="1439"/>
      <c r="Q217" s="1422">
        <v>25</v>
      </c>
      <c r="R217" s="1439"/>
      <c r="S217" s="1422">
        <v>0</v>
      </c>
      <c r="T217" s="1439"/>
      <c r="U217" s="1422">
        <v>0</v>
      </c>
      <c r="V217" s="1439"/>
      <c r="W217" s="1422">
        <v>16</v>
      </c>
      <c r="X217" s="1439"/>
      <c r="Y217" s="1422">
        <v>41</v>
      </c>
      <c r="Z217" s="1439"/>
      <c r="AA217" s="1422">
        <v>5325000</v>
      </c>
      <c r="AB217" s="1455"/>
      <c r="AC217" s="1424">
        <v>2917552.54</v>
      </c>
      <c r="AD217" s="1422">
        <v>2485000</v>
      </c>
      <c r="AE217" s="1420">
        <v>519296.34</v>
      </c>
      <c r="AF217" s="1422">
        <v>287810</v>
      </c>
      <c r="AG217" s="1420">
        <v>74566.36</v>
      </c>
      <c r="AH217" s="1456">
        <v>65000</v>
      </c>
      <c r="AI217" s="1428">
        <v>3588474</v>
      </c>
      <c r="AJ217" s="1422">
        <v>3317781</v>
      </c>
      <c r="AK217" s="1422">
        <v>26612</v>
      </c>
      <c r="AL217" s="1422">
        <v>15000</v>
      </c>
      <c r="AM217" s="1422">
        <v>0</v>
      </c>
      <c r="AN217" s="1422">
        <v>0</v>
      </c>
      <c r="AO217" s="1422">
        <v>0</v>
      </c>
      <c r="AP217" s="1422">
        <v>141681</v>
      </c>
      <c r="AQ217" s="1422">
        <v>0</v>
      </c>
      <c r="AR217" s="1422">
        <v>0</v>
      </c>
      <c r="AS217" s="1422">
        <v>0</v>
      </c>
      <c r="AT217" s="1422">
        <v>0</v>
      </c>
      <c r="AU217" s="1422">
        <v>22348</v>
      </c>
      <c r="AV217" s="1422">
        <v>17879</v>
      </c>
      <c r="AW217" s="1422">
        <v>0</v>
      </c>
      <c r="AX217" s="1422">
        <v>0</v>
      </c>
      <c r="AY217" s="1420">
        <v>7148849.2400000002</v>
      </c>
      <c r="AZ217" s="1422">
        <v>6330151</v>
      </c>
      <c r="BA217" s="1422">
        <v>0</v>
      </c>
      <c r="BB217" s="1422">
        <v>0</v>
      </c>
      <c r="BC217" s="1422">
        <v>37116</v>
      </c>
      <c r="BD217" s="1422">
        <v>36076</v>
      </c>
      <c r="BE217" s="1420">
        <v>17719.68</v>
      </c>
      <c r="BF217" s="1422">
        <v>1400</v>
      </c>
      <c r="BG217" s="1422">
        <v>1900</v>
      </c>
      <c r="BH217" s="1422">
        <v>0</v>
      </c>
      <c r="BI217" s="1422">
        <v>3819</v>
      </c>
      <c r="BJ217" s="1422">
        <v>9907</v>
      </c>
      <c r="BK217" s="1422">
        <v>5274</v>
      </c>
      <c r="BL217" s="1422">
        <v>0</v>
      </c>
      <c r="BM217" s="1422">
        <v>217744</v>
      </c>
      <c r="BN217" s="1422">
        <v>217580</v>
      </c>
      <c r="BO217" s="1420">
        <v>77906.31</v>
      </c>
      <c r="BP217" s="1422">
        <v>81875</v>
      </c>
      <c r="BQ217" s="1420">
        <v>36562.519999999997</v>
      </c>
      <c r="BR217" s="1420">
        <v>34937.5</v>
      </c>
      <c r="BS217" s="1420">
        <v>2699.78</v>
      </c>
      <c r="BT217" s="1422">
        <v>0</v>
      </c>
      <c r="BU217" s="1422">
        <v>0</v>
      </c>
      <c r="BV217" s="1422">
        <v>0</v>
      </c>
      <c r="BW217" s="1420">
        <v>287780.2</v>
      </c>
      <c r="BX217" s="1420">
        <v>270616.77</v>
      </c>
      <c r="BY217" s="1422">
        <v>0</v>
      </c>
      <c r="BZ217" s="1422">
        <v>0</v>
      </c>
      <c r="CA217" s="1422">
        <v>33701</v>
      </c>
      <c r="CB217" s="1422">
        <v>26645</v>
      </c>
      <c r="CC217" s="1420">
        <v>722222.49</v>
      </c>
      <c r="CD217" s="1420">
        <v>679037.27</v>
      </c>
      <c r="CE217" s="1420">
        <v>969880.89</v>
      </c>
      <c r="CF217" s="1420">
        <v>908038.06</v>
      </c>
      <c r="CG217" s="1422">
        <v>0</v>
      </c>
      <c r="CH217" s="1422">
        <v>0</v>
      </c>
      <c r="CI217" s="1422">
        <v>0</v>
      </c>
      <c r="CJ217" s="1422">
        <v>0</v>
      </c>
      <c r="CK217" s="1422">
        <v>0</v>
      </c>
      <c r="CL217" s="1422">
        <v>0</v>
      </c>
      <c r="CM217" s="1422">
        <v>505</v>
      </c>
      <c r="CN217" s="1422">
        <v>0</v>
      </c>
      <c r="CO217" s="1422">
        <v>0</v>
      </c>
      <c r="CP217" s="1422">
        <v>0</v>
      </c>
      <c r="CQ217" s="1422">
        <v>0</v>
      </c>
      <c r="CR217" s="1422">
        <v>0</v>
      </c>
      <c r="CS217" s="1422">
        <v>505</v>
      </c>
      <c r="CT217" s="1422">
        <v>0</v>
      </c>
      <c r="CU217" s="1420">
        <v>8841457.6199999992</v>
      </c>
      <c r="CV217" s="1420">
        <v>7917226.3300000001</v>
      </c>
      <c r="CW217" s="1420">
        <v>3205067.61</v>
      </c>
      <c r="CX217" s="1420">
        <v>3132607.53</v>
      </c>
      <c r="CY217" s="1420">
        <v>540069.06000000006</v>
      </c>
      <c r="CZ217" s="1420">
        <v>491492.77</v>
      </c>
      <c r="DA217" s="1420">
        <v>287977.89</v>
      </c>
      <c r="DB217" s="1420">
        <v>334656.11</v>
      </c>
      <c r="DC217" s="1422">
        <v>0</v>
      </c>
      <c r="DD217" s="1422">
        <v>0</v>
      </c>
      <c r="DE217" s="1420">
        <v>213795.56</v>
      </c>
      <c r="DF217" s="1420">
        <v>170749.26</v>
      </c>
      <c r="DG217" s="1420">
        <v>348249.16</v>
      </c>
      <c r="DH217" s="1420">
        <v>346473.57</v>
      </c>
      <c r="DI217" s="1420">
        <v>4595159.28</v>
      </c>
      <c r="DJ217" s="1420">
        <v>4475979.24</v>
      </c>
      <c r="DK217" s="1420">
        <v>357889.79</v>
      </c>
      <c r="DL217" s="1420">
        <v>368386.64</v>
      </c>
      <c r="DM217" s="1420">
        <v>150715.73000000001</v>
      </c>
      <c r="DN217" s="1420">
        <v>194922.21</v>
      </c>
      <c r="DO217" s="1420">
        <v>761880.56</v>
      </c>
      <c r="DP217" s="1420">
        <v>794846.12</v>
      </c>
      <c r="DQ217" s="1420">
        <v>252578.36</v>
      </c>
      <c r="DR217" s="1420">
        <v>333462.82</v>
      </c>
      <c r="DS217" s="1420">
        <v>23920.19</v>
      </c>
      <c r="DT217" s="1422">
        <v>11000</v>
      </c>
      <c r="DU217" s="1420">
        <v>1546984.63</v>
      </c>
      <c r="DV217" s="1420">
        <v>1702617.79</v>
      </c>
      <c r="DW217" s="1420">
        <v>383497.22</v>
      </c>
      <c r="DX217" s="1420">
        <v>356278.07</v>
      </c>
      <c r="DY217" s="1422">
        <v>864849</v>
      </c>
      <c r="DZ217" s="1420">
        <v>905676.59</v>
      </c>
      <c r="EA217" s="1420">
        <v>231985.03</v>
      </c>
      <c r="EB217" s="1420">
        <v>233726.05</v>
      </c>
      <c r="EC217" s="1420">
        <v>1480331.25</v>
      </c>
      <c r="ED217" s="1420">
        <v>1495680.71</v>
      </c>
      <c r="EE217" s="1420">
        <v>344324.16</v>
      </c>
      <c r="EF217" s="1420">
        <v>335360.42</v>
      </c>
      <c r="EG217" s="1422">
        <v>0</v>
      </c>
      <c r="EH217" s="1422">
        <v>0</v>
      </c>
      <c r="EI217" s="1422">
        <v>100</v>
      </c>
      <c r="EJ217" s="1420">
        <v>1001.16</v>
      </c>
      <c r="EK217" s="1422">
        <v>0</v>
      </c>
      <c r="EL217" s="1422">
        <v>0</v>
      </c>
      <c r="EM217" s="1420">
        <v>344424.16</v>
      </c>
      <c r="EN217" s="1420">
        <v>336361.58</v>
      </c>
      <c r="EO217" s="1420">
        <v>107316.49</v>
      </c>
      <c r="EP217" s="1422">
        <v>4705</v>
      </c>
      <c r="EQ217" s="1420">
        <v>364793.76</v>
      </c>
      <c r="ER217" s="1422">
        <v>360451</v>
      </c>
      <c r="ES217" s="1420">
        <v>53010.7</v>
      </c>
      <c r="ET217" s="1422">
        <v>0</v>
      </c>
      <c r="EU217" s="1420">
        <v>8492020.2699999996</v>
      </c>
      <c r="EV217" s="1420">
        <v>8375795.3200000003</v>
      </c>
      <c r="EW217" s="1420">
        <v>212179.18</v>
      </c>
      <c r="EX217" s="1422">
        <v>106480</v>
      </c>
      <c r="EY217" s="1420">
        <v>364793.76</v>
      </c>
      <c r="EZ217" s="1422">
        <v>360451</v>
      </c>
      <c r="FA217" s="1420">
        <v>7915047.3300000001</v>
      </c>
      <c r="FB217" s="1420">
        <v>7908864.3200000003</v>
      </c>
      <c r="FC217" s="1420">
        <v>826008.45</v>
      </c>
      <c r="FD217" s="1439"/>
      <c r="FE217" s="1420">
        <v>7089038.8799999999</v>
      </c>
      <c r="FF217" s="1439"/>
      <c r="FG217" s="1422">
        <v>8774</v>
      </c>
      <c r="FH217" s="1439"/>
      <c r="FI217" s="1420">
        <v>64.13</v>
      </c>
      <c r="FJ217" s="1439"/>
      <c r="FK217" s="1422">
        <v>40726</v>
      </c>
      <c r="FL217" s="1439"/>
      <c r="FM217" s="1420">
        <v>72.349999999999994</v>
      </c>
      <c r="FN217" s="1439"/>
      <c r="FO217" s="1422">
        <v>43195</v>
      </c>
      <c r="FP217" s="1439"/>
      <c r="FQ217" s="1420">
        <v>2305671.9900000002</v>
      </c>
      <c r="FR217" s="1439"/>
      <c r="FS217" s="1420">
        <v>30520.15</v>
      </c>
      <c r="FT217" s="1439"/>
      <c r="FU217" s="1422">
        <v>0</v>
      </c>
      <c r="FV217" s="1439"/>
      <c r="FW217" s="1420">
        <v>2275151.84</v>
      </c>
      <c r="FX217" s="1439"/>
      <c r="FY217" s="1420">
        <v>845614.73</v>
      </c>
      <c r="FZ217" s="1439"/>
      <c r="GA217" s="1422">
        <v>0</v>
      </c>
      <c r="GB217" s="1439"/>
    </row>
    <row r="218" spans="1:184" ht="12.75" customHeight="1" thickBot="1">
      <c r="A218" s="1418" t="s">
        <v>119</v>
      </c>
      <c r="B218" s="1418" t="s">
        <v>120</v>
      </c>
      <c r="C218" s="1420">
        <v>303.29000000000002</v>
      </c>
      <c r="D218" s="1439"/>
      <c r="E218" s="1420">
        <v>421.53</v>
      </c>
      <c r="F218" s="1439"/>
      <c r="G218" s="1421">
        <v>-0.33</v>
      </c>
      <c r="H218" s="1439"/>
      <c r="I218" s="1420">
        <v>445.83</v>
      </c>
      <c r="J218" s="1439"/>
      <c r="K218" s="1420">
        <v>471.55</v>
      </c>
      <c r="L218" s="1439"/>
      <c r="M218" s="1422">
        <v>39603262</v>
      </c>
      <c r="N218" s="1439"/>
      <c r="O218" s="1420">
        <v>25.7</v>
      </c>
      <c r="P218" s="1439"/>
      <c r="Q218" s="1422">
        <v>25</v>
      </c>
      <c r="R218" s="1439"/>
      <c r="S218" s="1420">
        <v>0.7</v>
      </c>
      <c r="T218" s="1439"/>
      <c r="U218" s="1422">
        <v>0</v>
      </c>
      <c r="V218" s="1439"/>
      <c r="W218" s="1420">
        <v>13.3</v>
      </c>
      <c r="X218" s="1439"/>
      <c r="Y218" s="1422">
        <v>39</v>
      </c>
      <c r="Z218" s="1439"/>
      <c r="AA218" s="1420">
        <v>1590130.05</v>
      </c>
      <c r="AB218" s="1455"/>
      <c r="AC218" s="1424">
        <v>1571912.49</v>
      </c>
      <c r="AD218" s="1422">
        <v>1455000</v>
      </c>
      <c r="AE218" s="1420">
        <v>274012.11</v>
      </c>
      <c r="AF218" s="1422">
        <v>177050</v>
      </c>
      <c r="AG218" s="1420">
        <v>39182.699999999997</v>
      </c>
      <c r="AH218" s="1456">
        <v>35000</v>
      </c>
      <c r="AI218" s="1428">
        <v>1762364</v>
      </c>
      <c r="AJ218" s="1422">
        <v>1705013</v>
      </c>
      <c r="AK218" s="1422">
        <v>10603</v>
      </c>
      <c r="AL218" s="1422">
        <v>10000</v>
      </c>
      <c r="AM218" s="1422">
        <v>0</v>
      </c>
      <c r="AN218" s="1422">
        <v>0</v>
      </c>
      <c r="AO218" s="1422">
        <v>253147</v>
      </c>
      <c r="AP218" s="1422">
        <v>72069</v>
      </c>
      <c r="AQ218" s="1422">
        <v>0</v>
      </c>
      <c r="AR218" s="1422">
        <v>0</v>
      </c>
      <c r="AS218" s="1422">
        <v>0</v>
      </c>
      <c r="AT218" s="1422">
        <v>0</v>
      </c>
      <c r="AU218" s="1422">
        <v>11649</v>
      </c>
      <c r="AV218" s="1422">
        <v>9319</v>
      </c>
      <c r="AW218" s="1422">
        <v>0</v>
      </c>
      <c r="AX218" s="1422">
        <v>0</v>
      </c>
      <c r="AY218" s="1420">
        <v>3922870.3</v>
      </c>
      <c r="AZ218" s="1422">
        <v>3463451</v>
      </c>
      <c r="BA218" s="1422">
        <v>0</v>
      </c>
      <c r="BB218" s="1422">
        <v>0</v>
      </c>
      <c r="BC218" s="1422">
        <v>19503</v>
      </c>
      <c r="BD218" s="1422">
        <v>18990</v>
      </c>
      <c r="BE218" s="1420">
        <v>152344.44</v>
      </c>
      <c r="BF218" s="1420">
        <v>2118.5100000000002</v>
      </c>
      <c r="BG218" s="1422">
        <v>0</v>
      </c>
      <c r="BH218" s="1422">
        <v>0</v>
      </c>
      <c r="BI218" s="1422">
        <v>126928</v>
      </c>
      <c r="BJ218" s="1422">
        <v>23129</v>
      </c>
      <c r="BK218" s="1422">
        <v>0</v>
      </c>
      <c r="BL218" s="1422">
        <v>0</v>
      </c>
      <c r="BM218" s="1422">
        <v>391840</v>
      </c>
      <c r="BN218" s="1422">
        <v>374440</v>
      </c>
      <c r="BO218" s="1420">
        <v>41255.07</v>
      </c>
      <c r="BP218" s="1422">
        <v>35000</v>
      </c>
      <c r="BQ218" s="1420">
        <v>20312.52</v>
      </c>
      <c r="BR218" s="1422">
        <v>10000</v>
      </c>
      <c r="BS218" s="1420">
        <v>2090.7399999999998</v>
      </c>
      <c r="BT218" s="1422">
        <v>2000</v>
      </c>
      <c r="BU218" s="1422">
        <v>0</v>
      </c>
      <c r="BV218" s="1422">
        <v>0</v>
      </c>
      <c r="BW218" s="1422">
        <v>0</v>
      </c>
      <c r="BX218" s="1422">
        <v>0</v>
      </c>
      <c r="BY218" s="1422">
        <v>0</v>
      </c>
      <c r="BZ218" s="1422">
        <v>0</v>
      </c>
      <c r="CA218" s="1422">
        <v>14831</v>
      </c>
      <c r="CB218" s="1422">
        <v>13327</v>
      </c>
      <c r="CC218" s="1420">
        <v>769104.77</v>
      </c>
      <c r="CD218" s="1420">
        <v>479004.51</v>
      </c>
      <c r="CE218" s="1420">
        <v>1490341.32</v>
      </c>
      <c r="CF218" s="1420">
        <v>725364.68</v>
      </c>
      <c r="CG218" s="1422">
        <v>0</v>
      </c>
      <c r="CH218" s="1422">
        <v>0</v>
      </c>
      <c r="CI218" s="1422">
        <v>0</v>
      </c>
      <c r="CJ218" s="1422">
        <v>0</v>
      </c>
      <c r="CK218" s="1422">
        <v>0</v>
      </c>
      <c r="CL218" s="1422">
        <v>0</v>
      </c>
      <c r="CM218" s="1422">
        <v>0</v>
      </c>
      <c r="CN218" s="1422">
        <v>0</v>
      </c>
      <c r="CO218" s="1422">
        <v>0</v>
      </c>
      <c r="CP218" s="1422">
        <v>0</v>
      </c>
      <c r="CQ218" s="1422">
        <v>0</v>
      </c>
      <c r="CR218" s="1422">
        <v>0</v>
      </c>
      <c r="CS218" s="1422">
        <v>0</v>
      </c>
      <c r="CT218" s="1422">
        <v>0</v>
      </c>
      <c r="CU218" s="1420">
        <v>6182316.3899999997</v>
      </c>
      <c r="CV218" s="1420">
        <v>4667820.1900000004</v>
      </c>
      <c r="CW218" s="1420">
        <v>1865098.54</v>
      </c>
      <c r="CX218" s="1420">
        <v>1528999.62</v>
      </c>
      <c r="CY218" s="1420">
        <v>296803.89</v>
      </c>
      <c r="CZ218" s="1420">
        <v>324537.37</v>
      </c>
      <c r="DA218" s="1420">
        <v>217667.82</v>
      </c>
      <c r="DB218" s="1422">
        <v>3975</v>
      </c>
      <c r="DC218" s="1422">
        <v>0</v>
      </c>
      <c r="DD218" s="1422">
        <v>0</v>
      </c>
      <c r="DE218" s="1420">
        <v>304656.65000000002</v>
      </c>
      <c r="DF218" s="1420">
        <v>152585.76</v>
      </c>
      <c r="DG218" s="1420">
        <v>186391.34</v>
      </c>
      <c r="DH218" s="1420">
        <v>135548.26</v>
      </c>
      <c r="DI218" s="1420">
        <v>2870618.24</v>
      </c>
      <c r="DJ218" s="1420">
        <v>2145646.0099999998</v>
      </c>
      <c r="DK218" s="1420">
        <v>515714.52</v>
      </c>
      <c r="DL218" s="1420">
        <v>283743.12</v>
      </c>
      <c r="DM218" s="1420">
        <v>128536.89</v>
      </c>
      <c r="DN218" s="1422">
        <v>118125</v>
      </c>
      <c r="DO218" s="1420">
        <v>556168.72</v>
      </c>
      <c r="DP218" s="1420">
        <v>484011.58</v>
      </c>
      <c r="DQ218" s="1420">
        <v>240124.52</v>
      </c>
      <c r="DR218" s="1420">
        <v>220915.39</v>
      </c>
      <c r="DS218" s="1422">
        <v>0</v>
      </c>
      <c r="DT218" s="1422">
        <v>0</v>
      </c>
      <c r="DU218" s="1420">
        <v>1440544.65</v>
      </c>
      <c r="DV218" s="1420">
        <v>1106795.0900000001</v>
      </c>
      <c r="DW218" s="1420">
        <v>331689.15999999997</v>
      </c>
      <c r="DX218" s="1420">
        <v>231677.85</v>
      </c>
      <c r="DY218" s="1420">
        <v>495698.43</v>
      </c>
      <c r="DZ218" s="1420">
        <v>428798.29</v>
      </c>
      <c r="EA218" s="1420">
        <v>258054.13</v>
      </c>
      <c r="EB218" s="1420">
        <v>190916.11</v>
      </c>
      <c r="EC218" s="1420">
        <v>1085441.72</v>
      </c>
      <c r="ED218" s="1420">
        <v>851392.25</v>
      </c>
      <c r="EE218" s="1420">
        <v>327164.02</v>
      </c>
      <c r="EF218" s="1420">
        <v>330795.5</v>
      </c>
      <c r="EG218" s="1422">
        <v>0</v>
      </c>
      <c r="EH218" s="1422">
        <v>0</v>
      </c>
      <c r="EI218" s="1422">
        <v>0</v>
      </c>
      <c r="EJ218" s="1422">
        <v>2000</v>
      </c>
      <c r="EK218" s="1422">
        <v>0</v>
      </c>
      <c r="EL218" s="1422">
        <v>0</v>
      </c>
      <c r="EM218" s="1420">
        <v>327164.02</v>
      </c>
      <c r="EN218" s="1420">
        <v>332795.5</v>
      </c>
      <c r="EO218" s="1420">
        <v>157607.85</v>
      </c>
      <c r="EP218" s="1422">
        <v>0</v>
      </c>
      <c r="EQ218" s="1420">
        <v>181894.88</v>
      </c>
      <c r="ER218" s="1422">
        <v>183400</v>
      </c>
      <c r="ES218" s="1422">
        <v>10000</v>
      </c>
      <c r="ET218" s="1422">
        <v>0</v>
      </c>
      <c r="EU218" s="1420">
        <v>6073271.3600000003</v>
      </c>
      <c r="EV218" s="1420">
        <v>4620028.8499999996</v>
      </c>
      <c r="EW218" s="1420">
        <v>169315.02</v>
      </c>
      <c r="EX218" s="1422">
        <v>5000</v>
      </c>
      <c r="EY218" s="1420">
        <v>181894.88</v>
      </c>
      <c r="EZ218" s="1422">
        <v>183400</v>
      </c>
      <c r="FA218" s="1420">
        <v>5722061.46</v>
      </c>
      <c r="FB218" s="1420">
        <v>4431628.8499999996</v>
      </c>
      <c r="FC218" s="1420">
        <v>185226.93</v>
      </c>
      <c r="FD218" s="1439"/>
      <c r="FE218" s="1420">
        <v>5536834.5300000003</v>
      </c>
      <c r="FF218" s="1439"/>
      <c r="FG218" s="1422">
        <v>13135</v>
      </c>
      <c r="FH218" s="1439"/>
      <c r="FI218" s="1420">
        <v>24.02</v>
      </c>
      <c r="FJ218" s="1439"/>
      <c r="FK218" s="1422">
        <v>63664</v>
      </c>
      <c r="FL218" s="1439"/>
      <c r="FM218" s="1420">
        <v>28.02</v>
      </c>
      <c r="FN218" s="1439"/>
      <c r="FO218" s="1422">
        <v>71890</v>
      </c>
      <c r="FP218" s="1439"/>
      <c r="FQ218" s="1420">
        <v>919988.98</v>
      </c>
      <c r="FR218" s="1439"/>
      <c r="FS218" s="1420">
        <v>111839.36</v>
      </c>
      <c r="FT218" s="1439"/>
      <c r="FU218" s="1422">
        <v>0</v>
      </c>
      <c r="FV218" s="1439"/>
      <c r="FW218" s="1420">
        <v>808149.62</v>
      </c>
      <c r="FX218" s="1439"/>
      <c r="FY218" s="1422">
        <v>0</v>
      </c>
      <c r="FZ218" s="1439"/>
      <c r="GA218" s="1422">
        <v>0</v>
      </c>
      <c r="GB218" s="1439"/>
    </row>
    <row r="219" spans="1:184" ht="12.75" customHeight="1" thickBot="1">
      <c r="A219" s="1418" t="s">
        <v>121</v>
      </c>
      <c r="B219" s="1418" t="s">
        <v>122</v>
      </c>
      <c r="C219" s="1420">
        <v>487.62</v>
      </c>
      <c r="D219" s="1439"/>
      <c r="E219" s="1420">
        <v>1251.7</v>
      </c>
      <c r="F219" s="1439"/>
      <c r="G219" s="1421">
        <v>0.02</v>
      </c>
      <c r="H219" s="1439"/>
      <c r="I219" s="1420">
        <v>1331.54</v>
      </c>
      <c r="J219" s="1439"/>
      <c r="K219" s="1420">
        <v>1322.07</v>
      </c>
      <c r="L219" s="1439"/>
      <c r="M219" s="1422">
        <v>199480532</v>
      </c>
      <c r="N219" s="1439"/>
      <c r="O219" s="1422">
        <v>25</v>
      </c>
      <c r="P219" s="1439"/>
      <c r="Q219" s="1422">
        <v>25</v>
      </c>
      <c r="R219" s="1439"/>
      <c r="S219" s="1422">
        <v>0</v>
      </c>
      <c r="T219" s="1439"/>
      <c r="U219" s="1422">
        <v>0</v>
      </c>
      <c r="V219" s="1439"/>
      <c r="W219" s="1420">
        <v>7.8</v>
      </c>
      <c r="X219" s="1439"/>
      <c r="Y219" s="1420">
        <v>32.799999999999997</v>
      </c>
      <c r="Z219" s="1439"/>
      <c r="AA219" s="1420">
        <v>7145787.4400000004</v>
      </c>
      <c r="AB219" s="1455"/>
      <c r="AC219" s="1424">
        <v>4806763.4400000004</v>
      </c>
      <c r="AD219" s="1422">
        <v>6134322</v>
      </c>
      <c r="AE219" s="1420">
        <v>688023.23</v>
      </c>
      <c r="AF219" s="1422">
        <v>413371</v>
      </c>
      <c r="AG219" s="1422">
        <v>0</v>
      </c>
      <c r="AH219" s="1456">
        <v>0</v>
      </c>
      <c r="AI219" s="1428">
        <v>3514825</v>
      </c>
      <c r="AJ219" s="1422">
        <v>3058602</v>
      </c>
      <c r="AK219" s="1422">
        <v>191347</v>
      </c>
      <c r="AL219" s="1422">
        <v>0</v>
      </c>
      <c r="AM219" s="1422">
        <v>104184</v>
      </c>
      <c r="AN219" s="1422">
        <v>184320</v>
      </c>
      <c r="AO219" s="1422">
        <v>0</v>
      </c>
      <c r="AP219" s="1422">
        <v>0</v>
      </c>
      <c r="AQ219" s="1422">
        <v>0</v>
      </c>
      <c r="AR219" s="1422">
        <v>0</v>
      </c>
      <c r="AS219" s="1422">
        <v>0</v>
      </c>
      <c r="AT219" s="1422">
        <v>0</v>
      </c>
      <c r="AU219" s="1422">
        <v>0</v>
      </c>
      <c r="AV219" s="1422">
        <v>0</v>
      </c>
      <c r="AW219" s="1422">
        <v>0</v>
      </c>
      <c r="AX219" s="1422">
        <v>0</v>
      </c>
      <c r="AY219" s="1420">
        <v>9305142.6699999999</v>
      </c>
      <c r="AZ219" s="1422">
        <v>9790615</v>
      </c>
      <c r="BA219" s="1422">
        <v>0</v>
      </c>
      <c r="BB219" s="1422">
        <v>0</v>
      </c>
      <c r="BC219" s="1422">
        <v>54681</v>
      </c>
      <c r="BD219" s="1422">
        <v>56651</v>
      </c>
      <c r="BE219" s="1420">
        <v>22670.58</v>
      </c>
      <c r="BF219" s="1422">
        <v>0</v>
      </c>
      <c r="BG219" s="1422">
        <v>800</v>
      </c>
      <c r="BH219" s="1422">
        <v>0</v>
      </c>
      <c r="BI219" s="1422">
        <v>115105</v>
      </c>
      <c r="BJ219" s="1422">
        <v>123148</v>
      </c>
      <c r="BK219" s="1422">
        <v>4981</v>
      </c>
      <c r="BL219" s="1422">
        <v>14568</v>
      </c>
      <c r="BM219" s="1422">
        <v>609085</v>
      </c>
      <c r="BN219" s="1420">
        <v>798280.44</v>
      </c>
      <c r="BO219" s="1420">
        <v>185599.65</v>
      </c>
      <c r="BP219" s="1422">
        <v>234785</v>
      </c>
      <c r="BQ219" s="1420">
        <v>33312.519999999997</v>
      </c>
      <c r="BR219" s="1420">
        <v>31687.5</v>
      </c>
      <c r="BS219" s="1422">
        <v>5450</v>
      </c>
      <c r="BT219" s="1422">
        <v>3543</v>
      </c>
      <c r="BU219" s="1422">
        <v>0</v>
      </c>
      <c r="BV219" s="1422">
        <v>0</v>
      </c>
      <c r="BW219" s="1422">
        <v>193914</v>
      </c>
      <c r="BX219" s="1422">
        <v>194400</v>
      </c>
      <c r="BY219" s="1422">
        <v>0</v>
      </c>
      <c r="BZ219" s="1422">
        <v>0</v>
      </c>
      <c r="CA219" s="1422">
        <v>18077</v>
      </c>
      <c r="CB219" s="1422">
        <v>14776</v>
      </c>
      <c r="CC219" s="1420">
        <v>1243675.75</v>
      </c>
      <c r="CD219" s="1420">
        <v>1471838.94</v>
      </c>
      <c r="CE219" s="1420">
        <v>2288368.7599999998</v>
      </c>
      <c r="CF219" s="1420">
        <v>2505435.64</v>
      </c>
      <c r="CG219" s="1422">
        <v>0</v>
      </c>
      <c r="CH219" s="1420">
        <v>1084197.8799999999</v>
      </c>
      <c r="CI219" s="1422">
        <v>0</v>
      </c>
      <c r="CJ219" s="1422">
        <v>0</v>
      </c>
      <c r="CK219" s="1422">
        <v>28688</v>
      </c>
      <c r="CL219" s="1422">
        <v>0</v>
      </c>
      <c r="CM219" s="1422">
        <v>0</v>
      </c>
      <c r="CN219" s="1422">
        <v>0</v>
      </c>
      <c r="CO219" s="1420">
        <v>59801.99</v>
      </c>
      <c r="CP219" s="1422">
        <v>0</v>
      </c>
      <c r="CQ219" s="1422">
        <v>0</v>
      </c>
      <c r="CR219" s="1422">
        <v>0</v>
      </c>
      <c r="CS219" s="1420">
        <v>88489.99</v>
      </c>
      <c r="CT219" s="1420">
        <v>1084197.8799999999</v>
      </c>
      <c r="CU219" s="1420">
        <v>12925677.17</v>
      </c>
      <c r="CV219" s="1420">
        <v>14852087.460000001</v>
      </c>
      <c r="CW219" s="1420">
        <v>4558230.09</v>
      </c>
      <c r="CX219" s="1420">
        <v>4605963.8499999996</v>
      </c>
      <c r="CY219" s="1420">
        <v>1304685.54</v>
      </c>
      <c r="CZ219" s="1420">
        <v>1265487.97</v>
      </c>
      <c r="DA219" s="1420">
        <v>338977.22</v>
      </c>
      <c r="DB219" s="1420">
        <v>318361.15999999997</v>
      </c>
      <c r="DC219" s="1422">
        <v>0</v>
      </c>
      <c r="DD219" s="1422">
        <v>0</v>
      </c>
      <c r="DE219" s="1420">
        <v>495116.81</v>
      </c>
      <c r="DF219" s="1420">
        <v>951780.09</v>
      </c>
      <c r="DG219" s="1420">
        <v>453052.73</v>
      </c>
      <c r="DH219" s="1420">
        <v>399129.65</v>
      </c>
      <c r="DI219" s="1420">
        <v>7150062.3899999997</v>
      </c>
      <c r="DJ219" s="1420">
        <v>7540722.7199999997</v>
      </c>
      <c r="DK219" s="1420">
        <v>255828.54</v>
      </c>
      <c r="DL219" s="1420">
        <v>235274.41</v>
      </c>
      <c r="DM219" s="1420">
        <v>730251.45</v>
      </c>
      <c r="DN219" s="1420">
        <v>688120.05</v>
      </c>
      <c r="DO219" s="1420">
        <v>1047683.74</v>
      </c>
      <c r="DP219" s="1420">
        <v>1208635.03</v>
      </c>
      <c r="DQ219" s="1420">
        <v>714721.08</v>
      </c>
      <c r="DR219" s="1420">
        <v>552487.80000000005</v>
      </c>
      <c r="DS219" s="1420">
        <v>63975.1</v>
      </c>
      <c r="DT219" s="1422">
        <v>23200</v>
      </c>
      <c r="DU219" s="1420">
        <v>2812459.91</v>
      </c>
      <c r="DV219" s="1420">
        <v>2707717.29</v>
      </c>
      <c r="DW219" s="1420">
        <v>743317.42</v>
      </c>
      <c r="DX219" s="1420">
        <v>666141.15</v>
      </c>
      <c r="DY219" s="1420">
        <v>747442.58</v>
      </c>
      <c r="DZ219" s="1420">
        <v>884877.1</v>
      </c>
      <c r="EA219" s="1420">
        <v>661260.05000000005</v>
      </c>
      <c r="EB219" s="1420">
        <v>641274.99</v>
      </c>
      <c r="EC219" s="1420">
        <v>2152020.0499999998</v>
      </c>
      <c r="ED219" s="1420">
        <v>2192293.2400000002</v>
      </c>
      <c r="EE219" s="1420">
        <v>807827.62</v>
      </c>
      <c r="EF219" s="1420">
        <v>789238.14</v>
      </c>
      <c r="EG219" s="1422">
        <v>0</v>
      </c>
      <c r="EH219" s="1422">
        <v>0</v>
      </c>
      <c r="EI219" s="1420">
        <v>348.12</v>
      </c>
      <c r="EJ219" s="1420">
        <v>6638.47</v>
      </c>
      <c r="EK219" s="1422">
        <v>0</v>
      </c>
      <c r="EL219" s="1422">
        <v>0</v>
      </c>
      <c r="EM219" s="1420">
        <v>808175.74</v>
      </c>
      <c r="EN219" s="1420">
        <v>795876.61</v>
      </c>
      <c r="EO219" s="1422">
        <v>0</v>
      </c>
      <c r="EP219" s="1420">
        <v>21652.26</v>
      </c>
      <c r="EQ219" s="1420">
        <v>600338.46</v>
      </c>
      <c r="ER219" s="1422">
        <v>624225</v>
      </c>
      <c r="ES219" s="1420">
        <v>10720.54</v>
      </c>
      <c r="ET219" s="1422">
        <v>0</v>
      </c>
      <c r="EU219" s="1420">
        <v>13533777.09</v>
      </c>
      <c r="EV219" s="1420">
        <v>13882487.119999999</v>
      </c>
      <c r="EW219" s="1420">
        <v>307695.03999999998</v>
      </c>
      <c r="EX219" s="1420">
        <v>315386.89</v>
      </c>
      <c r="EY219" s="1420">
        <v>600338.46</v>
      </c>
      <c r="EZ219" s="1422">
        <v>624225</v>
      </c>
      <c r="FA219" s="1420">
        <v>12625743.59</v>
      </c>
      <c r="FB219" s="1420">
        <v>12942875.23</v>
      </c>
      <c r="FC219" s="1420">
        <v>701214.79</v>
      </c>
      <c r="FD219" s="1439"/>
      <c r="FE219" s="1420">
        <v>11924528.800000001</v>
      </c>
      <c r="FF219" s="1439"/>
      <c r="FG219" s="1422">
        <v>9526</v>
      </c>
      <c r="FH219" s="1439"/>
      <c r="FI219" s="1420">
        <v>108.24</v>
      </c>
      <c r="FJ219" s="1439"/>
      <c r="FK219" s="1422">
        <v>40039</v>
      </c>
      <c r="FL219" s="1439"/>
      <c r="FM219" s="1420">
        <v>115.03</v>
      </c>
      <c r="FN219" s="1439"/>
      <c r="FO219" s="1422">
        <v>41897</v>
      </c>
      <c r="FP219" s="1439"/>
      <c r="FQ219" s="1420">
        <v>4217444.2</v>
      </c>
      <c r="FR219" s="1439"/>
      <c r="FS219" s="1420">
        <v>145019.37</v>
      </c>
      <c r="FT219" s="1439"/>
      <c r="FU219" s="1422">
        <v>0</v>
      </c>
      <c r="FV219" s="1439"/>
      <c r="FW219" s="1420">
        <v>4072424.83</v>
      </c>
      <c r="FX219" s="1439"/>
      <c r="FY219" s="1422">
        <v>0</v>
      </c>
      <c r="FZ219" s="1439"/>
      <c r="GA219" s="1422">
        <v>0</v>
      </c>
      <c r="GB219" s="1439"/>
    </row>
    <row r="220" spans="1:184" ht="12.75" customHeight="1" thickBot="1">
      <c r="A220" s="1418" t="s">
        <v>123</v>
      </c>
      <c r="B220" s="1418" t="s">
        <v>124</v>
      </c>
      <c r="C220" s="1420">
        <v>93.4</v>
      </c>
      <c r="D220" s="1439"/>
      <c r="E220" s="1420">
        <v>413.85</v>
      </c>
      <c r="F220" s="1439"/>
      <c r="G220" s="1421">
        <v>-0.21</v>
      </c>
      <c r="H220" s="1439"/>
      <c r="I220" s="1420">
        <v>440.6</v>
      </c>
      <c r="J220" s="1439"/>
      <c r="K220" s="1420">
        <v>466.74</v>
      </c>
      <c r="L220" s="1439"/>
      <c r="M220" s="1422">
        <v>78488959</v>
      </c>
      <c r="N220" s="1439"/>
      <c r="O220" s="1422">
        <v>25</v>
      </c>
      <c r="P220" s="1439"/>
      <c r="Q220" s="1422">
        <v>25</v>
      </c>
      <c r="R220" s="1439"/>
      <c r="S220" s="1422">
        <v>0</v>
      </c>
      <c r="T220" s="1439"/>
      <c r="U220" s="1422">
        <v>0</v>
      </c>
      <c r="V220" s="1439"/>
      <c r="W220" s="1420">
        <v>10.7</v>
      </c>
      <c r="X220" s="1439"/>
      <c r="Y220" s="1420">
        <v>35.700000000000003</v>
      </c>
      <c r="Z220" s="1439"/>
      <c r="AA220" s="1422">
        <v>2889832</v>
      </c>
      <c r="AB220" s="1455"/>
      <c r="AC220" s="1424">
        <v>2564147.06</v>
      </c>
      <c r="AD220" s="1420">
        <v>1994247.08</v>
      </c>
      <c r="AE220" s="1420">
        <v>234818.77</v>
      </c>
      <c r="AF220" s="1422">
        <v>110033</v>
      </c>
      <c r="AG220" s="1422">
        <v>0</v>
      </c>
      <c r="AH220" s="1456">
        <v>0</v>
      </c>
      <c r="AI220" s="1428">
        <v>995950</v>
      </c>
      <c r="AJ220" s="1422">
        <v>776431</v>
      </c>
      <c r="AK220" s="1422">
        <v>78445</v>
      </c>
      <c r="AL220" s="1422">
        <v>0</v>
      </c>
      <c r="AM220" s="1422">
        <v>0</v>
      </c>
      <c r="AN220" s="1422">
        <v>0</v>
      </c>
      <c r="AO220" s="1422">
        <v>117840</v>
      </c>
      <c r="AP220" s="1422">
        <v>71363</v>
      </c>
      <c r="AQ220" s="1422">
        <v>0</v>
      </c>
      <c r="AR220" s="1422">
        <v>0</v>
      </c>
      <c r="AS220" s="1422">
        <v>0</v>
      </c>
      <c r="AT220" s="1422">
        <v>0</v>
      </c>
      <c r="AU220" s="1422">
        <v>0</v>
      </c>
      <c r="AV220" s="1422">
        <v>0</v>
      </c>
      <c r="AW220" s="1422">
        <v>0</v>
      </c>
      <c r="AX220" s="1422">
        <v>0</v>
      </c>
      <c r="AY220" s="1420">
        <v>3991200.83</v>
      </c>
      <c r="AZ220" s="1420">
        <v>2952074.08</v>
      </c>
      <c r="BA220" s="1422">
        <v>0</v>
      </c>
      <c r="BB220" s="1422">
        <v>0</v>
      </c>
      <c r="BC220" s="1422">
        <v>19304</v>
      </c>
      <c r="BD220" s="1422">
        <v>18796</v>
      </c>
      <c r="BE220" s="1420">
        <v>21902.22</v>
      </c>
      <c r="BF220" s="1422">
        <v>0</v>
      </c>
      <c r="BG220" s="1422">
        <v>1050</v>
      </c>
      <c r="BH220" s="1422">
        <v>0</v>
      </c>
      <c r="BI220" s="1422">
        <v>73947</v>
      </c>
      <c r="BJ220" s="1422">
        <v>78465</v>
      </c>
      <c r="BK220" s="1422">
        <v>0</v>
      </c>
      <c r="BL220" s="1422">
        <v>0</v>
      </c>
      <c r="BM220" s="1422">
        <v>362080</v>
      </c>
      <c r="BN220" s="1422">
        <v>359260</v>
      </c>
      <c r="BO220" s="1420">
        <v>29825.81</v>
      </c>
      <c r="BP220" s="1422">
        <v>35710</v>
      </c>
      <c r="BQ220" s="1422">
        <v>0</v>
      </c>
      <c r="BR220" s="1422">
        <v>0</v>
      </c>
      <c r="BS220" s="1420">
        <v>1715.06</v>
      </c>
      <c r="BT220" s="1422">
        <v>0</v>
      </c>
      <c r="BU220" s="1422">
        <v>0</v>
      </c>
      <c r="BV220" s="1422">
        <v>0</v>
      </c>
      <c r="BW220" s="1422">
        <v>0</v>
      </c>
      <c r="BX220" s="1422">
        <v>0</v>
      </c>
      <c r="BY220" s="1422">
        <v>0</v>
      </c>
      <c r="BZ220" s="1422">
        <v>0</v>
      </c>
      <c r="CA220" s="1422">
        <v>2206</v>
      </c>
      <c r="CB220" s="1422">
        <v>1764</v>
      </c>
      <c r="CC220" s="1420">
        <v>512030.09</v>
      </c>
      <c r="CD220" s="1422">
        <v>493995</v>
      </c>
      <c r="CE220" s="1420">
        <v>702863.04</v>
      </c>
      <c r="CF220" s="1420">
        <v>663259.21</v>
      </c>
      <c r="CG220" s="1422">
        <v>0</v>
      </c>
      <c r="CH220" s="1422">
        <v>0</v>
      </c>
      <c r="CI220" s="1422">
        <v>0</v>
      </c>
      <c r="CJ220" s="1422">
        <v>0</v>
      </c>
      <c r="CK220" s="1422">
        <v>0</v>
      </c>
      <c r="CL220" s="1422">
        <v>0</v>
      </c>
      <c r="CM220" s="1422">
        <v>1337</v>
      </c>
      <c r="CN220" s="1422">
        <v>0</v>
      </c>
      <c r="CO220" s="1422">
        <v>0</v>
      </c>
      <c r="CP220" s="1422">
        <v>0</v>
      </c>
      <c r="CQ220" s="1422">
        <v>0</v>
      </c>
      <c r="CR220" s="1422">
        <v>0</v>
      </c>
      <c r="CS220" s="1422">
        <v>1337</v>
      </c>
      <c r="CT220" s="1422">
        <v>0</v>
      </c>
      <c r="CU220" s="1420">
        <v>5207430.96</v>
      </c>
      <c r="CV220" s="1420">
        <v>4109328.29</v>
      </c>
      <c r="CW220" s="1420">
        <v>1847899.93</v>
      </c>
      <c r="CX220" s="1420">
        <v>1690765.93</v>
      </c>
      <c r="CY220" s="1420">
        <v>342701.4</v>
      </c>
      <c r="CZ220" s="1420">
        <v>362920.94</v>
      </c>
      <c r="DA220" s="1420">
        <v>157297.21</v>
      </c>
      <c r="DB220" s="1420">
        <v>160631.04999999999</v>
      </c>
      <c r="DC220" s="1422">
        <v>0</v>
      </c>
      <c r="DD220" s="1422">
        <v>0</v>
      </c>
      <c r="DE220" s="1420">
        <v>151252.76</v>
      </c>
      <c r="DF220" s="1420">
        <v>208433.26</v>
      </c>
      <c r="DG220" s="1420">
        <v>151294.6</v>
      </c>
      <c r="DH220" s="1420">
        <v>144250.47</v>
      </c>
      <c r="DI220" s="1420">
        <v>2650445.9</v>
      </c>
      <c r="DJ220" s="1420">
        <v>2567001.65</v>
      </c>
      <c r="DK220" s="1420">
        <v>192473.71</v>
      </c>
      <c r="DL220" s="1420">
        <v>193158.29</v>
      </c>
      <c r="DM220" s="1420">
        <v>102698.78</v>
      </c>
      <c r="DN220" s="1420">
        <v>98703.98</v>
      </c>
      <c r="DO220" s="1420">
        <v>457051.14</v>
      </c>
      <c r="DP220" s="1420">
        <v>603923.86</v>
      </c>
      <c r="DQ220" s="1420">
        <v>226951.36</v>
      </c>
      <c r="DR220" s="1420">
        <v>239093.42</v>
      </c>
      <c r="DS220" s="1420">
        <v>10094.299999999999</v>
      </c>
      <c r="DT220" s="1422">
        <v>0</v>
      </c>
      <c r="DU220" s="1420">
        <v>989269.29</v>
      </c>
      <c r="DV220" s="1420">
        <v>1134879.55</v>
      </c>
      <c r="DW220" s="1420">
        <v>201910.53</v>
      </c>
      <c r="DX220" s="1420">
        <v>182758.59</v>
      </c>
      <c r="DY220" s="1420">
        <v>178326.93</v>
      </c>
      <c r="DZ220" s="1420">
        <v>139119.79</v>
      </c>
      <c r="EA220" s="1420">
        <v>175454.28</v>
      </c>
      <c r="EB220" s="1420">
        <v>116572.9</v>
      </c>
      <c r="EC220" s="1420">
        <v>555691.74</v>
      </c>
      <c r="ED220" s="1420">
        <v>438451.28</v>
      </c>
      <c r="EE220" s="1420">
        <v>264520.26</v>
      </c>
      <c r="EF220" s="1422">
        <v>280060</v>
      </c>
      <c r="EG220" s="1422">
        <v>0</v>
      </c>
      <c r="EH220" s="1422">
        <v>0</v>
      </c>
      <c r="EI220" s="1422">
        <v>0</v>
      </c>
      <c r="EJ220" s="1422">
        <v>1000</v>
      </c>
      <c r="EK220" s="1422">
        <v>0</v>
      </c>
      <c r="EL220" s="1422">
        <v>0</v>
      </c>
      <c r="EM220" s="1420">
        <v>264520.26</v>
      </c>
      <c r="EN220" s="1422">
        <v>281060</v>
      </c>
      <c r="EO220" s="1420">
        <v>308248.03000000003</v>
      </c>
      <c r="EP220" s="1422">
        <v>0</v>
      </c>
      <c r="EQ220" s="1420">
        <v>200052.43</v>
      </c>
      <c r="ER220" s="1422">
        <v>204070</v>
      </c>
      <c r="ES220" s="1422">
        <v>0</v>
      </c>
      <c r="ET220" s="1422">
        <v>0</v>
      </c>
      <c r="EU220" s="1420">
        <v>4968227.6500000004</v>
      </c>
      <c r="EV220" s="1420">
        <v>4625462.4800000004</v>
      </c>
      <c r="EW220" s="1420">
        <v>417080.3</v>
      </c>
      <c r="EX220" s="1420">
        <v>51380.42</v>
      </c>
      <c r="EY220" s="1420">
        <v>200052.43</v>
      </c>
      <c r="EZ220" s="1422">
        <v>204070</v>
      </c>
      <c r="FA220" s="1420">
        <v>4351094.92</v>
      </c>
      <c r="FB220" s="1420">
        <v>4370012.0599999996</v>
      </c>
      <c r="FC220" s="1420">
        <v>121057.3</v>
      </c>
      <c r="FD220" s="1439"/>
      <c r="FE220" s="1420">
        <v>4230037.62</v>
      </c>
      <c r="FF220" s="1439"/>
      <c r="FG220" s="1422">
        <v>10221</v>
      </c>
      <c r="FH220" s="1439"/>
      <c r="FI220" s="1420">
        <v>42.65</v>
      </c>
      <c r="FJ220" s="1439"/>
      <c r="FK220" s="1422">
        <v>39818</v>
      </c>
      <c r="FL220" s="1439"/>
      <c r="FM220" s="1420">
        <v>45.17</v>
      </c>
      <c r="FN220" s="1439"/>
      <c r="FO220" s="1422">
        <v>40492</v>
      </c>
      <c r="FP220" s="1439"/>
      <c r="FQ220" s="1420">
        <v>2884024.64</v>
      </c>
      <c r="FR220" s="1439"/>
      <c r="FS220" s="1420">
        <v>39207.1</v>
      </c>
      <c r="FT220" s="1439"/>
      <c r="FU220" s="1422">
        <v>0</v>
      </c>
      <c r="FV220" s="1439"/>
      <c r="FW220" s="1420">
        <v>2844817.54</v>
      </c>
      <c r="FX220" s="1439"/>
      <c r="FY220" s="1422">
        <v>0</v>
      </c>
      <c r="FZ220" s="1439"/>
      <c r="GA220" s="1422">
        <v>0</v>
      </c>
      <c r="GB220" s="1439"/>
    </row>
    <row r="221" spans="1:184" ht="12.75" customHeight="1" thickBot="1">
      <c r="A221" s="1418" t="s">
        <v>125</v>
      </c>
      <c r="B221" s="1418" t="s">
        <v>126</v>
      </c>
      <c r="C221" s="1420">
        <v>111.4</v>
      </c>
      <c r="D221" s="1439"/>
      <c r="E221" s="1420">
        <v>480.12</v>
      </c>
      <c r="F221" s="1439"/>
      <c r="G221" s="1421">
        <v>0.01</v>
      </c>
      <c r="H221" s="1439"/>
      <c r="I221" s="1420">
        <v>510.94</v>
      </c>
      <c r="J221" s="1439"/>
      <c r="K221" s="1420">
        <v>524.88</v>
      </c>
      <c r="L221" s="1439"/>
      <c r="M221" s="1422">
        <v>178275538</v>
      </c>
      <c r="N221" s="1439"/>
      <c r="O221" s="1420">
        <v>26.7</v>
      </c>
      <c r="P221" s="1439"/>
      <c r="Q221" s="1422">
        <v>25</v>
      </c>
      <c r="R221" s="1439"/>
      <c r="S221" s="1420">
        <v>1.7</v>
      </c>
      <c r="T221" s="1439"/>
      <c r="U221" s="1422">
        <v>0</v>
      </c>
      <c r="V221" s="1439"/>
      <c r="W221" s="1422">
        <v>14</v>
      </c>
      <c r="X221" s="1439"/>
      <c r="Y221" s="1420">
        <v>40.700000000000003</v>
      </c>
      <c r="Z221" s="1439"/>
      <c r="AA221" s="1420">
        <v>2531762.7999999998</v>
      </c>
      <c r="AB221" s="1455"/>
      <c r="AC221" s="1424">
        <v>5164624.09</v>
      </c>
      <c r="AD221" s="1422">
        <v>2928000</v>
      </c>
      <c r="AE221" s="1420">
        <v>360409.12</v>
      </c>
      <c r="AF221" s="1422">
        <v>189444</v>
      </c>
      <c r="AG221" s="1422">
        <v>0</v>
      </c>
      <c r="AH221" s="1456">
        <v>0</v>
      </c>
      <c r="AI221" s="1428">
        <v>212771</v>
      </c>
      <c r="AJ221" s="1422">
        <v>0</v>
      </c>
      <c r="AK221" s="1422">
        <v>84944</v>
      </c>
      <c r="AL221" s="1422">
        <v>0</v>
      </c>
      <c r="AM221" s="1422">
        <v>0</v>
      </c>
      <c r="AN221" s="1422">
        <v>0</v>
      </c>
      <c r="AO221" s="1422">
        <v>0</v>
      </c>
      <c r="AP221" s="1422">
        <v>38646</v>
      </c>
      <c r="AQ221" s="1422">
        <v>0</v>
      </c>
      <c r="AR221" s="1422">
        <v>0</v>
      </c>
      <c r="AS221" s="1422">
        <v>0</v>
      </c>
      <c r="AT221" s="1422">
        <v>0</v>
      </c>
      <c r="AU221" s="1422">
        <v>26681</v>
      </c>
      <c r="AV221" s="1422">
        <v>21325</v>
      </c>
      <c r="AW221" s="1422">
        <v>0</v>
      </c>
      <c r="AX221" s="1422">
        <v>0</v>
      </c>
      <c r="AY221" s="1420">
        <v>5849429.21</v>
      </c>
      <c r="AZ221" s="1422">
        <v>3177415</v>
      </c>
      <c r="BA221" s="1422">
        <v>0</v>
      </c>
      <c r="BB221" s="1422">
        <v>0</v>
      </c>
      <c r="BC221" s="1422">
        <v>21709</v>
      </c>
      <c r="BD221" s="1422">
        <v>21711</v>
      </c>
      <c r="BE221" s="1420">
        <v>39137.129999999997</v>
      </c>
      <c r="BF221" s="1422">
        <v>12466</v>
      </c>
      <c r="BG221" s="1422">
        <v>200</v>
      </c>
      <c r="BH221" s="1422">
        <v>0</v>
      </c>
      <c r="BI221" s="1422">
        <v>38355</v>
      </c>
      <c r="BJ221" s="1422">
        <v>12311</v>
      </c>
      <c r="BK221" s="1422">
        <v>0</v>
      </c>
      <c r="BL221" s="1422">
        <v>0</v>
      </c>
      <c r="BM221" s="1422">
        <v>146320</v>
      </c>
      <c r="BN221" s="1422">
        <v>138644</v>
      </c>
      <c r="BO221" s="1420">
        <v>50033.82</v>
      </c>
      <c r="BP221" s="1422">
        <v>53076</v>
      </c>
      <c r="BQ221" s="1422">
        <v>0</v>
      </c>
      <c r="BR221" s="1422">
        <v>0</v>
      </c>
      <c r="BS221" s="1420">
        <v>1987.63</v>
      </c>
      <c r="BT221" s="1422">
        <v>2000</v>
      </c>
      <c r="BU221" s="1422">
        <v>0</v>
      </c>
      <c r="BV221" s="1422">
        <v>0</v>
      </c>
      <c r="BW221" s="1422">
        <v>97200</v>
      </c>
      <c r="BX221" s="1422">
        <v>97200</v>
      </c>
      <c r="BY221" s="1422">
        <v>0</v>
      </c>
      <c r="BZ221" s="1422">
        <v>0</v>
      </c>
      <c r="CA221" s="1420">
        <v>1066052.8500000001</v>
      </c>
      <c r="CB221" s="1422">
        <v>4866</v>
      </c>
      <c r="CC221" s="1420">
        <v>1460995.43</v>
      </c>
      <c r="CD221" s="1422">
        <v>342274</v>
      </c>
      <c r="CE221" s="1420">
        <v>943787.58</v>
      </c>
      <c r="CF221" s="1420">
        <v>619309.57999999996</v>
      </c>
      <c r="CG221" s="1422">
        <v>0</v>
      </c>
      <c r="CH221" s="1422">
        <v>0</v>
      </c>
      <c r="CI221" s="1422">
        <v>0</v>
      </c>
      <c r="CJ221" s="1422">
        <v>0</v>
      </c>
      <c r="CK221" s="1422">
        <v>0</v>
      </c>
      <c r="CL221" s="1422">
        <v>0</v>
      </c>
      <c r="CM221" s="1422">
        <v>0</v>
      </c>
      <c r="CN221" s="1422">
        <v>0</v>
      </c>
      <c r="CO221" s="1422">
        <v>0</v>
      </c>
      <c r="CP221" s="1422">
        <v>0</v>
      </c>
      <c r="CQ221" s="1422">
        <v>0</v>
      </c>
      <c r="CR221" s="1422">
        <v>0</v>
      </c>
      <c r="CS221" s="1422">
        <v>0</v>
      </c>
      <c r="CT221" s="1422">
        <v>0</v>
      </c>
      <c r="CU221" s="1420">
        <v>8254212.2199999997</v>
      </c>
      <c r="CV221" s="1420">
        <v>4138998.58</v>
      </c>
      <c r="CW221" s="1420">
        <v>2200638.91</v>
      </c>
      <c r="CX221" s="1420">
        <v>2098314.31</v>
      </c>
      <c r="CY221" s="1420">
        <v>502932.09</v>
      </c>
      <c r="CZ221" s="1420">
        <v>533013.46</v>
      </c>
      <c r="DA221" s="1420">
        <v>182715.6</v>
      </c>
      <c r="DB221" s="1420">
        <v>192183.18</v>
      </c>
      <c r="DC221" s="1422">
        <v>0</v>
      </c>
      <c r="DD221" s="1422">
        <v>0</v>
      </c>
      <c r="DE221" s="1420">
        <v>120811.31</v>
      </c>
      <c r="DF221" s="1420">
        <v>135072.01</v>
      </c>
      <c r="DG221" s="1420">
        <v>106649.71</v>
      </c>
      <c r="DH221" s="1420">
        <v>200172.16</v>
      </c>
      <c r="DI221" s="1420">
        <v>3113747.62</v>
      </c>
      <c r="DJ221" s="1420">
        <v>3158755.12</v>
      </c>
      <c r="DK221" s="1420">
        <v>234716.14</v>
      </c>
      <c r="DL221" s="1420">
        <v>202001.67</v>
      </c>
      <c r="DM221" s="1420">
        <v>103155.01</v>
      </c>
      <c r="DN221" s="1420">
        <v>123246.82</v>
      </c>
      <c r="DO221" s="1420">
        <v>576864.18999999994</v>
      </c>
      <c r="DP221" s="1422">
        <v>743843</v>
      </c>
      <c r="DQ221" s="1420">
        <v>210406.36</v>
      </c>
      <c r="DR221" s="1420">
        <v>466917.31</v>
      </c>
      <c r="DS221" s="1420">
        <v>17043.080000000002</v>
      </c>
      <c r="DT221" s="1422">
        <v>7000</v>
      </c>
      <c r="DU221" s="1420">
        <v>1142184.78</v>
      </c>
      <c r="DV221" s="1420">
        <v>1543008.8</v>
      </c>
      <c r="DW221" s="1420">
        <v>298489.34999999998</v>
      </c>
      <c r="DX221" s="1420">
        <v>358803.02</v>
      </c>
      <c r="DY221" s="1420">
        <v>234970.13</v>
      </c>
      <c r="DZ221" s="1420">
        <v>293064.44</v>
      </c>
      <c r="EA221" s="1420">
        <v>269704.21999999997</v>
      </c>
      <c r="EB221" s="1420">
        <v>295129.48</v>
      </c>
      <c r="EC221" s="1420">
        <v>803163.7</v>
      </c>
      <c r="ED221" s="1420">
        <v>946996.94</v>
      </c>
      <c r="EE221" s="1420">
        <v>239729.55</v>
      </c>
      <c r="EF221" s="1420">
        <v>341889.75</v>
      </c>
      <c r="EG221" s="1420">
        <v>20886.55</v>
      </c>
      <c r="EH221" s="1422">
        <v>0</v>
      </c>
      <c r="EI221" s="1420">
        <v>44494.9</v>
      </c>
      <c r="EJ221" s="1422">
        <v>34481</v>
      </c>
      <c r="EK221" s="1422">
        <v>0</v>
      </c>
      <c r="EL221" s="1422">
        <v>0</v>
      </c>
      <c r="EM221" s="1422">
        <v>305111</v>
      </c>
      <c r="EN221" s="1420">
        <v>376370.75</v>
      </c>
      <c r="EO221" s="1420">
        <v>2687401.15</v>
      </c>
      <c r="EP221" s="1422">
        <v>127250</v>
      </c>
      <c r="EQ221" s="1420">
        <v>166451.59</v>
      </c>
      <c r="ER221" s="1420">
        <v>151656.26</v>
      </c>
      <c r="ES221" s="1422">
        <v>97791</v>
      </c>
      <c r="ET221" s="1422">
        <v>0</v>
      </c>
      <c r="EU221" s="1420">
        <v>8315850.8399999999</v>
      </c>
      <c r="EV221" s="1420">
        <v>6304037.8700000001</v>
      </c>
      <c r="EW221" s="1420">
        <v>2730251.87</v>
      </c>
      <c r="EX221" s="1422">
        <v>427475</v>
      </c>
      <c r="EY221" s="1420">
        <v>166451.59</v>
      </c>
      <c r="EZ221" s="1420">
        <v>151656.26</v>
      </c>
      <c r="FA221" s="1420">
        <v>5419147.3799999999</v>
      </c>
      <c r="FB221" s="1420">
        <v>5724906.6100000003</v>
      </c>
      <c r="FC221" s="1420">
        <v>437129.84</v>
      </c>
      <c r="FD221" s="1439"/>
      <c r="FE221" s="1420">
        <v>4982017.54</v>
      </c>
      <c r="FF221" s="1439"/>
      <c r="FG221" s="1422">
        <v>10376</v>
      </c>
      <c r="FH221" s="1439"/>
      <c r="FI221" s="1420">
        <v>46.68</v>
      </c>
      <c r="FJ221" s="1439"/>
      <c r="FK221" s="1422">
        <v>39574</v>
      </c>
      <c r="FL221" s="1439"/>
      <c r="FM221" s="1420">
        <v>48.95</v>
      </c>
      <c r="FN221" s="1439"/>
      <c r="FO221" s="1422">
        <v>41376</v>
      </c>
      <c r="FP221" s="1439"/>
      <c r="FQ221" s="1420">
        <v>4450523.49</v>
      </c>
      <c r="FR221" s="1439"/>
      <c r="FS221" s="1420">
        <v>22881.73</v>
      </c>
      <c r="FT221" s="1439"/>
      <c r="FU221" s="1422">
        <v>0</v>
      </c>
      <c r="FV221" s="1439"/>
      <c r="FW221" s="1420">
        <v>4427641.76</v>
      </c>
      <c r="FX221" s="1439"/>
      <c r="FY221" s="1420">
        <v>162693.31</v>
      </c>
      <c r="FZ221" s="1439"/>
      <c r="GA221" s="1422">
        <v>0</v>
      </c>
      <c r="GB221" s="1439"/>
    </row>
    <row r="222" spans="1:184" ht="12.75" customHeight="1" thickBot="1">
      <c r="A222" s="1418" t="s">
        <v>127</v>
      </c>
      <c r="B222" s="1418" t="s">
        <v>128</v>
      </c>
      <c r="C222" s="1420">
        <v>100.81</v>
      </c>
      <c r="D222" s="1439"/>
      <c r="E222" s="1420">
        <v>1103.97</v>
      </c>
      <c r="F222" s="1439"/>
      <c r="G222" s="1421">
        <v>0.03</v>
      </c>
      <c r="H222" s="1439"/>
      <c r="I222" s="1420">
        <v>1150.97</v>
      </c>
      <c r="J222" s="1439"/>
      <c r="K222" s="1420">
        <v>1163.8</v>
      </c>
      <c r="L222" s="1439"/>
      <c r="M222" s="1422">
        <v>55493640</v>
      </c>
      <c r="N222" s="1439"/>
      <c r="O222" s="1422">
        <v>25</v>
      </c>
      <c r="P222" s="1439"/>
      <c r="Q222" s="1422">
        <v>25</v>
      </c>
      <c r="R222" s="1439"/>
      <c r="S222" s="1422">
        <v>0</v>
      </c>
      <c r="T222" s="1439"/>
      <c r="U222" s="1422">
        <v>0</v>
      </c>
      <c r="V222" s="1439"/>
      <c r="W222" s="1420">
        <v>14.6</v>
      </c>
      <c r="X222" s="1439"/>
      <c r="Y222" s="1420">
        <v>39.6</v>
      </c>
      <c r="Z222" s="1439"/>
      <c r="AA222" s="1420">
        <v>6676727.0099999998</v>
      </c>
      <c r="AB222" s="1455"/>
      <c r="AC222" s="1424">
        <v>2042560.06</v>
      </c>
      <c r="AD222" s="1422">
        <v>2419505</v>
      </c>
      <c r="AE222" s="1420">
        <v>459303.89</v>
      </c>
      <c r="AF222" s="1422">
        <v>193445</v>
      </c>
      <c r="AG222" s="1422">
        <v>0</v>
      </c>
      <c r="AH222" s="1456">
        <v>0</v>
      </c>
      <c r="AI222" s="1428">
        <v>5673347</v>
      </c>
      <c r="AJ222" s="1422">
        <v>5721734</v>
      </c>
      <c r="AK222" s="1422">
        <v>45419</v>
      </c>
      <c r="AL222" s="1422">
        <v>25000</v>
      </c>
      <c r="AM222" s="1422">
        <v>0</v>
      </c>
      <c r="AN222" s="1422">
        <v>0</v>
      </c>
      <c r="AO222" s="1422">
        <v>0</v>
      </c>
      <c r="AP222" s="1422">
        <v>34529</v>
      </c>
      <c r="AQ222" s="1422">
        <v>0</v>
      </c>
      <c r="AR222" s="1422">
        <v>0</v>
      </c>
      <c r="AS222" s="1422">
        <v>0</v>
      </c>
      <c r="AT222" s="1422">
        <v>0</v>
      </c>
      <c r="AU222" s="1422">
        <v>27221</v>
      </c>
      <c r="AV222" s="1422">
        <v>21777</v>
      </c>
      <c r="AW222" s="1420">
        <v>369.57</v>
      </c>
      <c r="AX222" s="1422">
        <v>0</v>
      </c>
      <c r="AY222" s="1420">
        <v>8248220.5199999996</v>
      </c>
      <c r="AZ222" s="1422">
        <v>8415990</v>
      </c>
      <c r="BA222" s="1422">
        <v>0</v>
      </c>
      <c r="BB222" s="1422">
        <v>0</v>
      </c>
      <c r="BC222" s="1422">
        <v>48135</v>
      </c>
      <c r="BD222" s="1422">
        <v>48845</v>
      </c>
      <c r="BE222" s="1422">
        <v>4000</v>
      </c>
      <c r="BF222" s="1422">
        <v>5600</v>
      </c>
      <c r="BG222" s="1422">
        <v>2838</v>
      </c>
      <c r="BH222" s="1422">
        <v>600</v>
      </c>
      <c r="BI222" s="1422">
        <v>44002</v>
      </c>
      <c r="BJ222" s="1422">
        <v>39046</v>
      </c>
      <c r="BK222" s="1422">
        <v>13771</v>
      </c>
      <c r="BL222" s="1422">
        <v>0</v>
      </c>
      <c r="BM222" s="1422">
        <v>256432</v>
      </c>
      <c r="BN222" s="1422">
        <v>278806</v>
      </c>
      <c r="BO222" s="1420">
        <v>5729.64</v>
      </c>
      <c r="BP222" s="1422">
        <v>5650</v>
      </c>
      <c r="BQ222" s="1422">
        <v>0</v>
      </c>
      <c r="BR222" s="1422">
        <v>0</v>
      </c>
      <c r="BS222" s="1420">
        <v>3429.26</v>
      </c>
      <c r="BT222" s="1422">
        <v>2000</v>
      </c>
      <c r="BU222" s="1422">
        <v>0</v>
      </c>
      <c r="BV222" s="1422">
        <v>0</v>
      </c>
      <c r="BW222" s="1422">
        <v>0</v>
      </c>
      <c r="BX222" s="1422">
        <v>0</v>
      </c>
      <c r="BY222" s="1422">
        <v>0</v>
      </c>
      <c r="BZ222" s="1422">
        <v>0</v>
      </c>
      <c r="CA222" s="1422">
        <v>131427</v>
      </c>
      <c r="CB222" s="1422">
        <v>123555</v>
      </c>
      <c r="CC222" s="1420">
        <v>509763.9</v>
      </c>
      <c r="CD222" s="1422">
        <v>504102</v>
      </c>
      <c r="CE222" s="1420">
        <v>1050002.5</v>
      </c>
      <c r="CF222" s="1420">
        <v>956487.01</v>
      </c>
      <c r="CG222" s="1422">
        <v>0</v>
      </c>
      <c r="CH222" s="1422">
        <v>930000</v>
      </c>
      <c r="CI222" s="1422">
        <v>0</v>
      </c>
      <c r="CJ222" s="1422">
        <v>0</v>
      </c>
      <c r="CK222" s="1422">
        <v>0</v>
      </c>
      <c r="CL222" s="1422">
        <v>0</v>
      </c>
      <c r="CM222" s="1422">
        <v>0</v>
      </c>
      <c r="CN222" s="1422">
        <v>0</v>
      </c>
      <c r="CO222" s="1422">
        <v>0</v>
      </c>
      <c r="CP222" s="1422">
        <v>0</v>
      </c>
      <c r="CQ222" s="1422">
        <v>0</v>
      </c>
      <c r="CR222" s="1422">
        <v>0</v>
      </c>
      <c r="CS222" s="1422">
        <v>0</v>
      </c>
      <c r="CT222" s="1422">
        <v>930000</v>
      </c>
      <c r="CU222" s="1420">
        <v>9807986.9199999999</v>
      </c>
      <c r="CV222" s="1420">
        <v>10806579.01</v>
      </c>
      <c r="CW222" s="1420">
        <v>3463012.06</v>
      </c>
      <c r="CX222" s="1420">
        <v>3324819.96</v>
      </c>
      <c r="CY222" s="1420">
        <v>731812.97</v>
      </c>
      <c r="CZ222" s="1420">
        <v>856892.28</v>
      </c>
      <c r="DA222" s="1420">
        <v>319329.18</v>
      </c>
      <c r="DB222" s="1420">
        <v>303739.63</v>
      </c>
      <c r="DC222" s="1422">
        <v>0</v>
      </c>
      <c r="DD222" s="1422">
        <v>0</v>
      </c>
      <c r="DE222" s="1420">
        <v>150925.65</v>
      </c>
      <c r="DF222" s="1420">
        <v>87327.86</v>
      </c>
      <c r="DG222" s="1420">
        <v>388519.79</v>
      </c>
      <c r="DH222" s="1420">
        <v>335211.52000000002</v>
      </c>
      <c r="DI222" s="1420">
        <v>5053599.6500000004</v>
      </c>
      <c r="DJ222" s="1420">
        <v>4907991.25</v>
      </c>
      <c r="DK222" s="1420">
        <v>148800.76</v>
      </c>
      <c r="DL222" s="1420">
        <v>268830.65000000002</v>
      </c>
      <c r="DM222" s="1420">
        <v>300554.02</v>
      </c>
      <c r="DN222" s="1420">
        <v>301929.28999999998</v>
      </c>
      <c r="DO222" s="1420">
        <v>750497.96</v>
      </c>
      <c r="DP222" s="1420">
        <v>802131.06</v>
      </c>
      <c r="DQ222" s="1420">
        <v>586374.77</v>
      </c>
      <c r="DR222" s="1420">
        <v>504156.83</v>
      </c>
      <c r="DS222" s="1420">
        <v>50120.59</v>
      </c>
      <c r="DT222" s="1420">
        <v>36948.199999999997</v>
      </c>
      <c r="DU222" s="1420">
        <v>1836348.1</v>
      </c>
      <c r="DV222" s="1420">
        <v>1913996.03</v>
      </c>
      <c r="DW222" s="1420">
        <v>336149.94</v>
      </c>
      <c r="DX222" s="1420">
        <v>340280.74</v>
      </c>
      <c r="DY222" s="1420">
        <v>592317.5</v>
      </c>
      <c r="DZ222" s="1420">
        <v>1599569.78</v>
      </c>
      <c r="EA222" s="1420">
        <v>492777.29</v>
      </c>
      <c r="EB222" s="1420">
        <v>528848.34</v>
      </c>
      <c r="EC222" s="1420">
        <v>1421244.73</v>
      </c>
      <c r="ED222" s="1420">
        <v>2468698.86</v>
      </c>
      <c r="EE222" s="1420">
        <v>502938.03</v>
      </c>
      <c r="EF222" s="1420">
        <v>519516.87</v>
      </c>
      <c r="EG222" s="1422">
        <v>0</v>
      </c>
      <c r="EH222" s="1422">
        <v>0</v>
      </c>
      <c r="EI222" s="1422">
        <v>48</v>
      </c>
      <c r="EJ222" s="1420">
        <v>1100.01</v>
      </c>
      <c r="EK222" s="1422">
        <v>0</v>
      </c>
      <c r="EL222" s="1422">
        <v>0</v>
      </c>
      <c r="EM222" s="1420">
        <v>502986.03</v>
      </c>
      <c r="EN222" s="1420">
        <v>520616.88</v>
      </c>
      <c r="EO222" s="1420">
        <v>4803.75</v>
      </c>
      <c r="EP222" s="1422">
        <v>5000</v>
      </c>
      <c r="EQ222" s="1420">
        <v>494134.56</v>
      </c>
      <c r="ER222" s="1420">
        <v>493715.56</v>
      </c>
      <c r="ES222" s="1422">
        <v>0</v>
      </c>
      <c r="ET222" s="1422">
        <v>0</v>
      </c>
      <c r="EU222" s="1420">
        <v>9313116.8200000003</v>
      </c>
      <c r="EV222" s="1420">
        <v>10310018.58</v>
      </c>
      <c r="EW222" s="1420">
        <v>121442.39</v>
      </c>
      <c r="EX222" s="1422">
        <v>70500</v>
      </c>
      <c r="EY222" s="1420">
        <v>494134.56</v>
      </c>
      <c r="EZ222" s="1420">
        <v>493715.56</v>
      </c>
      <c r="FA222" s="1420">
        <v>8697539.8699999992</v>
      </c>
      <c r="FB222" s="1420">
        <v>9745803.0199999996</v>
      </c>
      <c r="FC222" s="1420">
        <v>450529.43</v>
      </c>
      <c r="FD222" s="1439"/>
      <c r="FE222" s="1420">
        <v>8247010.4400000004</v>
      </c>
      <c r="FF222" s="1439"/>
      <c r="FG222" s="1422">
        <v>7470</v>
      </c>
      <c r="FH222" s="1439"/>
      <c r="FI222" s="1420">
        <v>82.7</v>
      </c>
      <c r="FJ222" s="1439"/>
      <c r="FK222" s="1422">
        <v>41977</v>
      </c>
      <c r="FL222" s="1439"/>
      <c r="FM222" s="1420">
        <v>88.97</v>
      </c>
      <c r="FN222" s="1439"/>
      <c r="FO222" s="1422">
        <v>43769</v>
      </c>
      <c r="FP222" s="1439"/>
      <c r="FQ222" s="1420">
        <v>424344.48</v>
      </c>
      <c r="FR222" s="1439"/>
      <c r="FS222" s="1420">
        <v>8529.92</v>
      </c>
      <c r="FT222" s="1439"/>
      <c r="FU222" s="1422">
        <v>0</v>
      </c>
      <c r="FV222" s="1439"/>
      <c r="FW222" s="1420">
        <v>415814.56</v>
      </c>
      <c r="FX222" s="1439"/>
      <c r="FY222" s="1420">
        <v>793755.41</v>
      </c>
      <c r="FZ222" s="1439"/>
      <c r="GA222" s="1422">
        <v>0</v>
      </c>
      <c r="GB222" s="1439"/>
    </row>
    <row r="223" spans="1:184" ht="12.75" customHeight="1" thickBot="1">
      <c r="A223" s="1418" t="s">
        <v>129</v>
      </c>
      <c r="B223" s="1418" t="s">
        <v>130</v>
      </c>
      <c r="C223" s="1420">
        <v>32.83</v>
      </c>
      <c r="D223" s="1439"/>
      <c r="E223" s="1420">
        <v>2057.9899999999998</v>
      </c>
      <c r="F223" s="1439"/>
      <c r="G223" s="1421">
        <v>0.05</v>
      </c>
      <c r="H223" s="1439"/>
      <c r="I223" s="1420">
        <v>2178.29</v>
      </c>
      <c r="J223" s="1439"/>
      <c r="K223" s="1420">
        <v>2133.02</v>
      </c>
      <c r="L223" s="1439"/>
      <c r="M223" s="1422">
        <v>139951326</v>
      </c>
      <c r="N223" s="1439"/>
      <c r="O223" s="1422">
        <v>25</v>
      </c>
      <c r="P223" s="1439"/>
      <c r="Q223" s="1422">
        <v>25</v>
      </c>
      <c r="R223" s="1439"/>
      <c r="S223" s="1422">
        <v>0</v>
      </c>
      <c r="T223" s="1439"/>
      <c r="U223" s="1422">
        <v>0</v>
      </c>
      <c r="V223" s="1439"/>
      <c r="W223" s="1420">
        <v>17.600000000000001</v>
      </c>
      <c r="X223" s="1439"/>
      <c r="Y223" s="1420">
        <v>42.6</v>
      </c>
      <c r="Z223" s="1439"/>
      <c r="AA223" s="1420">
        <v>20349255.469999999</v>
      </c>
      <c r="AB223" s="1455"/>
      <c r="AC223" s="1424">
        <v>6190552.3300000001</v>
      </c>
      <c r="AD223" s="1420">
        <v>6903521.9199999999</v>
      </c>
      <c r="AE223" s="1420">
        <v>881389.52</v>
      </c>
      <c r="AF223" s="1422">
        <v>481210</v>
      </c>
      <c r="AG223" s="1422">
        <v>0</v>
      </c>
      <c r="AH223" s="1456">
        <v>0</v>
      </c>
      <c r="AI223" s="1428">
        <v>9186232</v>
      </c>
      <c r="AJ223" s="1422">
        <v>9956019</v>
      </c>
      <c r="AK223" s="1422">
        <v>13983</v>
      </c>
      <c r="AL223" s="1422">
        <v>0</v>
      </c>
      <c r="AM223" s="1422">
        <v>273083</v>
      </c>
      <c r="AN223" s="1422">
        <v>0</v>
      </c>
      <c r="AO223" s="1422">
        <v>0</v>
      </c>
      <c r="AP223" s="1422">
        <v>0</v>
      </c>
      <c r="AQ223" s="1422">
        <v>0</v>
      </c>
      <c r="AR223" s="1422">
        <v>0</v>
      </c>
      <c r="AS223" s="1422">
        <v>0</v>
      </c>
      <c r="AT223" s="1422">
        <v>0</v>
      </c>
      <c r="AU223" s="1422">
        <v>0</v>
      </c>
      <c r="AV223" s="1422">
        <v>0</v>
      </c>
      <c r="AW223" s="1422">
        <v>0</v>
      </c>
      <c r="AX223" s="1422">
        <v>0</v>
      </c>
      <c r="AY223" s="1420">
        <v>16545239.85</v>
      </c>
      <c r="AZ223" s="1420">
        <v>17340750.920000002</v>
      </c>
      <c r="BA223" s="1422">
        <v>0</v>
      </c>
      <c r="BB223" s="1422">
        <v>0</v>
      </c>
      <c r="BC223" s="1422">
        <v>88222</v>
      </c>
      <c r="BD223" s="1422">
        <v>92326</v>
      </c>
      <c r="BE223" s="1420">
        <v>2983.2</v>
      </c>
      <c r="BF223" s="1420">
        <v>13231.1</v>
      </c>
      <c r="BG223" s="1422">
        <v>2760</v>
      </c>
      <c r="BH223" s="1422">
        <v>1400</v>
      </c>
      <c r="BI223" s="1422">
        <v>105719</v>
      </c>
      <c r="BJ223" s="1422">
        <v>75688</v>
      </c>
      <c r="BK223" s="1422">
        <v>16408</v>
      </c>
      <c r="BL223" s="1422">
        <v>16450</v>
      </c>
      <c r="BM223" s="1422">
        <v>416144</v>
      </c>
      <c r="BN223" s="1422">
        <v>417956</v>
      </c>
      <c r="BO223" s="1420">
        <v>12518.24</v>
      </c>
      <c r="BP223" s="1422">
        <v>0</v>
      </c>
      <c r="BQ223" s="1420">
        <v>11104.6</v>
      </c>
      <c r="BR223" s="1420">
        <v>17604.28</v>
      </c>
      <c r="BS223" s="1420">
        <v>7142.47</v>
      </c>
      <c r="BT223" s="1422">
        <v>8000</v>
      </c>
      <c r="BU223" s="1422">
        <v>0</v>
      </c>
      <c r="BV223" s="1422">
        <v>0</v>
      </c>
      <c r="BW223" s="1422">
        <v>0</v>
      </c>
      <c r="BX223" s="1422">
        <v>0</v>
      </c>
      <c r="BY223" s="1422">
        <v>0</v>
      </c>
      <c r="BZ223" s="1422">
        <v>0</v>
      </c>
      <c r="CA223" s="1422">
        <v>193154</v>
      </c>
      <c r="CB223" s="1422">
        <v>221814</v>
      </c>
      <c r="CC223" s="1420">
        <v>856155.51</v>
      </c>
      <c r="CD223" s="1420">
        <v>864469.38</v>
      </c>
      <c r="CE223" s="1420">
        <v>1956679.95</v>
      </c>
      <c r="CF223" s="1420">
        <v>1334041.6399999999</v>
      </c>
      <c r="CG223" s="1420">
        <v>717675.58</v>
      </c>
      <c r="CH223" s="1422">
        <v>0</v>
      </c>
      <c r="CI223" s="1422">
        <v>0</v>
      </c>
      <c r="CJ223" s="1422">
        <v>0</v>
      </c>
      <c r="CK223" s="1422">
        <v>0</v>
      </c>
      <c r="CL223" s="1422">
        <v>0</v>
      </c>
      <c r="CM223" s="1422">
        <v>2331</v>
      </c>
      <c r="CN223" s="1422">
        <v>0</v>
      </c>
      <c r="CO223" s="1422">
        <v>0</v>
      </c>
      <c r="CP223" s="1422">
        <v>0</v>
      </c>
      <c r="CQ223" s="1422">
        <v>0</v>
      </c>
      <c r="CR223" s="1422">
        <v>0</v>
      </c>
      <c r="CS223" s="1420">
        <v>720006.58</v>
      </c>
      <c r="CT223" s="1422">
        <v>0</v>
      </c>
      <c r="CU223" s="1420">
        <v>20078081.890000001</v>
      </c>
      <c r="CV223" s="1420">
        <v>19539261.940000001</v>
      </c>
      <c r="CW223" s="1420">
        <v>6994457.6699999999</v>
      </c>
      <c r="CX223" s="1420">
        <v>6412714.7000000002</v>
      </c>
      <c r="CY223" s="1420">
        <v>1290475.07</v>
      </c>
      <c r="CZ223" s="1420">
        <v>1261041.8600000001</v>
      </c>
      <c r="DA223" s="1420">
        <v>523419.2</v>
      </c>
      <c r="DB223" s="1420">
        <v>615216.73</v>
      </c>
      <c r="DC223" s="1422">
        <v>0</v>
      </c>
      <c r="DD223" s="1422">
        <v>0</v>
      </c>
      <c r="DE223" s="1420">
        <v>229849.79</v>
      </c>
      <c r="DF223" s="1420">
        <v>248800.94</v>
      </c>
      <c r="DG223" s="1420">
        <v>1183714.69</v>
      </c>
      <c r="DH223" s="1420">
        <v>1197379.73</v>
      </c>
      <c r="DI223" s="1420">
        <v>10221916.42</v>
      </c>
      <c r="DJ223" s="1420">
        <v>9735153.9600000009</v>
      </c>
      <c r="DK223" s="1420">
        <v>552591.39</v>
      </c>
      <c r="DL223" s="1420">
        <v>535135.37</v>
      </c>
      <c r="DM223" s="1420">
        <v>291565.62</v>
      </c>
      <c r="DN223" s="1420">
        <v>328694.33</v>
      </c>
      <c r="DO223" s="1420">
        <v>1643489.75</v>
      </c>
      <c r="DP223" s="1420">
        <v>1678500.28</v>
      </c>
      <c r="DQ223" s="1420">
        <v>720130.27</v>
      </c>
      <c r="DR223" s="1420">
        <v>601051.44999999995</v>
      </c>
      <c r="DS223" s="1420">
        <v>106658.47</v>
      </c>
      <c r="DT223" s="1420">
        <v>91142.19</v>
      </c>
      <c r="DU223" s="1420">
        <v>3314435.5</v>
      </c>
      <c r="DV223" s="1420">
        <v>3234523.62</v>
      </c>
      <c r="DW223" s="1420">
        <v>703345.97</v>
      </c>
      <c r="DX223" s="1420">
        <v>660168.88</v>
      </c>
      <c r="DY223" s="1420">
        <v>1112647.19</v>
      </c>
      <c r="DZ223" s="1420">
        <v>1138837.6200000001</v>
      </c>
      <c r="EA223" s="1420">
        <v>972693.13</v>
      </c>
      <c r="EB223" s="1420">
        <v>953159.34</v>
      </c>
      <c r="EC223" s="1420">
        <v>2788686.29</v>
      </c>
      <c r="ED223" s="1420">
        <v>2752165.84</v>
      </c>
      <c r="EE223" s="1420">
        <v>955462.67</v>
      </c>
      <c r="EF223" s="1420">
        <v>908319.09</v>
      </c>
      <c r="EG223" s="1420">
        <v>3489.86</v>
      </c>
      <c r="EH223" s="1422">
        <v>0</v>
      </c>
      <c r="EI223" s="1422">
        <v>0</v>
      </c>
      <c r="EJ223" s="1422">
        <v>1500</v>
      </c>
      <c r="EK223" s="1422">
        <v>0</v>
      </c>
      <c r="EL223" s="1422">
        <v>0</v>
      </c>
      <c r="EM223" s="1420">
        <v>958952.53</v>
      </c>
      <c r="EN223" s="1420">
        <v>909819.09</v>
      </c>
      <c r="EO223" s="1420">
        <v>419368.61</v>
      </c>
      <c r="EP223" s="1420">
        <v>409178.39</v>
      </c>
      <c r="EQ223" s="1420">
        <v>1454615.01</v>
      </c>
      <c r="ER223" s="1420">
        <v>1322354.6100000001</v>
      </c>
      <c r="ES223" s="1422">
        <v>95938</v>
      </c>
      <c r="ET223" s="1422">
        <v>0</v>
      </c>
      <c r="EU223" s="1420">
        <v>19253912.359999999</v>
      </c>
      <c r="EV223" s="1420">
        <v>18363195.510000002</v>
      </c>
      <c r="EW223" s="1420">
        <v>571714.17000000004</v>
      </c>
      <c r="EX223" s="1420">
        <v>432878.39</v>
      </c>
      <c r="EY223" s="1420">
        <v>1454615.01</v>
      </c>
      <c r="EZ223" s="1420">
        <v>1322354.6100000001</v>
      </c>
      <c r="FA223" s="1420">
        <v>17227583.18</v>
      </c>
      <c r="FB223" s="1420">
        <v>16607962.51</v>
      </c>
      <c r="FC223" s="1420">
        <v>897127.22</v>
      </c>
      <c r="FD223" s="1439"/>
      <c r="FE223" s="1420">
        <v>16330455.960000001</v>
      </c>
      <c r="FF223" s="1439"/>
      <c r="FG223" s="1422">
        <v>7935</v>
      </c>
      <c r="FH223" s="1439"/>
      <c r="FI223" s="1420">
        <v>153.74</v>
      </c>
      <c r="FJ223" s="1439"/>
      <c r="FK223" s="1422">
        <v>45901</v>
      </c>
      <c r="FL223" s="1439"/>
      <c r="FM223" s="1420">
        <v>166.56</v>
      </c>
      <c r="FN223" s="1439"/>
      <c r="FO223" s="1422">
        <v>48413</v>
      </c>
      <c r="FP223" s="1439"/>
      <c r="FQ223" s="1420">
        <v>718679.49</v>
      </c>
      <c r="FR223" s="1439"/>
      <c r="FS223" s="1420">
        <v>39317.49</v>
      </c>
      <c r="FT223" s="1439"/>
      <c r="FU223" s="1422">
        <v>0</v>
      </c>
      <c r="FV223" s="1439"/>
      <c r="FW223" s="1422">
        <v>679362</v>
      </c>
      <c r="FX223" s="1439"/>
      <c r="FY223" s="1420">
        <v>2198410.83</v>
      </c>
      <c r="FZ223" s="1439"/>
      <c r="GA223" s="1422">
        <v>0</v>
      </c>
      <c r="GB223" s="1439"/>
    </row>
    <row r="224" spans="1:184" ht="12.75" customHeight="1" thickBot="1">
      <c r="A224" s="1418" t="s">
        <v>131</v>
      </c>
      <c r="B224" s="1418" t="s">
        <v>132</v>
      </c>
      <c r="C224" s="1420">
        <v>113.48</v>
      </c>
      <c r="D224" s="1439"/>
      <c r="E224" s="1420">
        <v>8388.2900000000009</v>
      </c>
      <c r="F224" s="1439"/>
      <c r="G224" s="1421">
        <v>7.0000000000000007E-2</v>
      </c>
      <c r="H224" s="1439"/>
      <c r="I224" s="1420">
        <v>8838.75</v>
      </c>
      <c r="J224" s="1439"/>
      <c r="K224" s="1420">
        <v>8540.91</v>
      </c>
      <c r="L224" s="1439"/>
      <c r="M224" s="1422">
        <v>1284990394</v>
      </c>
      <c r="N224" s="1439"/>
      <c r="O224" s="1422">
        <v>25</v>
      </c>
      <c r="P224" s="1439"/>
      <c r="Q224" s="1422">
        <v>25</v>
      </c>
      <c r="R224" s="1439"/>
      <c r="S224" s="1422">
        <v>0</v>
      </c>
      <c r="T224" s="1439"/>
      <c r="U224" s="1422">
        <v>0</v>
      </c>
      <c r="V224" s="1439"/>
      <c r="W224" s="1420">
        <v>20.65</v>
      </c>
      <c r="X224" s="1439"/>
      <c r="Y224" s="1420">
        <v>45.65</v>
      </c>
      <c r="Z224" s="1439"/>
      <c r="AA224" s="1420">
        <v>157509702.12</v>
      </c>
      <c r="AB224" s="1455"/>
      <c r="AC224" s="1424">
        <v>55376321.899999999</v>
      </c>
      <c r="AD224" s="1422">
        <v>58232701</v>
      </c>
      <c r="AE224" s="1420">
        <v>3005691.59</v>
      </c>
      <c r="AF224" s="1422">
        <v>448000</v>
      </c>
      <c r="AG224" s="1422">
        <v>0</v>
      </c>
      <c r="AH224" s="1456">
        <v>0</v>
      </c>
      <c r="AI224" s="1428">
        <v>18935683</v>
      </c>
      <c r="AJ224" s="1422">
        <v>22856684</v>
      </c>
      <c r="AK224" s="1422">
        <v>0</v>
      </c>
      <c r="AL224" s="1422">
        <v>0</v>
      </c>
      <c r="AM224" s="1422">
        <v>1978334</v>
      </c>
      <c r="AN224" s="1422">
        <v>0</v>
      </c>
      <c r="AO224" s="1422">
        <v>0</v>
      </c>
      <c r="AP224" s="1422">
        <v>0</v>
      </c>
      <c r="AQ224" s="1422">
        <v>0</v>
      </c>
      <c r="AR224" s="1422">
        <v>0</v>
      </c>
      <c r="AS224" s="1422">
        <v>0</v>
      </c>
      <c r="AT224" s="1422">
        <v>0</v>
      </c>
      <c r="AU224" s="1422">
        <v>0</v>
      </c>
      <c r="AV224" s="1422">
        <v>0</v>
      </c>
      <c r="AW224" s="1422">
        <v>0</v>
      </c>
      <c r="AX224" s="1422">
        <v>0</v>
      </c>
      <c r="AY224" s="1420">
        <v>79296030.489999995</v>
      </c>
      <c r="AZ224" s="1422">
        <v>81537385</v>
      </c>
      <c r="BA224" s="1420">
        <v>433286.68</v>
      </c>
      <c r="BB224" s="1420">
        <v>458850.76</v>
      </c>
      <c r="BC224" s="1422">
        <v>353252</v>
      </c>
      <c r="BD224" s="1422">
        <v>374818</v>
      </c>
      <c r="BE224" s="1420">
        <v>82222.55</v>
      </c>
      <c r="BF224" s="1422">
        <v>0</v>
      </c>
      <c r="BG224" s="1422">
        <v>42150</v>
      </c>
      <c r="BH224" s="1422">
        <v>0</v>
      </c>
      <c r="BI224" s="1422">
        <v>463466</v>
      </c>
      <c r="BJ224" s="1422">
        <v>485462</v>
      </c>
      <c r="BK224" s="1422">
        <v>197189</v>
      </c>
      <c r="BL224" s="1422">
        <v>85627</v>
      </c>
      <c r="BM224" s="1422">
        <v>1616960</v>
      </c>
      <c r="BN224" s="1422">
        <v>1784156</v>
      </c>
      <c r="BO224" s="1420">
        <v>777833.44</v>
      </c>
      <c r="BP224" s="1422">
        <v>0</v>
      </c>
      <c r="BQ224" s="1420">
        <v>164670.87</v>
      </c>
      <c r="BR224" s="1422">
        <v>0</v>
      </c>
      <c r="BS224" s="1420">
        <v>25092.04</v>
      </c>
      <c r="BT224" s="1422">
        <v>25000</v>
      </c>
      <c r="BU224" s="1422">
        <v>0</v>
      </c>
      <c r="BV224" s="1422">
        <v>0</v>
      </c>
      <c r="BW224" s="1422">
        <v>577368</v>
      </c>
      <c r="BX224" s="1422">
        <v>0</v>
      </c>
      <c r="BY224" s="1422">
        <v>0</v>
      </c>
      <c r="BZ224" s="1422">
        <v>0</v>
      </c>
      <c r="CA224" s="1422">
        <v>388976</v>
      </c>
      <c r="CB224" s="1422">
        <v>198180</v>
      </c>
      <c r="CC224" s="1420">
        <v>5122466.58</v>
      </c>
      <c r="CD224" s="1420">
        <v>3412093.76</v>
      </c>
      <c r="CE224" s="1420">
        <v>16635894.66</v>
      </c>
      <c r="CF224" s="1420">
        <v>11925426.68</v>
      </c>
      <c r="CG224" s="1420">
        <v>31843216.32</v>
      </c>
      <c r="CH224" s="1422">
        <v>0</v>
      </c>
      <c r="CI224" s="1422">
        <v>0</v>
      </c>
      <c r="CJ224" s="1422">
        <v>0</v>
      </c>
      <c r="CK224" s="1422">
        <v>0</v>
      </c>
      <c r="CL224" s="1422">
        <v>0</v>
      </c>
      <c r="CM224" s="1422">
        <v>0</v>
      </c>
      <c r="CN224" s="1422">
        <v>0</v>
      </c>
      <c r="CO224" s="1422">
        <v>0</v>
      </c>
      <c r="CP224" s="1422">
        <v>0</v>
      </c>
      <c r="CQ224" s="1422">
        <v>0</v>
      </c>
      <c r="CR224" s="1422">
        <v>0</v>
      </c>
      <c r="CS224" s="1420">
        <v>31843216.32</v>
      </c>
      <c r="CT224" s="1422">
        <v>0</v>
      </c>
      <c r="CU224" s="1420">
        <v>132897608.05</v>
      </c>
      <c r="CV224" s="1420">
        <v>96874905.439999998</v>
      </c>
      <c r="CW224" s="1420">
        <v>39777677.390000001</v>
      </c>
      <c r="CX224" s="1420">
        <v>34646885.950000003</v>
      </c>
      <c r="CY224" s="1420">
        <v>7885442.1600000001</v>
      </c>
      <c r="CZ224" s="1420">
        <v>7807236.79</v>
      </c>
      <c r="DA224" s="1420">
        <v>1024212.32</v>
      </c>
      <c r="DB224" s="1420">
        <v>966135.77</v>
      </c>
      <c r="DC224" s="1420">
        <v>637727.81000000006</v>
      </c>
      <c r="DD224" s="1420">
        <v>733690.27</v>
      </c>
      <c r="DE224" s="1420">
        <v>2047245.41</v>
      </c>
      <c r="DF224" s="1420">
        <v>1581257.17</v>
      </c>
      <c r="DG224" s="1420">
        <v>1972779.37</v>
      </c>
      <c r="DH224" s="1420">
        <v>1900924.15</v>
      </c>
      <c r="DI224" s="1420">
        <v>53345084.460000001</v>
      </c>
      <c r="DJ224" s="1420">
        <v>47636130.100000001</v>
      </c>
      <c r="DK224" s="1420">
        <v>1460490.11</v>
      </c>
      <c r="DL224" s="1420">
        <v>6594209.0800000001</v>
      </c>
      <c r="DM224" s="1420">
        <v>2772733.44</v>
      </c>
      <c r="DN224" s="1420">
        <v>3373859.05</v>
      </c>
      <c r="DO224" s="1420">
        <v>7540270.9000000004</v>
      </c>
      <c r="DP224" s="1420">
        <v>6694603.6699999999</v>
      </c>
      <c r="DQ224" s="1420">
        <v>2688808.7</v>
      </c>
      <c r="DR224" s="1420">
        <v>3190329.37</v>
      </c>
      <c r="DS224" s="1420">
        <v>20171.05</v>
      </c>
      <c r="DT224" s="1422">
        <v>35000</v>
      </c>
      <c r="DU224" s="1420">
        <v>14482474.199999999</v>
      </c>
      <c r="DV224" s="1420">
        <v>19888001.170000002</v>
      </c>
      <c r="DW224" s="1420">
        <v>4111809.87</v>
      </c>
      <c r="DX224" s="1420">
        <v>3483405.55</v>
      </c>
      <c r="DY224" s="1420">
        <v>9166807.4100000001</v>
      </c>
      <c r="DZ224" s="1420">
        <v>10147104.699999999</v>
      </c>
      <c r="EA224" s="1420">
        <v>4286936.7699999996</v>
      </c>
      <c r="EB224" s="1420">
        <v>4313275.53</v>
      </c>
      <c r="EC224" s="1420">
        <v>17565554.050000001</v>
      </c>
      <c r="ED224" s="1420">
        <v>17943785.780000001</v>
      </c>
      <c r="EE224" s="1420">
        <v>3581093.87</v>
      </c>
      <c r="EF224" s="1420">
        <v>3603158.17</v>
      </c>
      <c r="EG224" s="1422">
        <v>0</v>
      </c>
      <c r="EH224" s="1422">
        <v>0</v>
      </c>
      <c r="EI224" s="1420">
        <v>132387.35</v>
      </c>
      <c r="EJ224" s="1420">
        <v>166908.59</v>
      </c>
      <c r="EK224" s="1422">
        <v>0</v>
      </c>
      <c r="EL224" s="1422">
        <v>0</v>
      </c>
      <c r="EM224" s="1420">
        <v>3713481.22</v>
      </c>
      <c r="EN224" s="1420">
        <v>3770066.76</v>
      </c>
      <c r="EO224" s="1420">
        <v>18777727.41</v>
      </c>
      <c r="EP224" s="1422">
        <v>23129759</v>
      </c>
      <c r="EQ224" s="1420">
        <v>7765632.54</v>
      </c>
      <c r="ER224" s="1420">
        <v>13467840.48</v>
      </c>
      <c r="ES224" s="1422">
        <v>0</v>
      </c>
      <c r="ET224" s="1422">
        <v>0</v>
      </c>
      <c r="EU224" s="1420">
        <v>115649953.88</v>
      </c>
      <c r="EV224" s="1420">
        <v>125835583.29000001</v>
      </c>
      <c r="EW224" s="1422">
        <v>19895805</v>
      </c>
      <c r="EX224" s="1420">
        <v>24406568.579999998</v>
      </c>
      <c r="EY224" s="1420">
        <v>7765632.54</v>
      </c>
      <c r="EZ224" s="1420">
        <v>13467840.48</v>
      </c>
      <c r="FA224" s="1420">
        <v>87988516.340000004</v>
      </c>
      <c r="FB224" s="1420">
        <v>87961174.230000004</v>
      </c>
      <c r="FC224" s="1420">
        <v>1309006.95</v>
      </c>
      <c r="FD224" s="1439"/>
      <c r="FE224" s="1420">
        <v>86679509.390000001</v>
      </c>
      <c r="FF224" s="1439"/>
      <c r="FG224" s="1422">
        <v>10333</v>
      </c>
      <c r="FH224" s="1439"/>
      <c r="FI224" s="1420">
        <v>582.44000000000005</v>
      </c>
      <c r="FJ224" s="1439"/>
      <c r="FK224" s="1422">
        <v>57279</v>
      </c>
      <c r="FL224" s="1439"/>
      <c r="FM224" s="1420">
        <v>631.73</v>
      </c>
      <c r="FN224" s="1439"/>
      <c r="FO224" s="1422">
        <v>59384</v>
      </c>
      <c r="FP224" s="1439"/>
      <c r="FQ224" s="1420">
        <v>85833058.150000006</v>
      </c>
      <c r="FR224" s="1439"/>
      <c r="FS224" s="1420">
        <v>430797.18</v>
      </c>
      <c r="FT224" s="1439"/>
      <c r="FU224" s="1420">
        <v>3253093.85</v>
      </c>
      <c r="FV224" s="1439"/>
      <c r="FW224" s="1420">
        <v>82149167.120000005</v>
      </c>
      <c r="FX224" s="1439"/>
      <c r="FY224" s="1420">
        <v>55682.79</v>
      </c>
      <c r="FZ224" s="1439"/>
      <c r="GA224" s="1420">
        <v>2497990.9900000002</v>
      </c>
      <c r="GB224" s="1439"/>
    </row>
    <row r="225" spans="1:184" ht="12.75" customHeight="1" thickBot="1">
      <c r="A225" s="1418" t="s">
        <v>133</v>
      </c>
      <c r="B225" s="1418" t="s">
        <v>134</v>
      </c>
      <c r="C225" s="1420">
        <v>136.22</v>
      </c>
      <c r="D225" s="1439"/>
      <c r="E225" s="1420">
        <v>759.99</v>
      </c>
      <c r="F225" s="1439"/>
      <c r="G225" s="1421">
        <v>-0.15</v>
      </c>
      <c r="H225" s="1439"/>
      <c r="I225" s="1420">
        <v>793.66</v>
      </c>
      <c r="J225" s="1439"/>
      <c r="K225" s="1420">
        <v>821.63</v>
      </c>
      <c r="L225" s="1439"/>
      <c r="M225" s="1422">
        <v>79663115</v>
      </c>
      <c r="N225" s="1439"/>
      <c r="O225" s="1422">
        <v>25</v>
      </c>
      <c r="P225" s="1439"/>
      <c r="Q225" s="1422">
        <v>25</v>
      </c>
      <c r="R225" s="1439"/>
      <c r="S225" s="1422">
        <v>0</v>
      </c>
      <c r="T225" s="1439"/>
      <c r="U225" s="1422">
        <v>0</v>
      </c>
      <c r="V225" s="1439"/>
      <c r="W225" s="1420">
        <v>14.5</v>
      </c>
      <c r="X225" s="1439"/>
      <c r="Y225" s="1420">
        <v>39.5</v>
      </c>
      <c r="Z225" s="1439"/>
      <c r="AA225" s="1420">
        <v>6923361.4699999997</v>
      </c>
      <c r="AB225" s="1455"/>
      <c r="AC225" s="1424">
        <v>3191776.56</v>
      </c>
      <c r="AD225" s="1420">
        <v>3011269.99</v>
      </c>
      <c r="AE225" s="1420">
        <v>466972.62</v>
      </c>
      <c r="AF225" s="1420">
        <v>401322.64</v>
      </c>
      <c r="AG225" s="1420">
        <v>10179.76</v>
      </c>
      <c r="AH225" s="1457">
        <v>103.3</v>
      </c>
      <c r="AI225" s="1428">
        <v>2933493</v>
      </c>
      <c r="AJ225" s="1422">
        <v>2884290</v>
      </c>
      <c r="AK225" s="1422">
        <v>0</v>
      </c>
      <c r="AL225" s="1422">
        <v>0</v>
      </c>
      <c r="AM225" s="1422">
        <v>0</v>
      </c>
      <c r="AN225" s="1422">
        <v>0</v>
      </c>
      <c r="AO225" s="1422">
        <v>0</v>
      </c>
      <c r="AP225" s="1422">
        <v>96645</v>
      </c>
      <c r="AQ225" s="1422">
        <v>0</v>
      </c>
      <c r="AR225" s="1422">
        <v>0</v>
      </c>
      <c r="AS225" s="1422">
        <v>0</v>
      </c>
      <c r="AT225" s="1422">
        <v>0</v>
      </c>
      <c r="AU225" s="1422">
        <v>29394</v>
      </c>
      <c r="AV225" s="1422">
        <v>23515</v>
      </c>
      <c r="AW225" s="1422">
        <v>0</v>
      </c>
      <c r="AX225" s="1422">
        <v>0</v>
      </c>
      <c r="AY225" s="1420">
        <v>6631815.9400000004</v>
      </c>
      <c r="AZ225" s="1420">
        <v>6417145.9299999997</v>
      </c>
      <c r="BA225" s="1422">
        <v>0</v>
      </c>
      <c r="BB225" s="1422">
        <v>0</v>
      </c>
      <c r="BC225" s="1422">
        <v>33983</v>
      </c>
      <c r="BD225" s="1422">
        <v>33487</v>
      </c>
      <c r="BE225" s="1420">
        <v>8893.91</v>
      </c>
      <c r="BF225" s="1422">
        <v>4975</v>
      </c>
      <c r="BG225" s="1422">
        <v>200</v>
      </c>
      <c r="BH225" s="1422">
        <v>200</v>
      </c>
      <c r="BI225" s="1422">
        <v>31204</v>
      </c>
      <c r="BJ225" s="1422">
        <v>23544</v>
      </c>
      <c r="BK225" s="1422">
        <v>5567</v>
      </c>
      <c r="BL225" s="1420">
        <v>6746.49</v>
      </c>
      <c r="BM225" s="1422">
        <v>213776</v>
      </c>
      <c r="BN225" s="1422">
        <v>238832</v>
      </c>
      <c r="BO225" s="1420">
        <v>3365.91</v>
      </c>
      <c r="BP225" s="1422">
        <v>3366</v>
      </c>
      <c r="BQ225" s="1422">
        <v>0</v>
      </c>
      <c r="BR225" s="1422">
        <v>1083</v>
      </c>
      <c r="BS225" s="1420">
        <v>2735.05</v>
      </c>
      <c r="BT225" s="1422">
        <v>3000</v>
      </c>
      <c r="BU225" s="1422">
        <v>0</v>
      </c>
      <c r="BV225" s="1422">
        <v>0</v>
      </c>
      <c r="BW225" s="1422">
        <v>0</v>
      </c>
      <c r="BX225" s="1422">
        <v>0</v>
      </c>
      <c r="BY225" s="1422">
        <v>0</v>
      </c>
      <c r="BZ225" s="1422">
        <v>0</v>
      </c>
      <c r="CA225" s="1420">
        <v>293430.37</v>
      </c>
      <c r="CB225" s="1422">
        <v>31092</v>
      </c>
      <c r="CC225" s="1420">
        <v>593155.24</v>
      </c>
      <c r="CD225" s="1420">
        <v>346325.49</v>
      </c>
      <c r="CE225" s="1420">
        <v>1466357.92</v>
      </c>
      <c r="CF225" s="1420">
        <v>1100167.8999999999</v>
      </c>
      <c r="CG225" s="1422">
        <v>0</v>
      </c>
      <c r="CH225" s="1422">
        <v>0</v>
      </c>
      <c r="CI225" s="1422">
        <v>0</v>
      </c>
      <c r="CJ225" s="1422">
        <v>0</v>
      </c>
      <c r="CK225" s="1422">
        <v>0</v>
      </c>
      <c r="CL225" s="1422">
        <v>0</v>
      </c>
      <c r="CM225" s="1420">
        <v>6314.31</v>
      </c>
      <c r="CN225" s="1422">
        <v>0</v>
      </c>
      <c r="CO225" s="1422">
        <v>0</v>
      </c>
      <c r="CP225" s="1422">
        <v>0</v>
      </c>
      <c r="CQ225" s="1422">
        <v>0</v>
      </c>
      <c r="CR225" s="1422">
        <v>0</v>
      </c>
      <c r="CS225" s="1420">
        <v>6314.31</v>
      </c>
      <c r="CT225" s="1422">
        <v>0</v>
      </c>
      <c r="CU225" s="1420">
        <v>8697643.4100000001</v>
      </c>
      <c r="CV225" s="1420">
        <v>7863639.3200000003</v>
      </c>
      <c r="CW225" s="1420">
        <v>2684677.81</v>
      </c>
      <c r="CX225" s="1420">
        <v>2825985.78</v>
      </c>
      <c r="CY225" s="1420">
        <v>587646.55000000005</v>
      </c>
      <c r="CZ225" s="1420">
        <v>516303.21</v>
      </c>
      <c r="DA225" s="1420">
        <v>351587.8</v>
      </c>
      <c r="DB225" s="1420">
        <v>325067.42</v>
      </c>
      <c r="DC225" s="1422">
        <v>0</v>
      </c>
      <c r="DD225" s="1422">
        <v>0</v>
      </c>
      <c r="DE225" s="1420">
        <v>171519.03</v>
      </c>
      <c r="DF225" s="1420">
        <v>191349.4</v>
      </c>
      <c r="DG225" s="1420">
        <v>333118.59999999998</v>
      </c>
      <c r="DH225" s="1420">
        <v>347673.46</v>
      </c>
      <c r="DI225" s="1420">
        <v>4128549.79</v>
      </c>
      <c r="DJ225" s="1420">
        <v>4206379.2699999996</v>
      </c>
      <c r="DK225" s="1420">
        <v>250215.15</v>
      </c>
      <c r="DL225" s="1420">
        <v>279908.78000000003</v>
      </c>
      <c r="DM225" s="1420">
        <v>210956.37</v>
      </c>
      <c r="DN225" s="1420">
        <v>200052.6</v>
      </c>
      <c r="DO225" s="1420">
        <v>649041.92000000004</v>
      </c>
      <c r="DP225" s="1420">
        <v>850603.42</v>
      </c>
      <c r="DQ225" s="1420">
        <v>366861.44</v>
      </c>
      <c r="DR225" s="1420">
        <v>328794.98</v>
      </c>
      <c r="DS225" s="1420">
        <v>37621.279999999999</v>
      </c>
      <c r="DT225" s="1422">
        <v>34481</v>
      </c>
      <c r="DU225" s="1420">
        <v>1514696.16</v>
      </c>
      <c r="DV225" s="1420">
        <v>1693840.78</v>
      </c>
      <c r="DW225" s="1420">
        <v>372335.92</v>
      </c>
      <c r="DX225" s="1420">
        <v>374781.22</v>
      </c>
      <c r="DY225" s="1420">
        <v>548800.88</v>
      </c>
      <c r="DZ225" s="1420">
        <v>555466.44999999995</v>
      </c>
      <c r="EA225" s="1420">
        <v>376477.04</v>
      </c>
      <c r="EB225" s="1420">
        <v>381294.94</v>
      </c>
      <c r="EC225" s="1420">
        <v>1297613.8400000001</v>
      </c>
      <c r="ED225" s="1420">
        <v>1311542.6100000001</v>
      </c>
      <c r="EE225" s="1420">
        <v>380347.47</v>
      </c>
      <c r="EF225" s="1420">
        <v>396074.28</v>
      </c>
      <c r="EG225" s="1422">
        <v>0</v>
      </c>
      <c r="EH225" s="1422">
        <v>0</v>
      </c>
      <c r="EI225" s="1420">
        <v>2570.9899999999998</v>
      </c>
      <c r="EJ225" s="1420">
        <v>19146.25</v>
      </c>
      <c r="EK225" s="1422">
        <v>0</v>
      </c>
      <c r="EL225" s="1422">
        <v>0</v>
      </c>
      <c r="EM225" s="1420">
        <v>382918.46</v>
      </c>
      <c r="EN225" s="1420">
        <v>415220.53</v>
      </c>
      <c r="EO225" s="1420">
        <v>865543.51</v>
      </c>
      <c r="EP225" s="1420">
        <v>16693.52</v>
      </c>
      <c r="EQ225" s="1420">
        <v>409139.65</v>
      </c>
      <c r="ER225" s="1420">
        <v>433814.25</v>
      </c>
      <c r="ES225" s="1422">
        <v>0</v>
      </c>
      <c r="ET225" s="1422">
        <v>0</v>
      </c>
      <c r="EU225" s="1420">
        <v>8598461.4100000001</v>
      </c>
      <c r="EV225" s="1420">
        <v>8077490.96</v>
      </c>
      <c r="EW225" s="1420">
        <v>1074837.76</v>
      </c>
      <c r="EX225" s="1420">
        <v>97255.52</v>
      </c>
      <c r="EY225" s="1420">
        <v>409139.65</v>
      </c>
      <c r="EZ225" s="1420">
        <v>433814.25</v>
      </c>
      <c r="FA225" s="1422">
        <v>7114484</v>
      </c>
      <c r="FB225" s="1420">
        <v>7546421.1900000004</v>
      </c>
      <c r="FC225" s="1420">
        <v>277296.38</v>
      </c>
      <c r="FD225" s="1439"/>
      <c r="FE225" s="1420">
        <v>6837187.6200000001</v>
      </c>
      <c r="FF225" s="1439"/>
      <c r="FG225" s="1422">
        <v>8996</v>
      </c>
      <c r="FH225" s="1439"/>
      <c r="FI225" s="1420">
        <v>63.84</v>
      </c>
      <c r="FJ225" s="1439"/>
      <c r="FK225" s="1422">
        <v>40424</v>
      </c>
      <c r="FL225" s="1439"/>
      <c r="FM225" s="1420">
        <v>69.37</v>
      </c>
      <c r="FN225" s="1439"/>
      <c r="FO225" s="1422">
        <v>43330</v>
      </c>
      <c r="FP225" s="1439"/>
      <c r="FQ225" s="1420">
        <v>2637697.9300000002</v>
      </c>
      <c r="FR225" s="1439"/>
      <c r="FS225" s="1420">
        <v>18838.02</v>
      </c>
      <c r="FT225" s="1439"/>
      <c r="FU225" s="1420">
        <v>286532.88</v>
      </c>
      <c r="FV225" s="1439"/>
      <c r="FW225" s="1420">
        <v>2332327.0299999998</v>
      </c>
      <c r="FX225" s="1439"/>
      <c r="FY225" s="1420">
        <v>272653.13</v>
      </c>
      <c r="FZ225" s="1439"/>
      <c r="GA225" s="1422">
        <v>0</v>
      </c>
      <c r="GB225" s="1439"/>
    </row>
    <row r="226" spans="1:184" ht="12.75" customHeight="1" thickBot="1">
      <c r="A226" s="1418" t="s">
        <v>135</v>
      </c>
      <c r="B226" s="1418" t="s">
        <v>136</v>
      </c>
      <c r="C226" s="1420">
        <v>145.75</v>
      </c>
      <c r="D226" s="1439"/>
      <c r="E226" s="1420">
        <v>1187.6400000000001</v>
      </c>
      <c r="F226" s="1439"/>
      <c r="G226" s="1421">
        <v>0.01</v>
      </c>
      <c r="H226" s="1439"/>
      <c r="I226" s="1420">
        <v>1271.96</v>
      </c>
      <c r="J226" s="1439"/>
      <c r="K226" s="1420">
        <v>1303.48</v>
      </c>
      <c r="L226" s="1439"/>
      <c r="M226" s="1422">
        <v>66959903</v>
      </c>
      <c r="N226" s="1439"/>
      <c r="O226" s="1422">
        <v>25</v>
      </c>
      <c r="P226" s="1439"/>
      <c r="Q226" s="1422">
        <v>25</v>
      </c>
      <c r="R226" s="1439"/>
      <c r="S226" s="1422">
        <v>0</v>
      </c>
      <c r="T226" s="1439"/>
      <c r="U226" s="1422">
        <v>0</v>
      </c>
      <c r="V226" s="1439"/>
      <c r="W226" s="1420">
        <v>17.7</v>
      </c>
      <c r="X226" s="1439"/>
      <c r="Y226" s="1420">
        <v>42.7</v>
      </c>
      <c r="Z226" s="1439"/>
      <c r="AA226" s="1422">
        <v>16475000</v>
      </c>
      <c r="AB226" s="1455"/>
      <c r="AC226" s="1424">
        <v>2660775.94</v>
      </c>
      <c r="AD226" s="1420">
        <v>2978632.37</v>
      </c>
      <c r="AE226" s="1420">
        <v>1167246.5</v>
      </c>
      <c r="AF226" s="1420">
        <v>808002.06</v>
      </c>
      <c r="AG226" s="1420">
        <v>285.89</v>
      </c>
      <c r="AH226" s="1456">
        <v>0</v>
      </c>
      <c r="AI226" s="1428">
        <v>6155435</v>
      </c>
      <c r="AJ226" s="1422">
        <v>6278067</v>
      </c>
      <c r="AK226" s="1422">
        <v>37227</v>
      </c>
      <c r="AL226" s="1422">
        <v>0</v>
      </c>
      <c r="AM226" s="1422">
        <v>12724</v>
      </c>
      <c r="AN226" s="1422">
        <v>0</v>
      </c>
      <c r="AO226" s="1422">
        <v>0</v>
      </c>
      <c r="AP226" s="1422">
        <v>44913</v>
      </c>
      <c r="AQ226" s="1422">
        <v>0</v>
      </c>
      <c r="AR226" s="1422">
        <v>0</v>
      </c>
      <c r="AS226" s="1422">
        <v>0</v>
      </c>
      <c r="AT226" s="1422">
        <v>0</v>
      </c>
      <c r="AU226" s="1422">
        <v>42818</v>
      </c>
      <c r="AV226" s="1422">
        <v>34254</v>
      </c>
      <c r="AW226" s="1422">
        <v>3000</v>
      </c>
      <c r="AX226" s="1422">
        <v>0</v>
      </c>
      <c r="AY226" s="1420">
        <v>10079512.33</v>
      </c>
      <c r="AZ226" s="1420">
        <v>10143868.43</v>
      </c>
      <c r="BA226" s="1422">
        <v>0</v>
      </c>
      <c r="BB226" s="1422">
        <v>1000</v>
      </c>
      <c r="BC226" s="1422">
        <v>53912</v>
      </c>
      <c r="BD226" s="1422">
        <v>54622</v>
      </c>
      <c r="BE226" s="1420">
        <v>520531.48</v>
      </c>
      <c r="BF226" s="1422">
        <v>1200</v>
      </c>
      <c r="BG226" s="1422">
        <v>200</v>
      </c>
      <c r="BH226" s="1422">
        <v>0</v>
      </c>
      <c r="BI226" s="1422">
        <v>136842</v>
      </c>
      <c r="BJ226" s="1422">
        <v>139894</v>
      </c>
      <c r="BK226" s="1422">
        <v>31644</v>
      </c>
      <c r="BL226" s="1422">
        <v>31644</v>
      </c>
      <c r="BM226" s="1422">
        <v>613714</v>
      </c>
      <c r="BN226" s="1422">
        <v>775873</v>
      </c>
      <c r="BO226" s="1420">
        <v>5339.9</v>
      </c>
      <c r="BP226" s="1422">
        <v>0</v>
      </c>
      <c r="BQ226" s="1420">
        <v>29333.56</v>
      </c>
      <c r="BR226" s="1422">
        <v>109300</v>
      </c>
      <c r="BS226" s="1420">
        <v>4445.71</v>
      </c>
      <c r="BT226" s="1422">
        <v>4500</v>
      </c>
      <c r="BU226" s="1422">
        <v>0</v>
      </c>
      <c r="BV226" s="1422">
        <v>0</v>
      </c>
      <c r="BW226" s="1420">
        <v>206522.49</v>
      </c>
      <c r="BX226" s="1422">
        <v>194400</v>
      </c>
      <c r="BY226" s="1422">
        <v>0</v>
      </c>
      <c r="BZ226" s="1422">
        <v>0</v>
      </c>
      <c r="CA226" s="1420">
        <v>1230414.99</v>
      </c>
      <c r="CB226" s="1422">
        <v>5426785</v>
      </c>
      <c r="CC226" s="1420">
        <v>2832900.13</v>
      </c>
      <c r="CD226" s="1422">
        <v>6739218</v>
      </c>
      <c r="CE226" s="1420">
        <v>2538702.33</v>
      </c>
      <c r="CF226" s="1420">
        <v>1912588.47</v>
      </c>
      <c r="CG226" s="1420">
        <v>9307169.2799999993</v>
      </c>
      <c r="CH226" s="1422">
        <v>925000</v>
      </c>
      <c r="CI226" s="1422">
        <v>0</v>
      </c>
      <c r="CJ226" s="1422">
        <v>0</v>
      </c>
      <c r="CK226" s="1422">
        <v>2892</v>
      </c>
      <c r="CL226" s="1422">
        <v>0</v>
      </c>
      <c r="CM226" s="1422">
        <v>0</v>
      </c>
      <c r="CN226" s="1422">
        <v>0</v>
      </c>
      <c r="CO226" s="1422">
        <v>0</v>
      </c>
      <c r="CP226" s="1422">
        <v>0</v>
      </c>
      <c r="CQ226" s="1422">
        <v>0</v>
      </c>
      <c r="CR226" s="1422">
        <v>0</v>
      </c>
      <c r="CS226" s="1420">
        <v>9310061.2799999993</v>
      </c>
      <c r="CT226" s="1422">
        <v>925000</v>
      </c>
      <c r="CU226" s="1420">
        <v>24761176.07</v>
      </c>
      <c r="CV226" s="1420">
        <v>19720674.899999999</v>
      </c>
      <c r="CW226" s="1420">
        <v>5063932.25</v>
      </c>
      <c r="CX226" s="1420">
        <v>4695974.8499999996</v>
      </c>
      <c r="CY226" s="1420">
        <v>828515.1</v>
      </c>
      <c r="CZ226" s="1420">
        <v>872227.44</v>
      </c>
      <c r="DA226" s="1420">
        <v>354133.17</v>
      </c>
      <c r="DB226" s="1420">
        <v>434314.61</v>
      </c>
      <c r="DC226" s="1422">
        <v>0</v>
      </c>
      <c r="DD226" s="1422">
        <v>1000</v>
      </c>
      <c r="DE226" s="1420">
        <v>426371.22</v>
      </c>
      <c r="DF226" s="1420">
        <v>452298.78</v>
      </c>
      <c r="DG226" s="1420">
        <v>433849.65</v>
      </c>
      <c r="DH226" s="1420">
        <v>456175.21</v>
      </c>
      <c r="DI226" s="1420">
        <v>7106801.3899999997</v>
      </c>
      <c r="DJ226" s="1420">
        <v>6911990.8899999997</v>
      </c>
      <c r="DK226" s="1420">
        <v>419417.04</v>
      </c>
      <c r="DL226" s="1420">
        <v>459036.86</v>
      </c>
      <c r="DM226" s="1420">
        <v>295014.05</v>
      </c>
      <c r="DN226" s="1420">
        <v>337436.68</v>
      </c>
      <c r="DO226" s="1420">
        <v>1182421.3400000001</v>
      </c>
      <c r="DP226" s="1420">
        <v>1034618.59</v>
      </c>
      <c r="DQ226" s="1420">
        <v>497370.69</v>
      </c>
      <c r="DR226" s="1420">
        <v>470711.87</v>
      </c>
      <c r="DS226" s="1420">
        <v>80585.64</v>
      </c>
      <c r="DT226" s="1420">
        <v>48370.28</v>
      </c>
      <c r="DU226" s="1420">
        <v>2474808.7599999998</v>
      </c>
      <c r="DV226" s="1420">
        <v>2350174.2799999998</v>
      </c>
      <c r="DW226" s="1420">
        <v>809801.73</v>
      </c>
      <c r="DX226" s="1420">
        <v>777601.17</v>
      </c>
      <c r="DY226" s="1420">
        <v>1946566.69</v>
      </c>
      <c r="DZ226" s="1420">
        <v>1909035.8</v>
      </c>
      <c r="EA226" s="1420">
        <v>676995.59</v>
      </c>
      <c r="EB226" s="1420">
        <v>647525.64</v>
      </c>
      <c r="EC226" s="1420">
        <v>3433364.01</v>
      </c>
      <c r="ED226" s="1420">
        <v>3334162.61</v>
      </c>
      <c r="EE226" s="1420">
        <v>752511.86</v>
      </c>
      <c r="EF226" s="1420">
        <v>701966.89</v>
      </c>
      <c r="EG226" s="1420">
        <v>112.57</v>
      </c>
      <c r="EH226" s="1422">
        <v>0</v>
      </c>
      <c r="EI226" s="1420">
        <v>94708.45</v>
      </c>
      <c r="EJ226" s="1420">
        <v>101331.58</v>
      </c>
      <c r="EK226" s="1422">
        <v>0</v>
      </c>
      <c r="EL226" s="1422">
        <v>0</v>
      </c>
      <c r="EM226" s="1420">
        <v>847332.88</v>
      </c>
      <c r="EN226" s="1420">
        <v>803298.47</v>
      </c>
      <c r="EO226" s="1420">
        <v>2264751.06</v>
      </c>
      <c r="EP226" s="1420">
        <v>13638426.220000001</v>
      </c>
      <c r="EQ226" s="1420">
        <v>754514.53</v>
      </c>
      <c r="ER226" s="1422">
        <v>919675</v>
      </c>
      <c r="ES226" s="1422">
        <v>215178</v>
      </c>
      <c r="ET226" s="1422">
        <v>0</v>
      </c>
      <c r="EU226" s="1420">
        <v>17096750.629999999</v>
      </c>
      <c r="EV226" s="1420">
        <v>27957727.469999999</v>
      </c>
      <c r="EW226" s="1420">
        <v>2543081.73</v>
      </c>
      <c r="EX226" s="1420">
        <v>13719721.369999999</v>
      </c>
      <c r="EY226" s="1420">
        <v>754514.53</v>
      </c>
      <c r="EZ226" s="1422">
        <v>919675</v>
      </c>
      <c r="FA226" s="1420">
        <v>13799154.369999999</v>
      </c>
      <c r="FB226" s="1420">
        <v>13318331.1</v>
      </c>
      <c r="FC226" s="1420">
        <v>905470.6</v>
      </c>
      <c r="FD226" s="1439"/>
      <c r="FE226" s="1420">
        <v>12893683.77</v>
      </c>
      <c r="FF226" s="1439"/>
      <c r="FG226" s="1422">
        <v>10856</v>
      </c>
      <c r="FH226" s="1439"/>
      <c r="FI226" s="1420">
        <v>83.46</v>
      </c>
      <c r="FJ226" s="1439"/>
      <c r="FK226" s="1422">
        <v>50437</v>
      </c>
      <c r="FL226" s="1439"/>
      <c r="FM226" s="1420">
        <v>95.84</v>
      </c>
      <c r="FN226" s="1439"/>
      <c r="FO226" s="1422">
        <v>53478</v>
      </c>
      <c r="FP226" s="1439"/>
      <c r="FQ226" s="1420">
        <v>1796333.12</v>
      </c>
      <c r="FR226" s="1439"/>
      <c r="FS226" s="1420">
        <v>22366.6</v>
      </c>
      <c r="FT226" s="1439"/>
      <c r="FU226" s="1422">
        <v>0</v>
      </c>
      <c r="FV226" s="1439"/>
      <c r="FW226" s="1420">
        <v>1773966.52</v>
      </c>
      <c r="FX226" s="1439"/>
      <c r="FY226" s="1420">
        <v>9212604.6600000001</v>
      </c>
      <c r="FZ226" s="1439"/>
      <c r="GA226" s="1422">
        <v>0</v>
      </c>
      <c r="GB226" s="1439"/>
    </row>
    <row r="227" spans="1:184" ht="12.75" customHeight="1" thickBot="1">
      <c r="A227" s="1418" t="s">
        <v>137</v>
      </c>
      <c r="B227" s="1418" t="s">
        <v>138</v>
      </c>
      <c r="C227" s="1420">
        <v>105.57</v>
      </c>
      <c r="D227" s="1439"/>
      <c r="E227" s="1420">
        <v>1684.5</v>
      </c>
      <c r="F227" s="1439"/>
      <c r="G227" s="1421">
        <v>0.12</v>
      </c>
      <c r="H227" s="1439"/>
      <c r="I227" s="1420">
        <v>1747.23</v>
      </c>
      <c r="J227" s="1439"/>
      <c r="K227" s="1420">
        <v>1697.81</v>
      </c>
      <c r="L227" s="1439"/>
      <c r="M227" s="1422">
        <v>114808488</v>
      </c>
      <c r="N227" s="1439"/>
      <c r="O227" s="1422">
        <v>25</v>
      </c>
      <c r="P227" s="1439"/>
      <c r="Q227" s="1422">
        <v>25</v>
      </c>
      <c r="R227" s="1439"/>
      <c r="S227" s="1422">
        <v>0</v>
      </c>
      <c r="T227" s="1439"/>
      <c r="U227" s="1422">
        <v>0</v>
      </c>
      <c r="V227" s="1439"/>
      <c r="W227" s="1420">
        <v>11.9</v>
      </c>
      <c r="X227" s="1439"/>
      <c r="Y227" s="1420">
        <v>36.9</v>
      </c>
      <c r="Z227" s="1439"/>
      <c r="AA227" s="1422">
        <v>11625000</v>
      </c>
      <c r="AB227" s="1455"/>
      <c r="AC227" s="1424">
        <v>4271373.25</v>
      </c>
      <c r="AD227" s="1422">
        <v>4650000</v>
      </c>
      <c r="AE227" s="1420">
        <v>631295.80000000005</v>
      </c>
      <c r="AF227" s="1422">
        <v>333000</v>
      </c>
      <c r="AG227" s="1420">
        <v>372.38</v>
      </c>
      <c r="AH227" s="1456">
        <v>228</v>
      </c>
      <c r="AI227" s="1428">
        <v>7316368</v>
      </c>
      <c r="AJ227" s="1422">
        <v>7913317</v>
      </c>
      <c r="AK227" s="1422">
        <v>0</v>
      </c>
      <c r="AL227" s="1422">
        <v>0</v>
      </c>
      <c r="AM227" s="1422">
        <v>336271</v>
      </c>
      <c r="AN227" s="1422">
        <v>61440</v>
      </c>
      <c r="AO227" s="1422">
        <v>0</v>
      </c>
      <c r="AP227" s="1422">
        <v>0</v>
      </c>
      <c r="AQ227" s="1422">
        <v>0</v>
      </c>
      <c r="AR227" s="1422">
        <v>0</v>
      </c>
      <c r="AS227" s="1422">
        <v>0</v>
      </c>
      <c r="AT227" s="1422">
        <v>0</v>
      </c>
      <c r="AU227" s="1422">
        <v>0</v>
      </c>
      <c r="AV227" s="1422">
        <v>0</v>
      </c>
      <c r="AW227" s="1422">
        <v>0</v>
      </c>
      <c r="AX227" s="1422">
        <v>0</v>
      </c>
      <c r="AY227" s="1420">
        <v>12555680.43</v>
      </c>
      <c r="AZ227" s="1422">
        <v>12957985</v>
      </c>
      <c r="BA227" s="1422">
        <v>0</v>
      </c>
      <c r="BB227" s="1422">
        <v>0</v>
      </c>
      <c r="BC227" s="1422">
        <v>70221</v>
      </c>
      <c r="BD227" s="1422">
        <v>74015</v>
      </c>
      <c r="BE227" s="1420">
        <v>41876.870000000003</v>
      </c>
      <c r="BF227" s="1422">
        <v>8500</v>
      </c>
      <c r="BG227" s="1422">
        <v>750</v>
      </c>
      <c r="BH227" s="1422">
        <v>0</v>
      </c>
      <c r="BI227" s="1422">
        <v>83413</v>
      </c>
      <c r="BJ227" s="1422">
        <v>72082</v>
      </c>
      <c r="BK227" s="1422">
        <v>14357</v>
      </c>
      <c r="BL227" s="1422">
        <v>14945</v>
      </c>
      <c r="BM227" s="1422">
        <v>368528</v>
      </c>
      <c r="BN227" s="1422">
        <v>404800</v>
      </c>
      <c r="BO227" s="1420">
        <v>22548.73</v>
      </c>
      <c r="BP227" s="1422">
        <v>0</v>
      </c>
      <c r="BQ227" s="1420">
        <v>7312.52</v>
      </c>
      <c r="BR227" s="1422">
        <v>0</v>
      </c>
      <c r="BS227" s="1420">
        <v>5724.9</v>
      </c>
      <c r="BT227" s="1422">
        <v>5600</v>
      </c>
      <c r="BU227" s="1422">
        <v>0</v>
      </c>
      <c r="BV227" s="1422">
        <v>0</v>
      </c>
      <c r="BW227" s="1422">
        <v>0</v>
      </c>
      <c r="BX227" s="1422">
        <v>0</v>
      </c>
      <c r="BY227" s="1422">
        <v>0</v>
      </c>
      <c r="BZ227" s="1422">
        <v>0</v>
      </c>
      <c r="CA227" s="1422">
        <v>126012</v>
      </c>
      <c r="CB227" s="1422">
        <v>138703</v>
      </c>
      <c r="CC227" s="1420">
        <v>740744.02</v>
      </c>
      <c r="CD227" s="1422">
        <v>718645</v>
      </c>
      <c r="CE227" s="1420">
        <v>1778122.95</v>
      </c>
      <c r="CF227" s="1420">
        <v>1268113.7</v>
      </c>
      <c r="CG227" s="1420">
        <v>5111.37</v>
      </c>
      <c r="CH227" s="1422">
        <v>0</v>
      </c>
      <c r="CI227" s="1422">
        <v>0</v>
      </c>
      <c r="CJ227" s="1422">
        <v>0</v>
      </c>
      <c r="CK227" s="1422">
        <v>0</v>
      </c>
      <c r="CL227" s="1422">
        <v>0</v>
      </c>
      <c r="CM227" s="1422">
        <v>0</v>
      </c>
      <c r="CN227" s="1422">
        <v>0</v>
      </c>
      <c r="CO227" s="1422">
        <v>0</v>
      </c>
      <c r="CP227" s="1422">
        <v>0</v>
      </c>
      <c r="CQ227" s="1422">
        <v>0</v>
      </c>
      <c r="CR227" s="1422">
        <v>0</v>
      </c>
      <c r="CS227" s="1420">
        <v>5111.37</v>
      </c>
      <c r="CT227" s="1422">
        <v>0</v>
      </c>
      <c r="CU227" s="1420">
        <v>15079658.77</v>
      </c>
      <c r="CV227" s="1420">
        <v>14944743.699999999</v>
      </c>
      <c r="CW227" s="1420">
        <v>5572532.1299999999</v>
      </c>
      <c r="CX227" s="1420">
        <v>5495977.0499999998</v>
      </c>
      <c r="CY227" s="1420">
        <v>913037.05</v>
      </c>
      <c r="CZ227" s="1420">
        <v>955063.57</v>
      </c>
      <c r="DA227" s="1420">
        <v>527125.09</v>
      </c>
      <c r="DB227" s="1420">
        <v>513506.29</v>
      </c>
      <c r="DC227" s="1422">
        <v>0</v>
      </c>
      <c r="DD227" s="1422">
        <v>0</v>
      </c>
      <c r="DE227" s="1420">
        <v>194905.2</v>
      </c>
      <c r="DF227" s="1420">
        <v>233534.53</v>
      </c>
      <c r="DG227" s="1420">
        <v>840673.87</v>
      </c>
      <c r="DH227" s="1420">
        <v>941068.61</v>
      </c>
      <c r="DI227" s="1420">
        <v>8048273.3399999999</v>
      </c>
      <c r="DJ227" s="1420">
        <v>8139150.0499999998</v>
      </c>
      <c r="DK227" s="1420">
        <v>415058.43</v>
      </c>
      <c r="DL227" s="1420">
        <v>422485.89</v>
      </c>
      <c r="DM227" s="1420">
        <v>457650.12</v>
      </c>
      <c r="DN227" s="1420">
        <v>550680.73</v>
      </c>
      <c r="DO227" s="1420">
        <v>1167648.2</v>
      </c>
      <c r="DP227" s="1420">
        <v>1251786.54</v>
      </c>
      <c r="DQ227" s="1420">
        <v>657536.23</v>
      </c>
      <c r="DR227" s="1420">
        <v>562300.38</v>
      </c>
      <c r="DS227" s="1420">
        <v>84049.01</v>
      </c>
      <c r="DT227" s="1420">
        <v>107119.37</v>
      </c>
      <c r="DU227" s="1420">
        <v>2781941.99</v>
      </c>
      <c r="DV227" s="1420">
        <v>2894372.91</v>
      </c>
      <c r="DW227" s="1420">
        <v>550077.35</v>
      </c>
      <c r="DX227" s="1420">
        <v>559019.66</v>
      </c>
      <c r="DY227" s="1420">
        <v>936501.23</v>
      </c>
      <c r="DZ227" s="1420">
        <v>802224.49</v>
      </c>
      <c r="EA227" s="1420">
        <v>770620.3</v>
      </c>
      <c r="EB227" s="1420">
        <v>791433.53</v>
      </c>
      <c r="EC227" s="1420">
        <v>2257198.88</v>
      </c>
      <c r="ED227" s="1420">
        <v>2152677.6800000002</v>
      </c>
      <c r="EE227" s="1420">
        <v>726144.7</v>
      </c>
      <c r="EF227" s="1422">
        <v>683600</v>
      </c>
      <c r="EG227" s="1422">
        <v>0</v>
      </c>
      <c r="EH227" s="1422">
        <v>0</v>
      </c>
      <c r="EI227" s="1420">
        <v>26899.93</v>
      </c>
      <c r="EJ227" s="1420">
        <v>21342.18</v>
      </c>
      <c r="EK227" s="1422">
        <v>0</v>
      </c>
      <c r="EL227" s="1422">
        <v>0</v>
      </c>
      <c r="EM227" s="1420">
        <v>753044.63</v>
      </c>
      <c r="EN227" s="1420">
        <v>704942.18</v>
      </c>
      <c r="EO227" s="1420">
        <v>355114.85</v>
      </c>
      <c r="EP227" s="1422">
        <v>0</v>
      </c>
      <c r="EQ227" s="1420">
        <v>524234.86</v>
      </c>
      <c r="ER227" s="1422">
        <v>789567</v>
      </c>
      <c r="ES227" s="1422">
        <v>15333</v>
      </c>
      <c r="ET227" s="1422">
        <v>0</v>
      </c>
      <c r="EU227" s="1420">
        <v>14735141.550000001</v>
      </c>
      <c r="EV227" s="1420">
        <v>14680709.82</v>
      </c>
      <c r="EW227" s="1420">
        <v>601938.53</v>
      </c>
      <c r="EX227" s="1422">
        <v>287755</v>
      </c>
      <c r="EY227" s="1420">
        <v>524234.86</v>
      </c>
      <c r="EZ227" s="1422">
        <v>789567</v>
      </c>
      <c r="FA227" s="1420">
        <v>13608968.16</v>
      </c>
      <c r="FB227" s="1420">
        <v>13603387.82</v>
      </c>
      <c r="FC227" s="1420">
        <v>507495.28</v>
      </c>
      <c r="FD227" s="1439"/>
      <c r="FE227" s="1420">
        <v>13101472.880000001</v>
      </c>
      <c r="FF227" s="1439"/>
      <c r="FG227" s="1422">
        <v>7777</v>
      </c>
      <c r="FH227" s="1439"/>
      <c r="FI227" s="1420">
        <v>115.99</v>
      </c>
      <c r="FJ227" s="1439"/>
      <c r="FK227" s="1422">
        <v>44703</v>
      </c>
      <c r="FL227" s="1439"/>
      <c r="FM227" s="1420">
        <v>125.98</v>
      </c>
      <c r="FN227" s="1439"/>
      <c r="FO227" s="1422">
        <v>47316</v>
      </c>
      <c r="FP227" s="1439"/>
      <c r="FQ227" s="1422">
        <v>1650000</v>
      </c>
      <c r="FR227" s="1439"/>
      <c r="FS227" s="1420">
        <v>31924.43</v>
      </c>
      <c r="FT227" s="1439"/>
      <c r="FU227" s="1422">
        <v>0</v>
      </c>
      <c r="FV227" s="1439"/>
      <c r="FW227" s="1420">
        <v>1618075.57</v>
      </c>
      <c r="FX227" s="1439"/>
      <c r="FY227" s="1420">
        <v>571843.27</v>
      </c>
      <c r="FZ227" s="1439"/>
      <c r="GA227" s="1422">
        <v>0</v>
      </c>
      <c r="GB227" s="1439"/>
    </row>
    <row r="228" spans="1:184" ht="12.75" customHeight="1" thickBot="1">
      <c r="A228" s="1418" t="s">
        <v>139</v>
      </c>
      <c r="B228" s="1418" t="s">
        <v>140</v>
      </c>
      <c r="C228" s="1420">
        <v>184.43</v>
      </c>
      <c r="D228" s="1439"/>
      <c r="E228" s="1420">
        <v>17592.330000000002</v>
      </c>
      <c r="F228" s="1439"/>
      <c r="G228" s="1421">
        <v>0.19</v>
      </c>
      <c r="H228" s="1439"/>
      <c r="I228" s="1420">
        <v>18678.349999999999</v>
      </c>
      <c r="J228" s="1439"/>
      <c r="K228" s="1420">
        <v>18087.87</v>
      </c>
      <c r="L228" s="1439"/>
      <c r="M228" s="1422">
        <v>1415539243</v>
      </c>
      <c r="N228" s="1439"/>
      <c r="O228" s="1422">
        <v>25</v>
      </c>
      <c r="P228" s="1439"/>
      <c r="Q228" s="1422">
        <v>25</v>
      </c>
      <c r="R228" s="1439"/>
      <c r="S228" s="1422">
        <v>0</v>
      </c>
      <c r="T228" s="1439"/>
      <c r="U228" s="1422">
        <v>0</v>
      </c>
      <c r="V228" s="1439"/>
      <c r="W228" s="1420">
        <v>13.6</v>
      </c>
      <c r="X228" s="1439"/>
      <c r="Y228" s="1420">
        <v>38.6</v>
      </c>
      <c r="Z228" s="1439"/>
      <c r="AA228" s="1422">
        <v>150285000</v>
      </c>
      <c r="AB228" s="1455"/>
      <c r="AC228" s="1424">
        <v>56516020.659999996</v>
      </c>
      <c r="AD228" s="1422">
        <v>58882000</v>
      </c>
      <c r="AE228" s="1420">
        <v>7827078.21</v>
      </c>
      <c r="AF228" s="1422">
        <v>2193000</v>
      </c>
      <c r="AG228" s="1420">
        <v>6420.25</v>
      </c>
      <c r="AH228" s="1456">
        <v>0</v>
      </c>
      <c r="AI228" s="1428">
        <v>71882262</v>
      </c>
      <c r="AJ228" s="1422">
        <v>80301373</v>
      </c>
      <c r="AK228" s="1422">
        <v>0</v>
      </c>
      <c r="AL228" s="1422">
        <v>0</v>
      </c>
      <c r="AM228" s="1422">
        <v>3584694</v>
      </c>
      <c r="AN228" s="1422">
        <v>0</v>
      </c>
      <c r="AO228" s="1422">
        <v>0</v>
      </c>
      <c r="AP228" s="1422">
        <v>0</v>
      </c>
      <c r="AQ228" s="1422">
        <v>0</v>
      </c>
      <c r="AR228" s="1422">
        <v>0</v>
      </c>
      <c r="AS228" s="1422">
        <v>0</v>
      </c>
      <c r="AT228" s="1422">
        <v>0</v>
      </c>
      <c r="AU228" s="1422">
        <v>0</v>
      </c>
      <c r="AV228" s="1422">
        <v>0</v>
      </c>
      <c r="AW228" s="1422">
        <v>0</v>
      </c>
      <c r="AX228" s="1422">
        <v>0</v>
      </c>
      <c r="AY228" s="1420">
        <v>139816475.12</v>
      </c>
      <c r="AZ228" s="1422">
        <v>141376373</v>
      </c>
      <c r="BA228" s="1422">
        <v>0</v>
      </c>
      <c r="BB228" s="1422">
        <v>0</v>
      </c>
      <c r="BC228" s="1422">
        <v>748114</v>
      </c>
      <c r="BD228" s="1422">
        <v>793219</v>
      </c>
      <c r="BE228" s="1420">
        <v>235747.1</v>
      </c>
      <c r="BF228" s="1422">
        <v>93200</v>
      </c>
      <c r="BG228" s="1422">
        <v>29653</v>
      </c>
      <c r="BH228" s="1422">
        <v>0</v>
      </c>
      <c r="BI228" s="1422">
        <v>1076532</v>
      </c>
      <c r="BJ228" s="1422">
        <v>1474086</v>
      </c>
      <c r="BK228" s="1422">
        <v>2332280</v>
      </c>
      <c r="BL228" s="1422">
        <v>2380040</v>
      </c>
      <c r="BM228" s="1422">
        <v>5659909</v>
      </c>
      <c r="BN228" s="1422">
        <v>6309570</v>
      </c>
      <c r="BO228" s="1420">
        <v>2331225.84</v>
      </c>
      <c r="BP228" s="1422">
        <v>2174736</v>
      </c>
      <c r="BQ228" s="1420">
        <v>83092.210000000006</v>
      </c>
      <c r="BR228" s="1422">
        <v>203956</v>
      </c>
      <c r="BS228" s="1420">
        <v>66936.100000000006</v>
      </c>
      <c r="BT228" s="1422">
        <v>0</v>
      </c>
      <c r="BU228" s="1422">
        <v>0</v>
      </c>
      <c r="BV228" s="1422">
        <v>0</v>
      </c>
      <c r="BW228" s="1420">
        <v>2631314.52</v>
      </c>
      <c r="BX228" s="1422">
        <v>2624400</v>
      </c>
      <c r="BY228" s="1422">
        <v>0</v>
      </c>
      <c r="BZ228" s="1422">
        <v>0</v>
      </c>
      <c r="CA228" s="1420">
        <v>5101224.83</v>
      </c>
      <c r="CB228" s="1422">
        <v>1127512</v>
      </c>
      <c r="CC228" s="1420">
        <v>20296028.600000001</v>
      </c>
      <c r="CD228" s="1422">
        <v>17180719</v>
      </c>
      <c r="CE228" s="1420">
        <v>24318021.48</v>
      </c>
      <c r="CF228" s="1420">
        <v>19438380.300000001</v>
      </c>
      <c r="CG228" s="1420">
        <v>12629312.189999999</v>
      </c>
      <c r="CH228" s="1422">
        <v>0</v>
      </c>
      <c r="CI228" s="1422">
        <v>0</v>
      </c>
      <c r="CJ228" s="1422">
        <v>0</v>
      </c>
      <c r="CK228" s="1420">
        <v>96400.66</v>
      </c>
      <c r="CL228" s="1422">
        <v>0</v>
      </c>
      <c r="CM228" s="1422">
        <v>526</v>
      </c>
      <c r="CN228" s="1422">
        <v>0</v>
      </c>
      <c r="CO228" s="1422">
        <v>0</v>
      </c>
      <c r="CP228" s="1422">
        <v>1290000</v>
      </c>
      <c r="CQ228" s="1422">
        <v>0</v>
      </c>
      <c r="CR228" s="1422">
        <v>0</v>
      </c>
      <c r="CS228" s="1420">
        <v>12726238.85</v>
      </c>
      <c r="CT228" s="1422">
        <v>1290000</v>
      </c>
      <c r="CU228" s="1420">
        <v>197156764.05000001</v>
      </c>
      <c r="CV228" s="1420">
        <v>179285472.30000001</v>
      </c>
      <c r="CW228" s="1420">
        <v>66545165.479999997</v>
      </c>
      <c r="CX228" s="1420">
        <v>66601466.07</v>
      </c>
      <c r="CY228" s="1420">
        <v>10913922.59</v>
      </c>
      <c r="CZ228" s="1420">
        <v>11100041.789999999</v>
      </c>
      <c r="DA228" s="1420">
        <v>4847323.63</v>
      </c>
      <c r="DB228" s="1420">
        <v>4923517.0999999996</v>
      </c>
      <c r="DC228" s="1422">
        <v>0</v>
      </c>
      <c r="DD228" s="1422">
        <v>0</v>
      </c>
      <c r="DE228" s="1420">
        <v>2399764.62</v>
      </c>
      <c r="DF228" s="1420">
        <v>3192096.13</v>
      </c>
      <c r="DG228" s="1420">
        <v>11717605.75</v>
      </c>
      <c r="DH228" s="1420">
        <v>11928266.880000001</v>
      </c>
      <c r="DI228" s="1420">
        <v>96423782.069999993</v>
      </c>
      <c r="DJ228" s="1420">
        <v>97745387.969999999</v>
      </c>
      <c r="DK228" s="1420">
        <v>1910783.88</v>
      </c>
      <c r="DL228" s="1420">
        <v>1873680.99</v>
      </c>
      <c r="DM228" s="1420">
        <v>2722024.64</v>
      </c>
      <c r="DN228" s="1420">
        <v>2533252.52</v>
      </c>
      <c r="DO228" s="1420">
        <v>16462243.17</v>
      </c>
      <c r="DP228" s="1420">
        <v>18930425.16</v>
      </c>
      <c r="DQ228" s="1420">
        <v>4991649.1500000004</v>
      </c>
      <c r="DR228" s="1420">
        <v>5413311.54</v>
      </c>
      <c r="DS228" s="1420">
        <v>228431.24</v>
      </c>
      <c r="DT228" s="1420">
        <v>111281.27</v>
      </c>
      <c r="DU228" s="1420">
        <v>26315132.079999998</v>
      </c>
      <c r="DV228" s="1420">
        <v>28861951.48</v>
      </c>
      <c r="DW228" s="1420">
        <v>6888340.6100000003</v>
      </c>
      <c r="DX228" s="1420">
        <v>6851414.8200000003</v>
      </c>
      <c r="DY228" s="1420">
        <v>14317745.18</v>
      </c>
      <c r="DZ228" s="1420">
        <v>13892243.689999999</v>
      </c>
      <c r="EA228" s="1420">
        <v>8450604.75</v>
      </c>
      <c r="EB228" s="1420">
        <v>8408440.9900000002</v>
      </c>
      <c r="EC228" s="1420">
        <v>29656690.539999999</v>
      </c>
      <c r="ED228" s="1420">
        <v>29152099.5</v>
      </c>
      <c r="EE228" s="1420">
        <v>8599990.0899999999</v>
      </c>
      <c r="EF228" s="1420">
        <v>7911959.6699999999</v>
      </c>
      <c r="EG228" s="1420">
        <v>69000.759999999995</v>
      </c>
      <c r="EH228" s="1422">
        <v>0</v>
      </c>
      <c r="EI228" s="1420">
        <v>40674.07</v>
      </c>
      <c r="EJ228" s="1420">
        <v>38312.1</v>
      </c>
      <c r="EK228" s="1422">
        <v>0</v>
      </c>
      <c r="EL228" s="1422">
        <v>0</v>
      </c>
      <c r="EM228" s="1420">
        <v>8709664.9199999999</v>
      </c>
      <c r="EN228" s="1420">
        <v>7950271.7699999996</v>
      </c>
      <c r="EO228" s="1420">
        <v>19977035.550000001</v>
      </c>
      <c r="EP228" s="1420">
        <v>959980.58</v>
      </c>
      <c r="EQ228" s="1420">
        <v>11819327.65</v>
      </c>
      <c r="ER228" s="1422">
        <v>10223353</v>
      </c>
      <c r="ES228" s="1420">
        <v>144898.32999999999</v>
      </c>
      <c r="ET228" s="1422">
        <v>0</v>
      </c>
      <c r="EU228" s="1420">
        <v>193046531.13999999</v>
      </c>
      <c r="EV228" s="1420">
        <v>174893044.30000001</v>
      </c>
      <c r="EW228" s="1420">
        <v>22365499.66</v>
      </c>
      <c r="EX228" s="1420">
        <v>2226276.81</v>
      </c>
      <c r="EY228" s="1420">
        <v>11819327.65</v>
      </c>
      <c r="EZ228" s="1422">
        <v>10223353</v>
      </c>
      <c r="FA228" s="1420">
        <v>158861703.83000001</v>
      </c>
      <c r="FB228" s="1420">
        <v>162443414.49000001</v>
      </c>
      <c r="FC228" s="1420">
        <v>7967215.71</v>
      </c>
      <c r="FD228" s="1439"/>
      <c r="FE228" s="1420">
        <v>150894488.12</v>
      </c>
      <c r="FF228" s="1439"/>
      <c r="FG228" s="1422">
        <v>8577</v>
      </c>
      <c r="FH228" s="1439"/>
      <c r="FI228" s="1420">
        <v>1129.9100000000001</v>
      </c>
      <c r="FJ228" s="1439"/>
      <c r="FK228" s="1422">
        <v>56359</v>
      </c>
      <c r="FL228" s="1439"/>
      <c r="FM228" s="1420">
        <v>1229.57</v>
      </c>
      <c r="FN228" s="1439"/>
      <c r="FO228" s="1422">
        <v>58679</v>
      </c>
      <c r="FP228" s="1439"/>
      <c r="FQ228" s="1420">
        <v>14057422.08</v>
      </c>
      <c r="FR228" s="1439"/>
      <c r="FS228" s="1420">
        <v>353005.17</v>
      </c>
      <c r="FT228" s="1439"/>
      <c r="FU228" s="1422">
        <v>0</v>
      </c>
      <c r="FV228" s="1439"/>
      <c r="FW228" s="1420">
        <v>13704416.91</v>
      </c>
      <c r="FX228" s="1439"/>
      <c r="FY228" s="1420">
        <v>26198597.399999999</v>
      </c>
      <c r="FZ228" s="1439"/>
      <c r="GA228" s="1422">
        <v>0</v>
      </c>
      <c r="GB228" s="1439"/>
    </row>
    <row r="229" spans="1:184" ht="12.75" customHeight="1" thickBot="1">
      <c r="A229" s="1418" t="s">
        <v>141</v>
      </c>
      <c r="B229" s="1418" t="s">
        <v>142</v>
      </c>
      <c r="C229" s="1420">
        <v>131.1</v>
      </c>
      <c r="D229" s="1439"/>
      <c r="E229" s="1420">
        <v>1158.33</v>
      </c>
      <c r="F229" s="1439"/>
      <c r="G229" s="1421">
        <v>-0.01</v>
      </c>
      <c r="H229" s="1439"/>
      <c r="I229" s="1420">
        <v>1222.3800000000001</v>
      </c>
      <c r="J229" s="1439"/>
      <c r="K229" s="1420">
        <v>1245.71</v>
      </c>
      <c r="L229" s="1439"/>
      <c r="M229" s="1422">
        <v>53802463</v>
      </c>
      <c r="N229" s="1439"/>
      <c r="O229" s="1422">
        <v>25</v>
      </c>
      <c r="P229" s="1439"/>
      <c r="Q229" s="1422">
        <v>25</v>
      </c>
      <c r="R229" s="1439"/>
      <c r="S229" s="1422">
        <v>0</v>
      </c>
      <c r="T229" s="1439"/>
      <c r="U229" s="1422">
        <v>0</v>
      </c>
      <c r="V229" s="1439"/>
      <c r="W229" s="1420">
        <v>13.6</v>
      </c>
      <c r="X229" s="1439"/>
      <c r="Y229" s="1420">
        <v>38.6</v>
      </c>
      <c r="Z229" s="1439"/>
      <c r="AA229" s="1422">
        <v>6070000</v>
      </c>
      <c r="AB229" s="1455"/>
      <c r="AC229" s="1424">
        <v>2078089.22</v>
      </c>
      <c r="AD229" s="1422">
        <v>2046232</v>
      </c>
      <c r="AE229" s="1420">
        <v>464376.61</v>
      </c>
      <c r="AF229" s="1422">
        <v>175550</v>
      </c>
      <c r="AG229" s="1420">
        <v>272.54000000000002</v>
      </c>
      <c r="AH229" s="1456">
        <v>0</v>
      </c>
      <c r="AI229" s="1428">
        <v>6122419</v>
      </c>
      <c r="AJ229" s="1422">
        <v>6202878</v>
      </c>
      <c r="AK229" s="1422">
        <v>16783</v>
      </c>
      <c r="AL229" s="1422">
        <v>0</v>
      </c>
      <c r="AM229" s="1422">
        <v>0</v>
      </c>
      <c r="AN229" s="1422">
        <v>0</v>
      </c>
      <c r="AO229" s="1422">
        <v>36499</v>
      </c>
      <c r="AP229" s="1422">
        <v>59412</v>
      </c>
      <c r="AQ229" s="1422">
        <v>0</v>
      </c>
      <c r="AR229" s="1422">
        <v>0</v>
      </c>
      <c r="AS229" s="1422">
        <v>0</v>
      </c>
      <c r="AT229" s="1422">
        <v>0</v>
      </c>
      <c r="AU229" s="1422">
        <v>45014</v>
      </c>
      <c r="AV229" s="1422">
        <v>36012</v>
      </c>
      <c r="AW229" s="1422">
        <v>0</v>
      </c>
      <c r="AX229" s="1422">
        <v>0</v>
      </c>
      <c r="AY229" s="1420">
        <v>8763453.3699999992</v>
      </c>
      <c r="AZ229" s="1422">
        <v>8520084</v>
      </c>
      <c r="BA229" s="1422">
        <v>0</v>
      </c>
      <c r="BB229" s="1422">
        <v>0</v>
      </c>
      <c r="BC229" s="1422">
        <v>51523</v>
      </c>
      <c r="BD229" s="1420">
        <v>59270.96</v>
      </c>
      <c r="BE229" s="1422">
        <v>2400</v>
      </c>
      <c r="BF229" s="1422">
        <v>0</v>
      </c>
      <c r="BG229" s="1422">
        <v>750</v>
      </c>
      <c r="BH229" s="1422">
        <v>0</v>
      </c>
      <c r="BI229" s="1422">
        <v>44571</v>
      </c>
      <c r="BJ229" s="1422">
        <v>48579</v>
      </c>
      <c r="BK229" s="1422">
        <v>0</v>
      </c>
      <c r="BL229" s="1422">
        <v>0</v>
      </c>
      <c r="BM229" s="1422">
        <v>310496</v>
      </c>
      <c r="BN229" s="1420">
        <v>328959.53000000003</v>
      </c>
      <c r="BO229" s="1420">
        <v>6435.22</v>
      </c>
      <c r="BP229" s="1422">
        <v>0</v>
      </c>
      <c r="BQ229" s="1422">
        <v>1625</v>
      </c>
      <c r="BR229" s="1422">
        <v>0</v>
      </c>
      <c r="BS229" s="1420">
        <v>4674.87</v>
      </c>
      <c r="BT229" s="1422">
        <v>5000</v>
      </c>
      <c r="BU229" s="1422">
        <v>0</v>
      </c>
      <c r="BV229" s="1422">
        <v>0</v>
      </c>
      <c r="BW229" s="1422">
        <v>0</v>
      </c>
      <c r="BX229" s="1422">
        <v>0</v>
      </c>
      <c r="BY229" s="1422">
        <v>0</v>
      </c>
      <c r="BZ229" s="1422">
        <v>0</v>
      </c>
      <c r="CA229" s="1422">
        <v>141534</v>
      </c>
      <c r="CB229" s="1422">
        <v>142018</v>
      </c>
      <c r="CC229" s="1420">
        <v>564009.09</v>
      </c>
      <c r="CD229" s="1420">
        <v>583827.49</v>
      </c>
      <c r="CE229" s="1420">
        <v>1688093.79</v>
      </c>
      <c r="CF229" s="1420">
        <v>1095177.78</v>
      </c>
      <c r="CG229" s="1420">
        <v>202566.44</v>
      </c>
      <c r="CH229" s="1422">
        <v>0</v>
      </c>
      <c r="CI229" s="1422">
        <v>0</v>
      </c>
      <c r="CJ229" s="1422">
        <v>0</v>
      </c>
      <c r="CK229" s="1422">
        <v>0</v>
      </c>
      <c r="CL229" s="1422">
        <v>0</v>
      </c>
      <c r="CM229" s="1422">
        <v>4000</v>
      </c>
      <c r="CN229" s="1422">
        <v>0</v>
      </c>
      <c r="CO229" s="1422">
        <v>0</v>
      </c>
      <c r="CP229" s="1422">
        <v>0</v>
      </c>
      <c r="CQ229" s="1422">
        <v>0</v>
      </c>
      <c r="CR229" s="1422">
        <v>0</v>
      </c>
      <c r="CS229" s="1420">
        <v>206566.44</v>
      </c>
      <c r="CT229" s="1422">
        <v>0</v>
      </c>
      <c r="CU229" s="1420">
        <v>11222122.689999999</v>
      </c>
      <c r="CV229" s="1420">
        <v>10199089.27</v>
      </c>
      <c r="CW229" s="1420">
        <v>4032958.97</v>
      </c>
      <c r="CX229" s="1420">
        <v>3788803.8</v>
      </c>
      <c r="CY229" s="1420">
        <v>652800.1</v>
      </c>
      <c r="CZ229" s="1420">
        <v>717758.29</v>
      </c>
      <c r="DA229" s="1420">
        <v>405755.27</v>
      </c>
      <c r="DB229" s="1420">
        <v>398154.75</v>
      </c>
      <c r="DC229" s="1422">
        <v>0</v>
      </c>
      <c r="DD229" s="1422">
        <v>0</v>
      </c>
      <c r="DE229" s="1420">
        <v>362974.32</v>
      </c>
      <c r="DF229" s="1420">
        <v>314807.78000000003</v>
      </c>
      <c r="DG229" s="1420">
        <v>387724.86</v>
      </c>
      <c r="DH229" s="1420">
        <v>392340.47999999998</v>
      </c>
      <c r="DI229" s="1420">
        <v>5842213.5199999996</v>
      </c>
      <c r="DJ229" s="1420">
        <v>5611865.0999999996</v>
      </c>
      <c r="DK229" s="1420">
        <v>193251.3</v>
      </c>
      <c r="DL229" s="1420">
        <v>183704.38</v>
      </c>
      <c r="DM229" s="1420">
        <v>463686.14</v>
      </c>
      <c r="DN229" s="1420">
        <v>284845.59999999998</v>
      </c>
      <c r="DO229" s="1420">
        <v>863568.21</v>
      </c>
      <c r="DP229" s="1420">
        <v>891132.93</v>
      </c>
      <c r="DQ229" s="1420">
        <v>665127.38</v>
      </c>
      <c r="DR229" s="1420">
        <v>535645.1</v>
      </c>
      <c r="DS229" s="1420">
        <v>45365.93</v>
      </c>
      <c r="DT229" s="1422">
        <v>25917</v>
      </c>
      <c r="DU229" s="1420">
        <v>2230998.96</v>
      </c>
      <c r="DV229" s="1420">
        <v>1921245.01</v>
      </c>
      <c r="DW229" s="1420">
        <v>566741.87</v>
      </c>
      <c r="DX229" s="1420">
        <v>588999.42000000004</v>
      </c>
      <c r="DY229" s="1420">
        <v>443182.07</v>
      </c>
      <c r="DZ229" s="1420">
        <v>565873.05000000005</v>
      </c>
      <c r="EA229" s="1420">
        <v>451385.32</v>
      </c>
      <c r="EB229" s="1420">
        <v>426329.44</v>
      </c>
      <c r="EC229" s="1420">
        <v>1461309.26</v>
      </c>
      <c r="ED229" s="1420">
        <v>1581201.91</v>
      </c>
      <c r="EE229" s="1420">
        <v>598577.5</v>
      </c>
      <c r="EF229" s="1420">
        <v>579431.77</v>
      </c>
      <c r="EG229" s="1422">
        <v>0</v>
      </c>
      <c r="EH229" s="1422">
        <v>0</v>
      </c>
      <c r="EI229" s="1420">
        <v>14779.3</v>
      </c>
      <c r="EJ229" s="1420">
        <v>3797.6</v>
      </c>
      <c r="EK229" s="1422">
        <v>0</v>
      </c>
      <c r="EL229" s="1422">
        <v>0</v>
      </c>
      <c r="EM229" s="1420">
        <v>613356.80000000005</v>
      </c>
      <c r="EN229" s="1420">
        <v>583229.37</v>
      </c>
      <c r="EO229" s="1420">
        <v>156985.22</v>
      </c>
      <c r="EP229" s="1422">
        <v>753340</v>
      </c>
      <c r="EQ229" s="1420">
        <v>317452.05</v>
      </c>
      <c r="ER229" s="1420">
        <v>452363.47</v>
      </c>
      <c r="ES229" s="1422">
        <v>0</v>
      </c>
      <c r="ET229" s="1422">
        <v>0</v>
      </c>
      <c r="EU229" s="1420">
        <v>10622315.810000001</v>
      </c>
      <c r="EV229" s="1420">
        <v>10903244.859999999</v>
      </c>
      <c r="EW229" s="1420">
        <v>416552.21</v>
      </c>
      <c r="EX229" s="1420">
        <v>813704.03</v>
      </c>
      <c r="EY229" s="1420">
        <v>317452.05</v>
      </c>
      <c r="EZ229" s="1420">
        <v>452363.47</v>
      </c>
      <c r="FA229" s="1420">
        <v>9888311.5500000007</v>
      </c>
      <c r="FB229" s="1420">
        <v>9637177.3599999994</v>
      </c>
      <c r="FC229" s="1420">
        <v>402642.54</v>
      </c>
      <c r="FD229" s="1439"/>
      <c r="FE229" s="1420">
        <v>9485669.0099999998</v>
      </c>
      <c r="FF229" s="1439"/>
      <c r="FG229" s="1422">
        <v>8189</v>
      </c>
      <c r="FH229" s="1439"/>
      <c r="FI229" s="1420">
        <v>86.63</v>
      </c>
      <c r="FJ229" s="1439"/>
      <c r="FK229" s="1422">
        <v>45342</v>
      </c>
      <c r="FL229" s="1439"/>
      <c r="FM229" s="1420">
        <v>90.91</v>
      </c>
      <c r="FN229" s="1439"/>
      <c r="FO229" s="1422">
        <v>47024</v>
      </c>
      <c r="FP229" s="1439"/>
      <c r="FQ229" s="1420">
        <v>1069396.8999999999</v>
      </c>
      <c r="FR229" s="1439"/>
      <c r="FS229" s="1420">
        <v>15023.49</v>
      </c>
      <c r="FT229" s="1439"/>
      <c r="FU229" s="1422">
        <v>0</v>
      </c>
      <c r="FV229" s="1439"/>
      <c r="FW229" s="1420">
        <v>1054373.4099999999</v>
      </c>
      <c r="FX229" s="1439"/>
      <c r="FY229" s="1420">
        <v>843915.05</v>
      </c>
      <c r="FZ229" s="1439"/>
      <c r="GA229" s="1422">
        <v>0</v>
      </c>
      <c r="GB229" s="1439"/>
    </row>
    <row r="230" spans="1:184" ht="12.75" customHeight="1" thickBot="1">
      <c r="A230" s="1418" t="s">
        <v>143</v>
      </c>
      <c r="B230" s="1418" t="s">
        <v>144</v>
      </c>
      <c r="C230" s="1420">
        <v>186.52</v>
      </c>
      <c r="D230" s="1439"/>
      <c r="E230" s="1420">
        <v>1220.3499999999999</v>
      </c>
      <c r="F230" s="1439"/>
      <c r="G230" s="1421">
        <v>-0.01</v>
      </c>
      <c r="H230" s="1439"/>
      <c r="I230" s="1420">
        <v>1291.47</v>
      </c>
      <c r="J230" s="1439"/>
      <c r="K230" s="1420">
        <v>1321.66</v>
      </c>
      <c r="L230" s="1439"/>
      <c r="M230" s="1422">
        <v>81849243</v>
      </c>
      <c r="N230" s="1439"/>
      <c r="O230" s="1422">
        <v>25</v>
      </c>
      <c r="P230" s="1439"/>
      <c r="Q230" s="1422">
        <v>25</v>
      </c>
      <c r="R230" s="1439"/>
      <c r="S230" s="1422">
        <v>0</v>
      </c>
      <c r="T230" s="1439"/>
      <c r="U230" s="1422">
        <v>0</v>
      </c>
      <c r="V230" s="1439"/>
      <c r="W230" s="1420">
        <v>13.5</v>
      </c>
      <c r="X230" s="1439"/>
      <c r="Y230" s="1420">
        <v>38.5</v>
      </c>
      <c r="Z230" s="1439"/>
      <c r="AA230" s="1420">
        <v>8044250.54</v>
      </c>
      <c r="AB230" s="1455"/>
      <c r="AC230" s="1424">
        <v>2679779.75</v>
      </c>
      <c r="AD230" s="1420">
        <v>2827575.45</v>
      </c>
      <c r="AE230" s="1420">
        <v>798988.42</v>
      </c>
      <c r="AF230" s="1420">
        <v>820607.76</v>
      </c>
      <c r="AG230" s="1420">
        <v>5959.12</v>
      </c>
      <c r="AH230" s="1457">
        <v>5896.97</v>
      </c>
      <c r="AI230" s="1428">
        <v>6176175</v>
      </c>
      <c r="AJ230" s="1422">
        <v>5818020</v>
      </c>
      <c r="AK230" s="1422">
        <v>36148</v>
      </c>
      <c r="AL230" s="1422">
        <v>0</v>
      </c>
      <c r="AM230" s="1422">
        <v>0</v>
      </c>
      <c r="AN230" s="1422">
        <v>0</v>
      </c>
      <c r="AO230" s="1422">
        <v>0</v>
      </c>
      <c r="AP230" s="1422">
        <v>80118</v>
      </c>
      <c r="AQ230" s="1422">
        <v>0</v>
      </c>
      <c r="AR230" s="1422">
        <v>0</v>
      </c>
      <c r="AS230" s="1422">
        <v>0</v>
      </c>
      <c r="AT230" s="1422">
        <v>0</v>
      </c>
      <c r="AU230" s="1422">
        <v>27886</v>
      </c>
      <c r="AV230" s="1422">
        <v>22309</v>
      </c>
      <c r="AW230" s="1422">
        <v>0</v>
      </c>
      <c r="AX230" s="1422">
        <v>0</v>
      </c>
      <c r="AY230" s="1420">
        <v>9724936.2899999991</v>
      </c>
      <c r="AZ230" s="1420">
        <v>9574527.1799999997</v>
      </c>
      <c r="BA230" s="1422">
        <v>0</v>
      </c>
      <c r="BB230" s="1422">
        <v>0</v>
      </c>
      <c r="BC230" s="1422">
        <v>54664</v>
      </c>
      <c r="BD230" s="1422">
        <v>54907</v>
      </c>
      <c r="BE230" s="1420">
        <v>8880.5499999999993</v>
      </c>
      <c r="BF230" s="1422">
        <v>800</v>
      </c>
      <c r="BG230" s="1422">
        <v>300</v>
      </c>
      <c r="BH230" s="1422">
        <v>0</v>
      </c>
      <c r="BI230" s="1422">
        <v>43962</v>
      </c>
      <c r="BJ230" s="1422">
        <v>30217</v>
      </c>
      <c r="BK230" s="1422">
        <v>4981</v>
      </c>
      <c r="BL230" s="1422">
        <v>0</v>
      </c>
      <c r="BM230" s="1422">
        <v>407712</v>
      </c>
      <c r="BN230" s="1422">
        <v>413402</v>
      </c>
      <c r="BO230" s="1420">
        <v>5414.36</v>
      </c>
      <c r="BP230" s="1422">
        <v>0</v>
      </c>
      <c r="BQ230" s="1420">
        <v>153229.6</v>
      </c>
      <c r="BR230" s="1420">
        <v>159792.12</v>
      </c>
      <c r="BS230" s="1420">
        <v>6646.48</v>
      </c>
      <c r="BT230" s="1422">
        <v>5150</v>
      </c>
      <c r="BU230" s="1422">
        <v>0</v>
      </c>
      <c r="BV230" s="1422">
        <v>0</v>
      </c>
      <c r="BW230" s="1422">
        <v>0</v>
      </c>
      <c r="BX230" s="1422">
        <v>0</v>
      </c>
      <c r="BY230" s="1422">
        <v>0</v>
      </c>
      <c r="BZ230" s="1422">
        <v>0</v>
      </c>
      <c r="CA230" s="1422">
        <v>166733</v>
      </c>
      <c r="CB230" s="1422">
        <v>1372437</v>
      </c>
      <c r="CC230" s="1420">
        <v>852522.99</v>
      </c>
      <c r="CD230" s="1420">
        <v>2036705.12</v>
      </c>
      <c r="CE230" s="1420">
        <v>2740804.19</v>
      </c>
      <c r="CF230" s="1420">
        <v>1551664.43</v>
      </c>
      <c r="CG230" s="1420">
        <v>-650788.49</v>
      </c>
      <c r="CH230" s="1422">
        <v>906500</v>
      </c>
      <c r="CI230" s="1422">
        <v>0</v>
      </c>
      <c r="CJ230" s="1422">
        <v>0</v>
      </c>
      <c r="CK230" s="1422">
        <v>19000</v>
      </c>
      <c r="CL230" s="1422">
        <v>7000</v>
      </c>
      <c r="CM230" s="1422">
        <v>1440</v>
      </c>
      <c r="CN230" s="1422">
        <v>0</v>
      </c>
      <c r="CO230" s="1422">
        <v>0</v>
      </c>
      <c r="CP230" s="1422">
        <v>0</v>
      </c>
      <c r="CQ230" s="1422">
        <v>0</v>
      </c>
      <c r="CR230" s="1422">
        <v>0</v>
      </c>
      <c r="CS230" s="1420">
        <v>-630348.49</v>
      </c>
      <c r="CT230" s="1422">
        <v>913500</v>
      </c>
      <c r="CU230" s="1420">
        <v>12687914.98</v>
      </c>
      <c r="CV230" s="1420">
        <v>14076396.73</v>
      </c>
      <c r="CW230" s="1420">
        <v>4253864.08</v>
      </c>
      <c r="CX230" s="1420">
        <v>4272980.8</v>
      </c>
      <c r="CY230" s="1420">
        <v>917999.71</v>
      </c>
      <c r="CZ230" s="1420">
        <v>840174.9</v>
      </c>
      <c r="DA230" s="1420">
        <v>404156.08</v>
      </c>
      <c r="DB230" s="1420">
        <v>355305.61</v>
      </c>
      <c r="DC230" s="1422">
        <v>0</v>
      </c>
      <c r="DD230" s="1422">
        <v>0</v>
      </c>
      <c r="DE230" s="1420">
        <v>1007276.58</v>
      </c>
      <c r="DF230" s="1420">
        <v>494784.79</v>
      </c>
      <c r="DG230" s="1420">
        <v>456526.06</v>
      </c>
      <c r="DH230" s="1420">
        <v>452022.66</v>
      </c>
      <c r="DI230" s="1420">
        <v>7039822.5099999998</v>
      </c>
      <c r="DJ230" s="1420">
        <v>6415268.7599999998</v>
      </c>
      <c r="DK230" s="1420">
        <v>255236.58</v>
      </c>
      <c r="DL230" s="1420">
        <v>254894.1</v>
      </c>
      <c r="DM230" s="1420">
        <v>299805.25</v>
      </c>
      <c r="DN230" s="1420">
        <v>341647.07</v>
      </c>
      <c r="DO230" s="1420">
        <v>1107116.54</v>
      </c>
      <c r="DP230" s="1420">
        <v>1198859.05</v>
      </c>
      <c r="DQ230" s="1420">
        <v>382923.15</v>
      </c>
      <c r="DR230" s="1420">
        <v>343438.57</v>
      </c>
      <c r="DS230" s="1420">
        <v>69595.72</v>
      </c>
      <c r="DT230" s="1422">
        <v>59800</v>
      </c>
      <c r="DU230" s="1420">
        <v>2114677.2400000002</v>
      </c>
      <c r="DV230" s="1420">
        <v>2198638.79</v>
      </c>
      <c r="DW230" s="1420">
        <v>483817.85</v>
      </c>
      <c r="DX230" s="1420">
        <v>466746.04</v>
      </c>
      <c r="DY230" s="1420">
        <v>878587.18</v>
      </c>
      <c r="DZ230" s="1420">
        <v>519977.1</v>
      </c>
      <c r="EA230" s="1420">
        <v>628561.94999999995</v>
      </c>
      <c r="EB230" s="1420">
        <v>611351.32999999996</v>
      </c>
      <c r="EC230" s="1420">
        <v>1990966.98</v>
      </c>
      <c r="ED230" s="1420">
        <v>1598074.47</v>
      </c>
      <c r="EE230" s="1420">
        <v>669355.31000000006</v>
      </c>
      <c r="EF230" s="1420">
        <v>657655.09</v>
      </c>
      <c r="EG230" s="1420">
        <v>68204.28</v>
      </c>
      <c r="EH230" s="1422">
        <v>4700</v>
      </c>
      <c r="EI230" s="1420">
        <v>189502.38</v>
      </c>
      <c r="EJ230" s="1420">
        <v>207016.41</v>
      </c>
      <c r="EK230" s="1422">
        <v>0</v>
      </c>
      <c r="EL230" s="1422">
        <v>0</v>
      </c>
      <c r="EM230" s="1420">
        <v>927061.97</v>
      </c>
      <c r="EN230" s="1420">
        <v>869371.5</v>
      </c>
      <c r="EO230" s="1420">
        <v>561479.1</v>
      </c>
      <c r="EP230" s="1422">
        <v>2007000</v>
      </c>
      <c r="EQ230" s="1420">
        <v>711630.13</v>
      </c>
      <c r="ER230" s="1420">
        <v>381147.74</v>
      </c>
      <c r="ES230" s="1422">
        <v>0</v>
      </c>
      <c r="ET230" s="1422">
        <v>0</v>
      </c>
      <c r="EU230" s="1420">
        <v>13345637.93</v>
      </c>
      <c r="EV230" s="1420">
        <v>13469501.26</v>
      </c>
      <c r="EW230" s="1420">
        <v>1236442.69</v>
      </c>
      <c r="EX230" s="1422">
        <v>2115850</v>
      </c>
      <c r="EY230" s="1420">
        <v>711630.13</v>
      </c>
      <c r="EZ230" s="1420">
        <v>381147.74</v>
      </c>
      <c r="FA230" s="1420">
        <v>11397565.109999999</v>
      </c>
      <c r="FB230" s="1420">
        <v>10972503.52</v>
      </c>
      <c r="FC230" s="1420">
        <v>673582.77</v>
      </c>
      <c r="FD230" s="1439"/>
      <c r="FE230" s="1420">
        <v>10723982.34</v>
      </c>
      <c r="FF230" s="1439"/>
      <c r="FG230" s="1422">
        <v>8787</v>
      </c>
      <c r="FH230" s="1439"/>
      <c r="FI230" s="1420">
        <v>95.13</v>
      </c>
      <c r="FJ230" s="1439"/>
      <c r="FK230" s="1422">
        <v>42021</v>
      </c>
      <c r="FL230" s="1439"/>
      <c r="FM230" s="1420">
        <v>102.5</v>
      </c>
      <c r="FN230" s="1439"/>
      <c r="FO230" s="1422">
        <v>44842</v>
      </c>
      <c r="FP230" s="1439"/>
      <c r="FQ230" s="1420">
        <v>3091306.45</v>
      </c>
      <c r="FR230" s="1439"/>
      <c r="FS230" s="1420">
        <v>36595.69</v>
      </c>
      <c r="FT230" s="1439"/>
      <c r="FU230" s="1422">
        <v>0</v>
      </c>
      <c r="FV230" s="1439"/>
      <c r="FW230" s="1420">
        <v>3054710.76</v>
      </c>
      <c r="FX230" s="1439"/>
      <c r="FY230" s="1420">
        <v>71403.48</v>
      </c>
      <c r="FZ230" s="1439"/>
      <c r="GA230" s="1422">
        <v>0</v>
      </c>
      <c r="GB230" s="1439"/>
    </row>
    <row r="231" spans="1:184" ht="12.75" customHeight="1" thickBot="1">
      <c r="A231" s="1418" t="s">
        <v>145</v>
      </c>
      <c r="B231" s="1418" t="s">
        <v>146</v>
      </c>
      <c r="C231" s="1420">
        <v>235.55</v>
      </c>
      <c r="D231" s="1439"/>
      <c r="E231" s="1420">
        <v>3072.19</v>
      </c>
      <c r="F231" s="1439"/>
      <c r="G231" s="1421">
        <v>0.12</v>
      </c>
      <c r="H231" s="1439"/>
      <c r="I231" s="1420">
        <v>3192.6</v>
      </c>
      <c r="J231" s="1439"/>
      <c r="K231" s="1420">
        <v>3200.25</v>
      </c>
      <c r="L231" s="1439"/>
      <c r="M231" s="1422">
        <v>175867012</v>
      </c>
      <c r="N231" s="1439"/>
      <c r="O231" s="1422">
        <v>25</v>
      </c>
      <c r="P231" s="1439"/>
      <c r="Q231" s="1422">
        <v>25</v>
      </c>
      <c r="R231" s="1439"/>
      <c r="S231" s="1422">
        <v>0</v>
      </c>
      <c r="T231" s="1439"/>
      <c r="U231" s="1422">
        <v>0</v>
      </c>
      <c r="V231" s="1439"/>
      <c r="W231" s="1420">
        <v>11.6</v>
      </c>
      <c r="X231" s="1439"/>
      <c r="Y231" s="1420">
        <v>36.6</v>
      </c>
      <c r="Z231" s="1439"/>
      <c r="AA231" s="1422">
        <v>17830000</v>
      </c>
      <c r="AB231" s="1455"/>
      <c r="AC231" s="1424">
        <v>5932794.8499999996</v>
      </c>
      <c r="AD231" s="1422">
        <v>6547982</v>
      </c>
      <c r="AE231" s="1420">
        <v>2567974.96</v>
      </c>
      <c r="AF231" s="1422">
        <v>1639179</v>
      </c>
      <c r="AG231" s="1422">
        <v>0</v>
      </c>
      <c r="AH231" s="1456">
        <v>0</v>
      </c>
      <c r="AI231" s="1428">
        <v>15202777</v>
      </c>
      <c r="AJ231" s="1422">
        <v>15339763</v>
      </c>
      <c r="AK231" s="1422">
        <v>92567</v>
      </c>
      <c r="AL231" s="1422">
        <v>90000</v>
      </c>
      <c r="AM231" s="1422">
        <v>21261</v>
      </c>
      <c r="AN231" s="1422">
        <v>0</v>
      </c>
      <c r="AO231" s="1422">
        <v>0</v>
      </c>
      <c r="AP231" s="1422">
        <v>0</v>
      </c>
      <c r="AQ231" s="1422">
        <v>0</v>
      </c>
      <c r="AR231" s="1422">
        <v>0</v>
      </c>
      <c r="AS231" s="1422">
        <v>0</v>
      </c>
      <c r="AT231" s="1422">
        <v>0</v>
      </c>
      <c r="AU231" s="1422">
        <v>111910</v>
      </c>
      <c r="AV231" s="1422">
        <v>89528</v>
      </c>
      <c r="AW231" s="1422">
        <v>0</v>
      </c>
      <c r="AX231" s="1422">
        <v>0</v>
      </c>
      <c r="AY231" s="1420">
        <v>23929284.809999999</v>
      </c>
      <c r="AZ231" s="1422">
        <v>23706452</v>
      </c>
      <c r="BA231" s="1422">
        <v>0</v>
      </c>
      <c r="BB231" s="1422">
        <v>0</v>
      </c>
      <c r="BC231" s="1422">
        <v>132362</v>
      </c>
      <c r="BD231" s="1422">
        <v>135566</v>
      </c>
      <c r="BE231" s="1422">
        <v>16200</v>
      </c>
      <c r="BF231" s="1422">
        <v>10200</v>
      </c>
      <c r="BG231" s="1422">
        <v>2750</v>
      </c>
      <c r="BH231" s="1422">
        <v>10000</v>
      </c>
      <c r="BI231" s="1422">
        <v>98081</v>
      </c>
      <c r="BJ231" s="1422">
        <v>110174</v>
      </c>
      <c r="BK231" s="1422">
        <v>9376</v>
      </c>
      <c r="BL231" s="1422">
        <v>0</v>
      </c>
      <c r="BM231" s="1422">
        <v>763840</v>
      </c>
      <c r="BN231" s="1422">
        <v>789866</v>
      </c>
      <c r="BO231" s="1420">
        <v>40869.599999999999</v>
      </c>
      <c r="BP231" s="1422">
        <v>0</v>
      </c>
      <c r="BQ231" s="1420">
        <v>67959.600000000006</v>
      </c>
      <c r="BR231" s="1422">
        <v>37375</v>
      </c>
      <c r="BS231" s="1420">
        <v>10165.77</v>
      </c>
      <c r="BT231" s="1422">
        <v>10500</v>
      </c>
      <c r="BU231" s="1422">
        <v>0</v>
      </c>
      <c r="BV231" s="1422">
        <v>0</v>
      </c>
      <c r="BW231" s="1422">
        <v>388314</v>
      </c>
      <c r="BX231" s="1422">
        <v>388800</v>
      </c>
      <c r="BY231" s="1422">
        <v>0</v>
      </c>
      <c r="BZ231" s="1422">
        <v>0</v>
      </c>
      <c r="CA231" s="1420">
        <v>1850118.77</v>
      </c>
      <c r="CB231" s="1420">
        <v>918577.65</v>
      </c>
      <c r="CC231" s="1420">
        <v>3380036.74</v>
      </c>
      <c r="CD231" s="1420">
        <v>2411058.65</v>
      </c>
      <c r="CE231" s="1420">
        <v>4360838.38</v>
      </c>
      <c r="CF231" s="1420">
        <v>2903227.29</v>
      </c>
      <c r="CG231" s="1420">
        <v>3549843.5</v>
      </c>
      <c r="CH231" s="1420">
        <v>3549843.5</v>
      </c>
      <c r="CI231" s="1422">
        <v>0</v>
      </c>
      <c r="CJ231" s="1422">
        <v>0</v>
      </c>
      <c r="CK231" s="1422">
        <v>0</v>
      </c>
      <c r="CL231" s="1422">
        <v>0</v>
      </c>
      <c r="CM231" s="1422">
        <v>0</v>
      </c>
      <c r="CN231" s="1422">
        <v>0</v>
      </c>
      <c r="CO231" s="1422">
        <v>0</v>
      </c>
      <c r="CP231" s="1422">
        <v>0</v>
      </c>
      <c r="CQ231" s="1422">
        <v>0</v>
      </c>
      <c r="CR231" s="1422">
        <v>0</v>
      </c>
      <c r="CS231" s="1420">
        <v>3549843.5</v>
      </c>
      <c r="CT231" s="1420">
        <v>3549843.5</v>
      </c>
      <c r="CU231" s="1420">
        <v>35220003.43</v>
      </c>
      <c r="CV231" s="1420">
        <v>32570581.440000001</v>
      </c>
      <c r="CW231" s="1420">
        <v>11017368.74</v>
      </c>
      <c r="CX231" s="1420">
        <v>11313919.83</v>
      </c>
      <c r="CY231" s="1420">
        <v>2045687.52</v>
      </c>
      <c r="CZ231" s="1420">
        <v>2142181.19</v>
      </c>
      <c r="DA231" s="1420">
        <v>743747.64</v>
      </c>
      <c r="DB231" s="1420">
        <v>746435.86</v>
      </c>
      <c r="DC231" s="1422">
        <v>0</v>
      </c>
      <c r="DD231" s="1422">
        <v>0</v>
      </c>
      <c r="DE231" s="1420">
        <v>595102.85</v>
      </c>
      <c r="DF231" s="1420">
        <v>607320.54</v>
      </c>
      <c r="DG231" s="1420">
        <v>1114313.95</v>
      </c>
      <c r="DH231" s="1420">
        <v>1226187.82</v>
      </c>
      <c r="DI231" s="1420">
        <v>15516220.699999999</v>
      </c>
      <c r="DJ231" s="1420">
        <v>16036045.24</v>
      </c>
      <c r="DK231" s="1420">
        <v>688709.34</v>
      </c>
      <c r="DL231" s="1420">
        <v>670124.98</v>
      </c>
      <c r="DM231" s="1420">
        <v>297480.39</v>
      </c>
      <c r="DN231" s="1420">
        <v>300521.27</v>
      </c>
      <c r="DO231" s="1420">
        <v>2763428.41</v>
      </c>
      <c r="DP231" s="1420">
        <v>3037907.31</v>
      </c>
      <c r="DQ231" s="1420">
        <v>1155020.55</v>
      </c>
      <c r="DR231" s="1420">
        <v>1121665.51</v>
      </c>
      <c r="DS231" s="1420">
        <v>60443.68</v>
      </c>
      <c r="DT231" s="1422">
        <v>15000</v>
      </c>
      <c r="DU231" s="1420">
        <v>4965082.37</v>
      </c>
      <c r="DV231" s="1420">
        <v>5145219.07</v>
      </c>
      <c r="DW231" s="1420">
        <v>1096097.67</v>
      </c>
      <c r="DX231" s="1420">
        <v>1115437.92</v>
      </c>
      <c r="DY231" s="1420">
        <v>1531326.11</v>
      </c>
      <c r="DZ231" s="1420">
        <v>1689254.73</v>
      </c>
      <c r="EA231" s="1420">
        <v>1611734.93</v>
      </c>
      <c r="EB231" s="1420">
        <v>1627853.6</v>
      </c>
      <c r="EC231" s="1420">
        <v>4239158.71</v>
      </c>
      <c r="ED231" s="1420">
        <v>4432546.25</v>
      </c>
      <c r="EE231" s="1420">
        <v>1733667.07</v>
      </c>
      <c r="EF231" s="1420">
        <v>1706106.21</v>
      </c>
      <c r="EG231" s="1420">
        <v>58398.21</v>
      </c>
      <c r="EH231" s="1422">
        <v>0</v>
      </c>
      <c r="EI231" s="1420">
        <v>426684.59</v>
      </c>
      <c r="EJ231" s="1420">
        <v>225823.48</v>
      </c>
      <c r="EK231" s="1422">
        <v>0</v>
      </c>
      <c r="EL231" s="1422">
        <v>0</v>
      </c>
      <c r="EM231" s="1420">
        <v>2218749.87</v>
      </c>
      <c r="EN231" s="1420">
        <v>1931929.69</v>
      </c>
      <c r="EO231" s="1420">
        <v>6360587.4100000001</v>
      </c>
      <c r="EP231" s="1420">
        <v>5879335.6500000004</v>
      </c>
      <c r="EQ231" s="1420">
        <v>1187970.31</v>
      </c>
      <c r="ER231" s="1420">
        <v>1680952.34</v>
      </c>
      <c r="ES231" s="1422">
        <v>82194</v>
      </c>
      <c r="ET231" s="1422">
        <v>0</v>
      </c>
      <c r="EU231" s="1420">
        <v>34569963.369999997</v>
      </c>
      <c r="EV231" s="1420">
        <v>35106028.240000002</v>
      </c>
      <c r="EW231" s="1420">
        <v>7284449.8200000003</v>
      </c>
      <c r="EX231" s="1420">
        <v>6530495.25</v>
      </c>
      <c r="EY231" s="1420">
        <v>1187970.31</v>
      </c>
      <c r="EZ231" s="1420">
        <v>1680952.34</v>
      </c>
      <c r="FA231" s="1420">
        <v>26097543.239999998</v>
      </c>
      <c r="FB231" s="1420">
        <v>26894580.649999999</v>
      </c>
      <c r="FC231" s="1420">
        <v>2220549.88</v>
      </c>
      <c r="FD231" s="1439"/>
      <c r="FE231" s="1420">
        <v>23876993.359999999</v>
      </c>
      <c r="FF231" s="1439"/>
      <c r="FG231" s="1422">
        <v>7771</v>
      </c>
      <c r="FH231" s="1439"/>
      <c r="FI231" s="1420">
        <v>213.57</v>
      </c>
      <c r="FJ231" s="1439"/>
      <c r="FK231" s="1422">
        <v>44378</v>
      </c>
      <c r="FL231" s="1439"/>
      <c r="FM231" s="1420">
        <v>234.57</v>
      </c>
      <c r="FN231" s="1439"/>
      <c r="FO231" s="1422">
        <v>47625</v>
      </c>
      <c r="FP231" s="1439"/>
      <c r="FQ231" s="1420">
        <v>3098153.63</v>
      </c>
      <c r="FR231" s="1439"/>
      <c r="FS231" s="1420">
        <v>52940.95</v>
      </c>
      <c r="FT231" s="1439"/>
      <c r="FU231" s="1422">
        <v>0</v>
      </c>
      <c r="FV231" s="1439"/>
      <c r="FW231" s="1420">
        <v>3045212.68</v>
      </c>
      <c r="FX231" s="1439"/>
      <c r="FY231" s="1420">
        <v>2887445.73</v>
      </c>
      <c r="FZ231" s="1439"/>
      <c r="GA231" s="1422">
        <v>0</v>
      </c>
      <c r="GB231" s="1439"/>
    </row>
    <row r="232" spans="1:184" ht="12.75" customHeight="1" thickBot="1">
      <c r="A232" s="1418" t="s">
        <v>147</v>
      </c>
      <c r="B232" s="1418" t="s">
        <v>148</v>
      </c>
      <c r="C232" s="1420">
        <v>92.65</v>
      </c>
      <c r="D232" s="1439"/>
      <c r="E232" s="1420">
        <v>455.69</v>
      </c>
      <c r="F232" s="1439"/>
      <c r="G232" s="1421">
        <v>-0.09</v>
      </c>
      <c r="H232" s="1439"/>
      <c r="I232" s="1420">
        <v>490.57</v>
      </c>
      <c r="J232" s="1439"/>
      <c r="K232" s="1420">
        <v>491.98</v>
      </c>
      <c r="L232" s="1439"/>
      <c r="M232" s="1422">
        <v>23038236</v>
      </c>
      <c r="N232" s="1439"/>
      <c r="O232" s="1422">
        <v>25</v>
      </c>
      <c r="P232" s="1439"/>
      <c r="Q232" s="1422">
        <v>25</v>
      </c>
      <c r="R232" s="1439"/>
      <c r="S232" s="1422">
        <v>0</v>
      </c>
      <c r="T232" s="1439"/>
      <c r="U232" s="1422">
        <v>0</v>
      </c>
      <c r="V232" s="1439"/>
      <c r="W232" s="1422">
        <v>12</v>
      </c>
      <c r="X232" s="1439"/>
      <c r="Y232" s="1422">
        <v>37</v>
      </c>
      <c r="Z232" s="1439"/>
      <c r="AA232" s="1422">
        <v>3220000</v>
      </c>
      <c r="AB232" s="1455"/>
      <c r="AC232" s="1424">
        <v>767205.49</v>
      </c>
      <c r="AD232" s="1422">
        <v>754000</v>
      </c>
      <c r="AE232" s="1420">
        <v>218274.92</v>
      </c>
      <c r="AF232" s="1422">
        <v>202420</v>
      </c>
      <c r="AG232" s="1420">
        <v>2276.1799999999998</v>
      </c>
      <c r="AH232" s="1456">
        <v>2500</v>
      </c>
      <c r="AI232" s="1428">
        <v>2427430</v>
      </c>
      <c r="AJ232" s="1422">
        <v>2450295</v>
      </c>
      <c r="AK232" s="1422">
        <v>43860</v>
      </c>
      <c r="AL232" s="1422">
        <v>45000</v>
      </c>
      <c r="AM232" s="1422">
        <v>0</v>
      </c>
      <c r="AN232" s="1422">
        <v>0</v>
      </c>
      <c r="AO232" s="1422">
        <v>27164</v>
      </c>
      <c r="AP232" s="1422">
        <v>3994</v>
      </c>
      <c r="AQ232" s="1422">
        <v>0</v>
      </c>
      <c r="AR232" s="1422">
        <v>0</v>
      </c>
      <c r="AS232" s="1422">
        <v>0</v>
      </c>
      <c r="AT232" s="1422">
        <v>0</v>
      </c>
      <c r="AU232" s="1422">
        <v>31731</v>
      </c>
      <c r="AV232" s="1422">
        <v>25384</v>
      </c>
      <c r="AW232" s="1422">
        <v>0</v>
      </c>
      <c r="AX232" s="1422">
        <v>0</v>
      </c>
      <c r="AY232" s="1420">
        <v>3517941.59</v>
      </c>
      <c r="AZ232" s="1422">
        <v>3483593</v>
      </c>
      <c r="BA232" s="1422">
        <v>0</v>
      </c>
      <c r="BB232" s="1422">
        <v>0</v>
      </c>
      <c r="BC232" s="1422">
        <v>20348</v>
      </c>
      <c r="BD232" s="1422">
        <v>20795</v>
      </c>
      <c r="BE232" s="1420">
        <v>1681.64</v>
      </c>
      <c r="BF232" s="1422">
        <v>4800</v>
      </c>
      <c r="BG232" s="1422">
        <v>1000</v>
      </c>
      <c r="BH232" s="1422">
        <v>0</v>
      </c>
      <c r="BI232" s="1422">
        <v>18568</v>
      </c>
      <c r="BJ232" s="1422">
        <v>0</v>
      </c>
      <c r="BK232" s="1422">
        <v>0</v>
      </c>
      <c r="BL232" s="1422">
        <v>0</v>
      </c>
      <c r="BM232" s="1422">
        <v>161200</v>
      </c>
      <c r="BN232" s="1422">
        <v>239508</v>
      </c>
      <c r="BO232" s="1420">
        <v>2015.46</v>
      </c>
      <c r="BP232" s="1422">
        <v>0</v>
      </c>
      <c r="BQ232" s="1422">
        <v>0</v>
      </c>
      <c r="BR232" s="1422">
        <v>0</v>
      </c>
      <c r="BS232" s="1422">
        <v>0</v>
      </c>
      <c r="BT232" s="1422">
        <v>0</v>
      </c>
      <c r="BU232" s="1422">
        <v>0</v>
      </c>
      <c r="BV232" s="1422">
        <v>0</v>
      </c>
      <c r="BW232" s="1422">
        <v>97200</v>
      </c>
      <c r="BX232" s="1422">
        <v>97200</v>
      </c>
      <c r="BY232" s="1422">
        <v>0</v>
      </c>
      <c r="BZ232" s="1422">
        <v>0</v>
      </c>
      <c r="CA232" s="1420">
        <v>2286035.2599999998</v>
      </c>
      <c r="CB232" s="1422">
        <v>473547</v>
      </c>
      <c r="CC232" s="1420">
        <v>2588048.36</v>
      </c>
      <c r="CD232" s="1422">
        <v>835850</v>
      </c>
      <c r="CE232" s="1420">
        <v>1035024.32</v>
      </c>
      <c r="CF232" s="1420">
        <v>1048167.96</v>
      </c>
      <c r="CG232" s="1422">
        <v>0</v>
      </c>
      <c r="CH232" s="1422">
        <v>0</v>
      </c>
      <c r="CI232" s="1422">
        <v>0</v>
      </c>
      <c r="CJ232" s="1422">
        <v>0</v>
      </c>
      <c r="CK232" s="1422">
        <v>0</v>
      </c>
      <c r="CL232" s="1422">
        <v>0</v>
      </c>
      <c r="CM232" s="1422">
        <v>0</v>
      </c>
      <c r="CN232" s="1422">
        <v>0</v>
      </c>
      <c r="CO232" s="1422">
        <v>0</v>
      </c>
      <c r="CP232" s="1422">
        <v>0</v>
      </c>
      <c r="CQ232" s="1422">
        <v>0</v>
      </c>
      <c r="CR232" s="1422">
        <v>0</v>
      </c>
      <c r="CS232" s="1422">
        <v>0</v>
      </c>
      <c r="CT232" s="1422">
        <v>0</v>
      </c>
      <c r="CU232" s="1420">
        <v>7141014.2699999996</v>
      </c>
      <c r="CV232" s="1420">
        <v>5367610.96</v>
      </c>
      <c r="CW232" s="1420">
        <v>1701226.69</v>
      </c>
      <c r="CX232" s="1420">
        <v>1882539.55</v>
      </c>
      <c r="CY232" s="1420">
        <v>206516.56</v>
      </c>
      <c r="CZ232" s="1420">
        <v>296089.36</v>
      </c>
      <c r="DA232" s="1420">
        <v>151828.60999999999</v>
      </c>
      <c r="DB232" s="1420">
        <v>158825.75</v>
      </c>
      <c r="DC232" s="1422">
        <v>0</v>
      </c>
      <c r="DD232" s="1422">
        <v>0</v>
      </c>
      <c r="DE232" s="1420">
        <v>726301.16</v>
      </c>
      <c r="DF232" s="1420">
        <v>377447.14</v>
      </c>
      <c r="DG232" s="1420">
        <v>50813.4</v>
      </c>
      <c r="DH232" s="1420">
        <v>89833.52</v>
      </c>
      <c r="DI232" s="1420">
        <v>2836686.42</v>
      </c>
      <c r="DJ232" s="1420">
        <v>2804735.32</v>
      </c>
      <c r="DK232" s="1420">
        <v>166633.14000000001</v>
      </c>
      <c r="DL232" s="1422">
        <v>178918</v>
      </c>
      <c r="DM232" s="1420">
        <v>146775.24</v>
      </c>
      <c r="DN232" s="1420">
        <v>157651.22</v>
      </c>
      <c r="DO232" s="1420">
        <v>376536.26</v>
      </c>
      <c r="DP232" s="1420">
        <v>413139.91</v>
      </c>
      <c r="DQ232" s="1420">
        <v>149929.56</v>
      </c>
      <c r="DR232" s="1420">
        <v>223574.64</v>
      </c>
      <c r="DS232" s="1420">
        <v>10062.469999999999</v>
      </c>
      <c r="DT232" s="1422">
        <v>19000</v>
      </c>
      <c r="DU232" s="1420">
        <v>849936.67</v>
      </c>
      <c r="DV232" s="1420">
        <v>992283.77</v>
      </c>
      <c r="DW232" s="1420">
        <v>183087.19</v>
      </c>
      <c r="DX232" s="1420">
        <v>199602.93</v>
      </c>
      <c r="DY232" s="1420">
        <v>243781.32</v>
      </c>
      <c r="DZ232" s="1420">
        <v>294164.46999999997</v>
      </c>
      <c r="EA232" s="1420">
        <v>204624.72</v>
      </c>
      <c r="EB232" s="1420">
        <v>207967.78</v>
      </c>
      <c r="EC232" s="1420">
        <v>631493.23</v>
      </c>
      <c r="ED232" s="1420">
        <v>701735.18</v>
      </c>
      <c r="EE232" s="1422">
        <v>273042</v>
      </c>
      <c r="EF232" s="1420">
        <v>276005.78999999998</v>
      </c>
      <c r="EG232" s="1422">
        <v>0</v>
      </c>
      <c r="EH232" s="1422">
        <v>0</v>
      </c>
      <c r="EI232" s="1422">
        <v>320</v>
      </c>
      <c r="EJ232" s="1422">
        <v>1000</v>
      </c>
      <c r="EK232" s="1422">
        <v>0</v>
      </c>
      <c r="EL232" s="1422">
        <v>0</v>
      </c>
      <c r="EM232" s="1422">
        <v>273362</v>
      </c>
      <c r="EN232" s="1420">
        <v>277005.78999999998</v>
      </c>
      <c r="EO232" s="1420">
        <v>4272512.25</v>
      </c>
      <c r="EP232" s="1420">
        <v>1126053.21</v>
      </c>
      <c r="EQ232" s="1422">
        <v>206715</v>
      </c>
      <c r="ER232" s="1422">
        <v>204880</v>
      </c>
      <c r="ES232" s="1422">
        <v>0</v>
      </c>
      <c r="ET232" s="1422">
        <v>0</v>
      </c>
      <c r="EU232" s="1420">
        <v>9070705.5700000003</v>
      </c>
      <c r="EV232" s="1420">
        <v>6106693.2699999996</v>
      </c>
      <c r="EW232" s="1420">
        <v>4336894.16</v>
      </c>
      <c r="EX232" s="1420">
        <v>1258326.48</v>
      </c>
      <c r="EY232" s="1422">
        <v>206715</v>
      </c>
      <c r="EZ232" s="1422">
        <v>204880</v>
      </c>
      <c r="FA232" s="1420">
        <v>4527096.41</v>
      </c>
      <c r="FB232" s="1420">
        <v>4643486.79</v>
      </c>
      <c r="FC232" s="1420">
        <v>222290.8</v>
      </c>
      <c r="FD232" s="1439"/>
      <c r="FE232" s="1420">
        <v>4304805.6100000003</v>
      </c>
      <c r="FF232" s="1439"/>
      <c r="FG232" s="1422">
        <v>9446</v>
      </c>
      <c r="FH232" s="1439"/>
      <c r="FI232" s="1420">
        <v>36.75</v>
      </c>
      <c r="FJ232" s="1439"/>
      <c r="FK232" s="1422">
        <v>37402</v>
      </c>
      <c r="FL232" s="1439"/>
      <c r="FM232" s="1420">
        <v>41.25</v>
      </c>
      <c r="FN232" s="1439"/>
      <c r="FO232" s="1422">
        <v>39720</v>
      </c>
      <c r="FP232" s="1439"/>
      <c r="FQ232" s="1420">
        <v>1448909.38</v>
      </c>
      <c r="FR232" s="1439"/>
      <c r="FS232" s="1420">
        <v>103454.63</v>
      </c>
      <c r="FT232" s="1439"/>
      <c r="FU232" s="1422">
        <v>0</v>
      </c>
      <c r="FV232" s="1439"/>
      <c r="FW232" s="1420">
        <v>1345454.75</v>
      </c>
      <c r="FX232" s="1439"/>
      <c r="FY232" s="1420">
        <v>689179.19</v>
      </c>
      <c r="FZ232" s="1439"/>
      <c r="GA232" s="1422">
        <v>0</v>
      </c>
      <c r="GB232" s="1439"/>
    </row>
    <row r="233" spans="1:184" ht="12.75" customHeight="1" thickBot="1">
      <c r="A233" s="1418" t="s">
        <v>149</v>
      </c>
      <c r="B233" s="1418" t="s">
        <v>150</v>
      </c>
      <c r="C233" s="1420">
        <v>59.32</v>
      </c>
      <c r="D233" s="1439"/>
      <c r="E233" s="1420">
        <v>629.77</v>
      </c>
      <c r="F233" s="1439"/>
      <c r="G233" s="1421">
        <v>-0.01</v>
      </c>
      <c r="H233" s="1439"/>
      <c r="I233" s="1420">
        <v>669.46</v>
      </c>
      <c r="J233" s="1439"/>
      <c r="K233" s="1420">
        <v>693.41</v>
      </c>
      <c r="L233" s="1439"/>
      <c r="M233" s="1422">
        <v>66874221</v>
      </c>
      <c r="N233" s="1439"/>
      <c r="O233" s="1422">
        <v>25</v>
      </c>
      <c r="P233" s="1439"/>
      <c r="Q233" s="1422">
        <v>25</v>
      </c>
      <c r="R233" s="1439"/>
      <c r="S233" s="1422">
        <v>0</v>
      </c>
      <c r="T233" s="1439"/>
      <c r="U233" s="1422">
        <v>0</v>
      </c>
      <c r="V233" s="1439"/>
      <c r="W233" s="1420">
        <v>13.1</v>
      </c>
      <c r="X233" s="1439"/>
      <c r="Y233" s="1420">
        <v>38.1</v>
      </c>
      <c r="Z233" s="1439"/>
      <c r="AA233" s="1422">
        <v>2645000</v>
      </c>
      <c r="AB233" s="1455"/>
      <c r="AC233" s="1424">
        <v>1934529.88</v>
      </c>
      <c r="AD233" s="1422">
        <v>2307000</v>
      </c>
      <c r="AE233" s="1420">
        <v>359414.58</v>
      </c>
      <c r="AF233" s="1422">
        <v>112975</v>
      </c>
      <c r="AG233" s="1420">
        <v>3068.52</v>
      </c>
      <c r="AH233" s="1456">
        <v>0</v>
      </c>
      <c r="AI233" s="1428">
        <v>3038890</v>
      </c>
      <c r="AJ233" s="1422">
        <v>2493913</v>
      </c>
      <c r="AK233" s="1422">
        <v>25268</v>
      </c>
      <c r="AL233" s="1422">
        <v>0</v>
      </c>
      <c r="AM233" s="1422">
        <v>0</v>
      </c>
      <c r="AN233" s="1422">
        <v>0</v>
      </c>
      <c r="AO233" s="1422">
        <v>0</v>
      </c>
      <c r="AP233" s="1422">
        <v>63990</v>
      </c>
      <c r="AQ233" s="1422">
        <v>0</v>
      </c>
      <c r="AR233" s="1422">
        <v>0</v>
      </c>
      <c r="AS233" s="1422">
        <v>0</v>
      </c>
      <c r="AT233" s="1422">
        <v>0</v>
      </c>
      <c r="AU233" s="1422">
        <v>43659</v>
      </c>
      <c r="AV233" s="1422">
        <v>34927</v>
      </c>
      <c r="AW233" s="1422">
        <v>0</v>
      </c>
      <c r="AX233" s="1422">
        <v>0</v>
      </c>
      <c r="AY233" s="1420">
        <v>5404829.9800000004</v>
      </c>
      <c r="AZ233" s="1422">
        <v>5012805</v>
      </c>
      <c r="BA233" s="1422">
        <v>0</v>
      </c>
      <c r="BB233" s="1422">
        <v>0</v>
      </c>
      <c r="BC233" s="1422">
        <v>28679</v>
      </c>
      <c r="BD233" s="1422">
        <v>28504</v>
      </c>
      <c r="BE233" s="1420">
        <v>4543.78</v>
      </c>
      <c r="BF233" s="1422">
        <v>2400</v>
      </c>
      <c r="BG233" s="1422">
        <v>1966</v>
      </c>
      <c r="BH233" s="1422">
        <v>1800</v>
      </c>
      <c r="BI233" s="1422">
        <v>34698</v>
      </c>
      <c r="BJ233" s="1422">
        <v>45844</v>
      </c>
      <c r="BK233" s="1422">
        <v>0</v>
      </c>
      <c r="BL233" s="1422">
        <v>0</v>
      </c>
      <c r="BM233" s="1422">
        <v>208816</v>
      </c>
      <c r="BN233" s="1422">
        <v>216568</v>
      </c>
      <c r="BO233" s="1420">
        <v>41625.99</v>
      </c>
      <c r="BP233" s="1422">
        <v>2500</v>
      </c>
      <c r="BQ233" s="1420">
        <v>29521.040000000001</v>
      </c>
      <c r="BR233" s="1420">
        <v>2708.22</v>
      </c>
      <c r="BS233" s="1420">
        <v>2652.49</v>
      </c>
      <c r="BT233" s="1422">
        <v>1750</v>
      </c>
      <c r="BU233" s="1422">
        <v>0</v>
      </c>
      <c r="BV233" s="1422">
        <v>0</v>
      </c>
      <c r="BW233" s="1422">
        <v>187596</v>
      </c>
      <c r="BX233" s="1422">
        <v>194400</v>
      </c>
      <c r="BY233" s="1422">
        <v>0</v>
      </c>
      <c r="BZ233" s="1422">
        <v>0</v>
      </c>
      <c r="CA233" s="1420">
        <v>239989.07</v>
      </c>
      <c r="CB233" s="1420">
        <v>405575.33</v>
      </c>
      <c r="CC233" s="1420">
        <v>780087.37</v>
      </c>
      <c r="CD233" s="1420">
        <v>902049.55</v>
      </c>
      <c r="CE233" s="1420">
        <v>1179584.99</v>
      </c>
      <c r="CF233" s="1420">
        <v>872506.09</v>
      </c>
      <c r="CG233" s="1420">
        <v>6071.93</v>
      </c>
      <c r="CH233" s="1422">
        <v>0</v>
      </c>
      <c r="CI233" s="1422">
        <v>0</v>
      </c>
      <c r="CJ233" s="1422">
        <v>0</v>
      </c>
      <c r="CK233" s="1422">
        <v>0</v>
      </c>
      <c r="CL233" s="1422">
        <v>0</v>
      </c>
      <c r="CM233" s="1422">
        <v>1202</v>
      </c>
      <c r="CN233" s="1422">
        <v>0</v>
      </c>
      <c r="CO233" s="1420">
        <v>8377.41</v>
      </c>
      <c r="CP233" s="1422">
        <v>0</v>
      </c>
      <c r="CQ233" s="1420">
        <v>47254.86</v>
      </c>
      <c r="CR233" s="1422">
        <v>40000</v>
      </c>
      <c r="CS233" s="1420">
        <v>62906.2</v>
      </c>
      <c r="CT233" s="1422">
        <v>40000</v>
      </c>
      <c r="CU233" s="1420">
        <v>7427408.54</v>
      </c>
      <c r="CV233" s="1420">
        <v>6827360.6399999997</v>
      </c>
      <c r="CW233" s="1420">
        <v>2480027.11</v>
      </c>
      <c r="CX233" s="1420">
        <v>2598543.75</v>
      </c>
      <c r="CY233" s="1420">
        <v>412151.09</v>
      </c>
      <c r="CZ233" s="1420">
        <v>458891.86</v>
      </c>
      <c r="DA233" s="1420">
        <v>195444.93</v>
      </c>
      <c r="DB233" s="1420">
        <v>207435.94</v>
      </c>
      <c r="DC233" s="1422">
        <v>0</v>
      </c>
      <c r="DD233" s="1422">
        <v>0</v>
      </c>
      <c r="DE233" s="1420">
        <v>122874.1</v>
      </c>
      <c r="DF233" s="1420">
        <v>103883.71</v>
      </c>
      <c r="DG233" s="1420">
        <v>292538.98</v>
      </c>
      <c r="DH233" s="1420">
        <v>286889.28000000003</v>
      </c>
      <c r="DI233" s="1420">
        <v>3503036.21</v>
      </c>
      <c r="DJ233" s="1420">
        <v>3655644.54</v>
      </c>
      <c r="DK233" s="1422">
        <v>210163</v>
      </c>
      <c r="DL233" s="1420">
        <v>250146.95</v>
      </c>
      <c r="DM233" s="1420">
        <v>154778.68</v>
      </c>
      <c r="DN233" s="1420">
        <v>184807.12</v>
      </c>
      <c r="DO233" s="1420">
        <v>583712.49</v>
      </c>
      <c r="DP233" s="1420">
        <v>764280.68</v>
      </c>
      <c r="DQ233" s="1420">
        <v>177612.53</v>
      </c>
      <c r="DR233" s="1422">
        <v>494381</v>
      </c>
      <c r="DS233" s="1420">
        <v>14940.3</v>
      </c>
      <c r="DT233" s="1422">
        <v>5500</v>
      </c>
      <c r="DU233" s="1422">
        <v>1141207</v>
      </c>
      <c r="DV233" s="1420">
        <v>1699115.75</v>
      </c>
      <c r="DW233" s="1420">
        <v>304653.03999999998</v>
      </c>
      <c r="DX233" s="1420">
        <v>291329.73</v>
      </c>
      <c r="DY233" s="1420">
        <v>471214.29</v>
      </c>
      <c r="DZ233" s="1420">
        <v>533686.87</v>
      </c>
      <c r="EA233" s="1420">
        <v>278843.71999999997</v>
      </c>
      <c r="EB233" s="1420">
        <v>278152.75</v>
      </c>
      <c r="EC233" s="1420">
        <v>1054711.05</v>
      </c>
      <c r="ED233" s="1420">
        <v>1103169.3500000001</v>
      </c>
      <c r="EE233" s="1420">
        <v>321410.88</v>
      </c>
      <c r="EF233" s="1420">
        <v>443818.87</v>
      </c>
      <c r="EG233" s="1420">
        <v>15663.38</v>
      </c>
      <c r="EH233" s="1422">
        <v>0</v>
      </c>
      <c r="EI233" s="1420">
        <v>393.82</v>
      </c>
      <c r="EJ233" s="1422">
        <v>1200</v>
      </c>
      <c r="EK233" s="1422">
        <v>0</v>
      </c>
      <c r="EL233" s="1422">
        <v>0</v>
      </c>
      <c r="EM233" s="1420">
        <v>337468.08</v>
      </c>
      <c r="EN233" s="1420">
        <v>445018.87</v>
      </c>
      <c r="EO233" s="1420">
        <v>534336.43000000005</v>
      </c>
      <c r="EP233" s="1420">
        <v>787619.82</v>
      </c>
      <c r="EQ233" s="1420">
        <v>207775.5</v>
      </c>
      <c r="ER233" s="1420">
        <v>73769.58</v>
      </c>
      <c r="ES233" s="1422">
        <v>0</v>
      </c>
      <c r="ET233" s="1422">
        <v>0</v>
      </c>
      <c r="EU233" s="1420">
        <v>6778534.2699999996</v>
      </c>
      <c r="EV233" s="1420">
        <v>7764337.9100000001</v>
      </c>
      <c r="EW233" s="1420">
        <v>632793.31000000006</v>
      </c>
      <c r="EX233" s="1422">
        <v>1243419</v>
      </c>
      <c r="EY233" s="1420">
        <v>207775.5</v>
      </c>
      <c r="EZ233" s="1420">
        <v>73769.58</v>
      </c>
      <c r="FA233" s="1420">
        <v>5937965.46</v>
      </c>
      <c r="FB233" s="1420">
        <v>6447149.3300000001</v>
      </c>
      <c r="FC233" s="1420">
        <v>504175.97</v>
      </c>
      <c r="FD233" s="1439"/>
      <c r="FE233" s="1420">
        <v>5433789.4900000002</v>
      </c>
      <c r="FF233" s="1439"/>
      <c r="FG233" s="1422">
        <v>8628</v>
      </c>
      <c r="FH233" s="1439"/>
      <c r="FI233" s="1420">
        <v>54.38</v>
      </c>
      <c r="FJ233" s="1439"/>
      <c r="FK233" s="1422">
        <v>40687</v>
      </c>
      <c r="FL233" s="1439"/>
      <c r="FM233" s="1420">
        <v>59.91</v>
      </c>
      <c r="FN233" s="1439"/>
      <c r="FO233" s="1422">
        <v>42701</v>
      </c>
      <c r="FP233" s="1439"/>
      <c r="FQ233" s="1420">
        <v>1203671.26</v>
      </c>
      <c r="FR233" s="1439"/>
      <c r="FS233" s="1420">
        <v>6406.01</v>
      </c>
      <c r="FT233" s="1439"/>
      <c r="FU233" s="1422">
        <v>0</v>
      </c>
      <c r="FV233" s="1439"/>
      <c r="FW233" s="1420">
        <v>1197265.25</v>
      </c>
      <c r="FX233" s="1439"/>
      <c r="FY233" s="1420">
        <v>724135.56</v>
      </c>
      <c r="FZ233" s="1439"/>
      <c r="GA233" s="1422">
        <v>0</v>
      </c>
      <c r="GB233" s="1439"/>
    </row>
    <row r="234" spans="1:184" ht="12.75" customHeight="1" thickBot="1">
      <c r="A234" s="1418" t="s">
        <v>151</v>
      </c>
      <c r="B234" s="1418" t="s">
        <v>152</v>
      </c>
      <c r="C234" s="1420">
        <v>185.56</v>
      </c>
      <c r="D234" s="1439"/>
      <c r="E234" s="1420">
        <v>1218.0899999999999</v>
      </c>
      <c r="F234" s="1439"/>
      <c r="G234" s="1421">
        <v>0.04</v>
      </c>
      <c r="H234" s="1439"/>
      <c r="I234" s="1420">
        <v>1293.56</v>
      </c>
      <c r="J234" s="1439"/>
      <c r="K234" s="1420">
        <v>1310.33</v>
      </c>
      <c r="L234" s="1439"/>
      <c r="M234" s="1422">
        <v>89592853</v>
      </c>
      <c r="N234" s="1439"/>
      <c r="O234" s="1420">
        <v>27.22</v>
      </c>
      <c r="P234" s="1439"/>
      <c r="Q234" s="1422">
        <v>25</v>
      </c>
      <c r="R234" s="1439"/>
      <c r="S234" s="1420">
        <v>2.2200000000000002</v>
      </c>
      <c r="T234" s="1439"/>
      <c r="U234" s="1422">
        <v>0</v>
      </c>
      <c r="V234" s="1439"/>
      <c r="W234" s="1420">
        <v>8.7799999999999994</v>
      </c>
      <c r="X234" s="1439"/>
      <c r="Y234" s="1422">
        <v>36</v>
      </c>
      <c r="Z234" s="1439"/>
      <c r="AA234" s="1422">
        <v>2775000</v>
      </c>
      <c r="AB234" s="1455"/>
      <c r="AC234" s="1424">
        <v>2984108.41</v>
      </c>
      <c r="AD234" s="1422">
        <v>2609940</v>
      </c>
      <c r="AE234" s="1420">
        <v>912588.22</v>
      </c>
      <c r="AF234" s="1422">
        <v>692025</v>
      </c>
      <c r="AG234" s="1420">
        <v>5914.85</v>
      </c>
      <c r="AH234" s="1456">
        <v>6000</v>
      </c>
      <c r="AI234" s="1428">
        <v>5784326</v>
      </c>
      <c r="AJ234" s="1422">
        <v>5767755</v>
      </c>
      <c r="AK234" s="1422">
        <v>43324</v>
      </c>
      <c r="AL234" s="1422">
        <v>40000</v>
      </c>
      <c r="AM234" s="1422">
        <v>10851</v>
      </c>
      <c r="AN234" s="1422">
        <v>0</v>
      </c>
      <c r="AO234" s="1422">
        <v>0</v>
      </c>
      <c r="AP234" s="1422">
        <v>35574</v>
      </c>
      <c r="AQ234" s="1422">
        <v>0</v>
      </c>
      <c r="AR234" s="1422">
        <v>0</v>
      </c>
      <c r="AS234" s="1422">
        <v>0</v>
      </c>
      <c r="AT234" s="1422">
        <v>0</v>
      </c>
      <c r="AU234" s="1422">
        <v>63981</v>
      </c>
      <c r="AV234" s="1422">
        <v>51185</v>
      </c>
      <c r="AW234" s="1422">
        <v>0</v>
      </c>
      <c r="AX234" s="1422">
        <v>0</v>
      </c>
      <c r="AY234" s="1420">
        <v>9805093.4800000004</v>
      </c>
      <c r="AZ234" s="1422">
        <v>9202479</v>
      </c>
      <c r="BA234" s="1422">
        <v>0</v>
      </c>
      <c r="BB234" s="1422">
        <v>0</v>
      </c>
      <c r="BC234" s="1422">
        <v>54195</v>
      </c>
      <c r="BD234" s="1422">
        <v>55041</v>
      </c>
      <c r="BE234" s="1422">
        <v>2400</v>
      </c>
      <c r="BF234" s="1422">
        <v>4800</v>
      </c>
      <c r="BG234" s="1422">
        <v>600</v>
      </c>
      <c r="BH234" s="1422">
        <v>600</v>
      </c>
      <c r="BI234" s="1422">
        <v>79188</v>
      </c>
      <c r="BJ234" s="1422">
        <v>79000</v>
      </c>
      <c r="BK234" s="1422">
        <v>14357</v>
      </c>
      <c r="BL234" s="1422">
        <v>14000</v>
      </c>
      <c r="BM234" s="1422">
        <v>901728</v>
      </c>
      <c r="BN234" s="1422">
        <v>933064</v>
      </c>
      <c r="BO234" s="1420">
        <v>5367.96</v>
      </c>
      <c r="BP234" s="1422">
        <v>2000</v>
      </c>
      <c r="BQ234" s="1420">
        <v>44812.84</v>
      </c>
      <c r="BR234" s="1422">
        <v>27897</v>
      </c>
      <c r="BS234" s="1420">
        <v>5459.41</v>
      </c>
      <c r="BT234" s="1422">
        <v>3500</v>
      </c>
      <c r="BU234" s="1422">
        <v>0</v>
      </c>
      <c r="BV234" s="1422">
        <v>0</v>
      </c>
      <c r="BW234" s="1422">
        <v>194400</v>
      </c>
      <c r="BX234" s="1422">
        <v>194400</v>
      </c>
      <c r="BY234" s="1422">
        <v>0</v>
      </c>
      <c r="BZ234" s="1422">
        <v>0</v>
      </c>
      <c r="CA234" s="1420">
        <v>381950.11</v>
      </c>
      <c r="CB234" s="1422">
        <v>216155</v>
      </c>
      <c r="CC234" s="1420">
        <v>1684458.32</v>
      </c>
      <c r="CD234" s="1422">
        <v>1530457</v>
      </c>
      <c r="CE234" s="1420">
        <v>2432498.66</v>
      </c>
      <c r="CF234" s="1422">
        <v>1977693</v>
      </c>
      <c r="CG234" s="1422">
        <v>0</v>
      </c>
      <c r="CH234" s="1422">
        <v>0</v>
      </c>
      <c r="CI234" s="1422">
        <v>0</v>
      </c>
      <c r="CJ234" s="1422">
        <v>0</v>
      </c>
      <c r="CK234" s="1422">
        <v>0</v>
      </c>
      <c r="CL234" s="1422">
        <v>0</v>
      </c>
      <c r="CM234" s="1422">
        <v>0</v>
      </c>
      <c r="CN234" s="1422">
        <v>0</v>
      </c>
      <c r="CO234" s="1422">
        <v>0</v>
      </c>
      <c r="CP234" s="1422">
        <v>0</v>
      </c>
      <c r="CQ234" s="1422">
        <v>0</v>
      </c>
      <c r="CR234" s="1422">
        <v>0</v>
      </c>
      <c r="CS234" s="1422">
        <v>0</v>
      </c>
      <c r="CT234" s="1422">
        <v>0</v>
      </c>
      <c r="CU234" s="1420">
        <v>13922050.460000001</v>
      </c>
      <c r="CV234" s="1422">
        <v>12710629</v>
      </c>
      <c r="CW234" s="1420">
        <v>4937337.18</v>
      </c>
      <c r="CX234" s="1422">
        <v>5062204</v>
      </c>
      <c r="CY234" s="1420">
        <v>606687.59</v>
      </c>
      <c r="CZ234" s="1422">
        <v>707852</v>
      </c>
      <c r="DA234" s="1420">
        <v>386540.44</v>
      </c>
      <c r="DB234" s="1422">
        <v>395745</v>
      </c>
      <c r="DC234" s="1422">
        <v>0</v>
      </c>
      <c r="DD234" s="1422">
        <v>0</v>
      </c>
      <c r="DE234" s="1420">
        <v>599354.16</v>
      </c>
      <c r="DF234" s="1422">
        <v>456376</v>
      </c>
      <c r="DG234" s="1420">
        <v>504316.93</v>
      </c>
      <c r="DH234" s="1422">
        <v>486199</v>
      </c>
      <c r="DI234" s="1420">
        <v>7034236.2999999998</v>
      </c>
      <c r="DJ234" s="1422">
        <v>7108376</v>
      </c>
      <c r="DK234" s="1420">
        <v>304577.18</v>
      </c>
      <c r="DL234" s="1422">
        <v>335316</v>
      </c>
      <c r="DM234" s="1420">
        <v>327717.69</v>
      </c>
      <c r="DN234" s="1422">
        <v>480350</v>
      </c>
      <c r="DO234" s="1420">
        <v>1247601.3899999999</v>
      </c>
      <c r="DP234" s="1422">
        <v>1314543</v>
      </c>
      <c r="DQ234" s="1420">
        <v>395141.4</v>
      </c>
      <c r="DR234" s="1422">
        <v>444207</v>
      </c>
      <c r="DS234" s="1420">
        <v>27617.62</v>
      </c>
      <c r="DT234" s="1422">
        <v>14977</v>
      </c>
      <c r="DU234" s="1420">
        <v>2302655.2799999998</v>
      </c>
      <c r="DV234" s="1422">
        <v>2589393</v>
      </c>
      <c r="DW234" s="1420">
        <v>592842.96</v>
      </c>
      <c r="DX234" s="1422">
        <v>679174</v>
      </c>
      <c r="DY234" s="1420">
        <v>516223.47</v>
      </c>
      <c r="DZ234" s="1420">
        <v>628735.64</v>
      </c>
      <c r="EA234" s="1420">
        <v>528235.55000000005</v>
      </c>
      <c r="EB234" s="1422">
        <v>568041</v>
      </c>
      <c r="EC234" s="1420">
        <v>1637301.98</v>
      </c>
      <c r="ED234" s="1420">
        <v>1875950.64</v>
      </c>
      <c r="EE234" s="1420">
        <v>1074120.26</v>
      </c>
      <c r="EF234" s="1422">
        <v>1135713</v>
      </c>
      <c r="EG234" s="1422">
        <v>0</v>
      </c>
      <c r="EH234" s="1422">
        <v>0</v>
      </c>
      <c r="EI234" s="1420">
        <v>152013.19</v>
      </c>
      <c r="EJ234" s="1422">
        <v>156551</v>
      </c>
      <c r="EK234" s="1422">
        <v>0</v>
      </c>
      <c r="EL234" s="1422">
        <v>0</v>
      </c>
      <c r="EM234" s="1420">
        <v>1226133.45</v>
      </c>
      <c r="EN234" s="1422">
        <v>1292264</v>
      </c>
      <c r="EO234" s="1420">
        <v>1006987.57</v>
      </c>
      <c r="EP234" s="1422">
        <v>1782441</v>
      </c>
      <c r="EQ234" s="1420">
        <v>447331.98</v>
      </c>
      <c r="ER234" s="1422">
        <v>447854</v>
      </c>
      <c r="ES234" s="1422">
        <v>0</v>
      </c>
      <c r="ET234" s="1422">
        <v>0</v>
      </c>
      <c r="EU234" s="1420">
        <v>13654646.560000001</v>
      </c>
      <c r="EV234" s="1420">
        <v>15096278.640000001</v>
      </c>
      <c r="EW234" s="1420">
        <v>1338378.1499999999</v>
      </c>
      <c r="EX234" s="1422">
        <v>2194253</v>
      </c>
      <c r="EY234" s="1420">
        <v>447331.98</v>
      </c>
      <c r="EZ234" s="1422">
        <v>447854</v>
      </c>
      <c r="FA234" s="1420">
        <v>11868936.43</v>
      </c>
      <c r="FB234" s="1420">
        <v>12454171.640000001</v>
      </c>
      <c r="FC234" s="1420">
        <v>775524.88</v>
      </c>
      <c r="FD234" s="1439"/>
      <c r="FE234" s="1420">
        <v>11093411.550000001</v>
      </c>
      <c r="FF234" s="1439"/>
      <c r="FG234" s="1422">
        <v>9107</v>
      </c>
      <c r="FH234" s="1439"/>
      <c r="FI234" s="1420">
        <v>84.5</v>
      </c>
      <c r="FJ234" s="1439"/>
      <c r="FK234" s="1422">
        <v>49869</v>
      </c>
      <c r="FL234" s="1439"/>
      <c r="FM234" s="1420">
        <v>90.35</v>
      </c>
      <c r="FN234" s="1439"/>
      <c r="FO234" s="1422">
        <v>52022</v>
      </c>
      <c r="FP234" s="1439"/>
      <c r="FQ234" s="1420">
        <v>8521956.8200000003</v>
      </c>
      <c r="FR234" s="1439"/>
      <c r="FS234" s="1420">
        <v>69254.720000000001</v>
      </c>
      <c r="FT234" s="1439"/>
      <c r="FU234" s="1422">
        <v>0</v>
      </c>
      <c r="FV234" s="1439"/>
      <c r="FW234" s="1420">
        <v>8452702.0999999996</v>
      </c>
      <c r="FX234" s="1439"/>
      <c r="FY234" s="1420">
        <v>274752.28999999998</v>
      </c>
      <c r="FZ234" s="1439"/>
      <c r="GA234" s="1420">
        <v>4070.68</v>
      </c>
      <c r="GB234" s="1439"/>
    </row>
    <row r="235" spans="1:184" ht="12.75" customHeight="1" thickBot="1">
      <c r="A235" s="1418" t="s">
        <v>153</v>
      </c>
      <c r="B235" s="1418" t="s">
        <v>154</v>
      </c>
      <c r="C235" s="1420">
        <v>105.9</v>
      </c>
      <c r="D235" s="1439"/>
      <c r="E235" s="1420">
        <v>709.8</v>
      </c>
      <c r="F235" s="1439"/>
      <c r="G235" s="1421">
        <v>0.04</v>
      </c>
      <c r="H235" s="1439"/>
      <c r="I235" s="1420">
        <v>745.23</v>
      </c>
      <c r="J235" s="1439"/>
      <c r="K235" s="1420">
        <v>736.66</v>
      </c>
      <c r="L235" s="1439"/>
      <c r="M235" s="1422">
        <v>78716660</v>
      </c>
      <c r="N235" s="1439"/>
      <c r="O235" s="1422">
        <v>25</v>
      </c>
      <c r="P235" s="1439"/>
      <c r="Q235" s="1422">
        <v>25</v>
      </c>
      <c r="R235" s="1439"/>
      <c r="S235" s="1422">
        <v>0</v>
      </c>
      <c r="T235" s="1439"/>
      <c r="U235" s="1422">
        <v>0</v>
      </c>
      <c r="V235" s="1439"/>
      <c r="W235" s="1420">
        <v>16.399999999999999</v>
      </c>
      <c r="X235" s="1439"/>
      <c r="Y235" s="1420">
        <v>41.4</v>
      </c>
      <c r="Z235" s="1439"/>
      <c r="AA235" s="1420">
        <v>11016131.17</v>
      </c>
      <c r="AB235" s="1455"/>
      <c r="AC235" s="1424">
        <v>2180381.9</v>
      </c>
      <c r="AD235" s="1422">
        <v>3223250</v>
      </c>
      <c r="AE235" s="1420">
        <v>669761.19999999995</v>
      </c>
      <c r="AF235" s="1422">
        <v>388327</v>
      </c>
      <c r="AG235" s="1420">
        <v>3308.39</v>
      </c>
      <c r="AH235" s="1456">
        <v>0</v>
      </c>
      <c r="AI235" s="1428">
        <v>3174721</v>
      </c>
      <c r="AJ235" s="1422">
        <v>2650367</v>
      </c>
      <c r="AK235" s="1422">
        <v>37919</v>
      </c>
      <c r="AL235" s="1422">
        <v>0</v>
      </c>
      <c r="AM235" s="1422">
        <v>52867</v>
      </c>
      <c r="AN235" s="1422">
        <v>0</v>
      </c>
      <c r="AO235" s="1422">
        <v>0</v>
      </c>
      <c r="AP235" s="1422">
        <v>0</v>
      </c>
      <c r="AQ235" s="1422">
        <v>0</v>
      </c>
      <c r="AR235" s="1422">
        <v>0</v>
      </c>
      <c r="AS235" s="1422">
        <v>0</v>
      </c>
      <c r="AT235" s="1422">
        <v>0</v>
      </c>
      <c r="AU235" s="1422">
        <v>60613</v>
      </c>
      <c r="AV235" s="1422">
        <v>48490</v>
      </c>
      <c r="AW235" s="1422">
        <v>0</v>
      </c>
      <c r="AX235" s="1422">
        <v>0</v>
      </c>
      <c r="AY235" s="1420">
        <v>6179571.4900000002</v>
      </c>
      <c r="AZ235" s="1422">
        <v>6310434</v>
      </c>
      <c r="BA235" s="1422">
        <v>0</v>
      </c>
      <c r="BB235" s="1422">
        <v>0</v>
      </c>
      <c r="BC235" s="1422">
        <v>30468</v>
      </c>
      <c r="BD235" s="1422">
        <v>31589</v>
      </c>
      <c r="BE235" s="1422">
        <v>0</v>
      </c>
      <c r="BF235" s="1422">
        <v>0</v>
      </c>
      <c r="BG235" s="1422">
        <v>100</v>
      </c>
      <c r="BH235" s="1422">
        <v>1000</v>
      </c>
      <c r="BI235" s="1422">
        <v>60579</v>
      </c>
      <c r="BJ235" s="1422">
        <v>28476</v>
      </c>
      <c r="BK235" s="1422">
        <v>0</v>
      </c>
      <c r="BL235" s="1422">
        <v>0</v>
      </c>
      <c r="BM235" s="1422">
        <v>210304</v>
      </c>
      <c r="BN235" s="1422">
        <v>219098</v>
      </c>
      <c r="BO235" s="1420">
        <v>3017.83</v>
      </c>
      <c r="BP235" s="1422">
        <v>0</v>
      </c>
      <c r="BQ235" s="1420">
        <v>81152.63</v>
      </c>
      <c r="BR235" s="1422">
        <v>32000</v>
      </c>
      <c r="BS235" s="1420">
        <v>2771.43</v>
      </c>
      <c r="BT235" s="1422">
        <v>3500</v>
      </c>
      <c r="BU235" s="1422">
        <v>0</v>
      </c>
      <c r="BV235" s="1422">
        <v>0</v>
      </c>
      <c r="BW235" s="1422">
        <v>131220</v>
      </c>
      <c r="BX235" s="1422">
        <v>131220</v>
      </c>
      <c r="BY235" s="1422">
        <v>0</v>
      </c>
      <c r="BZ235" s="1422">
        <v>0</v>
      </c>
      <c r="CA235" s="1420">
        <v>1204406.67</v>
      </c>
      <c r="CB235" s="1422">
        <v>14093</v>
      </c>
      <c r="CC235" s="1420">
        <v>1724019.56</v>
      </c>
      <c r="CD235" s="1422">
        <v>460976</v>
      </c>
      <c r="CE235" s="1420">
        <v>1143877.19</v>
      </c>
      <c r="CF235" s="1422">
        <v>963583</v>
      </c>
      <c r="CG235" s="1420">
        <v>2171371.9300000002</v>
      </c>
      <c r="CH235" s="1422">
        <v>0</v>
      </c>
      <c r="CI235" s="1422">
        <v>0</v>
      </c>
      <c r="CJ235" s="1422">
        <v>0</v>
      </c>
      <c r="CK235" s="1422">
        <v>4002</v>
      </c>
      <c r="CL235" s="1422">
        <v>0</v>
      </c>
      <c r="CM235" s="1420">
        <v>14987.67</v>
      </c>
      <c r="CN235" s="1422">
        <v>4020</v>
      </c>
      <c r="CO235" s="1420">
        <v>18735.689999999999</v>
      </c>
      <c r="CP235" s="1422">
        <v>5671</v>
      </c>
      <c r="CQ235" s="1422">
        <v>0</v>
      </c>
      <c r="CR235" s="1422">
        <v>20832</v>
      </c>
      <c r="CS235" s="1420">
        <v>2209097.29</v>
      </c>
      <c r="CT235" s="1422">
        <v>30523</v>
      </c>
      <c r="CU235" s="1420">
        <v>11256565.529999999</v>
      </c>
      <c r="CV235" s="1422">
        <v>7765516</v>
      </c>
      <c r="CW235" s="1420">
        <v>3014047.44</v>
      </c>
      <c r="CX235" s="1422">
        <v>2916343</v>
      </c>
      <c r="CY235" s="1420">
        <v>344017.71</v>
      </c>
      <c r="CZ235" s="1422">
        <v>485488</v>
      </c>
      <c r="DA235" s="1420">
        <v>324183.96000000002</v>
      </c>
      <c r="DB235" s="1422">
        <v>323281</v>
      </c>
      <c r="DC235" s="1422">
        <v>0</v>
      </c>
      <c r="DD235" s="1422">
        <v>0</v>
      </c>
      <c r="DE235" s="1420">
        <v>155712.6</v>
      </c>
      <c r="DF235" s="1422">
        <v>194651</v>
      </c>
      <c r="DG235" s="1420">
        <v>170441.95</v>
      </c>
      <c r="DH235" s="1422">
        <v>143388</v>
      </c>
      <c r="DI235" s="1420">
        <v>4008403.66</v>
      </c>
      <c r="DJ235" s="1422">
        <v>4063151</v>
      </c>
      <c r="DK235" s="1420">
        <v>181623.82</v>
      </c>
      <c r="DL235" s="1422">
        <v>217374</v>
      </c>
      <c r="DM235" s="1420">
        <v>141466.78</v>
      </c>
      <c r="DN235" s="1422">
        <v>184844</v>
      </c>
      <c r="DO235" s="1420">
        <v>586463.02</v>
      </c>
      <c r="DP235" s="1422">
        <v>815971</v>
      </c>
      <c r="DQ235" s="1420">
        <v>306607.65000000002</v>
      </c>
      <c r="DR235" s="1422">
        <v>268811</v>
      </c>
      <c r="DS235" s="1422">
        <v>4002</v>
      </c>
      <c r="DT235" s="1422">
        <v>0</v>
      </c>
      <c r="DU235" s="1420">
        <v>1220163.27</v>
      </c>
      <c r="DV235" s="1422">
        <v>1487000</v>
      </c>
      <c r="DW235" s="1420">
        <v>309305.32</v>
      </c>
      <c r="DX235" s="1422">
        <v>349792</v>
      </c>
      <c r="DY235" s="1420">
        <v>539519.44999999995</v>
      </c>
      <c r="DZ235" s="1422">
        <v>544769</v>
      </c>
      <c r="EA235" s="1420">
        <v>331377.40000000002</v>
      </c>
      <c r="EB235" s="1422">
        <v>358440</v>
      </c>
      <c r="EC235" s="1420">
        <v>1180202.17</v>
      </c>
      <c r="ED235" s="1422">
        <v>1253001</v>
      </c>
      <c r="EE235" s="1420">
        <v>410948.39</v>
      </c>
      <c r="EF235" s="1422">
        <v>491176</v>
      </c>
      <c r="EG235" s="1420">
        <v>168.57</v>
      </c>
      <c r="EH235" s="1422">
        <v>0</v>
      </c>
      <c r="EI235" s="1420">
        <v>199146.36</v>
      </c>
      <c r="EJ235" s="1422">
        <v>224870</v>
      </c>
      <c r="EK235" s="1422">
        <v>0</v>
      </c>
      <c r="EL235" s="1422">
        <v>0</v>
      </c>
      <c r="EM235" s="1420">
        <v>610263.31999999995</v>
      </c>
      <c r="EN235" s="1422">
        <v>716046</v>
      </c>
      <c r="EO235" s="1420">
        <v>5087828.67</v>
      </c>
      <c r="EP235" s="1422">
        <v>2140335</v>
      </c>
      <c r="EQ235" s="1422">
        <v>623301</v>
      </c>
      <c r="ER235" s="1422">
        <v>754803</v>
      </c>
      <c r="ES235" s="1422">
        <v>0</v>
      </c>
      <c r="ET235" s="1422">
        <v>0</v>
      </c>
      <c r="EU235" s="1420">
        <v>12730162.09</v>
      </c>
      <c r="EV235" s="1422">
        <v>10414336</v>
      </c>
      <c r="EW235" s="1420">
        <v>5262302.66</v>
      </c>
      <c r="EX235" s="1422">
        <v>2252433</v>
      </c>
      <c r="EY235" s="1422">
        <v>623301</v>
      </c>
      <c r="EZ235" s="1422">
        <v>754803</v>
      </c>
      <c r="FA235" s="1420">
        <v>6844558.4299999997</v>
      </c>
      <c r="FB235" s="1422">
        <v>7407100</v>
      </c>
      <c r="FC235" s="1420">
        <v>744600.76</v>
      </c>
      <c r="FD235" s="1439"/>
      <c r="FE235" s="1420">
        <v>6099957.6699999999</v>
      </c>
      <c r="FF235" s="1439"/>
      <c r="FG235" s="1422">
        <v>8593</v>
      </c>
      <c r="FH235" s="1439"/>
      <c r="FI235" s="1420">
        <v>58.91</v>
      </c>
      <c r="FJ235" s="1439"/>
      <c r="FK235" s="1422">
        <v>43359</v>
      </c>
      <c r="FL235" s="1439"/>
      <c r="FM235" s="1420">
        <v>64.540000000000006</v>
      </c>
      <c r="FN235" s="1439"/>
      <c r="FO235" s="1422">
        <v>46148</v>
      </c>
      <c r="FP235" s="1439"/>
      <c r="FQ235" s="1420">
        <v>946980.4</v>
      </c>
      <c r="FR235" s="1439"/>
      <c r="FS235" s="1420">
        <v>25814.880000000001</v>
      </c>
      <c r="FT235" s="1439"/>
      <c r="FU235" s="1422">
        <v>0</v>
      </c>
      <c r="FV235" s="1439"/>
      <c r="FW235" s="1420">
        <v>921165.52</v>
      </c>
      <c r="FX235" s="1439"/>
      <c r="FY235" s="1420">
        <v>2212651.88</v>
      </c>
      <c r="FZ235" s="1439"/>
      <c r="GA235" s="1422">
        <v>0</v>
      </c>
      <c r="GB235" s="1439"/>
    </row>
    <row r="236" spans="1:184" ht="12.75" customHeight="1" thickBot="1">
      <c r="A236" s="1418" t="s">
        <v>155</v>
      </c>
      <c r="B236" s="1418" t="s">
        <v>156</v>
      </c>
      <c r="C236" s="1420">
        <v>116.68</v>
      </c>
      <c r="D236" s="1439"/>
      <c r="E236" s="1420">
        <v>779.47</v>
      </c>
      <c r="F236" s="1439"/>
      <c r="G236" s="1421">
        <v>0.02</v>
      </c>
      <c r="H236" s="1439"/>
      <c r="I236" s="1420">
        <v>815.1</v>
      </c>
      <c r="J236" s="1439"/>
      <c r="K236" s="1420">
        <v>815.56</v>
      </c>
      <c r="L236" s="1439"/>
      <c r="M236" s="1422">
        <v>64501096</v>
      </c>
      <c r="N236" s="1439"/>
      <c r="O236" s="1422">
        <v>25</v>
      </c>
      <c r="P236" s="1439"/>
      <c r="Q236" s="1422">
        <v>25</v>
      </c>
      <c r="R236" s="1439"/>
      <c r="S236" s="1422">
        <v>0</v>
      </c>
      <c r="T236" s="1439"/>
      <c r="U236" s="1422">
        <v>0</v>
      </c>
      <c r="V236" s="1439"/>
      <c r="W236" s="1420">
        <v>14.3</v>
      </c>
      <c r="X236" s="1439"/>
      <c r="Y236" s="1420">
        <v>39.299999999999997</v>
      </c>
      <c r="Z236" s="1439"/>
      <c r="AA236" s="1422">
        <v>5205000</v>
      </c>
      <c r="AB236" s="1455"/>
      <c r="AC236" s="1424">
        <v>1918675.31</v>
      </c>
      <c r="AD236" s="1422">
        <v>2281403</v>
      </c>
      <c r="AE236" s="1420">
        <v>485355.83</v>
      </c>
      <c r="AF236" s="1422">
        <v>134448</v>
      </c>
      <c r="AG236" s="1422">
        <v>0</v>
      </c>
      <c r="AH236" s="1456">
        <v>0</v>
      </c>
      <c r="AI236" s="1428">
        <v>3802080</v>
      </c>
      <c r="AJ236" s="1422">
        <v>3439288</v>
      </c>
      <c r="AK236" s="1422">
        <v>0</v>
      </c>
      <c r="AL236" s="1422">
        <v>0</v>
      </c>
      <c r="AM236" s="1422">
        <v>22511</v>
      </c>
      <c r="AN236" s="1422">
        <v>0</v>
      </c>
      <c r="AO236" s="1422">
        <v>0</v>
      </c>
      <c r="AP236" s="1422">
        <v>0</v>
      </c>
      <c r="AQ236" s="1422">
        <v>0</v>
      </c>
      <c r="AR236" s="1422">
        <v>0</v>
      </c>
      <c r="AS236" s="1422">
        <v>0</v>
      </c>
      <c r="AT236" s="1422">
        <v>0</v>
      </c>
      <c r="AU236" s="1422">
        <v>32840</v>
      </c>
      <c r="AV236" s="1422">
        <v>26272</v>
      </c>
      <c r="AW236" s="1422">
        <v>0</v>
      </c>
      <c r="AX236" s="1422">
        <v>0</v>
      </c>
      <c r="AY236" s="1420">
        <v>6261462.1399999997</v>
      </c>
      <c r="AZ236" s="1422">
        <v>5881411</v>
      </c>
      <c r="BA236" s="1422">
        <v>0</v>
      </c>
      <c r="BB236" s="1422">
        <v>0</v>
      </c>
      <c r="BC236" s="1422">
        <v>33732</v>
      </c>
      <c r="BD236" s="1422">
        <v>34628</v>
      </c>
      <c r="BE236" s="1420">
        <v>4692.1899999999996</v>
      </c>
      <c r="BF236" s="1422">
        <v>1200</v>
      </c>
      <c r="BG236" s="1422">
        <v>50</v>
      </c>
      <c r="BH236" s="1422">
        <v>0</v>
      </c>
      <c r="BI236" s="1422">
        <v>32220</v>
      </c>
      <c r="BJ236" s="1422">
        <v>13927</v>
      </c>
      <c r="BK236" s="1422">
        <v>8497</v>
      </c>
      <c r="BL236" s="1422">
        <v>7000</v>
      </c>
      <c r="BM236" s="1422">
        <v>212784</v>
      </c>
      <c r="BN236" s="1422">
        <v>222134</v>
      </c>
      <c r="BO236" s="1420">
        <v>3341.08</v>
      </c>
      <c r="BP236" s="1422">
        <v>0</v>
      </c>
      <c r="BQ236" s="1420">
        <v>15708.88</v>
      </c>
      <c r="BR236" s="1422">
        <v>13000</v>
      </c>
      <c r="BS236" s="1420">
        <v>2982.57</v>
      </c>
      <c r="BT236" s="1422">
        <v>0</v>
      </c>
      <c r="BU236" s="1422">
        <v>0</v>
      </c>
      <c r="BV236" s="1422">
        <v>0</v>
      </c>
      <c r="BW236" s="1422">
        <v>105494</v>
      </c>
      <c r="BX236" s="1422">
        <v>104480</v>
      </c>
      <c r="BY236" s="1422">
        <v>0</v>
      </c>
      <c r="BZ236" s="1422">
        <v>0</v>
      </c>
      <c r="CA236" s="1420">
        <v>346189.53</v>
      </c>
      <c r="CB236" s="1422">
        <v>39378</v>
      </c>
      <c r="CC236" s="1420">
        <v>765691.25</v>
      </c>
      <c r="CD236" s="1422">
        <v>435747</v>
      </c>
      <c r="CE236" s="1420">
        <v>1455922.27</v>
      </c>
      <c r="CF236" s="1420">
        <v>1265630.96</v>
      </c>
      <c r="CG236" s="1422">
        <v>0</v>
      </c>
      <c r="CH236" s="1422">
        <v>0</v>
      </c>
      <c r="CI236" s="1422">
        <v>0</v>
      </c>
      <c r="CJ236" s="1422">
        <v>0</v>
      </c>
      <c r="CK236" s="1422">
        <v>0</v>
      </c>
      <c r="CL236" s="1422">
        <v>0</v>
      </c>
      <c r="CM236" s="1422">
        <v>200</v>
      </c>
      <c r="CN236" s="1422">
        <v>0</v>
      </c>
      <c r="CO236" s="1422">
        <v>0</v>
      </c>
      <c r="CP236" s="1422">
        <v>0</v>
      </c>
      <c r="CQ236" s="1422">
        <v>0</v>
      </c>
      <c r="CR236" s="1422">
        <v>0</v>
      </c>
      <c r="CS236" s="1422">
        <v>200</v>
      </c>
      <c r="CT236" s="1422">
        <v>0</v>
      </c>
      <c r="CU236" s="1420">
        <v>8483275.6600000001</v>
      </c>
      <c r="CV236" s="1420">
        <v>7582788.96</v>
      </c>
      <c r="CW236" s="1420">
        <v>2750105.34</v>
      </c>
      <c r="CX236" s="1422">
        <v>2680059</v>
      </c>
      <c r="CY236" s="1420">
        <v>406552.15</v>
      </c>
      <c r="CZ236" s="1420">
        <v>528362.27</v>
      </c>
      <c r="DA236" s="1420">
        <v>334220.09999999998</v>
      </c>
      <c r="DB236" s="1422">
        <v>338315</v>
      </c>
      <c r="DC236" s="1422">
        <v>0</v>
      </c>
      <c r="DD236" s="1422">
        <v>0</v>
      </c>
      <c r="DE236" s="1420">
        <v>203841.34</v>
      </c>
      <c r="DF236" s="1420">
        <v>263643.24</v>
      </c>
      <c r="DG236" s="1420">
        <v>350237.89</v>
      </c>
      <c r="DH236" s="1422">
        <v>387775</v>
      </c>
      <c r="DI236" s="1420">
        <v>4044956.82</v>
      </c>
      <c r="DJ236" s="1420">
        <v>4198154.51</v>
      </c>
      <c r="DK236" s="1420">
        <v>161590.22</v>
      </c>
      <c r="DL236" s="1422">
        <v>170571</v>
      </c>
      <c r="DM236" s="1420">
        <v>150281.01</v>
      </c>
      <c r="DN236" s="1422">
        <v>147409</v>
      </c>
      <c r="DO236" s="1420">
        <v>681446.75</v>
      </c>
      <c r="DP236" s="1420">
        <v>985321.92</v>
      </c>
      <c r="DQ236" s="1420">
        <v>379979.44</v>
      </c>
      <c r="DR236" s="1422">
        <v>508083</v>
      </c>
      <c r="DS236" s="1420">
        <v>90262.6</v>
      </c>
      <c r="DT236" s="1422">
        <v>16213</v>
      </c>
      <c r="DU236" s="1420">
        <v>1463560.02</v>
      </c>
      <c r="DV236" s="1420">
        <v>1827597.92</v>
      </c>
      <c r="DW236" s="1420">
        <v>225592.18</v>
      </c>
      <c r="DX236" s="1422">
        <v>298127</v>
      </c>
      <c r="DY236" s="1420">
        <v>769070.79</v>
      </c>
      <c r="DZ236" s="1422">
        <v>535447</v>
      </c>
      <c r="EA236" s="1420">
        <v>257688.35</v>
      </c>
      <c r="EB236" s="1422">
        <v>251742</v>
      </c>
      <c r="EC236" s="1420">
        <v>1252351.32</v>
      </c>
      <c r="ED236" s="1422">
        <v>1085316</v>
      </c>
      <c r="EE236" s="1420">
        <v>398153.22</v>
      </c>
      <c r="EF236" s="1422">
        <v>397742</v>
      </c>
      <c r="EG236" s="1420">
        <v>467.98</v>
      </c>
      <c r="EH236" s="1422">
        <v>0</v>
      </c>
      <c r="EI236" s="1420">
        <v>37009.379999999997</v>
      </c>
      <c r="EJ236" s="1422">
        <v>3000</v>
      </c>
      <c r="EK236" s="1422">
        <v>0</v>
      </c>
      <c r="EL236" s="1422">
        <v>0</v>
      </c>
      <c r="EM236" s="1420">
        <v>435630.58</v>
      </c>
      <c r="EN236" s="1422">
        <v>400742</v>
      </c>
      <c r="EO236" s="1420">
        <v>451942.27</v>
      </c>
      <c r="EP236" s="1420">
        <v>167323.53</v>
      </c>
      <c r="EQ236" s="1420">
        <v>330207.5</v>
      </c>
      <c r="ER236" s="1422">
        <v>218834</v>
      </c>
      <c r="ES236" s="1422">
        <v>74194</v>
      </c>
      <c r="ET236" s="1422">
        <v>0</v>
      </c>
      <c r="EU236" s="1420">
        <v>8052842.5099999998</v>
      </c>
      <c r="EV236" s="1420">
        <v>7897967.96</v>
      </c>
      <c r="EW236" s="1420">
        <v>603249.75</v>
      </c>
      <c r="EX236" s="1420">
        <v>437493.53</v>
      </c>
      <c r="EY236" s="1420">
        <v>330207.5</v>
      </c>
      <c r="EZ236" s="1422">
        <v>218834</v>
      </c>
      <c r="FA236" s="1420">
        <v>7119385.2599999998</v>
      </c>
      <c r="FB236" s="1420">
        <v>7241640.4299999997</v>
      </c>
      <c r="FC236" s="1420">
        <v>593204.18000000005</v>
      </c>
      <c r="FD236" s="1439"/>
      <c r="FE236" s="1420">
        <v>6526181.0800000001</v>
      </c>
      <c r="FF236" s="1439"/>
      <c r="FG236" s="1422">
        <v>8372</v>
      </c>
      <c r="FH236" s="1439"/>
      <c r="FI236" s="1420">
        <v>58.88</v>
      </c>
      <c r="FJ236" s="1439"/>
      <c r="FK236" s="1422">
        <v>43021</v>
      </c>
      <c r="FL236" s="1439"/>
      <c r="FM236" s="1420">
        <v>61.05</v>
      </c>
      <c r="FN236" s="1439"/>
      <c r="FO236" s="1422">
        <v>44322</v>
      </c>
      <c r="FP236" s="1439"/>
      <c r="FQ236" s="1420">
        <v>1848723.02</v>
      </c>
      <c r="FR236" s="1439"/>
      <c r="FS236" s="1420">
        <v>125725.98</v>
      </c>
      <c r="FT236" s="1439"/>
      <c r="FU236" s="1422">
        <v>0</v>
      </c>
      <c r="FV236" s="1439"/>
      <c r="FW236" s="1420">
        <v>1722997.04</v>
      </c>
      <c r="FX236" s="1439"/>
      <c r="FY236" s="1420">
        <v>1333248.47</v>
      </c>
      <c r="FZ236" s="1439"/>
      <c r="GA236" s="1422">
        <v>0</v>
      </c>
      <c r="GB236" s="1439"/>
    </row>
    <row r="237" spans="1:184" ht="12.75" customHeight="1" thickBot="1">
      <c r="A237" s="1418" t="s">
        <v>157</v>
      </c>
      <c r="B237" s="1418" t="s">
        <v>158</v>
      </c>
      <c r="C237" s="1420">
        <v>161.97</v>
      </c>
      <c r="D237" s="1439"/>
      <c r="E237" s="1420">
        <v>3767.43</v>
      </c>
      <c r="F237" s="1439"/>
      <c r="G237" s="1421">
        <v>0.03</v>
      </c>
      <c r="H237" s="1439"/>
      <c r="I237" s="1420">
        <v>3997.96</v>
      </c>
      <c r="J237" s="1439"/>
      <c r="K237" s="1420">
        <v>3951.29</v>
      </c>
      <c r="L237" s="1439"/>
      <c r="M237" s="1422">
        <v>518047883</v>
      </c>
      <c r="N237" s="1439"/>
      <c r="O237" s="1422">
        <v>25</v>
      </c>
      <c r="P237" s="1439"/>
      <c r="Q237" s="1422">
        <v>25</v>
      </c>
      <c r="R237" s="1439"/>
      <c r="S237" s="1422">
        <v>0</v>
      </c>
      <c r="T237" s="1439"/>
      <c r="U237" s="1422">
        <v>0</v>
      </c>
      <c r="V237" s="1439"/>
      <c r="W237" s="1420">
        <v>10.7</v>
      </c>
      <c r="X237" s="1439"/>
      <c r="Y237" s="1420">
        <v>35.700000000000003</v>
      </c>
      <c r="Z237" s="1439"/>
      <c r="AA237" s="1422">
        <v>25925000</v>
      </c>
      <c r="AB237" s="1455"/>
      <c r="AC237" s="1424">
        <v>16657380.4</v>
      </c>
      <c r="AD237" s="1422">
        <v>16841772</v>
      </c>
      <c r="AE237" s="1420">
        <v>1777785.61</v>
      </c>
      <c r="AF237" s="1422">
        <v>984300</v>
      </c>
      <c r="AG237" s="1420">
        <v>17815.63</v>
      </c>
      <c r="AH237" s="1456">
        <v>0</v>
      </c>
      <c r="AI237" s="1428">
        <v>12256647</v>
      </c>
      <c r="AJ237" s="1422">
        <v>11852243</v>
      </c>
      <c r="AK237" s="1422">
        <v>221899</v>
      </c>
      <c r="AL237" s="1422">
        <v>0</v>
      </c>
      <c r="AM237" s="1422">
        <v>223739</v>
      </c>
      <c r="AN237" s="1422">
        <v>58664</v>
      </c>
      <c r="AO237" s="1422">
        <v>0</v>
      </c>
      <c r="AP237" s="1422">
        <v>0</v>
      </c>
      <c r="AQ237" s="1422">
        <v>0</v>
      </c>
      <c r="AR237" s="1422">
        <v>0</v>
      </c>
      <c r="AS237" s="1422">
        <v>0</v>
      </c>
      <c r="AT237" s="1422">
        <v>0</v>
      </c>
      <c r="AU237" s="1422">
        <v>0</v>
      </c>
      <c r="AV237" s="1422">
        <v>0</v>
      </c>
      <c r="AW237" s="1422">
        <v>0</v>
      </c>
      <c r="AX237" s="1422">
        <v>0</v>
      </c>
      <c r="AY237" s="1420">
        <v>31155266.640000001</v>
      </c>
      <c r="AZ237" s="1422">
        <v>29736979</v>
      </c>
      <c r="BA237" s="1422">
        <v>0</v>
      </c>
      <c r="BB237" s="1422">
        <v>0</v>
      </c>
      <c r="BC237" s="1422">
        <v>163425</v>
      </c>
      <c r="BD237" s="1422">
        <v>169721</v>
      </c>
      <c r="BE237" s="1420">
        <v>10906.16</v>
      </c>
      <c r="BF237" s="1422">
        <v>17200</v>
      </c>
      <c r="BG237" s="1422">
        <v>5900</v>
      </c>
      <c r="BH237" s="1422">
        <v>0</v>
      </c>
      <c r="BI237" s="1422">
        <v>49244</v>
      </c>
      <c r="BJ237" s="1422">
        <v>45000</v>
      </c>
      <c r="BK237" s="1422">
        <v>24612</v>
      </c>
      <c r="BL237" s="1422">
        <v>20000</v>
      </c>
      <c r="BM237" s="1422">
        <v>875440</v>
      </c>
      <c r="BN237" s="1422">
        <v>902704</v>
      </c>
      <c r="BO237" s="1420">
        <v>40339.129999999997</v>
      </c>
      <c r="BP237" s="1422">
        <v>0</v>
      </c>
      <c r="BQ237" s="1420">
        <v>119708.88</v>
      </c>
      <c r="BR237" s="1422">
        <v>0</v>
      </c>
      <c r="BS237" s="1420">
        <v>13190.11</v>
      </c>
      <c r="BT237" s="1422">
        <v>8500</v>
      </c>
      <c r="BU237" s="1422">
        <v>0</v>
      </c>
      <c r="BV237" s="1422">
        <v>0</v>
      </c>
      <c r="BW237" s="1422">
        <v>0</v>
      </c>
      <c r="BX237" s="1422">
        <v>0</v>
      </c>
      <c r="BY237" s="1422">
        <v>0</v>
      </c>
      <c r="BZ237" s="1422">
        <v>0</v>
      </c>
      <c r="CA237" s="1422">
        <v>37839</v>
      </c>
      <c r="CB237" s="1422">
        <v>19790</v>
      </c>
      <c r="CC237" s="1420">
        <v>1340604.28</v>
      </c>
      <c r="CD237" s="1422">
        <v>1182915</v>
      </c>
      <c r="CE237" s="1422">
        <v>5899472</v>
      </c>
      <c r="CF237" s="1420">
        <v>3291942.58</v>
      </c>
      <c r="CG237" s="1420">
        <v>3224.27</v>
      </c>
      <c r="CH237" s="1422">
        <v>0</v>
      </c>
      <c r="CI237" s="1422">
        <v>0</v>
      </c>
      <c r="CJ237" s="1422">
        <v>0</v>
      </c>
      <c r="CK237" s="1420">
        <v>10879.98</v>
      </c>
      <c r="CL237" s="1422">
        <v>18115</v>
      </c>
      <c r="CM237" s="1422">
        <v>0</v>
      </c>
      <c r="CN237" s="1422">
        <v>0</v>
      </c>
      <c r="CO237" s="1420">
        <v>594334.97</v>
      </c>
      <c r="CP237" s="1422">
        <v>0</v>
      </c>
      <c r="CQ237" s="1422">
        <v>0</v>
      </c>
      <c r="CR237" s="1422">
        <v>0</v>
      </c>
      <c r="CS237" s="1420">
        <v>608439.22</v>
      </c>
      <c r="CT237" s="1422">
        <v>18115</v>
      </c>
      <c r="CU237" s="1420">
        <v>39003782.140000001</v>
      </c>
      <c r="CV237" s="1420">
        <v>34229951.579999998</v>
      </c>
      <c r="CW237" s="1420">
        <v>13279769.310000001</v>
      </c>
      <c r="CX237" s="1420">
        <v>13443640.99</v>
      </c>
      <c r="CY237" s="1420">
        <v>2184524.92</v>
      </c>
      <c r="CZ237" s="1420">
        <v>2495385.6000000001</v>
      </c>
      <c r="DA237" s="1420">
        <v>762769.49</v>
      </c>
      <c r="DB237" s="1420">
        <v>834846.15</v>
      </c>
      <c r="DC237" s="1422">
        <v>0</v>
      </c>
      <c r="DD237" s="1422">
        <v>0</v>
      </c>
      <c r="DE237" s="1420">
        <v>1268337.45</v>
      </c>
      <c r="DF237" s="1420">
        <v>1417541.2</v>
      </c>
      <c r="DG237" s="1420">
        <v>532447.06000000006</v>
      </c>
      <c r="DH237" s="1420">
        <v>501093.43</v>
      </c>
      <c r="DI237" s="1420">
        <v>18027848.23</v>
      </c>
      <c r="DJ237" s="1420">
        <v>18692507.370000001</v>
      </c>
      <c r="DK237" s="1420">
        <v>807386.7</v>
      </c>
      <c r="DL237" s="1420">
        <v>892960.14</v>
      </c>
      <c r="DM237" s="1420">
        <v>213615.61</v>
      </c>
      <c r="DN237" s="1422">
        <v>293440</v>
      </c>
      <c r="DO237" s="1422">
        <v>2665432</v>
      </c>
      <c r="DP237" s="1420">
        <v>3920651.2</v>
      </c>
      <c r="DQ237" s="1420">
        <v>1182898.25</v>
      </c>
      <c r="DR237" s="1420">
        <v>1459292.94</v>
      </c>
      <c r="DS237" s="1420">
        <v>158936.04</v>
      </c>
      <c r="DT237" s="1420">
        <v>169600.5</v>
      </c>
      <c r="DU237" s="1420">
        <v>5028268.5999999996</v>
      </c>
      <c r="DV237" s="1420">
        <v>6735944.7800000003</v>
      </c>
      <c r="DW237" s="1420">
        <v>1137784.31</v>
      </c>
      <c r="DX237" s="1420">
        <v>1268661.68</v>
      </c>
      <c r="DY237" s="1420">
        <v>2100745.06</v>
      </c>
      <c r="DZ237" s="1420">
        <v>2387519.4700000002</v>
      </c>
      <c r="EA237" s="1420">
        <v>1819694.1</v>
      </c>
      <c r="EB237" s="1420">
        <v>1816644.65</v>
      </c>
      <c r="EC237" s="1420">
        <v>5058223.47</v>
      </c>
      <c r="ED237" s="1420">
        <v>5472825.7999999998</v>
      </c>
      <c r="EE237" s="1420">
        <v>1974554.51</v>
      </c>
      <c r="EF237" s="1420">
        <v>1954449.96</v>
      </c>
      <c r="EG237" s="1420">
        <v>152874.07999999999</v>
      </c>
      <c r="EH237" s="1422">
        <v>0</v>
      </c>
      <c r="EI237" s="1420">
        <v>2179.92</v>
      </c>
      <c r="EJ237" s="1422">
        <v>16000</v>
      </c>
      <c r="EK237" s="1422">
        <v>0</v>
      </c>
      <c r="EL237" s="1422">
        <v>0</v>
      </c>
      <c r="EM237" s="1420">
        <v>2129608.5099999998</v>
      </c>
      <c r="EN237" s="1420">
        <v>1970449.96</v>
      </c>
      <c r="EO237" s="1420">
        <v>6667848.0300000003</v>
      </c>
      <c r="EP237" s="1422">
        <v>1505357</v>
      </c>
      <c r="EQ237" s="1420">
        <v>1885528.13</v>
      </c>
      <c r="ER237" s="1422">
        <v>2541472</v>
      </c>
      <c r="ES237" s="1420">
        <v>53451.42</v>
      </c>
      <c r="ET237" s="1422">
        <v>0</v>
      </c>
      <c r="EU237" s="1420">
        <v>38850776.390000001</v>
      </c>
      <c r="EV237" s="1420">
        <v>36918556.909999996</v>
      </c>
      <c r="EW237" s="1420">
        <v>7097637.29</v>
      </c>
      <c r="EX237" s="1422">
        <v>2089371</v>
      </c>
      <c r="EY237" s="1420">
        <v>1885528.13</v>
      </c>
      <c r="EZ237" s="1422">
        <v>2541472</v>
      </c>
      <c r="FA237" s="1420">
        <v>29867610.969999999</v>
      </c>
      <c r="FB237" s="1420">
        <v>32287713.91</v>
      </c>
      <c r="FC237" s="1420">
        <v>1290218.06</v>
      </c>
      <c r="FD237" s="1439"/>
      <c r="FE237" s="1420">
        <v>28577392.91</v>
      </c>
      <c r="FF237" s="1439"/>
      <c r="FG237" s="1422">
        <v>7585</v>
      </c>
      <c r="FH237" s="1439"/>
      <c r="FI237" s="1420">
        <v>236.16</v>
      </c>
      <c r="FJ237" s="1439"/>
      <c r="FK237" s="1422">
        <v>49594</v>
      </c>
      <c r="FL237" s="1439"/>
      <c r="FM237" s="1420">
        <v>262.29000000000002</v>
      </c>
      <c r="FN237" s="1439"/>
      <c r="FO237" s="1422">
        <v>51865</v>
      </c>
      <c r="FP237" s="1439"/>
      <c r="FQ237" s="1420">
        <v>13045607.82</v>
      </c>
      <c r="FR237" s="1439"/>
      <c r="FS237" s="1420">
        <v>430819.09</v>
      </c>
      <c r="FT237" s="1439"/>
      <c r="FU237" s="1422">
        <v>0</v>
      </c>
      <c r="FV237" s="1439"/>
      <c r="FW237" s="1420">
        <v>12614788.73</v>
      </c>
      <c r="FX237" s="1439"/>
      <c r="FY237" s="1420">
        <v>6963447.1500000004</v>
      </c>
      <c r="FZ237" s="1439"/>
      <c r="GA237" s="1420">
        <v>1705723.5</v>
      </c>
      <c r="GB237" s="1439"/>
    </row>
    <row r="238" spans="1:184" ht="12.75" customHeight="1" thickBot="1">
      <c r="A238" s="1418" t="s">
        <v>159</v>
      </c>
      <c r="B238" s="1418" t="s">
        <v>160</v>
      </c>
      <c r="C238" s="1420">
        <v>363.79</v>
      </c>
      <c r="D238" s="1439"/>
      <c r="E238" s="1420">
        <v>445.81</v>
      </c>
      <c r="F238" s="1439"/>
      <c r="G238" s="1421">
        <v>-0.28000000000000003</v>
      </c>
      <c r="H238" s="1439"/>
      <c r="I238" s="1420">
        <v>477.26</v>
      </c>
      <c r="J238" s="1439"/>
      <c r="K238" s="1420">
        <v>490.15</v>
      </c>
      <c r="L238" s="1439"/>
      <c r="M238" s="1422">
        <v>46502330</v>
      </c>
      <c r="N238" s="1439"/>
      <c r="O238" s="1422">
        <v>25</v>
      </c>
      <c r="P238" s="1439"/>
      <c r="Q238" s="1422">
        <v>25</v>
      </c>
      <c r="R238" s="1439"/>
      <c r="S238" s="1422">
        <v>0</v>
      </c>
      <c r="T238" s="1439"/>
      <c r="U238" s="1422">
        <v>0</v>
      </c>
      <c r="V238" s="1439"/>
      <c r="W238" s="1420">
        <v>7.5</v>
      </c>
      <c r="X238" s="1439"/>
      <c r="Y238" s="1420">
        <v>32.5</v>
      </c>
      <c r="Z238" s="1439"/>
      <c r="AA238" s="1422">
        <v>2226900</v>
      </c>
      <c r="AB238" s="1455"/>
      <c r="AC238" s="1424">
        <v>1426833.35</v>
      </c>
      <c r="AD238" s="1422">
        <v>1471023</v>
      </c>
      <c r="AE238" s="1420">
        <v>319967.98</v>
      </c>
      <c r="AF238" s="1420">
        <v>206596.4</v>
      </c>
      <c r="AG238" s="1422">
        <v>0</v>
      </c>
      <c r="AH238" s="1456">
        <v>0</v>
      </c>
      <c r="AI238" s="1428">
        <v>1761131</v>
      </c>
      <c r="AJ238" s="1422">
        <v>1765412</v>
      </c>
      <c r="AK238" s="1422">
        <v>23515</v>
      </c>
      <c r="AL238" s="1422">
        <v>0</v>
      </c>
      <c r="AM238" s="1422">
        <v>0</v>
      </c>
      <c r="AN238" s="1422">
        <v>0</v>
      </c>
      <c r="AO238" s="1422">
        <v>0</v>
      </c>
      <c r="AP238" s="1422">
        <v>43500</v>
      </c>
      <c r="AQ238" s="1422">
        <v>0</v>
      </c>
      <c r="AR238" s="1422">
        <v>0</v>
      </c>
      <c r="AS238" s="1422">
        <v>19857</v>
      </c>
      <c r="AT238" s="1422">
        <v>20000</v>
      </c>
      <c r="AU238" s="1422">
        <v>0</v>
      </c>
      <c r="AV238" s="1422">
        <v>0</v>
      </c>
      <c r="AW238" s="1422">
        <v>0</v>
      </c>
      <c r="AX238" s="1422">
        <v>0</v>
      </c>
      <c r="AY238" s="1420">
        <v>3551304.33</v>
      </c>
      <c r="AZ238" s="1420">
        <v>3506531.4</v>
      </c>
      <c r="BA238" s="1422">
        <v>0</v>
      </c>
      <c r="BB238" s="1422">
        <v>0</v>
      </c>
      <c r="BC238" s="1422">
        <v>20273</v>
      </c>
      <c r="BD238" s="1422">
        <v>20172</v>
      </c>
      <c r="BE238" s="1420">
        <v>293084.81</v>
      </c>
      <c r="BF238" s="1422">
        <v>8700</v>
      </c>
      <c r="BG238" s="1422">
        <v>1000</v>
      </c>
      <c r="BH238" s="1422">
        <v>0</v>
      </c>
      <c r="BI238" s="1422">
        <v>0</v>
      </c>
      <c r="BJ238" s="1422">
        <v>17989</v>
      </c>
      <c r="BK238" s="1422">
        <v>293</v>
      </c>
      <c r="BL238" s="1422">
        <v>0</v>
      </c>
      <c r="BM238" s="1422">
        <v>417632</v>
      </c>
      <c r="BN238" s="1422">
        <v>420992</v>
      </c>
      <c r="BO238" s="1420">
        <v>2007.97</v>
      </c>
      <c r="BP238" s="1422">
        <v>0</v>
      </c>
      <c r="BQ238" s="1422">
        <v>0</v>
      </c>
      <c r="BR238" s="1422">
        <v>0</v>
      </c>
      <c r="BS238" s="1420">
        <v>2474.62</v>
      </c>
      <c r="BT238" s="1422">
        <v>2000</v>
      </c>
      <c r="BU238" s="1422">
        <v>0</v>
      </c>
      <c r="BV238" s="1422">
        <v>0</v>
      </c>
      <c r="BW238" s="1422">
        <v>291114</v>
      </c>
      <c r="BX238" s="1420">
        <v>287894.31</v>
      </c>
      <c r="BY238" s="1422">
        <v>0</v>
      </c>
      <c r="BZ238" s="1422">
        <v>0</v>
      </c>
      <c r="CA238" s="1422">
        <v>39829</v>
      </c>
      <c r="CB238" s="1422">
        <v>17022</v>
      </c>
      <c r="CC238" s="1420">
        <v>1067708.3999999999</v>
      </c>
      <c r="CD238" s="1420">
        <v>774769.31</v>
      </c>
      <c r="CE238" s="1420">
        <v>2647816.6</v>
      </c>
      <c r="CF238" s="1420">
        <v>1757953.46</v>
      </c>
      <c r="CG238" s="1420">
        <v>-2765.55</v>
      </c>
      <c r="CH238" s="1422">
        <v>0</v>
      </c>
      <c r="CI238" s="1422">
        <v>0</v>
      </c>
      <c r="CJ238" s="1422">
        <v>0</v>
      </c>
      <c r="CK238" s="1420">
        <v>16127.79</v>
      </c>
      <c r="CL238" s="1422">
        <v>46000</v>
      </c>
      <c r="CM238" s="1422">
        <v>6951</v>
      </c>
      <c r="CN238" s="1422">
        <v>0</v>
      </c>
      <c r="CO238" s="1422">
        <v>0</v>
      </c>
      <c r="CP238" s="1422">
        <v>0</v>
      </c>
      <c r="CQ238" s="1422">
        <v>0</v>
      </c>
      <c r="CR238" s="1422">
        <v>0</v>
      </c>
      <c r="CS238" s="1420">
        <v>20313.240000000002</v>
      </c>
      <c r="CT238" s="1422">
        <v>46000</v>
      </c>
      <c r="CU238" s="1420">
        <v>7287142.5700000003</v>
      </c>
      <c r="CV238" s="1420">
        <v>6085254.1699999999</v>
      </c>
      <c r="CW238" s="1420">
        <v>2459396.34</v>
      </c>
      <c r="CX238" s="1420">
        <v>2041776.95</v>
      </c>
      <c r="CY238" s="1420">
        <v>322134.34999999998</v>
      </c>
      <c r="CZ238" s="1420">
        <v>319202.07</v>
      </c>
      <c r="DA238" s="1420">
        <v>155547.41</v>
      </c>
      <c r="DB238" s="1420">
        <v>159846.79999999999</v>
      </c>
      <c r="DC238" s="1422">
        <v>0</v>
      </c>
      <c r="DD238" s="1422">
        <v>0</v>
      </c>
      <c r="DE238" s="1420">
        <v>464842.19</v>
      </c>
      <c r="DF238" s="1420">
        <v>479832.91</v>
      </c>
      <c r="DG238" s="1420">
        <v>59259.91</v>
      </c>
      <c r="DH238" s="1420">
        <v>49733.59</v>
      </c>
      <c r="DI238" s="1420">
        <v>3461180.2</v>
      </c>
      <c r="DJ238" s="1420">
        <v>3050392.32</v>
      </c>
      <c r="DK238" s="1420">
        <v>378375.7</v>
      </c>
      <c r="DL238" s="1420">
        <v>341941.95</v>
      </c>
      <c r="DM238" s="1420">
        <v>359134.19</v>
      </c>
      <c r="DN238" s="1420">
        <v>111434.04</v>
      </c>
      <c r="DO238" s="1420">
        <v>725281.24</v>
      </c>
      <c r="DP238" s="1420">
        <v>642589.34</v>
      </c>
      <c r="DQ238" s="1420">
        <v>239028.74</v>
      </c>
      <c r="DR238" s="1420">
        <v>213220.04</v>
      </c>
      <c r="DS238" s="1420">
        <v>17781.5</v>
      </c>
      <c r="DT238" s="1422">
        <v>46000</v>
      </c>
      <c r="DU238" s="1420">
        <v>1719601.37</v>
      </c>
      <c r="DV238" s="1420">
        <v>1355185.37</v>
      </c>
      <c r="DW238" s="1420">
        <v>183818.89</v>
      </c>
      <c r="DX238" s="1420">
        <v>200575.06</v>
      </c>
      <c r="DY238" s="1420">
        <v>1021607.25</v>
      </c>
      <c r="DZ238" s="1420">
        <v>664620.76</v>
      </c>
      <c r="EA238" s="1420">
        <v>246713.78</v>
      </c>
      <c r="EB238" s="1420">
        <v>225201.62</v>
      </c>
      <c r="EC238" s="1420">
        <v>1452139.92</v>
      </c>
      <c r="ED238" s="1420">
        <v>1090397.44</v>
      </c>
      <c r="EE238" s="1420">
        <v>360768.76</v>
      </c>
      <c r="EF238" s="1420">
        <v>345336.86</v>
      </c>
      <c r="EG238" s="1422">
        <v>0</v>
      </c>
      <c r="EH238" s="1422">
        <v>0</v>
      </c>
      <c r="EI238" s="1422">
        <v>0</v>
      </c>
      <c r="EJ238" s="1422">
        <v>5242</v>
      </c>
      <c r="EK238" s="1422">
        <v>0</v>
      </c>
      <c r="EL238" s="1422">
        <v>0</v>
      </c>
      <c r="EM238" s="1420">
        <v>360768.76</v>
      </c>
      <c r="EN238" s="1420">
        <v>350578.86</v>
      </c>
      <c r="EO238" s="1422">
        <v>0</v>
      </c>
      <c r="EP238" s="1422">
        <v>0</v>
      </c>
      <c r="EQ238" s="1420">
        <v>240958.45</v>
      </c>
      <c r="ER238" s="1420">
        <v>215993.75</v>
      </c>
      <c r="ES238" s="1422">
        <v>0</v>
      </c>
      <c r="ET238" s="1422">
        <v>0</v>
      </c>
      <c r="EU238" s="1420">
        <v>7234648.7000000002</v>
      </c>
      <c r="EV238" s="1420">
        <v>6062547.7400000002</v>
      </c>
      <c r="EW238" s="1420">
        <v>26343.95</v>
      </c>
      <c r="EX238" s="1422">
        <v>10768</v>
      </c>
      <c r="EY238" s="1420">
        <v>240958.45</v>
      </c>
      <c r="EZ238" s="1420">
        <v>215993.75</v>
      </c>
      <c r="FA238" s="1420">
        <v>6967346.2999999998</v>
      </c>
      <c r="FB238" s="1420">
        <v>5835785.9900000002</v>
      </c>
      <c r="FC238" s="1420">
        <v>449293.74</v>
      </c>
      <c r="FD238" s="1439"/>
      <c r="FE238" s="1420">
        <v>6518052.5599999996</v>
      </c>
      <c r="FF238" s="1439"/>
      <c r="FG238" s="1422">
        <v>14620</v>
      </c>
      <c r="FH238" s="1439"/>
      <c r="FI238" s="1420">
        <v>36.840000000000003</v>
      </c>
      <c r="FJ238" s="1439"/>
      <c r="FK238" s="1422">
        <v>38295</v>
      </c>
      <c r="FL238" s="1439"/>
      <c r="FM238" s="1420">
        <v>39.950000000000003</v>
      </c>
      <c r="FN238" s="1439"/>
      <c r="FO238" s="1422">
        <v>42274</v>
      </c>
      <c r="FP238" s="1439"/>
      <c r="FQ238" s="1420">
        <v>579372.86</v>
      </c>
      <c r="FR238" s="1439"/>
      <c r="FS238" s="1420">
        <v>54942.71</v>
      </c>
      <c r="FT238" s="1439"/>
      <c r="FU238" s="1422">
        <v>0</v>
      </c>
      <c r="FV238" s="1439"/>
      <c r="FW238" s="1420">
        <v>524430.15</v>
      </c>
      <c r="FX238" s="1439"/>
      <c r="FY238" s="1422">
        <v>0</v>
      </c>
      <c r="FZ238" s="1439"/>
      <c r="GA238" s="1422">
        <v>0</v>
      </c>
      <c r="GB238" s="1439"/>
    </row>
    <row r="239" spans="1:184" ht="12.75" customHeight="1" thickBot="1">
      <c r="A239" s="1418" t="s">
        <v>161</v>
      </c>
      <c r="B239" s="1418" t="s">
        <v>162</v>
      </c>
      <c r="C239" s="1420">
        <v>181.23</v>
      </c>
      <c r="D239" s="1439"/>
      <c r="E239" s="1420">
        <v>636.28</v>
      </c>
      <c r="F239" s="1439"/>
      <c r="G239" s="1421">
        <v>7.0000000000000007E-2</v>
      </c>
      <c r="H239" s="1439"/>
      <c r="I239" s="1420">
        <v>670.79</v>
      </c>
      <c r="J239" s="1439"/>
      <c r="K239" s="1420">
        <v>655.25</v>
      </c>
      <c r="L239" s="1439"/>
      <c r="M239" s="1422">
        <v>43318560</v>
      </c>
      <c r="N239" s="1439"/>
      <c r="O239" s="1422">
        <v>25</v>
      </c>
      <c r="P239" s="1439"/>
      <c r="Q239" s="1422">
        <v>25</v>
      </c>
      <c r="R239" s="1439"/>
      <c r="S239" s="1422">
        <v>0</v>
      </c>
      <c r="T239" s="1439"/>
      <c r="U239" s="1422">
        <v>0</v>
      </c>
      <c r="V239" s="1439"/>
      <c r="W239" s="1420">
        <v>10.7</v>
      </c>
      <c r="X239" s="1439"/>
      <c r="Y239" s="1420">
        <v>35.700000000000003</v>
      </c>
      <c r="Z239" s="1439"/>
      <c r="AA239" s="1422">
        <v>2360000</v>
      </c>
      <c r="AB239" s="1455"/>
      <c r="AC239" s="1441">
        <v>1480161</v>
      </c>
      <c r="AD239" s="1422">
        <v>1060305</v>
      </c>
      <c r="AE239" s="1420">
        <v>345965.52</v>
      </c>
      <c r="AF239" s="1422">
        <v>115600</v>
      </c>
      <c r="AG239" s="1422">
        <v>0</v>
      </c>
      <c r="AH239" s="1456">
        <v>0</v>
      </c>
      <c r="AI239" s="1428">
        <v>2889052</v>
      </c>
      <c r="AJ239" s="1422">
        <v>3063137</v>
      </c>
      <c r="AK239" s="1422">
        <v>35877</v>
      </c>
      <c r="AL239" s="1422">
        <v>0</v>
      </c>
      <c r="AM239" s="1422">
        <v>121224</v>
      </c>
      <c r="AN239" s="1422">
        <v>0</v>
      </c>
      <c r="AO239" s="1422">
        <v>0</v>
      </c>
      <c r="AP239" s="1422">
        <v>0</v>
      </c>
      <c r="AQ239" s="1422">
        <v>0</v>
      </c>
      <c r="AR239" s="1422">
        <v>0</v>
      </c>
      <c r="AS239" s="1422">
        <v>0</v>
      </c>
      <c r="AT239" s="1422">
        <v>0</v>
      </c>
      <c r="AU239" s="1422">
        <v>0</v>
      </c>
      <c r="AV239" s="1422">
        <v>0</v>
      </c>
      <c r="AW239" s="1422">
        <v>0</v>
      </c>
      <c r="AX239" s="1422">
        <v>0</v>
      </c>
      <c r="AY239" s="1420">
        <v>4872279.5199999996</v>
      </c>
      <c r="AZ239" s="1422">
        <v>4239042</v>
      </c>
      <c r="BA239" s="1422">
        <v>0</v>
      </c>
      <c r="BB239" s="1422">
        <v>0</v>
      </c>
      <c r="BC239" s="1422">
        <v>27101</v>
      </c>
      <c r="BD239" s="1422">
        <v>28560</v>
      </c>
      <c r="BE239" s="1420">
        <v>3756.71</v>
      </c>
      <c r="BF239" s="1422">
        <v>2000</v>
      </c>
      <c r="BG239" s="1422">
        <v>300</v>
      </c>
      <c r="BH239" s="1422">
        <v>0</v>
      </c>
      <c r="BI239" s="1422">
        <v>54282</v>
      </c>
      <c r="BJ239" s="1422">
        <v>34694</v>
      </c>
      <c r="BK239" s="1422">
        <v>0</v>
      </c>
      <c r="BL239" s="1422">
        <v>0</v>
      </c>
      <c r="BM239" s="1422">
        <v>208320</v>
      </c>
      <c r="BN239" s="1422">
        <v>224158</v>
      </c>
      <c r="BO239" s="1420">
        <v>22162.68</v>
      </c>
      <c r="BP239" s="1422">
        <v>0</v>
      </c>
      <c r="BQ239" s="1422">
        <v>0</v>
      </c>
      <c r="BR239" s="1422">
        <v>0</v>
      </c>
      <c r="BS239" s="1420">
        <v>2812.19</v>
      </c>
      <c r="BT239" s="1422">
        <v>2800</v>
      </c>
      <c r="BU239" s="1422">
        <v>0</v>
      </c>
      <c r="BV239" s="1422">
        <v>0</v>
      </c>
      <c r="BW239" s="1422">
        <v>91368</v>
      </c>
      <c r="BX239" s="1422">
        <v>97200</v>
      </c>
      <c r="BY239" s="1422">
        <v>0</v>
      </c>
      <c r="BZ239" s="1422">
        <v>0</v>
      </c>
      <c r="CA239" s="1422">
        <v>46458</v>
      </c>
      <c r="CB239" s="1420">
        <v>661983.39</v>
      </c>
      <c r="CC239" s="1420">
        <v>456560.58</v>
      </c>
      <c r="CD239" s="1420">
        <v>1051395.3899999999</v>
      </c>
      <c r="CE239" s="1420">
        <v>1061952.47</v>
      </c>
      <c r="CF239" s="1420">
        <v>829077.07</v>
      </c>
      <c r="CG239" s="1422">
        <v>0</v>
      </c>
      <c r="CH239" s="1420">
        <v>603819.6</v>
      </c>
      <c r="CI239" s="1422">
        <v>0</v>
      </c>
      <c r="CJ239" s="1422">
        <v>0</v>
      </c>
      <c r="CK239" s="1422">
        <v>0</v>
      </c>
      <c r="CL239" s="1422">
        <v>0</v>
      </c>
      <c r="CM239" s="1422">
        <v>0</v>
      </c>
      <c r="CN239" s="1422">
        <v>0</v>
      </c>
      <c r="CO239" s="1420">
        <v>9091.77</v>
      </c>
      <c r="CP239" s="1420">
        <v>11551.77</v>
      </c>
      <c r="CQ239" s="1422">
        <v>0</v>
      </c>
      <c r="CR239" s="1422">
        <v>0</v>
      </c>
      <c r="CS239" s="1420">
        <v>9091.77</v>
      </c>
      <c r="CT239" s="1420">
        <v>615371.37</v>
      </c>
      <c r="CU239" s="1420">
        <v>6399884.3399999999</v>
      </c>
      <c r="CV239" s="1420">
        <v>6734885.8300000001</v>
      </c>
      <c r="CW239" s="1420">
        <v>2747833.7</v>
      </c>
      <c r="CX239" s="1420">
        <v>2469158.77</v>
      </c>
      <c r="CY239" s="1420">
        <v>389088.17</v>
      </c>
      <c r="CZ239" s="1420">
        <v>388506.44</v>
      </c>
      <c r="DA239" s="1420">
        <v>195728.64000000001</v>
      </c>
      <c r="DB239" s="1420">
        <v>192950.3</v>
      </c>
      <c r="DC239" s="1422">
        <v>0</v>
      </c>
      <c r="DD239" s="1422">
        <v>0</v>
      </c>
      <c r="DE239" s="1420">
        <v>186928.11</v>
      </c>
      <c r="DF239" s="1420">
        <v>147583.93</v>
      </c>
      <c r="DG239" s="1420">
        <v>123059.41</v>
      </c>
      <c r="DH239" s="1420">
        <v>137425.17000000001</v>
      </c>
      <c r="DI239" s="1420">
        <v>3642638.03</v>
      </c>
      <c r="DJ239" s="1420">
        <v>3335624.61</v>
      </c>
      <c r="DK239" s="1420">
        <v>224062.69</v>
      </c>
      <c r="DL239" s="1420">
        <v>203474.18</v>
      </c>
      <c r="DM239" s="1420">
        <v>80906.53</v>
      </c>
      <c r="DN239" s="1420">
        <v>66922.100000000006</v>
      </c>
      <c r="DO239" s="1420">
        <v>457665.57</v>
      </c>
      <c r="DP239" s="1420">
        <v>443581.12</v>
      </c>
      <c r="DQ239" s="1420">
        <v>267132.74</v>
      </c>
      <c r="DR239" s="1420">
        <v>155950.18</v>
      </c>
      <c r="DS239" s="1420">
        <v>24499.7</v>
      </c>
      <c r="DT239" s="1422">
        <v>6000</v>
      </c>
      <c r="DU239" s="1420">
        <v>1054267.23</v>
      </c>
      <c r="DV239" s="1420">
        <v>875927.58</v>
      </c>
      <c r="DW239" s="1420">
        <v>195382.76</v>
      </c>
      <c r="DX239" s="1420">
        <v>209486.53</v>
      </c>
      <c r="DY239" s="1420">
        <v>333959.59000000003</v>
      </c>
      <c r="DZ239" s="1420">
        <v>331814.95</v>
      </c>
      <c r="EA239" s="1420">
        <v>239434.92</v>
      </c>
      <c r="EB239" s="1420">
        <v>232636.27</v>
      </c>
      <c r="EC239" s="1420">
        <v>768777.27</v>
      </c>
      <c r="ED239" s="1420">
        <v>773937.75</v>
      </c>
      <c r="EE239" s="1420">
        <v>362989.44</v>
      </c>
      <c r="EF239" s="1420">
        <v>355672.39</v>
      </c>
      <c r="EG239" s="1422">
        <v>0</v>
      </c>
      <c r="EH239" s="1422">
        <v>0</v>
      </c>
      <c r="EI239" s="1420">
        <v>3018.49</v>
      </c>
      <c r="EJ239" s="1422">
        <v>1000</v>
      </c>
      <c r="EK239" s="1422">
        <v>0</v>
      </c>
      <c r="EL239" s="1422">
        <v>0</v>
      </c>
      <c r="EM239" s="1420">
        <v>366007.93</v>
      </c>
      <c r="EN239" s="1420">
        <v>356672.39</v>
      </c>
      <c r="EO239" s="1420">
        <v>7421.59</v>
      </c>
      <c r="EP239" s="1420">
        <v>1624196.36</v>
      </c>
      <c r="EQ239" s="1420">
        <v>233120.26</v>
      </c>
      <c r="ER239" s="1420">
        <v>139381.04999999999</v>
      </c>
      <c r="ES239" s="1420">
        <v>3452.65</v>
      </c>
      <c r="ET239" s="1422">
        <v>0</v>
      </c>
      <c r="EU239" s="1420">
        <v>6075684.96</v>
      </c>
      <c r="EV239" s="1420">
        <v>7105739.7400000002</v>
      </c>
      <c r="EW239" s="1420">
        <v>268943.74</v>
      </c>
      <c r="EX239" s="1420">
        <v>1646796.36</v>
      </c>
      <c r="EY239" s="1420">
        <v>233120.26</v>
      </c>
      <c r="EZ239" s="1420">
        <v>139381.04999999999</v>
      </c>
      <c r="FA239" s="1420">
        <v>5573620.96</v>
      </c>
      <c r="FB239" s="1420">
        <v>5319562.33</v>
      </c>
      <c r="FC239" s="1420">
        <v>399526.87</v>
      </c>
      <c r="FD239" s="1439"/>
      <c r="FE239" s="1420">
        <v>5174094.09</v>
      </c>
      <c r="FF239" s="1439"/>
      <c r="FG239" s="1422">
        <v>8131</v>
      </c>
      <c r="FH239" s="1439"/>
      <c r="FI239" s="1420">
        <v>49.98</v>
      </c>
      <c r="FJ239" s="1439"/>
      <c r="FK239" s="1422">
        <v>42805</v>
      </c>
      <c r="FL239" s="1439"/>
      <c r="FM239" s="1420">
        <v>53.42</v>
      </c>
      <c r="FN239" s="1439"/>
      <c r="FO239" s="1422">
        <v>45104</v>
      </c>
      <c r="FP239" s="1439"/>
      <c r="FQ239" s="1420">
        <v>2526809.37</v>
      </c>
      <c r="FR239" s="1439"/>
      <c r="FS239" s="1420">
        <v>104659.93</v>
      </c>
      <c r="FT239" s="1439"/>
      <c r="FU239" s="1422">
        <v>0</v>
      </c>
      <c r="FV239" s="1439"/>
      <c r="FW239" s="1420">
        <v>2422149.44</v>
      </c>
      <c r="FX239" s="1439"/>
      <c r="FY239" s="1422">
        <v>0</v>
      </c>
      <c r="FZ239" s="1439"/>
      <c r="GA239" s="1422">
        <v>0</v>
      </c>
      <c r="GB239" s="1439"/>
    </row>
    <row r="240" spans="1:184" ht="12.75" customHeight="1" thickBot="1">
      <c r="A240" s="1418" t="s">
        <v>163</v>
      </c>
      <c r="B240" s="1418" t="s">
        <v>164</v>
      </c>
      <c r="C240" s="1420">
        <v>148.08000000000001</v>
      </c>
      <c r="D240" s="1439"/>
      <c r="E240" s="1420">
        <v>839.92</v>
      </c>
      <c r="F240" s="1439"/>
      <c r="G240" s="1421">
        <v>-0.01</v>
      </c>
      <c r="H240" s="1439"/>
      <c r="I240" s="1420">
        <v>876.61</v>
      </c>
      <c r="J240" s="1439"/>
      <c r="K240" s="1420">
        <v>902.1</v>
      </c>
      <c r="L240" s="1439"/>
      <c r="M240" s="1422">
        <v>42706771</v>
      </c>
      <c r="N240" s="1439"/>
      <c r="O240" s="1422">
        <v>25</v>
      </c>
      <c r="P240" s="1439"/>
      <c r="Q240" s="1422">
        <v>25</v>
      </c>
      <c r="R240" s="1439"/>
      <c r="S240" s="1422">
        <v>0</v>
      </c>
      <c r="T240" s="1439"/>
      <c r="U240" s="1422">
        <v>0</v>
      </c>
      <c r="V240" s="1439"/>
      <c r="W240" s="1422">
        <v>6</v>
      </c>
      <c r="X240" s="1439"/>
      <c r="Y240" s="1422">
        <v>31</v>
      </c>
      <c r="Z240" s="1439"/>
      <c r="AA240" s="1420">
        <v>1635374.81</v>
      </c>
      <c r="AB240" s="1455"/>
      <c r="AC240" s="1424">
        <v>1151466.17</v>
      </c>
      <c r="AD240" s="1422">
        <v>1040989</v>
      </c>
      <c r="AE240" s="1420">
        <v>308627.8</v>
      </c>
      <c r="AF240" s="1422">
        <v>248150</v>
      </c>
      <c r="AG240" s="1422">
        <v>0</v>
      </c>
      <c r="AH240" s="1456">
        <v>0</v>
      </c>
      <c r="AI240" s="1428">
        <v>4401309</v>
      </c>
      <c r="AJ240" s="1422">
        <v>4225597</v>
      </c>
      <c r="AK240" s="1422">
        <v>36327</v>
      </c>
      <c r="AL240" s="1422">
        <v>10000</v>
      </c>
      <c r="AM240" s="1422">
        <v>0</v>
      </c>
      <c r="AN240" s="1422">
        <v>0</v>
      </c>
      <c r="AO240" s="1422">
        <v>0</v>
      </c>
      <c r="AP240" s="1422">
        <v>81439</v>
      </c>
      <c r="AQ240" s="1422">
        <v>0</v>
      </c>
      <c r="AR240" s="1422">
        <v>0</v>
      </c>
      <c r="AS240" s="1422">
        <v>0</v>
      </c>
      <c r="AT240" s="1422">
        <v>0</v>
      </c>
      <c r="AU240" s="1422">
        <v>30373</v>
      </c>
      <c r="AV240" s="1422">
        <v>24298</v>
      </c>
      <c r="AW240" s="1422">
        <v>0</v>
      </c>
      <c r="AX240" s="1422">
        <v>0</v>
      </c>
      <c r="AY240" s="1420">
        <v>5928102.9699999997</v>
      </c>
      <c r="AZ240" s="1422">
        <v>5630473</v>
      </c>
      <c r="BA240" s="1422">
        <v>0</v>
      </c>
      <c r="BB240" s="1422">
        <v>0</v>
      </c>
      <c r="BC240" s="1422">
        <v>37311</v>
      </c>
      <c r="BD240" s="1422">
        <v>37108</v>
      </c>
      <c r="BE240" s="1420">
        <v>10775.79</v>
      </c>
      <c r="BF240" s="1422">
        <v>3800</v>
      </c>
      <c r="BG240" s="1422">
        <v>50</v>
      </c>
      <c r="BH240" s="1422">
        <v>0</v>
      </c>
      <c r="BI240" s="1422">
        <v>11336</v>
      </c>
      <c r="BJ240" s="1422">
        <v>11565</v>
      </c>
      <c r="BK240" s="1422">
        <v>87021</v>
      </c>
      <c r="BL240" s="1422">
        <v>88803</v>
      </c>
      <c r="BM240" s="1422">
        <v>669600</v>
      </c>
      <c r="BN240" s="1422">
        <v>673992</v>
      </c>
      <c r="BO240" s="1420">
        <v>163950.91</v>
      </c>
      <c r="BP240" s="1422">
        <v>180239</v>
      </c>
      <c r="BQ240" s="1420">
        <v>36562.519999999997</v>
      </c>
      <c r="BR240" s="1422">
        <v>40625</v>
      </c>
      <c r="BS240" s="1420">
        <v>3454.91</v>
      </c>
      <c r="BT240" s="1422">
        <v>3400</v>
      </c>
      <c r="BU240" s="1422">
        <v>0</v>
      </c>
      <c r="BV240" s="1422">
        <v>0</v>
      </c>
      <c r="BW240" s="1422">
        <v>189552</v>
      </c>
      <c r="BX240" s="1422">
        <v>194400</v>
      </c>
      <c r="BY240" s="1422">
        <v>0</v>
      </c>
      <c r="BZ240" s="1422">
        <v>0</v>
      </c>
      <c r="CA240" s="1422">
        <v>42284</v>
      </c>
      <c r="CB240" s="1422">
        <v>35059</v>
      </c>
      <c r="CC240" s="1420">
        <v>1251898.1299999999</v>
      </c>
      <c r="CD240" s="1422">
        <v>1268991</v>
      </c>
      <c r="CE240" s="1420">
        <v>1337350.94</v>
      </c>
      <c r="CF240" s="1422">
        <v>1232628</v>
      </c>
      <c r="CG240" s="1420">
        <v>1047.56</v>
      </c>
      <c r="CH240" s="1422">
        <v>0</v>
      </c>
      <c r="CI240" s="1422">
        <v>0</v>
      </c>
      <c r="CJ240" s="1422">
        <v>0</v>
      </c>
      <c r="CK240" s="1422">
        <v>0</v>
      </c>
      <c r="CL240" s="1422">
        <v>0</v>
      </c>
      <c r="CM240" s="1422">
        <v>0</v>
      </c>
      <c r="CN240" s="1422">
        <v>0</v>
      </c>
      <c r="CO240" s="1422">
        <v>0</v>
      </c>
      <c r="CP240" s="1422">
        <v>0</v>
      </c>
      <c r="CQ240" s="1422">
        <v>0</v>
      </c>
      <c r="CR240" s="1422">
        <v>0</v>
      </c>
      <c r="CS240" s="1420">
        <v>1047.56</v>
      </c>
      <c r="CT240" s="1422">
        <v>0</v>
      </c>
      <c r="CU240" s="1420">
        <v>8518399.5999999996</v>
      </c>
      <c r="CV240" s="1422">
        <v>8132092</v>
      </c>
      <c r="CW240" s="1420">
        <v>3002830.69</v>
      </c>
      <c r="CX240" s="1420">
        <v>2784681.7</v>
      </c>
      <c r="CY240" s="1420">
        <v>685068.9</v>
      </c>
      <c r="CZ240" s="1420">
        <v>720874.37</v>
      </c>
      <c r="DA240" s="1420">
        <v>374755.49</v>
      </c>
      <c r="DB240" s="1420">
        <v>346888.14</v>
      </c>
      <c r="DC240" s="1422">
        <v>0</v>
      </c>
      <c r="DD240" s="1422">
        <v>0</v>
      </c>
      <c r="DE240" s="1420">
        <v>229172.77</v>
      </c>
      <c r="DF240" s="1420">
        <v>342963.74</v>
      </c>
      <c r="DG240" s="1420">
        <v>693073.63</v>
      </c>
      <c r="DH240" s="1420">
        <v>691560.5</v>
      </c>
      <c r="DI240" s="1420">
        <v>4984901.4800000004</v>
      </c>
      <c r="DJ240" s="1420">
        <v>4886968.45</v>
      </c>
      <c r="DK240" s="1420">
        <v>203296.7</v>
      </c>
      <c r="DL240" s="1420">
        <v>183149.72</v>
      </c>
      <c r="DM240" s="1420">
        <v>310567.34999999998</v>
      </c>
      <c r="DN240" s="1420">
        <v>269748.3</v>
      </c>
      <c r="DO240" s="1420">
        <v>761243.46</v>
      </c>
      <c r="DP240" s="1420">
        <v>586909.17000000004</v>
      </c>
      <c r="DQ240" s="1420">
        <v>335148.64</v>
      </c>
      <c r="DR240" s="1420">
        <v>255328.73</v>
      </c>
      <c r="DS240" s="1420">
        <v>46106.29</v>
      </c>
      <c r="DT240" s="1422">
        <v>38560</v>
      </c>
      <c r="DU240" s="1420">
        <v>1656362.44</v>
      </c>
      <c r="DV240" s="1420">
        <v>1333695.92</v>
      </c>
      <c r="DW240" s="1420">
        <v>327159.03000000003</v>
      </c>
      <c r="DX240" s="1420">
        <v>369208.09</v>
      </c>
      <c r="DY240" s="1420">
        <v>556886.23</v>
      </c>
      <c r="DZ240" s="1420">
        <v>646382.30000000005</v>
      </c>
      <c r="EA240" s="1420">
        <v>324523.90000000002</v>
      </c>
      <c r="EB240" s="1420">
        <v>274589.28000000003</v>
      </c>
      <c r="EC240" s="1420">
        <v>1208569.1599999999</v>
      </c>
      <c r="ED240" s="1420">
        <v>1290179.67</v>
      </c>
      <c r="EE240" s="1420">
        <v>499127.88</v>
      </c>
      <c r="EF240" s="1420">
        <v>518068.85</v>
      </c>
      <c r="EG240" s="1420">
        <v>14414.83</v>
      </c>
      <c r="EH240" s="1422">
        <v>12000</v>
      </c>
      <c r="EI240" s="1422">
        <v>0</v>
      </c>
      <c r="EJ240" s="1422">
        <v>3365</v>
      </c>
      <c r="EK240" s="1422">
        <v>0</v>
      </c>
      <c r="EL240" s="1422">
        <v>0</v>
      </c>
      <c r="EM240" s="1420">
        <v>513542.71</v>
      </c>
      <c r="EN240" s="1420">
        <v>533433.85</v>
      </c>
      <c r="EO240" s="1420">
        <v>116315.52</v>
      </c>
      <c r="EP240" s="1422">
        <v>30000</v>
      </c>
      <c r="EQ240" s="1420">
        <v>240177.39</v>
      </c>
      <c r="ER240" s="1422">
        <v>213043</v>
      </c>
      <c r="ES240" s="1420">
        <v>3644.71</v>
      </c>
      <c r="ET240" s="1422">
        <v>0</v>
      </c>
      <c r="EU240" s="1420">
        <v>8723513.4100000001</v>
      </c>
      <c r="EV240" s="1420">
        <v>8287320.8899999997</v>
      </c>
      <c r="EW240" s="1420">
        <v>280845.58</v>
      </c>
      <c r="EX240" s="1422">
        <v>66648</v>
      </c>
      <c r="EY240" s="1420">
        <v>240177.39</v>
      </c>
      <c r="EZ240" s="1422">
        <v>213043</v>
      </c>
      <c r="FA240" s="1420">
        <v>8202490.4400000004</v>
      </c>
      <c r="FB240" s="1420">
        <v>8007629.8899999997</v>
      </c>
      <c r="FC240" s="1420">
        <v>389642.68</v>
      </c>
      <c r="FD240" s="1439"/>
      <c r="FE240" s="1420">
        <v>7812847.7599999998</v>
      </c>
      <c r="FF240" s="1439"/>
      <c r="FG240" s="1422">
        <v>9301</v>
      </c>
      <c r="FH240" s="1439"/>
      <c r="FI240" s="1420">
        <v>72.819999999999993</v>
      </c>
      <c r="FJ240" s="1439"/>
      <c r="FK240" s="1422">
        <v>39157</v>
      </c>
      <c r="FL240" s="1439"/>
      <c r="FM240" s="1420">
        <v>78.05</v>
      </c>
      <c r="FN240" s="1439"/>
      <c r="FO240" s="1422">
        <v>41485</v>
      </c>
      <c r="FP240" s="1439"/>
      <c r="FQ240" s="1420">
        <v>1031401.21</v>
      </c>
      <c r="FR240" s="1439"/>
      <c r="FS240" s="1420">
        <v>208078.06</v>
      </c>
      <c r="FT240" s="1439"/>
      <c r="FU240" s="1422">
        <v>0</v>
      </c>
      <c r="FV240" s="1439"/>
      <c r="FW240" s="1420">
        <v>823323.15</v>
      </c>
      <c r="FX240" s="1439"/>
      <c r="FY240" s="1420">
        <v>153074.98000000001</v>
      </c>
      <c r="FZ240" s="1439"/>
      <c r="GA240" s="1422">
        <v>0</v>
      </c>
      <c r="GB240" s="1439"/>
    </row>
    <row r="241" spans="1:184" ht="12.75" customHeight="1" thickBot="1">
      <c r="A241" s="1418" t="s">
        <v>165</v>
      </c>
      <c r="B241" s="1418" t="s">
        <v>166</v>
      </c>
      <c r="C241" s="1420">
        <v>186.55</v>
      </c>
      <c r="D241" s="1439"/>
      <c r="E241" s="1420">
        <v>1871.78</v>
      </c>
      <c r="F241" s="1439"/>
      <c r="G241" s="1421">
        <v>0.12</v>
      </c>
      <c r="H241" s="1439"/>
      <c r="I241" s="1420">
        <v>1934.12</v>
      </c>
      <c r="J241" s="1439"/>
      <c r="K241" s="1420">
        <v>1951.63</v>
      </c>
      <c r="L241" s="1439"/>
      <c r="M241" s="1422">
        <v>94087692</v>
      </c>
      <c r="N241" s="1439"/>
      <c r="O241" s="1422">
        <v>25</v>
      </c>
      <c r="P241" s="1439"/>
      <c r="Q241" s="1422">
        <v>25</v>
      </c>
      <c r="R241" s="1439"/>
      <c r="S241" s="1422">
        <v>0</v>
      </c>
      <c r="T241" s="1439"/>
      <c r="U241" s="1422">
        <v>0</v>
      </c>
      <c r="V241" s="1439"/>
      <c r="W241" s="1420">
        <v>8.6999999999999993</v>
      </c>
      <c r="X241" s="1439"/>
      <c r="Y241" s="1420">
        <v>33.700000000000003</v>
      </c>
      <c r="Z241" s="1439"/>
      <c r="AA241" s="1422">
        <v>3785000</v>
      </c>
      <c r="AB241" s="1455"/>
      <c r="AC241" s="1424">
        <v>2919933.93</v>
      </c>
      <c r="AD241" s="1422">
        <v>3057000</v>
      </c>
      <c r="AE241" s="1420">
        <v>417840.02</v>
      </c>
      <c r="AF241" s="1422">
        <v>320680</v>
      </c>
      <c r="AG241" s="1422">
        <v>0</v>
      </c>
      <c r="AH241" s="1456">
        <v>0</v>
      </c>
      <c r="AI241" s="1428">
        <v>9539796</v>
      </c>
      <c r="AJ241" s="1422">
        <v>9565488</v>
      </c>
      <c r="AK241" s="1422">
        <v>66084</v>
      </c>
      <c r="AL241" s="1422">
        <v>65000</v>
      </c>
      <c r="AM241" s="1422">
        <v>9592</v>
      </c>
      <c r="AN241" s="1422">
        <v>0</v>
      </c>
      <c r="AO241" s="1422">
        <v>0</v>
      </c>
      <c r="AP241" s="1422">
        <v>35973</v>
      </c>
      <c r="AQ241" s="1422">
        <v>0</v>
      </c>
      <c r="AR241" s="1422">
        <v>0</v>
      </c>
      <c r="AS241" s="1422">
        <v>0</v>
      </c>
      <c r="AT241" s="1422">
        <v>0</v>
      </c>
      <c r="AU241" s="1422">
        <v>80375</v>
      </c>
      <c r="AV241" s="1422">
        <v>64300</v>
      </c>
      <c r="AW241" s="1422">
        <v>0</v>
      </c>
      <c r="AX241" s="1422">
        <v>0</v>
      </c>
      <c r="AY241" s="1420">
        <v>13033620.949999999</v>
      </c>
      <c r="AZ241" s="1422">
        <v>13108441</v>
      </c>
      <c r="BA241" s="1422">
        <v>0</v>
      </c>
      <c r="BB241" s="1422">
        <v>0</v>
      </c>
      <c r="BC241" s="1422">
        <v>80719</v>
      </c>
      <c r="BD241" s="1422">
        <v>82214</v>
      </c>
      <c r="BE241" s="1422">
        <v>18600</v>
      </c>
      <c r="BF241" s="1422">
        <v>10000</v>
      </c>
      <c r="BG241" s="1422">
        <v>4555</v>
      </c>
      <c r="BH241" s="1422">
        <v>650</v>
      </c>
      <c r="BI241" s="1422">
        <v>81463</v>
      </c>
      <c r="BJ241" s="1422">
        <v>83017</v>
      </c>
      <c r="BK241" s="1422">
        <v>142105</v>
      </c>
      <c r="BL241" s="1422">
        <v>145015</v>
      </c>
      <c r="BM241" s="1422">
        <v>634384</v>
      </c>
      <c r="BN241" s="1422">
        <v>669438</v>
      </c>
      <c r="BO241" s="1420">
        <v>82739.97</v>
      </c>
      <c r="BP241" s="1422">
        <v>75000</v>
      </c>
      <c r="BQ241" s="1420">
        <v>78541.759999999995</v>
      </c>
      <c r="BR241" s="1422">
        <v>82063</v>
      </c>
      <c r="BS241" s="1420">
        <v>7571.34</v>
      </c>
      <c r="BT241" s="1422">
        <v>7500</v>
      </c>
      <c r="BU241" s="1422">
        <v>0</v>
      </c>
      <c r="BV241" s="1422">
        <v>0</v>
      </c>
      <c r="BW241" s="1422">
        <v>0</v>
      </c>
      <c r="BX241" s="1422">
        <v>0</v>
      </c>
      <c r="BY241" s="1422">
        <v>0</v>
      </c>
      <c r="BZ241" s="1422">
        <v>0</v>
      </c>
      <c r="CA241" s="1420">
        <v>202758.2</v>
      </c>
      <c r="CB241" s="1422">
        <v>121611</v>
      </c>
      <c r="CC241" s="1420">
        <v>1333437.27</v>
      </c>
      <c r="CD241" s="1422">
        <v>1276508</v>
      </c>
      <c r="CE241" s="1420">
        <v>2591603.56</v>
      </c>
      <c r="CF241" s="1422">
        <v>2201333</v>
      </c>
      <c r="CG241" s="1422">
        <v>0</v>
      </c>
      <c r="CH241" s="1422">
        <v>0</v>
      </c>
      <c r="CI241" s="1422">
        <v>0</v>
      </c>
      <c r="CJ241" s="1422">
        <v>0</v>
      </c>
      <c r="CK241" s="1420">
        <v>7471.25</v>
      </c>
      <c r="CL241" s="1422">
        <v>0</v>
      </c>
      <c r="CM241" s="1422">
        <v>0</v>
      </c>
      <c r="CN241" s="1422">
        <v>0</v>
      </c>
      <c r="CO241" s="1422">
        <v>0</v>
      </c>
      <c r="CP241" s="1422">
        <v>0</v>
      </c>
      <c r="CQ241" s="1422">
        <v>0</v>
      </c>
      <c r="CR241" s="1422">
        <v>0</v>
      </c>
      <c r="CS241" s="1420">
        <v>7471.25</v>
      </c>
      <c r="CT241" s="1422">
        <v>0</v>
      </c>
      <c r="CU241" s="1420">
        <v>16966133.030000001</v>
      </c>
      <c r="CV241" s="1422">
        <v>16586282</v>
      </c>
      <c r="CW241" s="1420">
        <v>7140739.9000000004</v>
      </c>
      <c r="CX241" s="1420">
        <v>7506521.8899999997</v>
      </c>
      <c r="CY241" s="1420">
        <v>1309697.92</v>
      </c>
      <c r="CZ241" s="1420">
        <v>1172338.72</v>
      </c>
      <c r="DA241" s="1420">
        <v>425987.49</v>
      </c>
      <c r="DB241" s="1420">
        <v>445978.09</v>
      </c>
      <c r="DC241" s="1422">
        <v>0</v>
      </c>
      <c r="DD241" s="1422">
        <v>0</v>
      </c>
      <c r="DE241" s="1420">
        <v>408055.43</v>
      </c>
      <c r="DF241" s="1422">
        <v>507786</v>
      </c>
      <c r="DG241" s="1420">
        <v>942666.46</v>
      </c>
      <c r="DH241" s="1420">
        <v>896503.07</v>
      </c>
      <c r="DI241" s="1420">
        <v>10227147.199999999</v>
      </c>
      <c r="DJ241" s="1420">
        <v>10529127.77</v>
      </c>
      <c r="DK241" s="1420">
        <v>279369.24</v>
      </c>
      <c r="DL241" s="1420">
        <v>238885.5</v>
      </c>
      <c r="DM241" s="1420">
        <v>336712.36</v>
      </c>
      <c r="DN241" s="1422">
        <v>358346</v>
      </c>
      <c r="DO241" s="1420">
        <v>1382200.5</v>
      </c>
      <c r="DP241" s="1422">
        <v>1419216</v>
      </c>
      <c r="DQ241" s="1420">
        <v>491444.24</v>
      </c>
      <c r="DR241" s="1422">
        <v>537496</v>
      </c>
      <c r="DS241" s="1420">
        <v>88106.71</v>
      </c>
      <c r="DT241" s="1422">
        <v>76500</v>
      </c>
      <c r="DU241" s="1420">
        <v>2577833.0499999998</v>
      </c>
      <c r="DV241" s="1420">
        <v>2630443.5</v>
      </c>
      <c r="DW241" s="1420">
        <v>632611.89</v>
      </c>
      <c r="DX241" s="1420">
        <v>495454.4</v>
      </c>
      <c r="DY241" s="1420">
        <v>701825.46</v>
      </c>
      <c r="DZ241" s="1420">
        <v>604795.5</v>
      </c>
      <c r="EA241" s="1420">
        <v>1013230.7</v>
      </c>
      <c r="EB241" s="1422">
        <v>1033763</v>
      </c>
      <c r="EC241" s="1420">
        <v>2347668.0499999998</v>
      </c>
      <c r="ED241" s="1420">
        <v>2134012.9</v>
      </c>
      <c r="EE241" s="1420">
        <v>958741.99</v>
      </c>
      <c r="EF241" s="1422">
        <v>894745</v>
      </c>
      <c r="EG241" s="1422">
        <v>0</v>
      </c>
      <c r="EH241" s="1422">
        <v>0</v>
      </c>
      <c r="EI241" s="1422">
        <v>0</v>
      </c>
      <c r="EJ241" s="1422">
        <v>0</v>
      </c>
      <c r="EK241" s="1422">
        <v>0</v>
      </c>
      <c r="EL241" s="1422">
        <v>0</v>
      </c>
      <c r="EM241" s="1420">
        <v>958741.99</v>
      </c>
      <c r="EN241" s="1422">
        <v>894745</v>
      </c>
      <c r="EO241" s="1422">
        <v>217044</v>
      </c>
      <c r="EP241" s="1422">
        <v>0</v>
      </c>
      <c r="EQ241" s="1420">
        <v>404786.42</v>
      </c>
      <c r="ER241" s="1422">
        <v>406800</v>
      </c>
      <c r="ES241" s="1422">
        <v>13929</v>
      </c>
      <c r="ET241" s="1422">
        <v>0</v>
      </c>
      <c r="EU241" s="1420">
        <v>16747149.710000001</v>
      </c>
      <c r="EV241" s="1420">
        <v>16595129.17</v>
      </c>
      <c r="EW241" s="1420">
        <v>448060.39</v>
      </c>
      <c r="EX241" s="1422">
        <v>183822</v>
      </c>
      <c r="EY241" s="1420">
        <v>404786.42</v>
      </c>
      <c r="EZ241" s="1422">
        <v>406800</v>
      </c>
      <c r="FA241" s="1420">
        <v>15894302.9</v>
      </c>
      <c r="FB241" s="1420">
        <v>16004507.17</v>
      </c>
      <c r="FC241" s="1420">
        <v>369732.49</v>
      </c>
      <c r="FD241" s="1439"/>
      <c r="FE241" s="1420">
        <v>15524570.41</v>
      </c>
      <c r="FF241" s="1439"/>
      <c r="FG241" s="1422">
        <v>8294</v>
      </c>
      <c r="FH241" s="1439"/>
      <c r="FI241" s="1420">
        <v>138.27000000000001</v>
      </c>
      <c r="FJ241" s="1439"/>
      <c r="FK241" s="1422">
        <v>46295</v>
      </c>
      <c r="FL241" s="1439"/>
      <c r="FM241" s="1420">
        <v>149.81</v>
      </c>
      <c r="FN241" s="1439"/>
      <c r="FO241" s="1422">
        <v>48527</v>
      </c>
      <c r="FP241" s="1439"/>
      <c r="FQ241" s="1420">
        <v>5272678.79</v>
      </c>
      <c r="FR241" s="1439"/>
      <c r="FS241" s="1420">
        <v>19837.75</v>
      </c>
      <c r="FT241" s="1439"/>
      <c r="FU241" s="1422">
        <v>0</v>
      </c>
      <c r="FV241" s="1439"/>
      <c r="FW241" s="1420">
        <v>5252841.04</v>
      </c>
      <c r="FX241" s="1439"/>
      <c r="FY241" s="1422">
        <v>0</v>
      </c>
      <c r="FZ241" s="1439"/>
      <c r="GA241" s="1422">
        <v>0</v>
      </c>
      <c r="GB241" s="1439"/>
    </row>
    <row r="242" spans="1:184" ht="12.75" customHeight="1" thickBot="1">
      <c r="A242" s="1418" t="s">
        <v>167</v>
      </c>
      <c r="B242" s="1418" t="s">
        <v>168</v>
      </c>
      <c r="C242" s="1420">
        <v>158.80000000000001</v>
      </c>
      <c r="D242" s="1439"/>
      <c r="E242" s="1420">
        <v>450.81</v>
      </c>
      <c r="F242" s="1439"/>
      <c r="G242" s="1421">
        <v>0.08</v>
      </c>
      <c r="H242" s="1439"/>
      <c r="I242" s="1420">
        <v>475.25</v>
      </c>
      <c r="J242" s="1439"/>
      <c r="K242" s="1420">
        <v>499.85</v>
      </c>
      <c r="L242" s="1439"/>
      <c r="M242" s="1422">
        <v>37177236</v>
      </c>
      <c r="N242" s="1439"/>
      <c r="O242" s="1422">
        <v>25</v>
      </c>
      <c r="P242" s="1439"/>
      <c r="Q242" s="1422">
        <v>25</v>
      </c>
      <c r="R242" s="1439"/>
      <c r="S242" s="1422">
        <v>0</v>
      </c>
      <c r="T242" s="1439"/>
      <c r="U242" s="1422">
        <v>0</v>
      </c>
      <c r="V242" s="1439"/>
      <c r="W242" s="1420">
        <v>13.8</v>
      </c>
      <c r="X242" s="1439"/>
      <c r="Y242" s="1420">
        <v>38.799999999999997</v>
      </c>
      <c r="Z242" s="1439"/>
      <c r="AA242" s="1420">
        <v>2765637.5</v>
      </c>
      <c r="AB242" s="1455"/>
      <c r="AC242" s="1424">
        <v>1559926.23</v>
      </c>
      <c r="AD242" s="1422">
        <v>1559932</v>
      </c>
      <c r="AE242" s="1420">
        <v>247193.63</v>
      </c>
      <c r="AF242" s="1422">
        <v>46660</v>
      </c>
      <c r="AG242" s="1422">
        <v>0</v>
      </c>
      <c r="AH242" s="1456">
        <v>0</v>
      </c>
      <c r="AI242" s="1428">
        <v>1745644</v>
      </c>
      <c r="AJ242" s="1422">
        <v>1774468</v>
      </c>
      <c r="AK242" s="1422">
        <v>3608</v>
      </c>
      <c r="AL242" s="1422">
        <v>3600</v>
      </c>
      <c r="AM242" s="1422">
        <v>13909</v>
      </c>
      <c r="AN242" s="1422">
        <v>0</v>
      </c>
      <c r="AO242" s="1422">
        <v>0</v>
      </c>
      <c r="AP242" s="1422">
        <v>73421</v>
      </c>
      <c r="AQ242" s="1422">
        <v>0</v>
      </c>
      <c r="AR242" s="1422">
        <v>0</v>
      </c>
      <c r="AS242" s="1422">
        <v>0</v>
      </c>
      <c r="AT242" s="1422">
        <v>0</v>
      </c>
      <c r="AU242" s="1422">
        <v>19013</v>
      </c>
      <c r="AV242" s="1422">
        <v>15210</v>
      </c>
      <c r="AW242" s="1422">
        <v>0</v>
      </c>
      <c r="AX242" s="1422">
        <v>0</v>
      </c>
      <c r="AY242" s="1420">
        <v>3589293.86</v>
      </c>
      <c r="AZ242" s="1422">
        <v>3473291</v>
      </c>
      <c r="BA242" s="1422">
        <v>0</v>
      </c>
      <c r="BB242" s="1422">
        <v>0</v>
      </c>
      <c r="BC242" s="1422">
        <v>20674</v>
      </c>
      <c r="BD242" s="1422">
        <v>20171</v>
      </c>
      <c r="BE242" s="1420">
        <v>5393.02</v>
      </c>
      <c r="BF242" s="1422">
        <v>5200</v>
      </c>
      <c r="BG242" s="1422">
        <v>1300</v>
      </c>
      <c r="BH242" s="1422">
        <v>0</v>
      </c>
      <c r="BI242" s="1422">
        <v>20193</v>
      </c>
      <c r="BJ242" s="1422">
        <v>18528</v>
      </c>
      <c r="BK242" s="1422">
        <v>32816</v>
      </c>
      <c r="BL242" s="1422">
        <v>0</v>
      </c>
      <c r="BM242" s="1422">
        <v>387872</v>
      </c>
      <c r="BN242" s="1422">
        <v>374440</v>
      </c>
      <c r="BO242" s="1420">
        <v>43229.95</v>
      </c>
      <c r="BP242" s="1422">
        <v>0</v>
      </c>
      <c r="BQ242" s="1420">
        <v>6500.32</v>
      </c>
      <c r="BR242" s="1422">
        <v>0</v>
      </c>
      <c r="BS242" s="1420">
        <v>2343.0500000000002</v>
      </c>
      <c r="BT242" s="1422">
        <v>0</v>
      </c>
      <c r="BU242" s="1422">
        <v>0</v>
      </c>
      <c r="BV242" s="1422">
        <v>0</v>
      </c>
      <c r="BW242" s="1422">
        <v>126872</v>
      </c>
      <c r="BX242" s="1422">
        <v>145800</v>
      </c>
      <c r="BY242" s="1422">
        <v>0</v>
      </c>
      <c r="BZ242" s="1422">
        <v>0</v>
      </c>
      <c r="CA242" s="1420">
        <v>575623.81999999995</v>
      </c>
      <c r="CB242" s="1422">
        <v>8228</v>
      </c>
      <c r="CC242" s="1420">
        <v>1222817.1599999999</v>
      </c>
      <c r="CD242" s="1422">
        <v>572367</v>
      </c>
      <c r="CE242" s="1420">
        <v>1063598.03</v>
      </c>
      <c r="CF242" s="1420">
        <v>720794.24</v>
      </c>
      <c r="CG242" s="1422">
        <v>0</v>
      </c>
      <c r="CH242" s="1422">
        <v>174000</v>
      </c>
      <c r="CI242" s="1422">
        <v>0</v>
      </c>
      <c r="CJ242" s="1422">
        <v>0</v>
      </c>
      <c r="CK242" s="1422">
        <v>0</v>
      </c>
      <c r="CL242" s="1422">
        <v>0</v>
      </c>
      <c r="CM242" s="1422">
        <v>0</v>
      </c>
      <c r="CN242" s="1422">
        <v>0</v>
      </c>
      <c r="CO242" s="1422">
        <v>0</v>
      </c>
      <c r="CP242" s="1422">
        <v>0</v>
      </c>
      <c r="CQ242" s="1422">
        <v>0</v>
      </c>
      <c r="CR242" s="1422">
        <v>0</v>
      </c>
      <c r="CS242" s="1422">
        <v>0</v>
      </c>
      <c r="CT242" s="1422">
        <v>174000</v>
      </c>
      <c r="CU242" s="1420">
        <v>5875709.0499999998</v>
      </c>
      <c r="CV242" s="1420">
        <v>4940452.24</v>
      </c>
      <c r="CW242" s="1420">
        <v>1988766.36</v>
      </c>
      <c r="CX242" s="1420">
        <v>1503207.32</v>
      </c>
      <c r="CY242" s="1420">
        <v>380991.75</v>
      </c>
      <c r="CZ242" s="1420">
        <v>355489.33</v>
      </c>
      <c r="DA242" s="1420">
        <v>127681.99</v>
      </c>
      <c r="DB242" s="1420">
        <v>129300.56</v>
      </c>
      <c r="DC242" s="1422">
        <v>0</v>
      </c>
      <c r="DD242" s="1422">
        <v>0</v>
      </c>
      <c r="DE242" s="1420">
        <v>215567.98</v>
      </c>
      <c r="DF242" s="1420">
        <v>498932.33</v>
      </c>
      <c r="DG242" s="1420">
        <v>104055.4</v>
      </c>
      <c r="DH242" s="1420">
        <v>91790.22</v>
      </c>
      <c r="DI242" s="1420">
        <v>2817063.48</v>
      </c>
      <c r="DJ242" s="1420">
        <v>2578719.7599999998</v>
      </c>
      <c r="DK242" s="1420">
        <v>187205.86</v>
      </c>
      <c r="DL242" s="1420">
        <v>192169.78</v>
      </c>
      <c r="DM242" s="1420">
        <v>166652.26</v>
      </c>
      <c r="DN242" s="1420">
        <v>152243.39000000001</v>
      </c>
      <c r="DO242" s="1420">
        <v>438141.95</v>
      </c>
      <c r="DP242" s="1420">
        <v>377083.27</v>
      </c>
      <c r="DQ242" s="1420">
        <v>291781.92</v>
      </c>
      <c r="DR242" s="1420">
        <v>202287.64</v>
      </c>
      <c r="DS242" s="1420">
        <v>10898.39</v>
      </c>
      <c r="DT242" s="1422">
        <v>11000</v>
      </c>
      <c r="DU242" s="1420">
        <v>1094680.3799999999</v>
      </c>
      <c r="DV242" s="1420">
        <v>934784.08</v>
      </c>
      <c r="DW242" s="1420">
        <v>214556.93</v>
      </c>
      <c r="DX242" s="1420">
        <v>189864.36</v>
      </c>
      <c r="DY242" s="1420">
        <v>515957.14</v>
      </c>
      <c r="DZ242" s="1420">
        <v>313652.52</v>
      </c>
      <c r="EA242" s="1420">
        <v>231307.51999999999</v>
      </c>
      <c r="EB242" s="1420">
        <v>225595.96</v>
      </c>
      <c r="EC242" s="1420">
        <v>961821.59</v>
      </c>
      <c r="ED242" s="1420">
        <v>729112.84</v>
      </c>
      <c r="EE242" s="1420">
        <v>313880.24</v>
      </c>
      <c r="EF242" s="1420">
        <v>120374.27</v>
      </c>
      <c r="EG242" s="1422">
        <v>0</v>
      </c>
      <c r="EH242" s="1422">
        <v>0</v>
      </c>
      <c r="EI242" s="1422">
        <v>0</v>
      </c>
      <c r="EJ242" s="1422">
        <v>0</v>
      </c>
      <c r="EK242" s="1422">
        <v>0</v>
      </c>
      <c r="EL242" s="1422">
        <v>0</v>
      </c>
      <c r="EM242" s="1420">
        <v>313880.24</v>
      </c>
      <c r="EN242" s="1420">
        <v>120374.27</v>
      </c>
      <c r="EO242" s="1420">
        <v>735709.56</v>
      </c>
      <c r="EP242" s="1422">
        <v>68925</v>
      </c>
      <c r="EQ242" s="1420">
        <v>230401.07</v>
      </c>
      <c r="ER242" s="1422">
        <v>210739</v>
      </c>
      <c r="ES242" s="1422">
        <v>0</v>
      </c>
      <c r="ET242" s="1422">
        <v>0</v>
      </c>
      <c r="EU242" s="1420">
        <v>6153556.3200000003</v>
      </c>
      <c r="EV242" s="1420">
        <v>4642654.95</v>
      </c>
      <c r="EW242" s="1420">
        <v>1025782.52</v>
      </c>
      <c r="EX242" s="1422">
        <v>395572</v>
      </c>
      <c r="EY242" s="1420">
        <v>230401.07</v>
      </c>
      <c r="EZ242" s="1422">
        <v>210739</v>
      </c>
      <c r="FA242" s="1420">
        <v>4897372.7300000004</v>
      </c>
      <c r="FB242" s="1420">
        <v>4036343.95</v>
      </c>
      <c r="FC242" s="1420">
        <v>316058.05</v>
      </c>
      <c r="FD242" s="1439"/>
      <c r="FE242" s="1420">
        <v>4581314.68</v>
      </c>
      <c r="FF242" s="1439"/>
      <c r="FG242" s="1422">
        <v>10162</v>
      </c>
      <c r="FH242" s="1439"/>
      <c r="FI242" s="1420">
        <v>46.63</v>
      </c>
      <c r="FJ242" s="1439"/>
      <c r="FK242" s="1422">
        <v>35697</v>
      </c>
      <c r="FL242" s="1439"/>
      <c r="FM242" s="1420">
        <v>49.63</v>
      </c>
      <c r="FN242" s="1439"/>
      <c r="FO242" s="1422">
        <v>38172</v>
      </c>
      <c r="FP242" s="1439"/>
      <c r="FQ242" s="1420">
        <v>706782.2</v>
      </c>
      <c r="FR242" s="1439"/>
      <c r="FS242" s="1420">
        <v>100013.22</v>
      </c>
      <c r="FT242" s="1439"/>
      <c r="FU242" s="1422">
        <v>0</v>
      </c>
      <c r="FV242" s="1439"/>
      <c r="FW242" s="1420">
        <v>606768.98</v>
      </c>
      <c r="FX242" s="1439"/>
      <c r="FY242" s="1422">
        <v>0</v>
      </c>
      <c r="FZ242" s="1439"/>
      <c r="GA242" s="1422">
        <v>0</v>
      </c>
      <c r="GB242" s="1439"/>
    </row>
    <row r="243" spans="1:184" ht="12.75" customHeight="1" thickBot="1">
      <c r="A243" s="1418" t="s">
        <v>169</v>
      </c>
      <c r="B243" s="1418" t="s">
        <v>170</v>
      </c>
      <c r="C243" s="1420">
        <v>614.95000000000005</v>
      </c>
      <c r="D243" s="1439"/>
      <c r="E243" s="1420">
        <v>821.07</v>
      </c>
      <c r="F243" s="1439"/>
      <c r="G243" s="1421">
        <v>-0.14000000000000001</v>
      </c>
      <c r="H243" s="1439"/>
      <c r="I243" s="1420">
        <v>887.45</v>
      </c>
      <c r="J243" s="1439"/>
      <c r="K243" s="1420">
        <v>891.04</v>
      </c>
      <c r="L243" s="1439"/>
      <c r="M243" s="1422">
        <v>64347516</v>
      </c>
      <c r="N243" s="1439"/>
      <c r="O243" s="1422">
        <v>25</v>
      </c>
      <c r="P243" s="1439"/>
      <c r="Q243" s="1422">
        <v>25</v>
      </c>
      <c r="R243" s="1439"/>
      <c r="S243" s="1422">
        <v>0</v>
      </c>
      <c r="T243" s="1439"/>
      <c r="U243" s="1422">
        <v>0</v>
      </c>
      <c r="V243" s="1439"/>
      <c r="W243" s="1420">
        <v>10.6</v>
      </c>
      <c r="X243" s="1439"/>
      <c r="Y243" s="1420">
        <v>35.6</v>
      </c>
      <c r="Z243" s="1439"/>
      <c r="AA243" s="1420">
        <v>6451196.4199999999</v>
      </c>
      <c r="AB243" s="1455"/>
      <c r="AC243" s="1424">
        <v>1936716.74</v>
      </c>
      <c r="AD243" s="1422">
        <v>2315180</v>
      </c>
      <c r="AE243" s="1420">
        <v>400260.44</v>
      </c>
      <c r="AF243" s="1422">
        <v>138568</v>
      </c>
      <c r="AG243" s="1422">
        <v>0</v>
      </c>
      <c r="AH243" s="1456">
        <v>0</v>
      </c>
      <c r="AI243" s="1428">
        <v>2967775</v>
      </c>
      <c r="AJ243" s="1422">
        <v>2939478</v>
      </c>
      <c r="AK243" s="1422">
        <v>55568</v>
      </c>
      <c r="AL243" s="1422">
        <v>0</v>
      </c>
      <c r="AM243" s="1422">
        <v>0</v>
      </c>
      <c r="AN243" s="1422">
        <v>0</v>
      </c>
      <c r="AO243" s="1422">
        <v>146931</v>
      </c>
      <c r="AP243" s="1422">
        <v>0</v>
      </c>
      <c r="AQ243" s="1422">
        <v>0</v>
      </c>
      <c r="AR243" s="1422">
        <v>0</v>
      </c>
      <c r="AS243" s="1422">
        <v>47416</v>
      </c>
      <c r="AT243" s="1422">
        <v>40986</v>
      </c>
      <c r="AU243" s="1422">
        <v>40926</v>
      </c>
      <c r="AV243" s="1422">
        <v>32741</v>
      </c>
      <c r="AW243" s="1422">
        <v>0</v>
      </c>
      <c r="AX243" s="1422">
        <v>0</v>
      </c>
      <c r="AY243" s="1420">
        <v>5595593.1799999997</v>
      </c>
      <c r="AZ243" s="1422">
        <v>5466953</v>
      </c>
      <c r="BA243" s="1422">
        <v>0</v>
      </c>
      <c r="BB243" s="1422">
        <v>0</v>
      </c>
      <c r="BC243" s="1422">
        <v>36853</v>
      </c>
      <c r="BD243" s="1422">
        <v>37840</v>
      </c>
      <c r="BE243" s="1422">
        <v>3910</v>
      </c>
      <c r="BF243" s="1422">
        <v>3400</v>
      </c>
      <c r="BG243" s="1422">
        <v>0</v>
      </c>
      <c r="BH243" s="1422">
        <v>0</v>
      </c>
      <c r="BI243" s="1422">
        <v>91905</v>
      </c>
      <c r="BJ243" s="1422">
        <v>83895</v>
      </c>
      <c r="BK243" s="1422">
        <v>21389</v>
      </c>
      <c r="BL243" s="1422">
        <v>21827</v>
      </c>
      <c r="BM243" s="1422">
        <v>710272</v>
      </c>
      <c r="BN243" s="1422">
        <v>694232</v>
      </c>
      <c r="BO243" s="1420">
        <v>76270.539999999994</v>
      </c>
      <c r="BP243" s="1422">
        <v>65730</v>
      </c>
      <c r="BQ243" s="1420">
        <v>15167.12</v>
      </c>
      <c r="BR243" s="1420">
        <v>84889.75</v>
      </c>
      <c r="BS243" s="1420">
        <v>3875.98</v>
      </c>
      <c r="BT243" s="1422">
        <v>0</v>
      </c>
      <c r="BU243" s="1422">
        <v>0</v>
      </c>
      <c r="BV243" s="1422">
        <v>0</v>
      </c>
      <c r="BW243" s="1420">
        <v>388912.72</v>
      </c>
      <c r="BX243" s="1422">
        <v>381457</v>
      </c>
      <c r="BY243" s="1422">
        <v>0</v>
      </c>
      <c r="BZ243" s="1422">
        <v>0</v>
      </c>
      <c r="CA243" s="1420">
        <v>330843.96999999997</v>
      </c>
      <c r="CB243" s="1422">
        <v>85924</v>
      </c>
      <c r="CC243" s="1420">
        <v>1679399.33</v>
      </c>
      <c r="CD243" s="1420">
        <v>1459194.75</v>
      </c>
      <c r="CE243" s="1420">
        <v>3082099.3</v>
      </c>
      <c r="CF243" s="1420">
        <v>2486398.2400000002</v>
      </c>
      <c r="CG243" s="1422">
        <v>0</v>
      </c>
      <c r="CH243" s="1422">
        <v>0</v>
      </c>
      <c r="CI243" s="1422">
        <v>0</v>
      </c>
      <c r="CJ243" s="1422">
        <v>0</v>
      </c>
      <c r="CK243" s="1420">
        <v>23579.09</v>
      </c>
      <c r="CL243" s="1420">
        <v>28225.58</v>
      </c>
      <c r="CM243" s="1422">
        <v>0</v>
      </c>
      <c r="CN243" s="1422">
        <v>0</v>
      </c>
      <c r="CO243" s="1420">
        <v>10485.44</v>
      </c>
      <c r="CP243" s="1422">
        <v>0</v>
      </c>
      <c r="CQ243" s="1422">
        <v>0</v>
      </c>
      <c r="CR243" s="1422">
        <v>0</v>
      </c>
      <c r="CS243" s="1420">
        <v>34064.53</v>
      </c>
      <c r="CT243" s="1420">
        <v>28225.58</v>
      </c>
      <c r="CU243" s="1420">
        <v>10391156.34</v>
      </c>
      <c r="CV243" s="1420">
        <v>9440771.5700000003</v>
      </c>
      <c r="CW243" s="1420">
        <v>3236824.05</v>
      </c>
      <c r="CX243" s="1420">
        <v>2838062.51</v>
      </c>
      <c r="CY243" s="1420">
        <v>585818.56000000006</v>
      </c>
      <c r="CZ243" s="1422">
        <v>579578</v>
      </c>
      <c r="DA243" s="1420">
        <v>315542.93</v>
      </c>
      <c r="DB243" s="1420">
        <v>304354.75</v>
      </c>
      <c r="DC243" s="1422">
        <v>0</v>
      </c>
      <c r="DD243" s="1422">
        <v>0</v>
      </c>
      <c r="DE243" s="1420">
        <v>792558.79</v>
      </c>
      <c r="DF243" s="1422">
        <v>810567</v>
      </c>
      <c r="DG243" s="1420">
        <v>490863.45</v>
      </c>
      <c r="DH243" s="1420">
        <v>483628.41</v>
      </c>
      <c r="DI243" s="1420">
        <v>5421607.7800000003</v>
      </c>
      <c r="DJ243" s="1420">
        <v>5016190.67</v>
      </c>
      <c r="DK243" s="1420">
        <v>190912.46</v>
      </c>
      <c r="DL243" s="1422">
        <v>172815</v>
      </c>
      <c r="DM243" s="1420">
        <v>170042.51</v>
      </c>
      <c r="DN243" s="1422">
        <v>170560</v>
      </c>
      <c r="DO243" s="1420">
        <v>975116.93</v>
      </c>
      <c r="DP243" s="1420">
        <v>832519.81</v>
      </c>
      <c r="DQ243" s="1420">
        <v>426017.78</v>
      </c>
      <c r="DR243" s="1422">
        <v>475133</v>
      </c>
      <c r="DS243" s="1420">
        <v>41919.49</v>
      </c>
      <c r="DT243" s="1420">
        <v>56192.58</v>
      </c>
      <c r="DU243" s="1420">
        <v>1804009.17</v>
      </c>
      <c r="DV243" s="1420">
        <v>1707220.39</v>
      </c>
      <c r="DW243" s="1420">
        <v>616264.87</v>
      </c>
      <c r="DX243" s="1420">
        <v>647593.56000000006</v>
      </c>
      <c r="DY243" s="1420">
        <v>940933.61</v>
      </c>
      <c r="DZ243" s="1420">
        <v>867362.33</v>
      </c>
      <c r="EA243" s="1420">
        <v>496119.57</v>
      </c>
      <c r="EB243" s="1422">
        <v>469974</v>
      </c>
      <c r="EC243" s="1420">
        <v>2053318.05</v>
      </c>
      <c r="ED243" s="1420">
        <v>1984929.89</v>
      </c>
      <c r="EE243" s="1420">
        <v>722711.52</v>
      </c>
      <c r="EF243" s="1420">
        <v>699582.67</v>
      </c>
      <c r="EG243" s="1420">
        <v>35230.959999999999</v>
      </c>
      <c r="EH243" s="1422">
        <v>0</v>
      </c>
      <c r="EI243" s="1422">
        <v>0</v>
      </c>
      <c r="EJ243" s="1422">
        <v>5000</v>
      </c>
      <c r="EK243" s="1422">
        <v>0</v>
      </c>
      <c r="EL243" s="1422">
        <v>0</v>
      </c>
      <c r="EM243" s="1420">
        <v>757942.48</v>
      </c>
      <c r="EN243" s="1420">
        <v>704582.67</v>
      </c>
      <c r="EO243" s="1420">
        <v>1556523.19</v>
      </c>
      <c r="EP243" s="1422">
        <v>112500</v>
      </c>
      <c r="EQ243" s="1420">
        <v>533999.26</v>
      </c>
      <c r="ER243" s="1422">
        <v>393439</v>
      </c>
      <c r="ES243" s="1420">
        <v>733.13</v>
      </c>
      <c r="ET243" s="1422">
        <v>0</v>
      </c>
      <c r="EU243" s="1420">
        <v>12128133.060000001</v>
      </c>
      <c r="EV243" s="1420">
        <v>9918862.6199999992</v>
      </c>
      <c r="EW243" s="1420">
        <v>1982379.16</v>
      </c>
      <c r="EX243" s="1422">
        <v>292839</v>
      </c>
      <c r="EY243" s="1420">
        <v>533999.26</v>
      </c>
      <c r="EZ243" s="1422">
        <v>393439</v>
      </c>
      <c r="FA243" s="1420">
        <v>9611754.6400000006</v>
      </c>
      <c r="FB243" s="1420">
        <v>9232584.6199999992</v>
      </c>
      <c r="FC243" s="1420">
        <v>659100.1</v>
      </c>
      <c r="FD243" s="1439"/>
      <c r="FE243" s="1420">
        <v>8952654.5399999991</v>
      </c>
      <c r="FF243" s="1439"/>
      <c r="FG243" s="1422">
        <v>10903</v>
      </c>
      <c r="FH243" s="1439"/>
      <c r="FI243" s="1420">
        <v>65.17</v>
      </c>
      <c r="FJ243" s="1439"/>
      <c r="FK243" s="1422">
        <v>42712</v>
      </c>
      <c r="FL243" s="1439"/>
      <c r="FM243" s="1420">
        <v>70.64</v>
      </c>
      <c r="FN243" s="1439"/>
      <c r="FO243" s="1422">
        <v>46235</v>
      </c>
      <c r="FP243" s="1439"/>
      <c r="FQ243" s="1420">
        <v>1166042.23</v>
      </c>
      <c r="FR243" s="1439"/>
      <c r="FS243" s="1420">
        <v>311395.36</v>
      </c>
      <c r="FT243" s="1439"/>
      <c r="FU243" s="1422">
        <v>0</v>
      </c>
      <c r="FV243" s="1439"/>
      <c r="FW243" s="1420">
        <v>854646.87</v>
      </c>
      <c r="FX243" s="1439"/>
      <c r="FY243" s="1420">
        <v>1867927.19</v>
      </c>
      <c r="FZ243" s="1439"/>
      <c r="GA243" s="1422">
        <v>0</v>
      </c>
      <c r="GB243" s="1439"/>
    </row>
    <row r="244" spans="1:184" ht="12.75" customHeight="1">
      <c r="CU244" s="1459">
        <f>SUM(CU2:CU243)</f>
        <v>5299980409.2199984</v>
      </c>
    </row>
    <row r="247" spans="1:184" ht="12.75" customHeight="1">
      <c r="A247" s="2038">
        <v>40941</v>
      </c>
      <c r="B247" s="1978"/>
      <c r="C247" s="1978"/>
      <c r="D247" s="1978"/>
      <c r="E247" s="1978"/>
      <c r="F247" s="1978"/>
      <c r="G247" s="1978"/>
      <c r="H247" s="1978"/>
      <c r="I247" s="1978"/>
      <c r="J247" s="1978"/>
      <c r="K247" s="1978"/>
      <c r="L247" s="1978"/>
      <c r="M247" s="1978"/>
      <c r="N247" s="1978"/>
      <c r="O247" s="1978"/>
      <c r="P247" s="1978"/>
      <c r="Q247" s="1978"/>
      <c r="R247" s="1978"/>
      <c r="S247" s="1978"/>
      <c r="T247" s="1978"/>
      <c r="U247" s="1978"/>
      <c r="V247" s="1978"/>
      <c r="W247" s="1978"/>
      <c r="X247" s="1978"/>
      <c r="Y247" s="1978"/>
      <c r="Z247" s="1978"/>
      <c r="AA247" s="1978"/>
      <c r="AB247" s="1978"/>
      <c r="AC247" s="1978"/>
      <c r="AD247" s="1978"/>
      <c r="AE247" s="1978"/>
      <c r="AF247" s="1978"/>
      <c r="AG247" s="1978"/>
      <c r="AH247" s="1978"/>
      <c r="AI247" s="1978"/>
      <c r="AJ247" s="1978"/>
      <c r="AK247" s="1978"/>
      <c r="AL247" s="1978"/>
      <c r="AM247" s="1978"/>
      <c r="AN247" s="1978"/>
      <c r="AO247" s="1978"/>
      <c r="AP247" s="1978"/>
      <c r="AQ247" s="1978"/>
      <c r="AR247" s="1978"/>
      <c r="AS247" s="1978"/>
      <c r="AT247" s="1978"/>
      <c r="AU247" s="1978"/>
      <c r="AV247" s="1978"/>
      <c r="AW247" s="1978"/>
      <c r="AX247" s="1978"/>
      <c r="AY247" s="1978"/>
      <c r="AZ247" s="1978"/>
      <c r="BA247" s="1978"/>
      <c r="BB247" s="1978"/>
      <c r="BC247" s="1978"/>
      <c r="BD247" s="1978"/>
      <c r="BE247" s="1978"/>
      <c r="BF247" s="1978"/>
      <c r="BG247" s="1978"/>
      <c r="BH247" s="1978"/>
      <c r="BI247" s="1978"/>
      <c r="BJ247" s="1978"/>
      <c r="BK247" s="1978"/>
      <c r="BL247" s="1978"/>
      <c r="BM247" s="1978"/>
      <c r="BN247" s="1978"/>
      <c r="BO247" s="2039" t="s">
        <v>172</v>
      </c>
      <c r="BP247" s="1978"/>
      <c r="BQ247" s="1978"/>
      <c r="BR247" s="1978"/>
      <c r="BS247" s="1978"/>
      <c r="BT247" s="1978"/>
      <c r="BU247" s="1978"/>
      <c r="BV247" s="1978"/>
      <c r="BW247" s="1978"/>
      <c r="BX247" s="1978"/>
      <c r="BY247" s="1978"/>
      <c r="BZ247" s="1978"/>
      <c r="CA247" s="1978"/>
      <c r="CB247" s="1978"/>
      <c r="CC247" s="1978"/>
      <c r="CD247" s="1978"/>
      <c r="CE247" s="1978"/>
      <c r="CF247" s="1978"/>
      <c r="CG247" s="1978"/>
      <c r="CH247" s="1978"/>
      <c r="CI247" s="1978"/>
      <c r="CJ247" s="1978"/>
      <c r="CK247" s="1978"/>
      <c r="CL247" s="1978"/>
      <c r="CM247" s="1978"/>
      <c r="CN247" s="1978"/>
      <c r="CO247" s="1978"/>
      <c r="CP247" s="1978"/>
      <c r="CQ247" s="1978"/>
      <c r="CR247" s="1978"/>
      <c r="CS247" s="1978"/>
      <c r="CT247" s="1978"/>
      <c r="CU247" s="1978"/>
      <c r="CV247" s="1978"/>
      <c r="CW247" s="1978"/>
      <c r="CX247" s="1978"/>
      <c r="CY247" s="1978"/>
      <c r="CZ247" s="1978"/>
      <c r="DA247" s="1978"/>
      <c r="DB247" s="1978"/>
      <c r="DC247" s="1978"/>
      <c r="DD247" s="1978"/>
      <c r="DE247" s="1978"/>
      <c r="DF247" s="1978"/>
      <c r="DG247" s="1978"/>
      <c r="DH247" s="1978"/>
      <c r="DI247" s="1978"/>
      <c r="DJ247" s="1978"/>
      <c r="DK247" s="1978"/>
      <c r="DL247" s="1978"/>
      <c r="DM247" s="1978"/>
      <c r="DN247" s="1978"/>
      <c r="DO247" s="1978"/>
      <c r="DP247" s="1978"/>
      <c r="DQ247" s="1978"/>
      <c r="DR247" s="1978"/>
      <c r="DS247" s="1978"/>
      <c r="DT247" s="1978"/>
      <c r="DU247" s="1978"/>
      <c r="DV247" s="1978"/>
      <c r="DW247" s="1978"/>
      <c r="DX247" s="1978"/>
      <c r="DY247" s="1978"/>
      <c r="DZ247" s="1978"/>
      <c r="EA247" s="1978"/>
      <c r="EB247" s="2040">
        <v>0.38394675</v>
      </c>
      <c r="EC247" s="1978"/>
      <c r="ED247" s="1978"/>
      <c r="EE247" s="1978"/>
      <c r="EF247" s="1978"/>
      <c r="EG247" s="1978"/>
      <c r="EH247" s="1978"/>
      <c r="EI247" s="1978"/>
      <c r="EJ247" s="1978"/>
      <c r="EK247" s="1978"/>
      <c r="EL247" s="1978"/>
      <c r="EM247" s="1978"/>
      <c r="EN247" s="1978"/>
      <c r="EO247" s="1978"/>
      <c r="EP247" s="1978"/>
      <c r="EQ247" s="1978"/>
      <c r="ER247" s="1978"/>
      <c r="ES247" s="1978"/>
      <c r="ET247" s="1978"/>
      <c r="EU247" s="1978"/>
      <c r="EV247" s="1978"/>
      <c r="EW247" s="1978"/>
      <c r="EX247" s="1978"/>
      <c r="EY247" s="1978"/>
      <c r="EZ247" s="1978"/>
      <c r="FA247" s="1978"/>
      <c r="FB247" s="1978"/>
      <c r="FC247" s="1978"/>
      <c r="FD247" s="1978"/>
      <c r="FE247" s="1978"/>
      <c r="FF247" s="1978"/>
      <c r="FG247" s="1978"/>
      <c r="FH247" s="1978"/>
      <c r="FI247" s="1978"/>
      <c r="FJ247" s="1978"/>
      <c r="FK247" s="1978"/>
      <c r="FL247" s="1978"/>
      <c r="FM247" s="1978"/>
      <c r="FN247" s="1978"/>
      <c r="FO247" s="1978"/>
      <c r="FP247" s="1978"/>
      <c r="FQ247" s="1978"/>
      <c r="FR247" s="1978"/>
      <c r="FS247" s="1978"/>
      <c r="FT247" s="1978"/>
      <c r="FU247" s="1978"/>
      <c r="FV247" s="1978"/>
      <c r="FW247" s="1978"/>
      <c r="FX247" s="1978"/>
      <c r="FY247" s="1978"/>
      <c r="FZ247" s="1978"/>
      <c r="GA247" s="1978"/>
      <c r="GB247" s="1978"/>
    </row>
  </sheetData>
  <mergeCells count="188">
    <mergeCell ref="AC1:AH1"/>
    <mergeCell ref="AI1:AX1"/>
    <mergeCell ref="A2:B4"/>
    <mergeCell ref="C2:D2"/>
    <mergeCell ref="E2:F2"/>
    <mergeCell ref="G2:H2"/>
    <mergeCell ref="I2:J2"/>
    <mergeCell ref="K2:L2"/>
    <mergeCell ref="M2:N2"/>
    <mergeCell ref="O2:P2"/>
    <mergeCell ref="AC2:AD2"/>
    <mergeCell ref="AE2:AF2"/>
    <mergeCell ref="AG2:AH2"/>
    <mergeCell ref="AI2:AJ2"/>
    <mergeCell ref="AK2:AL2"/>
    <mergeCell ref="AM2:AN2"/>
    <mergeCell ref="Q2:R2"/>
    <mergeCell ref="S2:T2"/>
    <mergeCell ref="U2:V2"/>
    <mergeCell ref="W2:X2"/>
    <mergeCell ref="Y2:Z2"/>
    <mergeCell ref="AA2:AB2"/>
    <mergeCell ref="O3:P3"/>
    <mergeCell ref="Q3:R3"/>
    <mergeCell ref="BA2:BB2"/>
    <mergeCell ref="BC2:BD2"/>
    <mergeCell ref="BE2:BF2"/>
    <mergeCell ref="BG2:BH2"/>
    <mergeCell ref="BI2:BJ2"/>
    <mergeCell ref="BK2:BL2"/>
    <mergeCell ref="AO2:AP2"/>
    <mergeCell ref="AQ2:AR2"/>
    <mergeCell ref="AS2:AT2"/>
    <mergeCell ref="AU2:AV2"/>
    <mergeCell ref="AW2:AX2"/>
    <mergeCell ref="AY2:AZ2"/>
    <mergeCell ref="BY2:BZ2"/>
    <mergeCell ref="CA2:CB2"/>
    <mergeCell ref="CC2:CD2"/>
    <mergeCell ref="CE2:CF2"/>
    <mergeCell ref="CG2:CH2"/>
    <mergeCell ref="CI2:CJ2"/>
    <mergeCell ref="BM2:BN2"/>
    <mergeCell ref="BO2:BP2"/>
    <mergeCell ref="BQ2:BR2"/>
    <mergeCell ref="BS2:BT2"/>
    <mergeCell ref="BU2:BV2"/>
    <mergeCell ref="BW2:BX2"/>
    <mergeCell ref="CW2:CX2"/>
    <mergeCell ref="CY2:CZ2"/>
    <mergeCell ref="DA2:DB2"/>
    <mergeCell ref="DC2:DD2"/>
    <mergeCell ref="DE2:DF2"/>
    <mergeCell ref="DG2:DH2"/>
    <mergeCell ref="CK2:CL2"/>
    <mergeCell ref="CM2:CN2"/>
    <mergeCell ref="CO2:CP2"/>
    <mergeCell ref="CQ2:CR2"/>
    <mergeCell ref="CS2:CT2"/>
    <mergeCell ref="CU2:CV2"/>
    <mergeCell ref="DU2:DV2"/>
    <mergeCell ref="DW2:DX2"/>
    <mergeCell ref="DY2:DZ2"/>
    <mergeCell ref="EA2:EB2"/>
    <mergeCell ref="EC2:ED2"/>
    <mergeCell ref="EE2:EF2"/>
    <mergeCell ref="DI2:DJ2"/>
    <mergeCell ref="DK2:DL2"/>
    <mergeCell ref="DM2:DN2"/>
    <mergeCell ref="DO2:DP2"/>
    <mergeCell ref="DQ2:DR2"/>
    <mergeCell ref="DS2:DT2"/>
    <mergeCell ref="ES2:ET2"/>
    <mergeCell ref="EU2:EV2"/>
    <mergeCell ref="EW2:EX2"/>
    <mergeCell ref="EY2:EZ2"/>
    <mergeCell ref="FA2:FB2"/>
    <mergeCell ref="FC2:FD2"/>
    <mergeCell ref="EG2:EH2"/>
    <mergeCell ref="EI2:EJ2"/>
    <mergeCell ref="EK2:EL2"/>
    <mergeCell ref="EM2:EN2"/>
    <mergeCell ref="EO2:EP2"/>
    <mergeCell ref="EQ2:ER2"/>
    <mergeCell ref="FQ2:FR2"/>
    <mergeCell ref="FS2:FT2"/>
    <mergeCell ref="FU2:FV2"/>
    <mergeCell ref="FW2:FX2"/>
    <mergeCell ref="FY2:FZ2"/>
    <mergeCell ref="GA2:GB2"/>
    <mergeCell ref="FE2:FF2"/>
    <mergeCell ref="FG2:FH2"/>
    <mergeCell ref="FI2:FJ2"/>
    <mergeCell ref="FK2:FL2"/>
    <mergeCell ref="FM2:FN2"/>
    <mergeCell ref="FO2:FP2"/>
    <mergeCell ref="S3:T3"/>
    <mergeCell ref="U3:V3"/>
    <mergeCell ref="W3:X3"/>
    <mergeCell ref="Y3:Z3"/>
    <mergeCell ref="C3:D3"/>
    <mergeCell ref="E3:F3"/>
    <mergeCell ref="G3:H3"/>
    <mergeCell ref="I3:J3"/>
    <mergeCell ref="K3:L3"/>
    <mergeCell ref="M3:N3"/>
    <mergeCell ref="AM3:AN3"/>
    <mergeCell ref="AO3:AP3"/>
    <mergeCell ref="AQ3:AR3"/>
    <mergeCell ref="AS3:AT3"/>
    <mergeCell ref="AU3:AV3"/>
    <mergeCell ref="AW3:AX3"/>
    <mergeCell ref="AA3:AB3"/>
    <mergeCell ref="AC3:AD3"/>
    <mergeCell ref="AE3:AF3"/>
    <mergeCell ref="AG3:AH3"/>
    <mergeCell ref="AI3:AJ3"/>
    <mergeCell ref="AK3:AL3"/>
    <mergeCell ref="BK3:BL3"/>
    <mergeCell ref="BM3:BN3"/>
    <mergeCell ref="BO3:BP3"/>
    <mergeCell ref="BQ3:BR3"/>
    <mergeCell ref="BS3:BT3"/>
    <mergeCell ref="BU3:BV3"/>
    <mergeCell ref="AY3:AZ3"/>
    <mergeCell ref="BA3:BB3"/>
    <mergeCell ref="BC3:BD3"/>
    <mergeCell ref="BE3:BF3"/>
    <mergeCell ref="BG3:BH3"/>
    <mergeCell ref="BI3:BJ3"/>
    <mergeCell ref="CI3:CJ3"/>
    <mergeCell ref="CK3:CL3"/>
    <mergeCell ref="CM3:CN3"/>
    <mergeCell ref="CO3:CP3"/>
    <mergeCell ref="CQ3:CR3"/>
    <mergeCell ref="CS3:CT3"/>
    <mergeCell ref="BW3:BX3"/>
    <mergeCell ref="BY3:BZ3"/>
    <mergeCell ref="CA3:CB3"/>
    <mergeCell ref="CC3:CD3"/>
    <mergeCell ref="CE3:CF3"/>
    <mergeCell ref="CG3:CH3"/>
    <mergeCell ref="DG3:DH3"/>
    <mergeCell ref="DI3:DJ3"/>
    <mergeCell ref="DK3:DL3"/>
    <mergeCell ref="DM3:DN3"/>
    <mergeCell ref="DO3:DP3"/>
    <mergeCell ref="DQ3:DR3"/>
    <mergeCell ref="CU3:CV3"/>
    <mergeCell ref="CW3:CX3"/>
    <mergeCell ref="CY3:CZ3"/>
    <mergeCell ref="DA3:DB3"/>
    <mergeCell ref="DC3:DD3"/>
    <mergeCell ref="DE3:DF3"/>
    <mergeCell ref="EI3:EJ3"/>
    <mergeCell ref="EK3:EL3"/>
    <mergeCell ref="EM3:EN3"/>
    <mergeCell ref="EO3:EP3"/>
    <mergeCell ref="DS3:DT3"/>
    <mergeCell ref="DU3:DV3"/>
    <mergeCell ref="DW3:DX3"/>
    <mergeCell ref="DY3:DZ3"/>
    <mergeCell ref="EA3:EB3"/>
    <mergeCell ref="EC3:ED3"/>
    <mergeCell ref="GA3:GB3"/>
    <mergeCell ref="A247:BN247"/>
    <mergeCell ref="BO247:EA247"/>
    <mergeCell ref="EB247:GB247"/>
    <mergeCell ref="FO3:FP3"/>
    <mergeCell ref="FQ3:FR3"/>
    <mergeCell ref="FS3:FT3"/>
    <mergeCell ref="FU3:FV3"/>
    <mergeCell ref="FW3:FX3"/>
    <mergeCell ref="FY3:FZ3"/>
    <mergeCell ref="FC3:FD3"/>
    <mergeCell ref="FE3:FF3"/>
    <mergeCell ref="FG3:FH3"/>
    <mergeCell ref="FI3:FJ3"/>
    <mergeCell ref="FK3:FL3"/>
    <mergeCell ref="FM3:FN3"/>
    <mergeCell ref="EQ3:ER3"/>
    <mergeCell ref="ES3:ET3"/>
    <mergeCell ref="EU3:EV3"/>
    <mergeCell ref="EW3:EX3"/>
    <mergeCell ref="EY3:EZ3"/>
    <mergeCell ref="FA3:FB3"/>
    <mergeCell ref="EE3:EF3"/>
    <mergeCell ref="EG3:EH3"/>
  </mergeCells>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FH22"/>
  <sheetViews>
    <sheetView workbookViewId="0"/>
  </sheetViews>
  <sheetFormatPr baseColWidth="10" defaultColWidth="8.83203125" defaultRowHeight="11" x14ac:dyDescent="0"/>
  <cols>
    <col min="1" max="1" width="8.83203125" style="1313"/>
    <col min="2" max="2" width="12" style="1313" customWidth="1"/>
    <col min="3" max="16384" width="8.83203125" style="1313"/>
  </cols>
  <sheetData>
    <row r="1" spans="1:164">
      <c r="A1" s="1313" t="s">
        <v>704</v>
      </c>
      <c r="C1" s="1313" t="s">
        <v>804</v>
      </c>
      <c r="E1" s="1313" t="s">
        <v>805</v>
      </c>
      <c r="G1" s="1313" t="s">
        <v>806</v>
      </c>
      <c r="I1" s="1313" t="s">
        <v>807</v>
      </c>
      <c r="K1" s="1313" t="s">
        <v>840</v>
      </c>
      <c r="M1" s="1313" t="s">
        <v>808</v>
      </c>
      <c r="O1" s="1313" t="s">
        <v>809</v>
      </c>
      <c r="Q1" s="1313" t="s">
        <v>810</v>
      </c>
      <c r="S1" s="1313" t="s">
        <v>811</v>
      </c>
      <c r="U1" s="1313" t="s">
        <v>812</v>
      </c>
      <c r="W1" s="1313" t="s">
        <v>813</v>
      </c>
      <c r="Y1" s="1313" t="s">
        <v>814</v>
      </c>
      <c r="AA1" s="1313" t="s">
        <v>815</v>
      </c>
      <c r="AC1" s="1313" t="s">
        <v>816</v>
      </c>
      <c r="AE1" s="1313" t="s">
        <v>174</v>
      </c>
      <c r="AG1" s="1313" t="s">
        <v>817</v>
      </c>
      <c r="AI1" s="1313" t="s">
        <v>818</v>
      </c>
      <c r="AK1" s="1313" t="s">
        <v>819</v>
      </c>
      <c r="AM1" s="1313" t="s">
        <v>820</v>
      </c>
      <c r="AO1" s="1313" t="s">
        <v>821</v>
      </c>
      <c r="AQ1" s="1313" t="s">
        <v>822</v>
      </c>
      <c r="AS1" s="1313" t="s">
        <v>823</v>
      </c>
      <c r="AU1" s="1313" t="s">
        <v>824</v>
      </c>
      <c r="AW1" s="1313" t="s">
        <v>825</v>
      </c>
      <c r="AY1" s="1313" t="s">
        <v>826</v>
      </c>
      <c r="BA1" s="1313" t="s">
        <v>827</v>
      </c>
      <c r="BC1" s="1313" t="s">
        <v>828</v>
      </c>
      <c r="BE1" s="1313" t="s">
        <v>829</v>
      </c>
      <c r="BG1" s="1313" t="s">
        <v>830</v>
      </c>
      <c r="BI1" s="1313" t="s">
        <v>175</v>
      </c>
      <c r="BK1" s="1313" t="s">
        <v>832</v>
      </c>
      <c r="BM1" s="1313" t="s">
        <v>833</v>
      </c>
      <c r="BO1" s="1313" t="s">
        <v>834</v>
      </c>
      <c r="BQ1" s="1313" t="s">
        <v>835</v>
      </c>
      <c r="BS1" s="1313" t="s">
        <v>836</v>
      </c>
      <c r="BU1" s="1313" t="s">
        <v>837</v>
      </c>
      <c r="BW1" s="1313" t="s">
        <v>838</v>
      </c>
      <c r="BY1" s="1313" t="s">
        <v>839</v>
      </c>
      <c r="CA1" s="1313" t="s">
        <v>176</v>
      </c>
      <c r="CC1" s="1313" t="s">
        <v>177</v>
      </c>
      <c r="CE1" s="1313" t="s">
        <v>178</v>
      </c>
      <c r="CG1" s="1313" t="s">
        <v>179</v>
      </c>
      <c r="CI1" s="1313" t="s">
        <v>180</v>
      </c>
      <c r="CK1" s="1313" t="s">
        <v>181</v>
      </c>
      <c r="CM1" s="1313" t="s">
        <v>182</v>
      </c>
      <c r="CO1" s="1313" t="s">
        <v>183</v>
      </c>
      <c r="CQ1" s="1313" t="s">
        <v>184</v>
      </c>
      <c r="CS1" s="1313" t="s">
        <v>185</v>
      </c>
      <c r="CU1" s="1313" t="s">
        <v>186</v>
      </c>
      <c r="CW1" s="1313" t="s">
        <v>187</v>
      </c>
      <c r="CY1" s="1313" t="s">
        <v>188</v>
      </c>
      <c r="DA1" s="1313" t="s">
        <v>189</v>
      </c>
      <c r="DC1" s="1313" t="s">
        <v>190</v>
      </c>
      <c r="DE1" s="1313" t="s">
        <v>191</v>
      </c>
      <c r="DG1" s="1313" t="s">
        <v>192</v>
      </c>
      <c r="DI1" s="1313" t="s">
        <v>193</v>
      </c>
      <c r="DK1" s="1313" t="s">
        <v>194</v>
      </c>
      <c r="DM1" s="1313" t="s">
        <v>195</v>
      </c>
      <c r="DO1" s="1313" t="s">
        <v>196</v>
      </c>
      <c r="DQ1" s="1313" t="s">
        <v>197</v>
      </c>
      <c r="DS1" s="1313" t="s">
        <v>198</v>
      </c>
      <c r="DU1" s="1313" t="s">
        <v>199</v>
      </c>
      <c r="DW1" s="1313" t="s">
        <v>200</v>
      </c>
      <c r="DY1" s="1313" t="s">
        <v>201</v>
      </c>
      <c r="EA1" s="1313" t="s">
        <v>202</v>
      </c>
      <c r="EC1" s="1313" t="s">
        <v>203</v>
      </c>
      <c r="EE1" s="1313" t="s">
        <v>204</v>
      </c>
      <c r="EG1" s="1313" t="s">
        <v>205</v>
      </c>
      <c r="EI1" s="1313" t="s">
        <v>206</v>
      </c>
      <c r="EK1" s="1313" t="s">
        <v>207</v>
      </c>
      <c r="EM1" s="1313" t="s">
        <v>573</v>
      </c>
      <c r="EO1" s="1313" t="s">
        <v>208</v>
      </c>
      <c r="EQ1" s="1313" t="s">
        <v>209</v>
      </c>
      <c r="ES1" s="1313" t="s">
        <v>210</v>
      </c>
      <c r="EU1" s="1313" t="s">
        <v>211</v>
      </c>
      <c r="EW1" s="1313" t="s">
        <v>212</v>
      </c>
      <c r="EY1" s="1313" t="s">
        <v>213</v>
      </c>
      <c r="FA1" s="1313" t="s">
        <v>214</v>
      </c>
      <c r="FC1" s="1313" t="s">
        <v>215</v>
      </c>
      <c r="FE1" s="1313" t="s">
        <v>216</v>
      </c>
      <c r="FG1" s="1313" t="s">
        <v>217</v>
      </c>
    </row>
    <row r="2" spans="1:164">
      <c r="C2" s="1313" t="s">
        <v>663</v>
      </c>
      <c r="E2" s="1313" t="s">
        <v>664</v>
      </c>
      <c r="G2" s="1313" t="s">
        <v>665</v>
      </c>
      <c r="I2" s="1313" t="s">
        <v>666</v>
      </c>
      <c r="K2" s="1313" t="s">
        <v>697</v>
      </c>
      <c r="M2" s="1313" t="s">
        <v>667</v>
      </c>
      <c r="O2" s="1313" t="s">
        <v>668</v>
      </c>
      <c r="Q2" s="1313" t="s">
        <v>669</v>
      </c>
      <c r="S2" s="1313" t="s">
        <v>670</v>
      </c>
      <c r="U2" s="1313" t="s">
        <v>671</v>
      </c>
      <c r="W2" s="1313" t="s">
        <v>672</v>
      </c>
      <c r="Y2" s="1313" t="s">
        <v>673</v>
      </c>
      <c r="AA2" s="1313" t="s">
        <v>674</v>
      </c>
      <c r="AC2" s="1313" t="s">
        <v>675</v>
      </c>
      <c r="AE2" s="1313" t="s">
        <v>218</v>
      </c>
      <c r="AG2" s="1313" t="s">
        <v>676</v>
      </c>
      <c r="AI2" s="1313" t="s">
        <v>677</v>
      </c>
      <c r="AK2" s="1313" t="s">
        <v>678</v>
      </c>
      <c r="AM2" s="1313" t="s">
        <v>679</v>
      </c>
      <c r="AO2" s="1313" t="s">
        <v>680</v>
      </c>
      <c r="AQ2" s="1313" t="s">
        <v>681</v>
      </c>
      <c r="AS2" s="1313" t="s">
        <v>682</v>
      </c>
      <c r="AU2" s="1313" t="s">
        <v>683</v>
      </c>
      <c r="AW2" s="1313" t="s">
        <v>684</v>
      </c>
      <c r="AY2" s="1313" t="s">
        <v>685</v>
      </c>
      <c r="BA2" s="1313" t="s">
        <v>686</v>
      </c>
      <c r="BC2" s="1313" t="s">
        <v>687</v>
      </c>
      <c r="BE2" s="1313" t="s">
        <v>688</v>
      </c>
      <c r="BG2" s="1313" t="s">
        <v>689</v>
      </c>
      <c r="BI2" s="1313" t="s">
        <v>219</v>
      </c>
      <c r="BK2" s="1313" t="s">
        <v>690</v>
      </c>
      <c r="BM2" s="1313" t="s">
        <v>691</v>
      </c>
      <c r="BO2" s="1313" t="s">
        <v>692</v>
      </c>
      <c r="BQ2" s="1313" t="s">
        <v>693</v>
      </c>
      <c r="BS2" s="1313" t="s">
        <v>694</v>
      </c>
      <c r="BU2" s="1313" t="s">
        <v>695</v>
      </c>
      <c r="BW2" s="1313" t="s">
        <v>1349</v>
      </c>
      <c r="BY2" s="1313" t="s">
        <v>696</v>
      </c>
      <c r="CA2" s="1313" t="s">
        <v>57</v>
      </c>
      <c r="CC2" s="1313" t="s">
        <v>58</v>
      </c>
      <c r="CE2" s="1313" t="s">
        <v>1133</v>
      </c>
      <c r="CG2" s="1313" t="s">
        <v>684</v>
      </c>
      <c r="CI2" s="1313" t="s">
        <v>676</v>
      </c>
      <c r="CK2" s="1313" t="s">
        <v>59</v>
      </c>
      <c r="CM2" s="1313" t="s">
        <v>1349</v>
      </c>
      <c r="CO2" s="1313" t="s">
        <v>60</v>
      </c>
      <c r="CQ2" s="1313" t="s">
        <v>61</v>
      </c>
      <c r="CS2" s="1313" t="s">
        <v>62</v>
      </c>
      <c r="CU2" s="1313" t="s">
        <v>63</v>
      </c>
      <c r="CW2" s="1313" t="s">
        <v>64</v>
      </c>
      <c r="CY2" s="1313" t="s">
        <v>65</v>
      </c>
      <c r="DA2" s="1313" t="s">
        <v>66</v>
      </c>
      <c r="DC2" s="1313" t="s">
        <v>67</v>
      </c>
      <c r="DE2" s="1313" t="s">
        <v>68</v>
      </c>
      <c r="DG2" s="1313" t="s">
        <v>69</v>
      </c>
      <c r="DI2" s="1313" t="s">
        <v>66</v>
      </c>
      <c r="DK2" s="1313" t="s">
        <v>70</v>
      </c>
      <c r="DM2" s="1313" t="s">
        <v>71</v>
      </c>
      <c r="DO2" s="1313" t="s">
        <v>72</v>
      </c>
      <c r="DQ2" s="1313" t="s">
        <v>73</v>
      </c>
      <c r="DS2" s="1313" t="s">
        <v>74</v>
      </c>
      <c r="DU2" s="1313" t="s">
        <v>75</v>
      </c>
      <c r="DW2" s="1313" t="s">
        <v>76</v>
      </c>
      <c r="DY2" s="1313" t="s">
        <v>77</v>
      </c>
      <c r="EA2" s="1313" t="s">
        <v>78</v>
      </c>
      <c r="EC2" s="1313" t="s">
        <v>79</v>
      </c>
      <c r="EE2" s="1313" t="s">
        <v>80</v>
      </c>
      <c r="EG2" s="1313" t="s">
        <v>81</v>
      </c>
      <c r="EI2" s="1313" t="s">
        <v>82</v>
      </c>
      <c r="EK2" s="1313" t="s">
        <v>83</v>
      </c>
      <c r="EM2" s="1313" t="s">
        <v>584</v>
      </c>
      <c r="EO2" s="1313" t="s">
        <v>84</v>
      </c>
      <c r="EQ2" s="1313" t="s">
        <v>85</v>
      </c>
      <c r="ES2" s="1313" t="s">
        <v>86</v>
      </c>
      <c r="EU2" s="1313" t="s">
        <v>87</v>
      </c>
      <c r="EW2" s="1313" t="s">
        <v>88</v>
      </c>
      <c r="EY2" s="1313" t="s">
        <v>89</v>
      </c>
      <c r="FA2" s="1313" t="s">
        <v>90</v>
      </c>
      <c r="FC2" s="1313" t="s">
        <v>91</v>
      </c>
      <c r="FE2" s="1313" t="s">
        <v>92</v>
      </c>
      <c r="FG2" s="1313" t="s">
        <v>93</v>
      </c>
    </row>
    <row r="3" spans="1:164">
      <c r="C3" s="1313" t="s">
        <v>704</v>
      </c>
      <c r="D3" s="1313" t="s">
        <v>94</v>
      </c>
      <c r="E3" s="1313" t="s">
        <v>704</v>
      </c>
      <c r="F3" s="1313" t="s">
        <v>94</v>
      </c>
      <c r="G3" s="1313" t="s">
        <v>704</v>
      </c>
      <c r="H3" s="1313" t="s">
        <v>94</v>
      </c>
      <c r="I3" s="1313" t="s">
        <v>704</v>
      </c>
      <c r="J3" s="1313" t="s">
        <v>94</v>
      </c>
      <c r="K3" s="1313" t="s">
        <v>704</v>
      </c>
      <c r="L3" s="1313" t="s">
        <v>94</v>
      </c>
      <c r="M3" s="1313" t="s">
        <v>704</v>
      </c>
      <c r="N3" s="1313" t="s">
        <v>94</v>
      </c>
      <c r="O3" s="1313" t="s">
        <v>704</v>
      </c>
      <c r="P3" s="1313" t="s">
        <v>94</v>
      </c>
      <c r="Q3" s="1313" t="s">
        <v>704</v>
      </c>
      <c r="R3" s="1313" t="s">
        <v>94</v>
      </c>
      <c r="S3" s="1313" t="s">
        <v>704</v>
      </c>
      <c r="T3" s="1313" t="s">
        <v>94</v>
      </c>
      <c r="U3" s="1313" t="s">
        <v>704</v>
      </c>
      <c r="V3" s="1313" t="s">
        <v>94</v>
      </c>
      <c r="W3" s="1313" t="s">
        <v>704</v>
      </c>
      <c r="X3" s="1313" t="s">
        <v>94</v>
      </c>
      <c r="Y3" s="1313" t="s">
        <v>704</v>
      </c>
      <c r="Z3" s="1313" t="s">
        <v>94</v>
      </c>
      <c r="AA3" s="1313" t="s">
        <v>704</v>
      </c>
      <c r="AB3" s="1313" t="s">
        <v>94</v>
      </c>
      <c r="AC3" s="1313" t="s">
        <v>704</v>
      </c>
      <c r="AD3" s="1313" t="s">
        <v>94</v>
      </c>
      <c r="AE3" s="1313" t="s">
        <v>704</v>
      </c>
      <c r="AF3" s="1313" t="s">
        <v>94</v>
      </c>
      <c r="AG3" s="1313" t="s">
        <v>704</v>
      </c>
      <c r="AH3" s="1313" t="s">
        <v>94</v>
      </c>
      <c r="AI3" s="1313" t="s">
        <v>704</v>
      </c>
      <c r="AJ3" s="1313" t="s">
        <v>94</v>
      </c>
      <c r="AK3" s="1313" t="s">
        <v>704</v>
      </c>
      <c r="AL3" s="1313" t="s">
        <v>94</v>
      </c>
      <c r="AM3" s="1313" t="s">
        <v>704</v>
      </c>
      <c r="AN3" s="1313" t="s">
        <v>94</v>
      </c>
      <c r="AO3" s="1313" t="s">
        <v>704</v>
      </c>
      <c r="AP3" s="1313" t="s">
        <v>94</v>
      </c>
      <c r="AQ3" s="1313" t="s">
        <v>704</v>
      </c>
      <c r="AR3" s="1313" t="s">
        <v>94</v>
      </c>
      <c r="AS3" s="1313" t="s">
        <v>704</v>
      </c>
      <c r="AT3" s="1313" t="s">
        <v>94</v>
      </c>
      <c r="AU3" s="1313" t="s">
        <v>704</v>
      </c>
      <c r="AV3" s="1313" t="s">
        <v>94</v>
      </c>
      <c r="AW3" s="1313" t="s">
        <v>704</v>
      </c>
      <c r="AX3" s="1313" t="s">
        <v>94</v>
      </c>
      <c r="AY3" s="1313" t="s">
        <v>704</v>
      </c>
      <c r="AZ3" s="1313" t="s">
        <v>94</v>
      </c>
      <c r="BA3" s="1313" t="s">
        <v>704</v>
      </c>
      <c r="BB3" s="1313" t="s">
        <v>94</v>
      </c>
      <c r="BC3" s="1313" t="s">
        <v>704</v>
      </c>
      <c r="BD3" s="1313" t="s">
        <v>94</v>
      </c>
      <c r="BE3" s="1313" t="s">
        <v>704</v>
      </c>
      <c r="BF3" s="1313" t="s">
        <v>94</v>
      </c>
      <c r="BG3" s="1313" t="s">
        <v>704</v>
      </c>
      <c r="BH3" s="1313" t="s">
        <v>94</v>
      </c>
      <c r="BI3" s="1313" t="s">
        <v>704</v>
      </c>
      <c r="BJ3" s="1313" t="s">
        <v>94</v>
      </c>
      <c r="BK3" s="1313" t="s">
        <v>704</v>
      </c>
      <c r="BL3" s="1313" t="s">
        <v>94</v>
      </c>
      <c r="BM3" s="1313" t="s">
        <v>704</v>
      </c>
      <c r="BN3" s="1313" t="s">
        <v>94</v>
      </c>
      <c r="BO3" s="1313" t="s">
        <v>704</v>
      </c>
      <c r="BP3" s="1313" t="s">
        <v>94</v>
      </c>
      <c r="BQ3" s="1313" t="s">
        <v>704</v>
      </c>
      <c r="BR3" s="1313" t="s">
        <v>94</v>
      </c>
      <c r="BS3" s="1313" t="s">
        <v>704</v>
      </c>
      <c r="BT3" s="1313" t="s">
        <v>94</v>
      </c>
      <c r="BU3" s="1313" t="s">
        <v>704</v>
      </c>
      <c r="BV3" s="1313" t="s">
        <v>94</v>
      </c>
      <c r="BW3" s="1313" t="s">
        <v>704</v>
      </c>
      <c r="BX3" s="1313" t="s">
        <v>94</v>
      </c>
      <c r="BY3" s="1313" t="s">
        <v>704</v>
      </c>
      <c r="BZ3" s="1313" t="s">
        <v>94</v>
      </c>
      <c r="CA3" s="1313" t="s">
        <v>704</v>
      </c>
      <c r="CB3" s="1313" t="s">
        <v>94</v>
      </c>
      <c r="CC3" s="1313" t="s">
        <v>704</v>
      </c>
      <c r="CD3" s="1313" t="s">
        <v>94</v>
      </c>
      <c r="CE3" s="1313" t="s">
        <v>704</v>
      </c>
      <c r="CF3" s="1313" t="s">
        <v>94</v>
      </c>
      <c r="CG3" s="1313" t="s">
        <v>704</v>
      </c>
      <c r="CH3" s="1313" t="s">
        <v>94</v>
      </c>
      <c r="CI3" s="1313" t="s">
        <v>704</v>
      </c>
      <c r="CJ3" s="1313" t="s">
        <v>94</v>
      </c>
      <c r="CK3" s="1313" t="s">
        <v>704</v>
      </c>
      <c r="CL3" s="1313" t="s">
        <v>94</v>
      </c>
      <c r="CM3" s="1313" t="s">
        <v>704</v>
      </c>
      <c r="CN3" s="1313" t="s">
        <v>94</v>
      </c>
      <c r="CO3" s="1313" t="s">
        <v>704</v>
      </c>
      <c r="CP3" s="1313" t="s">
        <v>94</v>
      </c>
      <c r="CQ3" s="1313" t="s">
        <v>704</v>
      </c>
      <c r="CR3" s="1313" t="s">
        <v>94</v>
      </c>
      <c r="CS3" s="1313" t="s">
        <v>704</v>
      </c>
      <c r="CT3" s="1313" t="s">
        <v>94</v>
      </c>
      <c r="CU3" s="1313" t="s">
        <v>704</v>
      </c>
      <c r="CV3" s="1313" t="s">
        <v>94</v>
      </c>
      <c r="CW3" s="1313" t="s">
        <v>704</v>
      </c>
      <c r="CX3" s="1313" t="s">
        <v>94</v>
      </c>
      <c r="CY3" s="1313" t="s">
        <v>704</v>
      </c>
      <c r="CZ3" s="1313" t="s">
        <v>94</v>
      </c>
      <c r="DA3" s="1313" t="s">
        <v>704</v>
      </c>
      <c r="DB3" s="1313" t="s">
        <v>94</v>
      </c>
      <c r="DC3" s="1313" t="s">
        <v>704</v>
      </c>
      <c r="DD3" s="1313" t="s">
        <v>94</v>
      </c>
      <c r="DE3" s="1313" t="s">
        <v>704</v>
      </c>
      <c r="DF3" s="1313" t="s">
        <v>94</v>
      </c>
      <c r="DG3" s="1313" t="s">
        <v>704</v>
      </c>
      <c r="DH3" s="1313" t="s">
        <v>94</v>
      </c>
      <c r="DI3" s="1313" t="s">
        <v>704</v>
      </c>
      <c r="DJ3" s="1313" t="s">
        <v>94</v>
      </c>
      <c r="DK3" s="1313" t="s">
        <v>704</v>
      </c>
      <c r="DL3" s="1313" t="s">
        <v>94</v>
      </c>
      <c r="DM3" s="1313" t="s">
        <v>704</v>
      </c>
      <c r="DN3" s="1313" t="s">
        <v>94</v>
      </c>
      <c r="DO3" s="1313" t="s">
        <v>704</v>
      </c>
      <c r="DP3" s="1313" t="s">
        <v>94</v>
      </c>
      <c r="DQ3" s="1313" t="s">
        <v>704</v>
      </c>
      <c r="DR3" s="1313" t="s">
        <v>94</v>
      </c>
      <c r="DS3" s="1313" t="s">
        <v>704</v>
      </c>
      <c r="DT3" s="1313" t="s">
        <v>94</v>
      </c>
      <c r="DU3" s="1313" t="s">
        <v>704</v>
      </c>
      <c r="DV3" s="1313" t="s">
        <v>94</v>
      </c>
      <c r="DW3" s="1313" t="s">
        <v>704</v>
      </c>
      <c r="DX3" s="1313" t="s">
        <v>94</v>
      </c>
      <c r="DY3" s="1313" t="s">
        <v>704</v>
      </c>
      <c r="DZ3" s="1313" t="s">
        <v>94</v>
      </c>
      <c r="EA3" s="1313" t="s">
        <v>704</v>
      </c>
      <c r="EB3" s="1313" t="s">
        <v>94</v>
      </c>
      <c r="EC3" s="1313" t="s">
        <v>704</v>
      </c>
      <c r="ED3" s="1313" t="s">
        <v>94</v>
      </c>
      <c r="EE3" s="1313" t="s">
        <v>704</v>
      </c>
      <c r="EF3" s="1313" t="s">
        <v>94</v>
      </c>
      <c r="EG3" s="1313" t="s">
        <v>704</v>
      </c>
      <c r="EH3" s="1313" t="s">
        <v>94</v>
      </c>
      <c r="EI3" s="1313" t="s">
        <v>704</v>
      </c>
      <c r="EJ3" s="1313" t="s">
        <v>94</v>
      </c>
      <c r="EK3" s="1313" t="s">
        <v>704</v>
      </c>
      <c r="EL3" s="1313" t="s">
        <v>94</v>
      </c>
      <c r="EM3" s="1313" t="s">
        <v>704</v>
      </c>
      <c r="EN3" s="1313" t="s">
        <v>94</v>
      </c>
      <c r="EO3" s="1313" t="s">
        <v>704</v>
      </c>
      <c r="EP3" s="1313" t="s">
        <v>94</v>
      </c>
      <c r="EQ3" s="1313" t="s">
        <v>704</v>
      </c>
      <c r="ER3" s="1313" t="s">
        <v>94</v>
      </c>
      <c r="ES3" s="1313" t="s">
        <v>704</v>
      </c>
      <c r="ET3" s="1313" t="s">
        <v>94</v>
      </c>
      <c r="EU3" s="1313" t="s">
        <v>704</v>
      </c>
      <c r="EV3" s="1313" t="s">
        <v>94</v>
      </c>
      <c r="EW3" s="1313" t="s">
        <v>704</v>
      </c>
      <c r="EX3" s="1313" t="s">
        <v>94</v>
      </c>
      <c r="EY3" s="1313" t="s">
        <v>704</v>
      </c>
      <c r="EZ3" s="1313" t="s">
        <v>94</v>
      </c>
      <c r="FA3" s="1313" t="s">
        <v>704</v>
      </c>
      <c r="FB3" s="1313" t="s">
        <v>94</v>
      </c>
      <c r="FC3" s="1313" t="s">
        <v>704</v>
      </c>
      <c r="FD3" s="1313" t="s">
        <v>94</v>
      </c>
      <c r="FE3" s="1313" t="s">
        <v>704</v>
      </c>
      <c r="FF3" s="1313" t="s">
        <v>94</v>
      </c>
      <c r="FG3" s="1313" t="s">
        <v>704</v>
      </c>
      <c r="FH3" s="1313" t="s">
        <v>94</v>
      </c>
    </row>
    <row r="4" spans="1:164">
      <c r="A4" s="1313" t="s">
        <v>749</v>
      </c>
      <c r="B4" s="1313" t="s">
        <v>766</v>
      </c>
      <c r="C4" s="1313">
        <v>687.66</v>
      </c>
      <c r="E4" s="1313">
        <v>0.82</v>
      </c>
      <c r="G4" s="1313">
        <v>723.23</v>
      </c>
      <c r="I4" s="1313">
        <v>0</v>
      </c>
      <c r="J4" s="1313">
        <v>0</v>
      </c>
      <c r="K4" s="1313">
        <v>199501.36</v>
      </c>
      <c r="L4" s="1313">
        <v>199921</v>
      </c>
      <c r="M4" s="1313">
        <v>0</v>
      </c>
      <c r="N4" s="1313">
        <v>0</v>
      </c>
      <c r="O4" s="1313">
        <v>0</v>
      </c>
      <c r="P4" s="1313">
        <v>0</v>
      </c>
      <c r="Q4" s="1313">
        <v>0</v>
      </c>
      <c r="R4" s="1313">
        <v>0</v>
      </c>
      <c r="S4" s="1313">
        <v>153556</v>
      </c>
      <c r="T4" s="1313">
        <v>0</v>
      </c>
      <c r="U4" s="1313">
        <v>0</v>
      </c>
      <c r="V4" s="1313">
        <v>0</v>
      </c>
      <c r="W4" s="1313">
        <v>0</v>
      </c>
      <c r="X4" s="1313">
        <v>0</v>
      </c>
      <c r="Y4" s="1313">
        <v>0</v>
      </c>
      <c r="Z4" s="1313">
        <v>0</v>
      </c>
      <c r="AA4" s="1313">
        <v>0</v>
      </c>
      <c r="AB4" s="1313">
        <v>0</v>
      </c>
      <c r="AC4" s="1313">
        <v>4203691</v>
      </c>
      <c r="AD4" s="1313">
        <v>4448256</v>
      </c>
      <c r="AE4" s="1313">
        <v>4556748.3600000003</v>
      </c>
      <c r="AF4" s="1313">
        <v>4648177</v>
      </c>
      <c r="AG4" s="1313">
        <v>0</v>
      </c>
      <c r="AH4" s="1313">
        <v>0</v>
      </c>
      <c r="AI4" s="1313">
        <v>28866</v>
      </c>
      <c r="AJ4" s="1313">
        <v>30408</v>
      </c>
      <c r="AK4" s="1313">
        <v>15000</v>
      </c>
      <c r="AL4" s="1313">
        <v>6000</v>
      </c>
      <c r="AM4" s="1313">
        <v>850</v>
      </c>
      <c r="AN4" s="1313">
        <v>0</v>
      </c>
      <c r="AO4" s="1313">
        <v>0</v>
      </c>
      <c r="AP4" s="1313">
        <v>0</v>
      </c>
      <c r="AQ4" s="1313">
        <v>6739</v>
      </c>
      <c r="AR4" s="1313">
        <v>6877</v>
      </c>
      <c r="AS4" s="1313">
        <v>92831</v>
      </c>
      <c r="AT4" s="1313">
        <v>112803</v>
      </c>
      <c r="AU4" s="1313">
        <v>2859.15</v>
      </c>
      <c r="AV4" s="1313">
        <v>0</v>
      </c>
      <c r="AW4" s="1313">
        <v>0</v>
      </c>
      <c r="AX4" s="1313">
        <v>0</v>
      </c>
      <c r="AY4" s="1313">
        <v>608.01</v>
      </c>
      <c r="AZ4" s="1313">
        <v>0</v>
      </c>
      <c r="BA4" s="1313">
        <v>0</v>
      </c>
      <c r="BB4" s="1313">
        <v>0</v>
      </c>
      <c r="BC4" s="1313">
        <v>0</v>
      </c>
      <c r="BD4" s="1313">
        <v>0</v>
      </c>
      <c r="BE4" s="1313">
        <v>0</v>
      </c>
      <c r="BF4" s="1313">
        <v>0</v>
      </c>
      <c r="BG4" s="1313">
        <v>0</v>
      </c>
      <c r="BH4" s="1313">
        <v>0</v>
      </c>
      <c r="BI4" s="1313">
        <v>147753.16</v>
      </c>
      <c r="BJ4" s="1313">
        <v>156088</v>
      </c>
      <c r="BK4" s="1313">
        <v>451882.82</v>
      </c>
      <c r="BL4" s="1313">
        <v>294201.08</v>
      </c>
      <c r="BM4" s="1313">
        <v>0</v>
      </c>
      <c r="BN4" s="1313">
        <v>0</v>
      </c>
      <c r="BO4" s="1313">
        <v>0</v>
      </c>
      <c r="BP4" s="1313">
        <v>0</v>
      </c>
      <c r="BQ4" s="1313">
        <v>0</v>
      </c>
      <c r="BR4" s="1313">
        <v>0</v>
      </c>
      <c r="BS4" s="1313">
        <v>0</v>
      </c>
      <c r="BT4" s="1313">
        <v>0</v>
      </c>
      <c r="BU4" s="1313">
        <v>0</v>
      </c>
      <c r="BV4" s="1313">
        <v>0</v>
      </c>
      <c r="BW4" s="1313">
        <v>0</v>
      </c>
      <c r="BX4" s="1313">
        <v>0</v>
      </c>
      <c r="BY4" s="1313">
        <v>0</v>
      </c>
      <c r="BZ4" s="1313">
        <v>0</v>
      </c>
      <c r="CA4" s="1313">
        <v>5156384.34</v>
      </c>
      <c r="CB4" s="1313">
        <v>5098466.08</v>
      </c>
      <c r="CC4" s="1313">
        <v>2012174.3</v>
      </c>
      <c r="CD4" s="1313">
        <v>1953648.23</v>
      </c>
      <c r="CE4" s="1313">
        <v>151993.07</v>
      </c>
      <c r="CF4" s="1313">
        <v>171300.59</v>
      </c>
      <c r="CG4" s="1313">
        <v>814.87</v>
      </c>
      <c r="CH4" s="1313">
        <v>1800</v>
      </c>
      <c r="CI4" s="1313">
        <v>0</v>
      </c>
      <c r="CJ4" s="1313">
        <v>0</v>
      </c>
      <c r="CK4" s="1313">
        <v>104013.01</v>
      </c>
      <c r="CL4" s="1313">
        <v>62566.27</v>
      </c>
      <c r="CM4" s="1313">
        <v>645827.94999999995</v>
      </c>
      <c r="CN4" s="1313">
        <v>679655.31</v>
      </c>
      <c r="CO4" s="1313">
        <v>2914823.2</v>
      </c>
      <c r="CP4" s="1313">
        <v>2868970.4</v>
      </c>
      <c r="CQ4" s="1313">
        <v>99484.46</v>
      </c>
      <c r="CR4" s="1313">
        <v>133257</v>
      </c>
      <c r="CS4" s="1313">
        <v>60174.19</v>
      </c>
      <c r="CT4" s="1313">
        <v>61649.26</v>
      </c>
      <c r="CU4" s="1313">
        <v>475695.08</v>
      </c>
      <c r="CV4" s="1313">
        <v>535448.47</v>
      </c>
      <c r="CW4" s="1313">
        <v>3848.36</v>
      </c>
      <c r="CX4" s="1313">
        <v>6000</v>
      </c>
      <c r="CY4" s="1313">
        <v>268.04000000000002</v>
      </c>
      <c r="CZ4" s="1313">
        <v>0</v>
      </c>
      <c r="DA4" s="1313">
        <v>639470.13</v>
      </c>
      <c r="DB4" s="1313">
        <v>736354.73</v>
      </c>
      <c r="DC4" s="1313">
        <v>91117.36</v>
      </c>
      <c r="DD4" s="1313">
        <v>128985.49</v>
      </c>
      <c r="DE4" s="1313">
        <v>181045.39</v>
      </c>
      <c r="DF4" s="1313">
        <v>206212.76</v>
      </c>
      <c r="DG4" s="1313">
        <v>218213.74</v>
      </c>
      <c r="DH4" s="1313">
        <v>318255.39</v>
      </c>
      <c r="DI4" s="1313">
        <v>490376.49</v>
      </c>
      <c r="DJ4" s="1313">
        <v>653453.64</v>
      </c>
      <c r="DK4" s="1313">
        <v>322983.19</v>
      </c>
      <c r="DL4" s="1313">
        <v>197794</v>
      </c>
      <c r="DM4" s="1313">
        <v>0</v>
      </c>
      <c r="DN4" s="1313">
        <v>0</v>
      </c>
      <c r="DO4" s="1313">
        <v>8000</v>
      </c>
      <c r="DP4" s="1313">
        <v>8000</v>
      </c>
      <c r="DQ4" s="1313">
        <v>0</v>
      </c>
      <c r="DR4" s="1313">
        <v>0</v>
      </c>
      <c r="DS4" s="1313">
        <v>330983.19</v>
      </c>
      <c r="DT4" s="1313">
        <v>205794</v>
      </c>
      <c r="DU4" s="1313">
        <v>0</v>
      </c>
      <c r="DV4" s="1313">
        <v>0</v>
      </c>
      <c r="DW4" s="1313">
        <v>510225.71</v>
      </c>
      <c r="DX4" s="1313">
        <v>518409</v>
      </c>
      <c r="DY4" s="1313">
        <v>0</v>
      </c>
      <c r="DZ4" s="1313">
        <v>0</v>
      </c>
      <c r="EA4" s="1313">
        <v>4885878.72</v>
      </c>
      <c r="EB4" s="1313">
        <v>4982981.7699999996</v>
      </c>
      <c r="EC4" s="1313">
        <v>65472.73</v>
      </c>
      <c r="ED4" s="1313">
        <v>53000</v>
      </c>
      <c r="EE4" s="1313">
        <v>510225.71</v>
      </c>
      <c r="EF4" s="1313">
        <v>518409</v>
      </c>
      <c r="EG4" s="1313">
        <v>4310180.28</v>
      </c>
      <c r="EH4" s="1313">
        <v>4411572.7699999996</v>
      </c>
      <c r="EI4" s="1313">
        <v>206851.36</v>
      </c>
      <c r="EK4" s="1313">
        <v>4103328.92</v>
      </c>
      <c r="EM4" s="1313">
        <v>5967</v>
      </c>
      <c r="EO4" s="1313">
        <v>55.63</v>
      </c>
      <c r="EQ4" s="1313">
        <v>34626</v>
      </c>
      <c r="ES4" s="1313">
        <v>57.63</v>
      </c>
      <c r="EU4" s="1313">
        <v>36038</v>
      </c>
      <c r="EW4" s="1313">
        <v>523353.98</v>
      </c>
      <c r="EY4" s="1313">
        <v>20953</v>
      </c>
      <c r="FA4" s="1313">
        <v>0</v>
      </c>
      <c r="FC4" s="1313">
        <v>502400.98</v>
      </c>
      <c r="FE4" s="1313">
        <v>0</v>
      </c>
      <c r="FG4" s="1313">
        <v>0</v>
      </c>
    </row>
    <row r="5" spans="1:164">
      <c r="A5" s="1313" t="s">
        <v>727</v>
      </c>
      <c r="B5" s="1313" t="s">
        <v>728</v>
      </c>
      <c r="I5" s="1313">
        <v>0</v>
      </c>
      <c r="J5" s="1313">
        <v>0</v>
      </c>
      <c r="K5" s="1313">
        <v>0</v>
      </c>
      <c r="L5" s="1313">
        <v>26955</v>
      </c>
      <c r="M5" s="1313">
        <v>0</v>
      </c>
      <c r="N5" s="1313">
        <v>0</v>
      </c>
      <c r="O5" s="1313">
        <v>0</v>
      </c>
      <c r="P5" s="1313">
        <v>0</v>
      </c>
      <c r="Q5" s="1313">
        <v>0</v>
      </c>
      <c r="R5" s="1313">
        <v>0</v>
      </c>
      <c r="S5" s="1313">
        <v>0</v>
      </c>
      <c r="T5" s="1313">
        <v>0</v>
      </c>
      <c r="U5" s="1313">
        <v>0</v>
      </c>
      <c r="V5" s="1313">
        <v>0</v>
      </c>
      <c r="W5" s="1313">
        <v>0</v>
      </c>
      <c r="X5" s="1313">
        <v>0</v>
      </c>
      <c r="Y5" s="1313">
        <v>0</v>
      </c>
      <c r="Z5" s="1313">
        <v>0</v>
      </c>
      <c r="AA5" s="1313">
        <v>0</v>
      </c>
      <c r="AB5" s="1313">
        <v>0</v>
      </c>
      <c r="AC5" s="1313">
        <v>0</v>
      </c>
      <c r="AD5" s="1313">
        <v>1290240</v>
      </c>
      <c r="AE5" s="1313">
        <v>0</v>
      </c>
      <c r="AF5" s="1313">
        <v>1317195</v>
      </c>
      <c r="AG5" s="1313">
        <v>0</v>
      </c>
      <c r="AH5" s="1313">
        <v>0</v>
      </c>
      <c r="AI5" s="1313">
        <v>0</v>
      </c>
      <c r="AJ5" s="1313">
        <v>6993</v>
      </c>
      <c r="AK5" s="1313">
        <v>0</v>
      </c>
      <c r="AL5" s="1313">
        <v>0</v>
      </c>
      <c r="AO5" s="1313">
        <v>0</v>
      </c>
      <c r="AP5" s="1313">
        <v>0</v>
      </c>
      <c r="AQ5" s="1313">
        <v>0</v>
      </c>
      <c r="AR5" s="1313">
        <v>0</v>
      </c>
      <c r="AS5" s="1313">
        <v>0</v>
      </c>
      <c r="AT5" s="1313">
        <v>142692</v>
      </c>
      <c r="AU5" s="1313">
        <v>0</v>
      </c>
      <c r="AV5" s="1313">
        <v>0</v>
      </c>
      <c r="AW5" s="1313">
        <v>0</v>
      </c>
      <c r="AX5" s="1313">
        <v>0</v>
      </c>
      <c r="AY5" s="1313">
        <v>0</v>
      </c>
      <c r="AZ5" s="1313">
        <v>0</v>
      </c>
      <c r="BC5" s="1313">
        <v>0</v>
      </c>
      <c r="BD5" s="1313">
        <v>0</v>
      </c>
      <c r="BE5" s="1313">
        <v>0</v>
      </c>
      <c r="BF5" s="1313">
        <v>0</v>
      </c>
      <c r="BG5" s="1313">
        <v>0</v>
      </c>
      <c r="BH5" s="1313">
        <v>0</v>
      </c>
      <c r="BI5" s="1313">
        <v>0</v>
      </c>
      <c r="BJ5" s="1313">
        <v>149685</v>
      </c>
      <c r="BK5" s="1313">
        <v>0</v>
      </c>
      <c r="BL5" s="1313">
        <v>378267</v>
      </c>
      <c r="BM5" s="1313">
        <v>0</v>
      </c>
      <c r="BN5" s="1313">
        <v>0</v>
      </c>
      <c r="BQ5" s="1313">
        <v>0</v>
      </c>
      <c r="BR5" s="1313">
        <v>0</v>
      </c>
      <c r="BS5" s="1313">
        <v>0</v>
      </c>
      <c r="BT5" s="1313">
        <v>0</v>
      </c>
      <c r="BY5" s="1313">
        <v>0</v>
      </c>
      <c r="BZ5" s="1313">
        <v>0</v>
      </c>
      <c r="CA5" s="1313">
        <v>0</v>
      </c>
      <c r="CB5" s="1313">
        <v>1845147</v>
      </c>
      <c r="CC5" s="1313">
        <v>0</v>
      </c>
      <c r="CD5" s="1313">
        <v>459761</v>
      </c>
      <c r="CE5" s="1313">
        <v>0</v>
      </c>
      <c r="CF5" s="1313">
        <v>121864</v>
      </c>
      <c r="CG5" s="1313">
        <v>0</v>
      </c>
      <c r="CH5" s="1313">
        <v>0</v>
      </c>
      <c r="CI5" s="1313">
        <v>0</v>
      </c>
      <c r="CJ5" s="1313">
        <v>0</v>
      </c>
      <c r="CK5" s="1313">
        <v>0</v>
      </c>
      <c r="CL5" s="1313">
        <v>123893</v>
      </c>
      <c r="CM5" s="1313">
        <v>0</v>
      </c>
      <c r="CN5" s="1313">
        <v>0</v>
      </c>
      <c r="CO5" s="1313">
        <v>0</v>
      </c>
      <c r="CP5" s="1313">
        <v>705518</v>
      </c>
      <c r="CQ5" s="1313">
        <v>0</v>
      </c>
      <c r="CR5" s="1313">
        <v>173000</v>
      </c>
      <c r="CS5" s="1313">
        <v>0</v>
      </c>
      <c r="CT5" s="1313">
        <v>61963</v>
      </c>
      <c r="CU5" s="1313">
        <v>0</v>
      </c>
      <c r="CV5" s="1313">
        <v>263600</v>
      </c>
      <c r="CW5" s="1313">
        <v>0</v>
      </c>
      <c r="CX5" s="1313">
        <v>0</v>
      </c>
      <c r="CY5" s="1313">
        <v>0</v>
      </c>
      <c r="CZ5" s="1313">
        <v>0</v>
      </c>
      <c r="DA5" s="1313">
        <v>0</v>
      </c>
      <c r="DB5" s="1313">
        <v>498563</v>
      </c>
      <c r="DC5" s="1313">
        <v>0</v>
      </c>
      <c r="DD5" s="1313">
        <v>136723</v>
      </c>
      <c r="DE5" s="1313">
        <v>0</v>
      </c>
      <c r="DF5" s="1313">
        <v>154487</v>
      </c>
      <c r="DG5" s="1313">
        <v>0</v>
      </c>
      <c r="DH5" s="1313">
        <v>161553.60000000001</v>
      </c>
      <c r="DI5" s="1313">
        <v>0</v>
      </c>
      <c r="DJ5" s="1313">
        <v>452763.6</v>
      </c>
      <c r="DK5" s="1313">
        <v>0</v>
      </c>
      <c r="DL5" s="1313">
        <v>144255</v>
      </c>
      <c r="DM5" s="1313">
        <v>0</v>
      </c>
      <c r="DN5" s="1313">
        <v>0</v>
      </c>
      <c r="DO5" s="1313">
        <v>0</v>
      </c>
      <c r="DP5" s="1313">
        <v>0</v>
      </c>
      <c r="DQ5" s="1313">
        <v>0</v>
      </c>
      <c r="DR5" s="1313">
        <v>0</v>
      </c>
      <c r="DS5" s="1313">
        <v>0</v>
      </c>
      <c r="DT5" s="1313">
        <v>144255</v>
      </c>
      <c r="DU5" s="1313">
        <v>0</v>
      </c>
      <c r="DV5" s="1313">
        <v>96700</v>
      </c>
      <c r="DW5" s="1313">
        <v>0</v>
      </c>
      <c r="DX5" s="1313">
        <v>55000</v>
      </c>
      <c r="DY5" s="1313">
        <v>0</v>
      </c>
      <c r="DZ5" s="1313">
        <v>0</v>
      </c>
      <c r="EA5" s="1313">
        <v>0</v>
      </c>
      <c r="EB5" s="1313">
        <v>1952799.6</v>
      </c>
      <c r="EC5" s="1313">
        <v>0</v>
      </c>
      <c r="ED5" s="1313">
        <v>96700</v>
      </c>
      <c r="EE5" s="1313">
        <v>0</v>
      </c>
      <c r="EF5" s="1313">
        <v>55000</v>
      </c>
      <c r="EG5" s="1313">
        <v>0</v>
      </c>
      <c r="EH5" s="1313">
        <v>1801099.6</v>
      </c>
      <c r="EK5" s="1313">
        <v>0</v>
      </c>
      <c r="EM5" s="1313">
        <v>0</v>
      </c>
    </row>
    <row r="6" spans="1:164">
      <c r="A6" s="1313" t="s">
        <v>750</v>
      </c>
      <c r="B6" s="1313" t="s">
        <v>767</v>
      </c>
      <c r="C6" s="1313">
        <v>59.75</v>
      </c>
      <c r="E6" s="1313">
        <v>0.34</v>
      </c>
      <c r="G6" s="1313">
        <v>64.37</v>
      </c>
      <c r="I6" s="1313">
        <v>0</v>
      </c>
      <c r="J6" s="1313">
        <v>0</v>
      </c>
      <c r="K6" s="1313">
        <v>1816.07</v>
      </c>
      <c r="L6" s="1313">
        <v>0</v>
      </c>
      <c r="M6" s="1313">
        <v>0</v>
      </c>
      <c r="N6" s="1313">
        <v>0</v>
      </c>
      <c r="O6" s="1313">
        <v>0</v>
      </c>
      <c r="P6" s="1313">
        <v>0</v>
      </c>
      <c r="Q6" s="1313">
        <v>0</v>
      </c>
      <c r="R6" s="1313">
        <v>0</v>
      </c>
      <c r="S6" s="1313">
        <v>1039</v>
      </c>
      <c r="T6" s="1313">
        <v>0</v>
      </c>
      <c r="U6" s="1313">
        <v>0</v>
      </c>
      <c r="V6" s="1313">
        <v>5038</v>
      </c>
      <c r="W6" s="1313">
        <v>0</v>
      </c>
      <c r="X6" s="1313">
        <v>0</v>
      </c>
      <c r="Y6" s="1313">
        <v>0</v>
      </c>
      <c r="Z6" s="1313">
        <v>0</v>
      </c>
      <c r="AA6" s="1313">
        <v>0</v>
      </c>
      <c r="AB6" s="1313">
        <v>0</v>
      </c>
      <c r="AC6" s="1313">
        <v>402818</v>
      </c>
      <c r="AD6" s="1313">
        <v>400835</v>
      </c>
      <c r="AE6" s="1313">
        <v>405673.07</v>
      </c>
      <c r="AF6" s="1313">
        <v>405873</v>
      </c>
      <c r="AG6" s="1313">
        <v>0</v>
      </c>
      <c r="AH6" s="1313">
        <v>0</v>
      </c>
      <c r="AI6" s="1313">
        <v>2766</v>
      </c>
      <c r="AJ6" s="1313">
        <v>2765</v>
      </c>
      <c r="AK6" s="1313">
        <v>180.06</v>
      </c>
      <c r="AL6" s="1313">
        <v>0</v>
      </c>
      <c r="AM6" s="1313">
        <v>0</v>
      </c>
      <c r="AN6" s="1313">
        <v>0</v>
      </c>
      <c r="AO6" s="1313">
        <v>0</v>
      </c>
      <c r="AP6" s="1313">
        <v>0</v>
      </c>
      <c r="AQ6" s="1313">
        <v>0</v>
      </c>
      <c r="AR6" s="1313">
        <v>0</v>
      </c>
      <c r="AS6" s="1313">
        <v>51584</v>
      </c>
      <c r="AT6" s="1313">
        <v>58696</v>
      </c>
      <c r="AU6" s="1313">
        <v>0</v>
      </c>
      <c r="AV6" s="1313">
        <v>0</v>
      </c>
      <c r="AW6" s="1313">
        <v>0</v>
      </c>
      <c r="AX6" s="1313">
        <v>0</v>
      </c>
      <c r="AY6" s="1313">
        <v>192.98</v>
      </c>
      <c r="AZ6" s="1313">
        <v>0</v>
      </c>
      <c r="BA6" s="1313">
        <v>0</v>
      </c>
      <c r="BB6" s="1313">
        <v>0</v>
      </c>
      <c r="BC6" s="1313">
        <v>0</v>
      </c>
      <c r="BD6" s="1313">
        <v>0</v>
      </c>
      <c r="BE6" s="1313">
        <v>0</v>
      </c>
      <c r="BF6" s="1313">
        <v>0</v>
      </c>
      <c r="BG6" s="1313">
        <v>0</v>
      </c>
      <c r="BH6" s="1313">
        <v>0</v>
      </c>
      <c r="BI6" s="1313">
        <v>54723.040000000001</v>
      </c>
      <c r="BJ6" s="1313">
        <v>61461</v>
      </c>
      <c r="BK6" s="1313">
        <v>99356.07</v>
      </c>
      <c r="BL6" s="1313">
        <v>177091</v>
      </c>
      <c r="BM6" s="1313">
        <v>0</v>
      </c>
      <c r="BN6" s="1313">
        <v>0</v>
      </c>
      <c r="BO6" s="1313">
        <v>0</v>
      </c>
      <c r="BP6" s="1313">
        <v>0</v>
      </c>
      <c r="BQ6" s="1313">
        <v>0</v>
      </c>
      <c r="BR6" s="1313">
        <v>0</v>
      </c>
      <c r="BS6" s="1313">
        <v>0</v>
      </c>
      <c r="BT6" s="1313">
        <v>0</v>
      </c>
      <c r="BU6" s="1313">
        <v>0</v>
      </c>
      <c r="BV6" s="1313">
        <v>0</v>
      </c>
      <c r="BW6" s="1313">
        <v>0</v>
      </c>
      <c r="BX6" s="1313">
        <v>0</v>
      </c>
      <c r="BY6" s="1313">
        <v>0</v>
      </c>
      <c r="BZ6" s="1313">
        <v>0</v>
      </c>
      <c r="CA6" s="1313">
        <v>559752.18000000005</v>
      </c>
      <c r="CB6" s="1313">
        <v>644425</v>
      </c>
      <c r="CC6" s="1313">
        <v>227510.12</v>
      </c>
      <c r="CD6" s="1313">
        <v>199241.5</v>
      </c>
      <c r="CE6" s="1313">
        <v>22301.87</v>
      </c>
      <c r="CF6" s="1313">
        <v>29731</v>
      </c>
      <c r="CG6" s="1313">
        <v>0</v>
      </c>
      <c r="CH6" s="1313">
        <v>0</v>
      </c>
      <c r="CI6" s="1313">
        <v>0</v>
      </c>
      <c r="CJ6" s="1313">
        <v>0</v>
      </c>
      <c r="CK6" s="1313">
        <v>33964.870000000003</v>
      </c>
      <c r="CL6" s="1313">
        <v>32877</v>
      </c>
      <c r="CM6" s="1313">
        <v>0</v>
      </c>
      <c r="CN6" s="1313">
        <v>0</v>
      </c>
      <c r="CO6" s="1313">
        <v>283776.86</v>
      </c>
      <c r="CP6" s="1313">
        <v>261849.5</v>
      </c>
      <c r="CQ6" s="1313">
        <v>73972.399999999994</v>
      </c>
      <c r="CR6" s="1313">
        <v>84356.5</v>
      </c>
      <c r="CS6" s="1313">
        <v>41620.639999999999</v>
      </c>
      <c r="CT6" s="1313">
        <v>40733</v>
      </c>
      <c r="CU6" s="1313">
        <v>45961.15</v>
      </c>
      <c r="CV6" s="1313">
        <v>44285</v>
      </c>
      <c r="CW6" s="1313">
        <v>20630.52</v>
      </c>
      <c r="CX6" s="1313">
        <v>21673</v>
      </c>
      <c r="CY6" s="1313">
        <v>0</v>
      </c>
      <c r="CZ6" s="1313">
        <v>0</v>
      </c>
      <c r="DA6" s="1313">
        <v>182184.71</v>
      </c>
      <c r="DB6" s="1313">
        <v>191047.5</v>
      </c>
      <c r="DC6" s="1313">
        <v>23222.639999999999</v>
      </c>
      <c r="DD6" s="1313">
        <v>24941</v>
      </c>
      <c r="DE6" s="1313">
        <v>10357.69</v>
      </c>
      <c r="DF6" s="1313">
        <v>12050</v>
      </c>
      <c r="DG6" s="1313">
        <v>0</v>
      </c>
      <c r="DH6" s="1313">
        <v>0</v>
      </c>
      <c r="DI6" s="1313">
        <v>33580.33</v>
      </c>
      <c r="DJ6" s="1313">
        <v>36991</v>
      </c>
      <c r="DK6" s="1313">
        <v>19850.28</v>
      </c>
      <c r="DL6" s="1313">
        <v>26250</v>
      </c>
      <c r="DM6" s="1313">
        <v>0</v>
      </c>
      <c r="DN6" s="1313">
        <v>0</v>
      </c>
      <c r="DO6" s="1313">
        <v>216.62</v>
      </c>
      <c r="DP6" s="1313">
        <v>500</v>
      </c>
      <c r="DQ6" s="1313">
        <v>0</v>
      </c>
      <c r="DR6" s="1313">
        <v>0</v>
      </c>
      <c r="DS6" s="1313">
        <v>20066.900000000001</v>
      </c>
      <c r="DT6" s="1313">
        <v>26750</v>
      </c>
      <c r="DU6" s="1313">
        <v>0</v>
      </c>
      <c r="DV6" s="1313">
        <v>0</v>
      </c>
      <c r="DW6" s="1313">
        <v>0</v>
      </c>
      <c r="DX6" s="1313">
        <v>0</v>
      </c>
      <c r="DY6" s="1313">
        <v>56428</v>
      </c>
      <c r="DZ6" s="1313">
        <v>0</v>
      </c>
      <c r="EA6" s="1313">
        <v>576036.80000000005</v>
      </c>
      <c r="EB6" s="1313">
        <v>516638</v>
      </c>
      <c r="EC6" s="1313">
        <v>5337.93</v>
      </c>
      <c r="ED6" s="1313">
        <v>0</v>
      </c>
      <c r="EE6" s="1313">
        <v>0</v>
      </c>
      <c r="EF6" s="1313">
        <v>0</v>
      </c>
      <c r="EG6" s="1313">
        <v>570698.87</v>
      </c>
      <c r="EH6" s="1313">
        <v>516638</v>
      </c>
      <c r="EI6" s="1313">
        <v>58034.47</v>
      </c>
      <c r="EK6" s="1313">
        <v>512664.4</v>
      </c>
      <c r="EM6" s="1313">
        <v>8580</v>
      </c>
      <c r="EO6" s="1313">
        <v>4.95</v>
      </c>
      <c r="EQ6" s="1313">
        <v>35089</v>
      </c>
      <c r="ES6" s="1313">
        <v>5.95</v>
      </c>
      <c r="EU6" s="1313">
        <v>38781</v>
      </c>
      <c r="EW6" s="1313">
        <v>112369.44</v>
      </c>
      <c r="EY6" s="1313">
        <v>4415.84</v>
      </c>
      <c r="FA6" s="1313">
        <v>0</v>
      </c>
      <c r="FC6" s="1313">
        <v>107953.60000000001</v>
      </c>
      <c r="FE6" s="1313">
        <v>0</v>
      </c>
      <c r="FG6" s="1313">
        <v>0</v>
      </c>
    </row>
    <row r="7" spans="1:164">
      <c r="A7" s="1313" t="s">
        <v>751</v>
      </c>
      <c r="B7" s="1313" t="s">
        <v>768</v>
      </c>
      <c r="C7" s="1313">
        <v>73.86</v>
      </c>
      <c r="E7" s="1313">
        <v>0</v>
      </c>
      <c r="G7" s="1313">
        <v>81.55</v>
      </c>
      <c r="I7" s="1313">
        <v>0</v>
      </c>
      <c r="J7" s="1313">
        <v>0</v>
      </c>
      <c r="K7" s="1313">
        <v>63334.64</v>
      </c>
      <c r="L7" s="1313">
        <v>0</v>
      </c>
      <c r="M7" s="1313">
        <v>0</v>
      </c>
      <c r="N7" s="1313">
        <v>0</v>
      </c>
      <c r="O7" s="1313">
        <v>0</v>
      </c>
      <c r="P7" s="1313">
        <v>0</v>
      </c>
      <c r="Q7" s="1313">
        <v>0</v>
      </c>
      <c r="R7" s="1313">
        <v>0</v>
      </c>
      <c r="S7" s="1313">
        <v>0</v>
      </c>
      <c r="T7" s="1313">
        <v>0</v>
      </c>
      <c r="U7" s="1313">
        <v>0</v>
      </c>
      <c r="V7" s="1313">
        <v>0</v>
      </c>
      <c r="W7" s="1313">
        <v>0</v>
      </c>
      <c r="X7" s="1313">
        <v>0</v>
      </c>
      <c r="Y7" s="1313">
        <v>0</v>
      </c>
      <c r="Z7" s="1313">
        <v>0</v>
      </c>
      <c r="AA7" s="1313">
        <v>0</v>
      </c>
      <c r="AB7" s="1313">
        <v>0</v>
      </c>
      <c r="AC7" s="1313">
        <v>593406</v>
      </c>
      <c r="AD7" s="1313">
        <v>0</v>
      </c>
      <c r="AE7" s="1313">
        <v>656740.64</v>
      </c>
      <c r="AF7" s="1313">
        <v>0</v>
      </c>
      <c r="AG7" s="1313">
        <v>0</v>
      </c>
      <c r="AH7" s="1313">
        <v>0</v>
      </c>
      <c r="AI7" s="1313">
        <v>4076</v>
      </c>
      <c r="AJ7" s="1313">
        <v>0</v>
      </c>
      <c r="AK7" s="1313">
        <v>0</v>
      </c>
      <c r="AL7" s="1313">
        <v>0</v>
      </c>
      <c r="AM7" s="1313">
        <v>0</v>
      </c>
      <c r="AN7" s="1313">
        <v>0</v>
      </c>
      <c r="AO7" s="1313">
        <v>0</v>
      </c>
      <c r="AP7" s="1313">
        <v>0</v>
      </c>
      <c r="AQ7" s="1313">
        <v>0</v>
      </c>
      <c r="AR7" s="1313">
        <v>0</v>
      </c>
      <c r="AS7" s="1313">
        <v>0</v>
      </c>
      <c r="AT7" s="1313">
        <v>0</v>
      </c>
      <c r="AU7" s="1313">
        <v>440.31</v>
      </c>
      <c r="AV7" s="1313">
        <v>0</v>
      </c>
      <c r="AW7" s="1313">
        <v>22208.880000000001</v>
      </c>
      <c r="AX7" s="1313">
        <v>0</v>
      </c>
      <c r="AY7" s="1313">
        <v>0</v>
      </c>
      <c r="AZ7" s="1313">
        <v>0</v>
      </c>
      <c r="BA7" s="1313">
        <v>0</v>
      </c>
      <c r="BB7" s="1313">
        <v>0</v>
      </c>
      <c r="BC7" s="1313">
        <v>0</v>
      </c>
      <c r="BD7" s="1313">
        <v>0</v>
      </c>
      <c r="BE7" s="1313">
        <v>0</v>
      </c>
      <c r="BF7" s="1313">
        <v>0</v>
      </c>
      <c r="BG7" s="1313">
        <v>0</v>
      </c>
      <c r="BH7" s="1313">
        <v>0</v>
      </c>
      <c r="BI7" s="1313">
        <v>26725.19</v>
      </c>
      <c r="BJ7" s="1313">
        <v>0</v>
      </c>
      <c r="BK7" s="1313">
        <v>57148.82</v>
      </c>
      <c r="BL7" s="1313">
        <v>0</v>
      </c>
      <c r="BM7" s="1313">
        <v>0</v>
      </c>
      <c r="BN7" s="1313">
        <v>0</v>
      </c>
      <c r="BO7" s="1313">
        <v>0</v>
      </c>
      <c r="BP7" s="1313">
        <v>0</v>
      </c>
      <c r="BQ7" s="1313">
        <v>0</v>
      </c>
      <c r="BR7" s="1313">
        <v>0</v>
      </c>
      <c r="BS7" s="1313">
        <v>0</v>
      </c>
      <c r="BT7" s="1313">
        <v>0</v>
      </c>
      <c r="BU7" s="1313">
        <v>0</v>
      </c>
      <c r="BV7" s="1313">
        <v>0</v>
      </c>
      <c r="BW7" s="1313">
        <v>0</v>
      </c>
      <c r="BX7" s="1313">
        <v>0</v>
      </c>
      <c r="BY7" s="1313">
        <v>0</v>
      </c>
      <c r="BZ7" s="1313">
        <v>0</v>
      </c>
      <c r="CA7" s="1313">
        <v>740614.65</v>
      </c>
      <c r="CB7" s="1313">
        <v>0</v>
      </c>
      <c r="CC7" s="1313">
        <v>440824.11</v>
      </c>
      <c r="CD7" s="1313">
        <v>0</v>
      </c>
      <c r="CE7" s="1313">
        <v>31395.45</v>
      </c>
      <c r="CF7" s="1313">
        <v>0</v>
      </c>
      <c r="CG7" s="1313">
        <v>0</v>
      </c>
      <c r="CH7" s="1313">
        <v>0</v>
      </c>
      <c r="CI7" s="1313">
        <v>0</v>
      </c>
      <c r="CJ7" s="1313">
        <v>0</v>
      </c>
      <c r="CK7" s="1313">
        <v>37562.78</v>
      </c>
      <c r="CL7" s="1313">
        <v>0</v>
      </c>
      <c r="CM7" s="1313">
        <v>0</v>
      </c>
      <c r="CN7" s="1313">
        <v>0</v>
      </c>
      <c r="CO7" s="1313">
        <v>509782.34</v>
      </c>
      <c r="CP7" s="1313">
        <v>0</v>
      </c>
      <c r="CQ7" s="1313">
        <v>98019</v>
      </c>
      <c r="CR7" s="1313">
        <v>0</v>
      </c>
      <c r="CS7" s="1313">
        <v>65999.98</v>
      </c>
      <c r="CT7" s="1313">
        <v>0</v>
      </c>
      <c r="CU7" s="1313">
        <v>17384.490000000002</v>
      </c>
      <c r="CV7" s="1313">
        <v>0</v>
      </c>
      <c r="CW7" s="1313">
        <v>5200.59</v>
      </c>
      <c r="CX7" s="1313">
        <v>0</v>
      </c>
      <c r="CY7" s="1313">
        <v>0</v>
      </c>
      <c r="CZ7" s="1313">
        <v>0</v>
      </c>
      <c r="DA7" s="1313">
        <v>186604.06</v>
      </c>
      <c r="DB7" s="1313">
        <v>0</v>
      </c>
      <c r="DC7" s="1313">
        <v>36626.480000000003</v>
      </c>
      <c r="DD7" s="1313">
        <v>0</v>
      </c>
      <c r="DE7" s="1313">
        <v>15765.57</v>
      </c>
      <c r="DF7" s="1313">
        <v>0</v>
      </c>
      <c r="DG7" s="1313">
        <v>29764.07</v>
      </c>
      <c r="DH7" s="1313">
        <v>0</v>
      </c>
      <c r="DI7" s="1313">
        <v>82156.12</v>
      </c>
      <c r="DJ7" s="1313">
        <v>0</v>
      </c>
      <c r="DK7" s="1313">
        <v>41576.660000000003</v>
      </c>
      <c r="DL7" s="1313">
        <v>0</v>
      </c>
      <c r="DM7" s="1313">
        <v>2188.1999999999998</v>
      </c>
      <c r="DN7" s="1313">
        <v>0</v>
      </c>
      <c r="DO7" s="1313">
        <v>0</v>
      </c>
      <c r="DP7" s="1313">
        <v>0</v>
      </c>
      <c r="DQ7" s="1313">
        <v>0</v>
      </c>
      <c r="DR7" s="1313">
        <v>0</v>
      </c>
      <c r="DS7" s="1313">
        <v>43764.86</v>
      </c>
      <c r="DT7" s="1313">
        <v>0</v>
      </c>
      <c r="DU7" s="1313">
        <v>0</v>
      </c>
      <c r="DV7" s="1313">
        <v>0</v>
      </c>
      <c r="DW7" s="1313">
        <v>0</v>
      </c>
      <c r="DX7" s="1313">
        <v>0</v>
      </c>
      <c r="DY7" s="1313">
        <v>7620.36</v>
      </c>
      <c r="DZ7" s="1313">
        <v>0</v>
      </c>
      <c r="EA7" s="1313">
        <v>829927.74</v>
      </c>
      <c r="EB7" s="1313">
        <v>0</v>
      </c>
      <c r="EC7" s="1313">
        <v>1182.5</v>
      </c>
      <c r="ED7" s="1313">
        <v>0</v>
      </c>
      <c r="EE7" s="1313">
        <v>0</v>
      </c>
      <c r="EF7" s="1313">
        <v>0</v>
      </c>
      <c r="EG7" s="1313">
        <v>828745.24</v>
      </c>
      <c r="EH7" s="1313">
        <v>0</v>
      </c>
      <c r="EI7" s="1313">
        <v>30513.73</v>
      </c>
      <c r="EK7" s="1313">
        <v>798231.51</v>
      </c>
      <c r="EM7" s="1313">
        <v>10807</v>
      </c>
      <c r="EO7" s="1313">
        <v>7.57</v>
      </c>
      <c r="EQ7" s="1313">
        <v>33164</v>
      </c>
      <c r="ES7" s="1313">
        <v>8.57</v>
      </c>
      <c r="EU7" s="1313">
        <v>33342</v>
      </c>
      <c r="EW7" s="1313">
        <v>0</v>
      </c>
      <c r="EY7" s="1313">
        <v>0</v>
      </c>
      <c r="FA7" s="1313">
        <v>0</v>
      </c>
      <c r="FC7" s="1313">
        <v>0</v>
      </c>
      <c r="FE7" s="1313">
        <v>0</v>
      </c>
      <c r="FG7" s="1313">
        <v>0</v>
      </c>
    </row>
    <row r="8" spans="1:164">
      <c r="A8" s="1313" t="s">
        <v>752</v>
      </c>
      <c r="B8" s="1313" t="s">
        <v>769</v>
      </c>
      <c r="C8" s="1313">
        <v>607.76</v>
      </c>
      <c r="E8" s="1313">
        <v>0</v>
      </c>
      <c r="G8" s="1313">
        <v>633.09</v>
      </c>
      <c r="I8" s="1313">
        <v>0</v>
      </c>
      <c r="J8" s="1313">
        <v>0</v>
      </c>
      <c r="K8" s="1313">
        <v>1403483.8</v>
      </c>
      <c r="L8" s="1313">
        <v>2651594</v>
      </c>
      <c r="M8" s="1313">
        <v>0</v>
      </c>
      <c r="N8" s="1313">
        <v>0</v>
      </c>
      <c r="O8" s="1313">
        <v>0</v>
      </c>
      <c r="P8" s="1313">
        <v>0</v>
      </c>
      <c r="Q8" s="1313">
        <v>0</v>
      </c>
      <c r="R8" s="1313">
        <v>0</v>
      </c>
      <c r="S8" s="1313">
        <v>0</v>
      </c>
      <c r="T8" s="1313">
        <v>0</v>
      </c>
      <c r="U8" s="1313">
        <v>0</v>
      </c>
      <c r="V8" s="1313">
        <v>0</v>
      </c>
      <c r="W8" s="1313">
        <v>0</v>
      </c>
      <c r="X8" s="1313">
        <v>0</v>
      </c>
      <c r="Y8" s="1313">
        <v>0</v>
      </c>
      <c r="Z8" s="1313">
        <v>0</v>
      </c>
      <c r="AA8" s="1313">
        <v>0</v>
      </c>
      <c r="AB8" s="1313">
        <v>0</v>
      </c>
      <c r="AC8" s="1313">
        <v>3829845</v>
      </c>
      <c r="AD8" s="1313">
        <v>5222400</v>
      </c>
      <c r="AE8" s="1313">
        <v>5233328.8</v>
      </c>
      <c r="AF8" s="1313">
        <v>7873994</v>
      </c>
      <c r="AG8" s="1313">
        <v>0</v>
      </c>
      <c r="AH8" s="1313">
        <v>0</v>
      </c>
      <c r="AI8" s="1313">
        <v>21557</v>
      </c>
      <c r="AJ8" s="1313">
        <v>34850</v>
      </c>
      <c r="AK8" s="1313">
        <v>17376.72</v>
      </c>
      <c r="AL8" s="1313">
        <v>36000</v>
      </c>
      <c r="AM8" s="1313">
        <v>350</v>
      </c>
      <c r="AN8" s="1313">
        <v>0</v>
      </c>
      <c r="AO8" s="1313">
        <v>0</v>
      </c>
      <c r="AP8" s="1313">
        <v>0</v>
      </c>
      <c r="AQ8" s="1313">
        <v>0</v>
      </c>
      <c r="AR8" s="1313">
        <v>0</v>
      </c>
      <c r="AS8" s="1313">
        <v>522883</v>
      </c>
      <c r="AT8" s="1313">
        <v>568855</v>
      </c>
      <c r="AU8" s="1313">
        <v>2618.66</v>
      </c>
      <c r="AV8" s="1313">
        <v>0</v>
      </c>
      <c r="AW8" s="1313">
        <v>15166.42</v>
      </c>
      <c r="AX8" s="1313">
        <v>0</v>
      </c>
      <c r="AY8" s="1313">
        <v>2283.83</v>
      </c>
      <c r="AZ8" s="1313">
        <v>0</v>
      </c>
      <c r="BA8" s="1313">
        <v>0</v>
      </c>
      <c r="BB8" s="1313">
        <v>0</v>
      </c>
      <c r="BC8" s="1313">
        <v>0</v>
      </c>
      <c r="BD8" s="1313">
        <v>0</v>
      </c>
      <c r="BE8" s="1313">
        <v>0</v>
      </c>
      <c r="BF8" s="1313">
        <v>0</v>
      </c>
      <c r="BG8" s="1313">
        <v>0</v>
      </c>
      <c r="BH8" s="1313">
        <v>0</v>
      </c>
      <c r="BI8" s="1313">
        <v>582235.63</v>
      </c>
      <c r="BJ8" s="1313">
        <v>639705</v>
      </c>
      <c r="BK8" s="1313">
        <v>2053022.97</v>
      </c>
      <c r="BL8" s="1313">
        <v>1644566</v>
      </c>
      <c r="BM8" s="1313">
        <v>676184</v>
      </c>
      <c r="BN8" s="1313">
        <v>0</v>
      </c>
      <c r="BO8" s="1313">
        <v>0</v>
      </c>
      <c r="BP8" s="1313">
        <v>0</v>
      </c>
      <c r="BQ8" s="1313">
        <v>23894.25</v>
      </c>
      <c r="BR8" s="1313">
        <v>0</v>
      </c>
      <c r="BS8" s="1313">
        <v>0</v>
      </c>
      <c r="BT8" s="1313">
        <v>0</v>
      </c>
      <c r="BU8" s="1313">
        <v>0</v>
      </c>
      <c r="BV8" s="1313">
        <v>0</v>
      </c>
      <c r="BW8" s="1313">
        <v>0</v>
      </c>
      <c r="BX8" s="1313">
        <v>0</v>
      </c>
      <c r="BY8" s="1313">
        <v>700078.25</v>
      </c>
      <c r="BZ8" s="1313">
        <v>0</v>
      </c>
      <c r="CA8" s="1313">
        <v>8568665.6500000004</v>
      </c>
      <c r="CB8" s="1313">
        <v>10158265</v>
      </c>
      <c r="CC8" s="1313">
        <v>2098654.16</v>
      </c>
      <c r="CD8" s="1313">
        <v>2481905</v>
      </c>
      <c r="CE8" s="1313">
        <v>87323.58</v>
      </c>
      <c r="CF8" s="1313">
        <v>174790</v>
      </c>
      <c r="CG8" s="1313">
        <v>0</v>
      </c>
      <c r="CH8" s="1313">
        <v>0</v>
      </c>
      <c r="CI8" s="1313">
        <v>0</v>
      </c>
      <c r="CJ8" s="1313">
        <v>0</v>
      </c>
      <c r="CK8" s="1313">
        <v>1069484.94</v>
      </c>
      <c r="CL8" s="1313">
        <v>973717</v>
      </c>
      <c r="CM8" s="1313">
        <v>2080.04</v>
      </c>
      <c r="CN8" s="1313">
        <v>59660</v>
      </c>
      <c r="CO8" s="1313">
        <v>3257542.72</v>
      </c>
      <c r="CP8" s="1313">
        <v>3690072</v>
      </c>
      <c r="CQ8" s="1313">
        <v>344849.87</v>
      </c>
      <c r="CR8" s="1313">
        <v>477688</v>
      </c>
      <c r="CS8" s="1313">
        <v>133291.98000000001</v>
      </c>
      <c r="CT8" s="1313">
        <v>171201</v>
      </c>
      <c r="CU8" s="1313">
        <v>674510.92</v>
      </c>
      <c r="CV8" s="1313">
        <v>750958</v>
      </c>
      <c r="CW8" s="1313">
        <v>551237.25</v>
      </c>
      <c r="CX8" s="1313">
        <v>747510</v>
      </c>
      <c r="CY8" s="1313">
        <v>211002.81</v>
      </c>
      <c r="CZ8" s="1313">
        <v>185978</v>
      </c>
      <c r="DA8" s="1313">
        <v>1914892.83</v>
      </c>
      <c r="DB8" s="1313">
        <v>2333335</v>
      </c>
      <c r="DC8" s="1313">
        <v>115259.69</v>
      </c>
      <c r="DD8" s="1313">
        <v>220437</v>
      </c>
      <c r="DE8" s="1313">
        <v>461698.49</v>
      </c>
      <c r="DF8" s="1313">
        <v>651488</v>
      </c>
      <c r="DG8" s="1313">
        <v>1016000.6</v>
      </c>
      <c r="DH8" s="1313">
        <v>1701836</v>
      </c>
      <c r="DI8" s="1313">
        <v>1592958.78</v>
      </c>
      <c r="DJ8" s="1313">
        <v>2573761</v>
      </c>
      <c r="DK8" s="1313">
        <v>489114.56</v>
      </c>
      <c r="DL8" s="1313">
        <v>719203</v>
      </c>
      <c r="DM8" s="1313">
        <v>0</v>
      </c>
      <c r="DN8" s="1313">
        <v>0</v>
      </c>
      <c r="DO8" s="1313">
        <v>0</v>
      </c>
      <c r="DP8" s="1313">
        <v>0</v>
      </c>
      <c r="DQ8" s="1313">
        <v>0</v>
      </c>
      <c r="DR8" s="1313">
        <v>0</v>
      </c>
      <c r="DS8" s="1313">
        <v>489114.56</v>
      </c>
      <c r="DT8" s="1313">
        <v>719203</v>
      </c>
      <c r="DU8" s="1313">
        <v>699421.97</v>
      </c>
      <c r="DV8" s="1313">
        <v>0</v>
      </c>
      <c r="DW8" s="1313">
        <v>1192681.93</v>
      </c>
      <c r="DX8" s="1313">
        <v>483392</v>
      </c>
      <c r="DY8" s="1313">
        <v>59</v>
      </c>
      <c r="DZ8" s="1313">
        <v>0</v>
      </c>
      <c r="EA8" s="1313">
        <v>9146671.7899999991</v>
      </c>
      <c r="EB8" s="1313">
        <v>9799763</v>
      </c>
      <c r="EC8" s="1313">
        <v>972230.38</v>
      </c>
      <c r="ED8" s="1313">
        <v>351617</v>
      </c>
      <c r="EE8" s="1313">
        <v>1192681.93</v>
      </c>
      <c r="EF8" s="1313">
        <v>483392</v>
      </c>
      <c r="EG8" s="1313">
        <v>6981759.4800000004</v>
      </c>
      <c r="EH8" s="1313">
        <v>8964754</v>
      </c>
      <c r="EI8" s="1313">
        <v>86241.21</v>
      </c>
      <c r="EK8" s="1313">
        <v>6895518.2699999996</v>
      </c>
      <c r="EM8" s="1313">
        <v>11345</v>
      </c>
      <c r="EO8" s="1313">
        <v>37.5</v>
      </c>
      <c r="EQ8" s="1313">
        <v>34039</v>
      </c>
      <c r="ES8" s="1313">
        <v>37.5</v>
      </c>
      <c r="EU8" s="1313">
        <v>34039</v>
      </c>
      <c r="EW8" s="1313">
        <v>1713445.56</v>
      </c>
      <c r="EY8" s="1313">
        <v>231064.42</v>
      </c>
      <c r="FA8" s="1313">
        <v>0</v>
      </c>
      <c r="FC8" s="1313">
        <v>1482381.14</v>
      </c>
      <c r="FE8" s="1313">
        <v>35934.85</v>
      </c>
      <c r="FG8" s="1313">
        <v>0</v>
      </c>
    </row>
    <row r="9" spans="1:164">
      <c r="A9" s="1313" t="s">
        <v>753</v>
      </c>
      <c r="B9" s="1313" t="s">
        <v>770</v>
      </c>
      <c r="C9" s="1313">
        <v>581.69000000000005</v>
      </c>
      <c r="E9" s="1313">
        <v>0.45</v>
      </c>
      <c r="G9" s="1313">
        <v>16618.990000000002</v>
      </c>
      <c r="I9" s="1313">
        <v>0</v>
      </c>
      <c r="J9" s="1313">
        <v>0</v>
      </c>
      <c r="K9" s="1313">
        <v>183881.79</v>
      </c>
      <c r="L9" s="1313">
        <v>79058</v>
      </c>
      <c r="M9" s="1313">
        <v>0</v>
      </c>
      <c r="N9" s="1313">
        <v>0</v>
      </c>
      <c r="O9" s="1313">
        <v>0</v>
      </c>
      <c r="P9" s="1313">
        <v>0</v>
      </c>
      <c r="Q9" s="1313">
        <v>0</v>
      </c>
      <c r="R9" s="1313">
        <v>0</v>
      </c>
      <c r="S9" s="1313">
        <v>481704</v>
      </c>
      <c r="T9" s="1313">
        <v>84541</v>
      </c>
      <c r="U9" s="1313">
        <v>0</v>
      </c>
      <c r="V9" s="1313">
        <v>0</v>
      </c>
      <c r="W9" s="1313">
        <v>0</v>
      </c>
      <c r="X9" s="1313">
        <v>0</v>
      </c>
      <c r="Y9" s="1313">
        <v>0</v>
      </c>
      <c r="Z9" s="1313">
        <v>0</v>
      </c>
      <c r="AA9" s="1313">
        <v>0</v>
      </c>
      <c r="AB9" s="1313">
        <v>0</v>
      </c>
      <c r="AC9" s="1313">
        <v>3192190</v>
      </c>
      <c r="AD9" s="1313">
        <v>3724739</v>
      </c>
      <c r="AE9" s="1313">
        <v>3857775.79</v>
      </c>
      <c r="AF9" s="1313">
        <v>3888338</v>
      </c>
      <c r="AG9" s="1313">
        <v>0</v>
      </c>
      <c r="AH9" s="1313">
        <v>0</v>
      </c>
      <c r="AI9" s="1313">
        <v>21921</v>
      </c>
      <c r="AJ9" s="1313">
        <v>25692</v>
      </c>
      <c r="AK9" s="1313">
        <v>16400</v>
      </c>
      <c r="AL9" s="1313">
        <v>0</v>
      </c>
      <c r="AM9" s="1313">
        <v>0</v>
      </c>
      <c r="AN9" s="1313">
        <v>0</v>
      </c>
      <c r="AO9" s="1313">
        <v>0</v>
      </c>
      <c r="AP9" s="1313">
        <v>0</v>
      </c>
      <c r="AQ9" s="1313">
        <v>0</v>
      </c>
      <c r="AR9" s="1313">
        <v>0</v>
      </c>
      <c r="AS9" s="1313">
        <v>72099</v>
      </c>
      <c r="AT9" s="1313">
        <v>93947</v>
      </c>
      <c r="AU9" s="1313">
        <v>2171.2199999999998</v>
      </c>
      <c r="AV9" s="1313">
        <v>0</v>
      </c>
      <c r="AW9" s="1313">
        <v>0</v>
      </c>
      <c r="AX9" s="1313">
        <v>0</v>
      </c>
      <c r="AY9" s="1313">
        <v>886.36</v>
      </c>
      <c r="AZ9" s="1313">
        <v>887</v>
      </c>
      <c r="BA9" s="1313">
        <v>0</v>
      </c>
      <c r="BB9" s="1313">
        <v>0</v>
      </c>
      <c r="BC9" s="1313">
        <v>0</v>
      </c>
      <c r="BD9" s="1313">
        <v>0</v>
      </c>
      <c r="BE9" s="1313">
        <v>0</v>
      </c>
      <c r="BF9" s="1313">
        <v>0</v>
      </c>
      <c r="BG9" s="1313">
        <v>0</v>
      </c>
      <c r="BH9" s="1313">
        <v>0</v>
      </c>
      <c r="BI9" s="1313">
        <v>113477.58</v>
      </c>
      <c r="BJ9" s="1313">
        <v>120526</v>
      </c>
      <c r="BK9" s="1313">
        <v>428911.75</v>
      </c>
      <c r="BL9" s="1313">
        <v>404366.17</v>
      </c>
      <c r="BM9" s="1313">
        <v>26544.47</v>
      </c>
      <c r="BN9" s="1313">
        <v>0</v>
      </c>
      <c r="BO9" s="1313">
        <v>0</v>
      </c>
      <c r="BP9" s="1313">
        <v>0</v>
      </c>
      <c r="BQ9" s="1313">
        <v>0</v>
      </c>
      <c r="BR9" s="1313">
        <v>0</v>
      </c>
      <c r="BS9" s="1313">
        <v>0</v>
      </c>
      <c r="BT9" s="1313">
        <v>777</v>
      </c>
      <c r="BU9" s="1313">
        <v>0</v>
      </c>
      <c r="BV9" s="1313">
        <v>0</v>
      </c>
      <c r="BW9" s="1313">
        <v>0</v>
      </c>
      <c r="BX9" s="1313">
        <v>0</v>
      </c>
      <c r="BY9" s="1313">
        <v>26544.47</v>
      </c>
      <c r="BZ9" s="1313">
        <v>777</v>
      </c>
      <c r="CA9" s="1313">
        <v>4426709.59</v>
      </c>
      <c r="CB9" s="1313">
        <v>4414007.17</v>
      </c>
      <c r="CC9" s="1313">
        <v>1974871.63</v>
      </c>
      <c r="CD9" s="1313">
        <v>2291995.63</v>
      </c>
      <c r="CE9" s="1313">
        <v>83530.179999999993</v>
      </c>
      <c r="CF9" s="1313">
        <v>88404.66</v>
      </c>
      <c r="CG9" s="1313">
        <v>43449.96</v>
      </c>
      <c r="CH9" s="1313">
        <v>45024.5</v>
      </c>
      <c r="CI9" s="1313">
        <v>0</v>
      </c>
      <c r="CJ9" s="1313">
        <v>0</v>
      </c>
      <c r="CK9" s="1313">
        <v>80494.02</v>
      </c>
      <c r="CL9" s="1313">
        <v>54000</v>
      </c>
      <c r="CM9" s="1313">
        <v>75626.740000000005</v>
      </c>
      <c r="CN9" s="1313">
        <v>90105</v>
      </c>
      <c r="CO9" s="1313">
        <v>2257972.5299999998</v>
      </c>
      <c r="CP9" s="1313">
        <v>2569529.79</v>
      </c>
      <c r="CQ9" s="1313">
        <v>194704.27</v>
      </c>
      <c r="CR9" s="1313">
        <v>241992</v>
      </c>
      <c r="CS9" s="1313">
        <v>214730.75</v>
      </c>
      <c r="CT9" s="1313">
        <v>245898</v>
      </c>
      <c r="CU9" s="1313">
        <v>464808.08</v>
      </c>
      <c r="CV9" s="1313">
        <v>742937.44</v>
      </c>
      <c r="CW9" s="1313">
        <v>5525.2</v>
      </c>
      <c r="CX9" s="1313">
        <v>42200</v>
      </c>
      <c r="CY9" s="1313">
        <v>0</v>
      </c>
      <c r="CZ9" s="1313">
        <v>0</v>
      </c>
      <c r="DA9" s="1313">
        <v>879768.3</v>
      </c>
      <c r="DB9" s="1313">
        <v>1273027.44</v>
      </c>
      <c r="DC9" s="1313">
        <v>154617.82999999999</v>
      </c>
      <c r="DD9" s="1313">
        <v>184705.22</v>
      </c>
      <c r="DE9" s="1313">
        <v>134218.6</v>
      </c>
      <c r="DF9" s="1313">
        <v>188928.05</v>
      </c>
      <c r="DG9" s="1313">
        <v>258050.76</v>
      </c>
      <c r="DH9" s="1313">
        <v>230558.9</v>
      </c>
      <c r="DI9" s="1313">
        <v>546887.18999999994</v>
      </c>
      <c r="DJ9" s="1313">
        <v>604192.17000000004</v>
      </c>
      <c r="DK9" s="1313">
        <v>167692.39000000001</v>
      </c>
      <c r="DL9" s="1313">
        <v>177418</v>
      </c>
      <c r="DM9" s="1313">
        <v>0</v>
      </c>
      <c r="DN9" s="1313">
        <v>0</v>
      </c>
      <c r="DO9" s="1313">
        <v>36.840000000000003</v>
      </c>
      <c r="DP9" s="1313">
        <v>500</v>
      </c>
      <c r="DQ9" s="1313">
        <v>0</v>
      </c>
      <c r="DR9" s="1313">
        <v>0</v>
      </c>
      <c r="DS9" s="1313">
        <v>167729.23000000001</v>
      </c>
      <c r="DT9" s="1313">
        <v>177918</v>
      </c>
      <c r="DU9" s="1313">
        <v>191567.45</v>
      </c>
      <c r="DV9" s="1313">
        <v>70000</v>
      </c>
      <c r="DW9" s="1313">
        <v>0</v>
      </c>
      <c r="DX9" s="1313">
        <v>0</v>
      </c>
      <c r="DY9" s="1313">
        <v>105456.36</v>
      </c>
      <c r="DZ9" s="1313">
        <v>0</v>
      </c>
      <c r="EA9" s="1313">
        <v>4149381.06</v>
      </c>
      <c r="EB9" s="1313">
        <v>4694667.4000000004</v>
      </c>
      <c r="EC9" s="1313">
        <v>207389.61</v>
      </c>
      <c r="ED9" s="1313">
        <v>239892.27</v>
      </c>
      <c r="EE9" s="1313">
        <v>0</v>
      </c>
      <c r="EF9" s="1313">
        <v>0</v>
      </c>
      <c r="EG9" s="1313">
        <v>3941991.45</v>
      </c>
      <c r="EH9" s="1313">
        <v>4454775.13</v>
      </c>
      <c r="EI9" s="1313">
        <v>267996.99</v>
      </c>
      <c r="EK9" s="1313">
        <v>3673994.46</v>
      </c>
      <c r="EM9" s="1313">
        <v>6316</v>
      </c>
      <c r="EO9" s="1313">
        <v>45.88</v>
      </c>
      <c r="EQ9" s="1313">
        <v>32351</v>
      </c>
      <c r="ES9" s="1313">
        <v>51.01</v>
      </c>
      <c r="EU9" s="1313">
        <v>34840</v>
      </c>
      <c r="EW9" s="1313">
        <v>424586.54</v>
      </c>
      <c r="EY9" s="1313">
        <v>14399.57</v>
      </c>
      <c r="FA9" s="1313">
        <v>0</v>
      </c>
      <c r="FC9" s="1313">
        <v>410186.97</v>
      </c>
      <c r="FE9" s="1313">
        <v>796076.18</v>
      </c>
      <c r="FG9" s="1313">
        <v>0</v>
      </c>
    </row>
    <row r="10" spans="1:164">
      <c r="A10" s="1313" t="s">
        <v>754</v>
      </c>
      <c r="B10" s="1313" t="s">
        <v>771</v>
      </c>
      <c r="C10" s="1313">
        <v>457.28</v>
      </c>
      <c r="E10" s="1313">
        <v>1.61</v>
      </c>
      <c r="G10" s="1313">
        <v>476.55</v>
      </c>
      <c r="I10" s="1313">
        <v>0</v>
      </c>
      <c r="J10" s="1313">
        <v>0</v>
      </c>
      <c r="K10" s="1313">
        <v>212702.61</v>
      </c>
      <c r="L10" s="1313">
        <v>50000</v>
      </c>
      <c r="M10" s="1313">
        <v>0</v>
      </c>
      <c r="N10" s="1313">
        <v>0</v>
      </c>
      <c r="O10" s="1313">
        <v>0</v>
      </c>
      <c r="P10" s="1313">
        <v>0</v>
      </c>
      <c r="Q10" s="1313">
        <v>0</v>
      </c>
      <c r="R10" s="1313">
        <v>0</v>
      </c>
      <c r="S10" s="1313">
        <v>110070</v>
      </c>
      <c r="T10" s="1313">
        <v>0</v>
      </c>
      <c r="U10" s="1313">
        <v>0</v>
      </c>
      <c r="V10" s="1313">
        <v>0</v>
      </c>
      <c r="W10" s="1313">
        <v>0</v>
      </c>
      <c r="X10" s="1313">
        <v>0</v>
      </c>
      <c r="Y10" s="1313">
        <v>0</v>
      </c>
      <c r="Z10" s="1313">
        <v>0</v>
      </c>
      <c r="AA10" s="1313">
        <v>0</v>
      </c>
      <c r="AB10" s="1313">
        <v>0</v>
      </c>
      <c r="AC10" s="1313">
        <v>2759869.89</v>
      </c>
      <c r="AD10" s="1313">
        <v>3686400</v>
      </c>
      <c r="AE10" s="1313">
        <v>3082642.5</v>
      </c>
      <c r="AF10" s="1313">
        <v>3736400</v>
      </c>
      <c r="AG10" s="1313">
        <v>0</v>
      </c>
      <c r="AH10" s="1313">
        <v>0</v>
      </c>
      <c r="AI10" s="1313">
        <v>18952</v>
      </c>
      <c r="AJ10" s="1313">
        <v>20173</v>
      </c>
      <c r="AK10" s="1313">
        <v>1437.46</v>
      </c>
      <c r="AL10" s="1313">
        <v>0</v>
      </c>
      <c r="AM10" s="1313">
        <v>2100</v>
      </c>
      <c r="AN10" s="1313">
        <v>0</v>
      </c>
      <c r="AO10" s="1313">
        <v>0</v>
      </c>
      <c r="AP10" s="1313">
        <v>0</v>
      </c>
      <c r="AQ10" s="1313">
        <v>0</v>
      </c>
      <c r="AR10" s="1313">
        <v>0</v>
      </c>
      <c r="AS10" s="1313">
        <v>60254</v>
      </c>
      <c r="AT10" s="1313">
        <v>67728</v>
      </c>
      <c r="AU10" s="1313">
        <v>0</v>
      </c>
      <c r="AV10" s="1313">
        <v>0</v>
      </c>
      <c r="AW10" s="1313">
        <v>0</v>
      </c>
      <c r="AX10" s="1313">
        <v>0</v>
      </c>
      <c r="AY10" s="1313">
        <v>1270.33</v>
      </c>
      <c r="AZ10" s="1313">
        <v>0</v>
      </c>
      <c r="BA10" s="1313">
        <v>0</v>
      </c>
      <c r="BB10" s="1313">
        <v>0</v>
      </c>
      <c r="BC10" s="1313">
        <v>0</v>
      </c>
      <c r="BD10" s="1313">
        <v>0</v>
      </c>
      <c r="BE10" s="1313">
        <v>0</v>
      </c>
      <c r="BF10" s="1313">
        <v>0</v>
      </c>
      <c r="BG10" s="1313">
        <v>1406.5</v>
      </c>
      <c r="BH10" s="1313">
        <v>0</v>
      </c>
      <c r="BI10" s="1313">
        <v>85420.29</v>
      </c>
      <c r="BJ10" s="1313">
        <v>87901</v>
      </c>
      <c r="BK10" s="1313">
        <v>422058.07</v>
      </c>
      <c r="BL10" s="1313">
        <v>209338</v>
      </c>
      <c r="BM10" s="1313">
        <v>-19089</v>
      </c>
      <c r="BN10" s="1313">
        <v>0</v>
      </c>
      <c r="BO10" s="1313">
        <v>0</v>
      </c>
      <c r="BP10" s="1313">
        <v>0</v>
      </c>
      <c r="BQ10" s="1313">
        <v>0</v>
      </c>
      <c r="BR10" s="1313">
        <v>0</v>
      </c>
      <c r="BS10" s="1313">
        <v>0</v>
      </c>
      <c r="BT10" s="1313">
        <v>0</v>
      </c>
      <c r="BU10" s="1313">
        <v>0</v>
      </c>
      <c r="BV10" s="1313">
        <v>0</v>
      </c>
      <c r="BW10" s="1313">
        <v>0</v>
      </c>
      <c r="BX10" s="1313">
        <v>0</v>
      </c>
      <c r="BY10" s="1313">
        <v>-19089</v>
      </c>
      <c r="BZ10" s="1313">
        <v>0</v>
      </c>
      <c r="CA10" s="1313">
        <v>3571031.86</v>
      </c>
      <c r="CB10" s="1313">
        <v>4033639</v>
      </c>
      <c r="CC10" s="1313">
        <v>1656260.31</v>
      </c>
      <c r="CD10" s="1313">
        <v>1773811.88</v>
      </c>
      <c r="CE10" s="1313">
        <v>176514.24</v>
      </c>
      <c r="CF10" s="1313">
        <v>84771.25</v>
      </c>
      <c r="CG10" s="1313">
        <v>0</v>
      </c>
      <c r="CH10" s="1313">
        <v>0</v>
      </c>
      <c r="CI10" s="1313">
        <v>0</v>
      </c>
      <c r="CJ10" s="1313">
        <v>0</v>
      </c>
      <c r="CK10" s="1313">
        <v>83252.850000000006</v>
      </c>
      <c r="CL10" s="1313">
        <v>0</v>
      </c>
      <c r="CM10" s="1313">
        <v>55919.74</v>
      </c>
      <c r="CN10" s="1313">
        <v>0</v>
      </c>
      <c r="CO10" s="1313">
        <v>1971947.14</v>
      </c>
      <c r="CP10" s="1313">
        <v>1858583.13</v>
      </c>
      <c r="CQ10" s="1313">
        <v>189239.91</v>
      </c>
      <c r="CR10" s="1313">
        <v>213158</v>
      </c>
      <c r="CS10" s="1313">
        <v>153997.43</v>
      </c>
      <c r="CT10" s="1313">
        <v>231299</v>
      </c>
      <c r="CU10" s="1313">
        <v>853146.16</v>
      </c>
      <c r="CV10" s="1313">
        <v>1063955</v>
      </c>
      <c r="CW10" s="1313">
        <v>12250</v>
      </c>
      <c r="CX10" s="1313">
        <v>14000</v>
      </c>
      <c r="CY10" s="1313">
        <v>172.97</v>
      </c>
      <c r="CZ10" s="1313">
        <v>0</v>
      </c>
      <c r="DA10" s="1313">
        <v>1208806.47</v>
      </c>
      <c r="DB10" s="1313">
        <v>1522412</v>
      </c>
      <c r="DC10" s="1313">
        <v>112854.75</v>
      </c>
      <c r="DD10" s="1313">
        <v>109349.03</v>
      </c>
      <c r="DE10" s="1313">
        <v>145584.29</v>
      </c>
      <c r="DF10" s="1313">
        <v>171918</v>
      </c>
      <c r="DG10" s="1313">
        <v>161494.23000000001</v>
      </c>
      <c r="DH10" s="1313">
        <v>435744.43</v>
      </c>
      <c r="DI10" s="1313">
        <v>419933.27</v>
      </c>
      <c r="DJ10" s="1313">
        <v>717011.46</v>
      </c>
      <c r="DK10" s="1313">
        <v>92968.22</v>
      </c>
      <c r="DL10" s="1313">
        <v>135247.06</v>
      </c>
      <c r="DM10" s="1313">
        <v>0</v>
      </c>
      <c r="DN10" s="1313">
        <v>0</v>
      </c>
      <c r="DO10" s="1313">
        <v>0</v>
      </c>
      <c r="DP10" s="1313">
        <v>0</v>
      </c>
      <c r="DQ10" s="1313">
        <v>0</v>
      </c>
      <c r="DR10" s="1313">
        <v>0</v>
      </c>
      <c r="DS10" s="1313">
        <v>92968.22</v>
      </c>
      <c r="DT10" s="1313">
        <v>135247.06</v>
      </c>
      <c r="DU10" s="1313">
        <v>19495</v>
      </c>
      <c r="DV10" s="1313">
        <v>58800</v>
      </c>
      <c r="DW10" s="1313">
        <v>0</v>
      </c>
      <c r="DX10" s="1313">
        <v>0</v>
      </c>
      <c r="DY10" s="1313">
        <v>34095</v>
      </c>
      <c r="DZ10" s="1313">
        <v>0</v>
      </c>
      <c r="EA10" s="1313">
        <v>3747245.1</v>
      </c>
      <c r="EB10" s="1313">
        <v>4292053.6500000004</v>
      </c>
      <c r="EC10" s="1313">
        <v>107625.2</v>
      </c>
      <c r="ED10" s="1313">
        <v>92800</v>
      </c>
      <c r="EE10" s="1313">
        <v>0</v>
      </c>
      <c r="EF10" s="1313">
        <v>0</v>
      </c>
      <c r="EG10" s="1313">
        <v>3639619.9</v>
      </c>
      <c r="EH10" s="1313">
        <v>4199253.6500000004</v>
      </c>
      <c r="EI10" s="1313">
        <v>218592.95</v>
      </c>
      <c r="EK10" s="1313">
        <v>3421026.95</v>
      </c>
      <c r="EM10" s="1313">
        <v>7481</v>
      </c>
      <c r="EO10" s="1313">
        <v>30.61</v>
      </c>
      <c r="EQ10" s="1313">
        <v>38018</v>
      </c>
      <c r="ES10" s="1313">
        <v>32.79</v>
      </c>
      <c r="EU10" s="1313">
        <v>39281</v>
      </c>
      <c r="EW10" s="1313">
        <v>341603.17</v>
      </c>
      <c r="EY10" s="1313">
        <v>0</v>
      </c>
      <c r="FA10" s="1313">
        <v>0</v>
      </c>
      <c r="FC10" s="1313">
        <v>341603.17</v>
      </c>
      <c r="FE10" s="1313">
        <v>0</v>
      </c>
      <c r="FG10" s="1313">
        <v>0</v>
      </c>
    </row>
    <row r="11" spans="1:164">
      <c r="A11" s="1313" t="s">
        <v>755</v>
      </c>
      <c r="B11" s="1313" t="s">
        <v>772</v>
      </c>
      <c r="C11" s="1313">
        <v>256.88</v>
      </c>
      <c r="E11" s="1313">
        <v>0</v>
      </c>
      <c r="G11" s="1313">
        <v>264.76</v>
      </c>
      <c r="I11" s="1313">
        <v>0</v>
      </c>
      <c r="J11" s="1313">
        <v>0</v>
      </c>
      <c r="K11" s="1313">
        <v>12740.91</v>
      </c>
      <c r="L11" s="1313">
        <v>0</v>
      </c>
      <c r="M11" s="1313">
        <v>0</v>
      </c>
      <c r="N11" s="1313">
        <v>0</v>
      </c>
      <c r="O11" s="1313">
        <v>0</v>
      </c>
      <c r="P11" s="1313">
        <v>0</v>
      </c>
      <c r="Q11" s="1313">
        <v>0</v>
      </c>
      <c r="R11" s="1313">
        <v>0</v>
      </c>
      <c r="S11" s="1313">
        <v>0</v>
      </c>
      <c r="T11" s="1313">
        <v>0</v>
      </c>
      <c r="U11" s="1313">
        <v>88689</v>
      </c>
      <c r="V11" s="1313">
        <v>0</v>
      </c>
      <c r="W11" s="1313">
        <v>0</v>
      </c>
      <c r="X11" s="1313">
        <v>0</v>
      </c>
      <c r="Y11" s="1313">
        <v>0</v>
      </c>
      <c r="Z11" s="1313">
        <v>0</v>
      </c>
      <c r="AA11" s="1313">
        <v>0</v>
      </c>
      <c r="AB11" s="1313">
        <v>0</v>
      </c>
      <c r="AC11" s="1313">
        <v>1629523</v>
      </c>
      <c r="AD11" s="1313">
        <v>1607328</v>
      </c>
      <c r="AE11" s="1313">
        <v>1730952.91</v>
      </c>
      <c r="AF11" s="1313">
        <v>1607328</v>
      </c>
      <c r="AG11" s="1313">
        <v>0</v>
      </c>
      <c r="AH11" s="1313">
        <v>0</v>
      </c>
      <c r="AI11" s="1313">
        <v>11190</v>
      </c>
      <c r="AJ11" s="1313">
        <v>11087</v>
      </c>
      <c r="AK11" s="1313">
        <v>3942.51</v>
      </c>
      <c r="AL11" s="1313">
        <v>0</v>
      </c>
      <c r="AM11" s="1313">
        <v>0</v>
      </c>
      <c r="AN11" s="1313">
        <v>0</v>
      </c>
      <c r="AO11" s="1313">
        <v>0</v>
      </c>
      <c r="AP11" s="1313">
        <v>0</v>
      </c>
      <c r="AQ11" s="1313">
        <v>0</v>
      </c>
      <c r="AR11" s="1313">
        <v>0</v>
      </c>
      <c r="AS11" s="1313">
        <v>326697</v>
      </c>
      <c r="AT11" s="1313">
        <v>391644</v>
      </c>
      <c r="AU11" s="1313">
        <v>1108.33</v>
      </c>
      <c r="AV11" s="1313">
        <v>0</v>
      </c>
      <c r="AW11" s="1313">
        <v>0</v>
      </c>
      <c r="AX11" s="1313">
        <v>0</v>
      </c>
      <c r="AY11" s="1313">
        <v>1210.46</v>
      </c>
      <c r="AZ11" s="1313">
        <v>0</v>
      </c>
      <c r="BA11" s="1313">
        <v>0</v>
      </c>
      <c r="BB11" s="1313">
        <v>0</v>
      </c>
      <c r="BC11" s="1313">
        <v>0</v>
      </c>
      <c r="BD11" s="1313">
        <v>0</v>
      </c>
      <c r="BE11" s="1313">
        <v>0</v>
      </c>
      <c r="BF11" s="1313">
        <v>0</v>
      </c>
      <c r="BG11" s="1313">
        <v>0</v>
      </c>
      <c r="BH11" s="1313">
        <v>0</v>
      </c>
      <c r="BI11" s="1313">
        <v>344148.3</v>
      </c>
      <c r="BJ11" s="1313">
        <v>402731</v>
      </c>
      <c r="BK11" s="1313">
        <v>804657.28</v>
      </c>
      <c r="BL11" s="1313">
        <v>563508.01</v>
      </c>
      <c r="BM11" s="1313">
        <v>0</v>
      </c>
      <c r="BN11" s="1313">
        <v>0</v>
      </c>
      <c r="BO11" s="1313">
        <v>0</v>
      </c>
      <c r="BP11" s="1313">
        <v>0</v>
      </c>
      <c r="BQ11" s="1313">
        <v>0</v>
      </c>
      <c r="BR11" s="1313">
        <v>0</v>
      </c>
      <c r="BS11" s="1313">
        <v>0</v>
      </c>
      <c r="BT11" s="1313">
        <v>0</v>
      </c>
      <c r="BU11" s="1313">
        <v>0</v>
      </c>
      <c r="BV11" s="1313">
        <v>0</v>
      </c>
      <c r="BW11" s="1313">
        <v>0</v>
      </c>
      <c r="BX11" s="1313">
        <v>0</v>
      </c>
      <c r="BY11" s="1313">
        <v>0</v>
      </c>
      <c r="BZ11" s="1313">
        <v>0</v>
      </c>
      <c r="CA11" s="1313">
        <v>2879758.49</v>
      </c>
      <c r="CB11" s="1313">
        <v>2573567.0099999998</v>
      </c>
      <c r="CC11" s="1313">
        <v>909922.01</v>
      </c>
      <c r="CD11" s="1313">
        <v>916346</v>
      </c>
      <c r="CE11" s="1313">
        <v>62166.23</v>
      </c>
      <c r="CF11" s="1313">
        <v>23223</v>
      </c>
      <c r="CG11" s="1313">
        <v>0</v>
      </c>
      <c r="CH11" s="1313">
        <v>0</v>
      </c>
      <c r="CI11" s="1313">
        <v>0</v>
      </c>
      <c r="CJ11" s="1313">
        <v>0</v>
      </c>
      <c r="CK11" s="1313">
        <v>302328.45</v>
      </c>
      <c r="CL11" s="1313">
        <v>191880</v>
      </c>
      <c r="CM11" s="1313">
        <v>36070.5</v>
      </c>
      <c r="CN11" s="1313">
        <v>0</v>
      </c>
      <c r="CO11" s="1313">
        <v>1310487.19</v>
      </c>
      <c r="CP11" s="1313">
        <v>1131449</v>
      </c>
      <c r="CQ11" s="1313">
        <v>180169.17</v>
      </c>
      <c r="CR11" s="1313">
        <v>164509</v>
      </c>
      <c r="CS11" s="1313">
        <v>176184.69</v>
      </c>
      <c r="CT11" s="1313">
        <v>113188</v>
      </c>
      <c r="CU11" s="1313">
        <v>356903.08</v>
      </c>
      <c r="CV11" s="1313">
        <v>330080</v>
      </c>
      <c r="CW11" s="1313">
        <v>21368.02</v>
      </c>
      <c r="CX11" s="1313">
        <v>3000</v>
      </c>
      <c r="CY11" s="1313">
        <v>0</v>
      </c>
      <c r="CZ11" s="1313">
        <v>0</v>
      </c>
      <c r="DA11" s="1313">
        <v>734624.96</v>
      </c>
      <c r="DB11" s="1313">
        <v>610777</v>
      </c>
      <c r="DC11" s="1313">
        <v>185404.35</v>
      </c>
      <c r="DD11" s="1313">
        <v>88826</v>
      </c>
      <c r="DE11" s="1313">
        <v>330856.28000000003</v>
      </c>
      <c r="DF11" s="1313">
        <v>308898</v>
      </c>
      <c r="DG11" s="1313">
        <v>128428.21</v>
      </c>
      <c r="DH11" s="1313">
        <v>93471</v>
      </c>
      <c r="DI11" s="1313">
        <v>644688.84</v>
      </c>
      <c r="DJ11" s="1313">
        <v>491195</v>
      </c>
      <c r="DK11" s="1313">
        <v>230639.46</v>
      </c>
      <c r="DL11" s="1313">
        <v>23490</v>
      </c>
      <c r="DM11" s="1313">
        <v>0</v>
      </c>
      <c r="DN11" s="1313">
        <v>0</v>
      </c>
      <c r="DO11" s="1313">
        <v>481.34</v>
      </c>
      <c r="DP11" s="1313">
        <v>0</v>
      </c>
      <c r="DQ11" s="1313">
        <v>0</v>
      </c>
      <c r="DR11" s="1313">
        <v>0</v>
      </c>
      <c r="DS11" s="1313">
        <v>231120.8</v>
      </c>
      <c r="DT11" s="1313">
        <v>23490</v>
      </c>
      <c r="DU11" s="1313">
        <v>1885</v>
      </c>
      <c r="DV11" s="1313">
        <v>0</v>
      </c>
      <c r="DW11" s="1313">
        <v>0</v>
      </c>
      <c r="DX11" s="1313">
        <v>0</v>
      </c>
      <c r="DY11" s="1313">
        <v>0</v>
      </c>
      <c r="DZ11" s="1313">
        <v>0</v>
      </c>
      <c r="EA11" s="1313">
        <v>2922806.79</v>
      </c>
      <c r="EB11" s="1313">
        <v>2256911</v>
      </c>
      <c r="EC11" s="1313">
        <v>48392.51</v>
      </c>
      <c r="ED11" s="1313">
        <v>1500</v>
      </c>
      <c r="EE11" s="1313">
        <v>0</v>
      </c>
      <c r="EF11" s="1313">
        <v>0</v>
      </c>
      <c r="EG11" s="1313">
        <v>2874414.28</v>
      </c>
      <c r="EH11" s="1313">
        <v>2255411</v>
      </c>
      <c r="EI11" s="1313">
        <v>3740.09</v>
      </c>
      <c r="EK11" s="1313">
        <v>2870674.19</v>
      </c>
      <c r="EM11" s="1313">
        <v>11175</v>
      </c>
      <c r="EO11" s="1313">
        <v>15.47</v>
      </c>
      <c r="EQ11" s="1313">
        <v>35967</v>
      </c>
      <c r="ES11" s="1313">
        <v>17.559999999999999</v>
      </c>
      <c r="EU11" s="1313">
        <v>36988</v>
      </c>
      <c r="EW11" s="1313">
        <v>45199.43</v>
      </c>
      <c r="EY11" s="1313">
        <v>14738.44</v>
      </c>
      <c r="FA11" s="1313">
        <v>0</v>
      </c>
      <c r="FC11" s="1313">
        <v>30460.99</v>
      </c>
      <c r="FE11" s="1313">
        <v>0</v>
      </c>
      <c r="FG11" s="1313">
        <v>0</v>
      </c>
    </row>
    <row r="12" spans="1:164">
      <c r="A12" s="1313" t="s">
        <v>756</v>
      </c>
      <c r="B12" s="1313" t="s">
        <v>773</v>
      </c>
      <c r="C12" s="1313">
        <v>484.47</v>
      </c>
      <c r="E12" s="1313">
        <v>0</v>
      </c>
      <c r="G12" s="1313">
        <v>489.6</v>
      </c>
      <c r="I12" s="1313">
        <v>0</v>
      </c>
      <c r="J12" s="1313">
        <v>0</v>
      </c>
      <c r="K12" s="1313">
        <v>914.93</v>
      </c>
      <c r="L12" s="1313">
        <v>24247</v>
      </c>
      <c r="M12" s="1313">
        <v>0</v>
      </c>
      <c r="N12" s="1313">
        <v>0</v>
      </c>
      <c r="O12" s="1313">
        <v>0</v>
      </c>
      <c r="P12" s="1313">
        <v>0</v>
      </c>
      <c r="Q12" s="1313">
        <v>0</v>
      </c>
      <c r="R12" s="1313">
        <v>0</v>
      </c>
      <c r="S12" s="1313">
        <v>8553</v>
      </c>
      <c r="T12" s="1313">
        <v>0</v>
      </c>
      <c r="U12" s="1313">
        <v>10747</v>
      </c>
      <c r="V12" s="1313">
        <v>0</v>
      </c>
      <c r="W12" s="1313">
        <v>0</v>
      </c>
      <c r="X12" s="1313">
        <v>0</v>
      </c>
      <c r="Y12" s="1313">
        <v>0</v>
      </c>
      <c r="Z12" s="1313">
        <v>0</v>
      </c>
      <c r="AA12" s="1313">
        <v>0</v>
      </c>
      <c r="AB12" s="1313">
        <v>0</v>
      </c>
      <c r="AC12" s="1313">
        <v>2972591</v>
      </c>
      <c r="AD12" s="1313">
        <v>3019653</v>
      </c>
      <c r="AE12" s="1313">
        <v>2992805.93</v>
      </c>
      <c r="AF12" s="1313">
        <v>3043900</v>
      </c>
      <c r="AG12" s="1313">
        <v>0</v>
      </c>
      <c r="AH12" s="1313">
        <v>0</v>
      </c>
      <c r="AI12" s="1313">
        <v>20413</v>
      </c>
      <c r="AJ12" s="1313">
        <v>20413</v>
      </c>
      <c r="AK12" s="1313">
        <v>0</v>
      </c>
      <c r="AL12" s="1313">
        <v>0</v>
      </c>
      <c r="AM12" s="1313">
        <v>0</v>
      </c>
      <c r="AN12" s="1313">
        <v>0</v>
      </c>
      <c r="AO12" s="1313">
        <v>0</v>
      </c>
      <c r="AP12" s="1313">
        <v>0</v>
      </c>
      <c r="AQ12" s="1313">
        <v>0</v>
      </c>
      <c r="AR12" s="1313">
        <v>0</v>
      </c>
      <c r="AS12" s="1313">
        <v>0</v>
      </c>
      <c r="AT12" s="1313">
        <v>0</v>
      </c>
      <c r="AU12" s="1313">
        <v>2021.85</v>
      </c>
      <c r="AV12" s="1313">
        <v>2022</v>
      </c>
      <c r="AW12" s="1313">
        <v>0</v>
      </c>
      <c r="AX12" s="1313">
        <v>0</v>
      </c>
      <c r="AY12" s="1313">
        <v>0</v>
      </c>
      <c r="AZ12" s="1313">
        <v>0</v>
      </c>
      <c r="BA12" s="1313">
        <v>0</v>
      </c>
      <c r="BB12" s="1313">
        <v>0</v>
      </c>
      <c r="BC12" s="1313">
        <v>0</v>
      </c>
      <c r="BD12" s="1313">
        <v>0</v>
      </c>
      <c r="BE12" s="1313">
        <v>0</v>
      </c>
      <c r="BF12" s="1313">
        <v>0</v>
      </c>
      <c r="BG12" s="1313">
        <v>0</v>
      </c>
      <c r="BH12" s="1313">
        <v>0</v>
      </c>
      <c r="BI12" s="1313">
        <v>22434.85</v>
      </c>
      <c r="BJ12" s="1313">
        <v>22435</v>
      </c>
      <c r="BK12" s="1313">
        <v>377803.53</v>
      </c>
      <c r="BL12" s="1313">
        <v>500361.51</v>
      </c>
      <c r="BM12" s="1313">
        <v>0</v>
      </c>
      <c r="BN12" s="1313">
        <v>0</v>
      </c>
      <c r="BO12" s="1313">
        <v>0</v>
      </c>
      <c r="BP12" s="1313">
        <v>0</v>
      </c>
      <c r="BQ12" s="1313">
        <v>0</v>
      </c>
      <c r="BR12" s="1313">
        <v>0</v>
      </c>
      <c r="BS12" s="1313">
        <v>0</v>
      </c>
      <c r="BT12" s="1313">
        <v>0</v>
      </c>
      <c r="BU12" s="1313">
        <v>0</v>
      </c>
      <c r="BV12" s="1313">
        <v>0</v>
      </c>
      <c r="BW12" s="1313">
        <v>0</v>
      </c>
      <c r="BX12" s="1313">
        <v>0</v>
      </c>
      <c r="BY12" s="1313">
        <v>0</v>
      </c>
      <c r="BZ12" s="1313">
        <v>0</v>
      </c>
      <c r="CA12" s="1313">
        <v>3393044.31</v>
      </c>
      <c r="CB12" s="1313">
        <v>3566696.51</v>
      </c>
      <c r="CC12" s="1313">
        <v>2351506.14</v>
      </c>
      <c r="CD12" s="1313">
        <v>2049161.33</v>
      </c>
      <c r="CE12" s="1313">
        <v>84752.03</v>
      </c>
      <c r="CF12" s="1313">
        <v>90404.4</v>
      </c>
      <c r="CG12" s="1313">
        <v>0</v>
      </c>
      <c r="CH12" s="1313">
        <v>0</v>
      </c>
      <c r="CI12" s="1313">
        <v>0</v>
      </c>
      <c r="CJ12" s="1313">
        <v>0</v>
      </c>
      <c r="CK12" s="1313">
        <v>12389.48</v>
      </c>
      <c r="CL12" s="1313">
        <v>51881</v>
      </c>
      <c r="CM12" s="1313">
        <v>0</v>
      </c>
      <c r="CN12" s="1313">
        <v>0</v>
      </c>
      <c r="CO12" s="1313">
        <v>2448647.65</v>
      </c>
      <c r="CP12" s="1313">
        <v>2191446.73</v>
      </c>
      <c r="CQ12" s="1313">
        <v>692278.18</v>
      </c>
      <c r="CR12" s="1313">
        <v>676554</v>
      </c>
      <c r="CS12" s="1313">
        <v>3907.56</v>
      </c>
      <c r="CT12" s="1313">
        <v>236000</v>
      </c>
      <c r="CU12" s="1313">
        <v>1095.9000000000001</v>
      </c>
      <c r="CV12" s="1313">
        <v>0</v>
      </c>
      <c r="CW12" s="1313">
        <v>0</v>
      </c>
      <c r="CX12" s="1313">
        <v>0</v>
      </c>
      <c r="CY12" s="1313">
        <v>0</v>
      </c>
      <c r="CZ12" s="1313">
        <v>5000</v>
      </c>
      <c r="DA12" s="1313">
        <v>697281.64</v>
      </c>
      <c r="DB12" s="1313">
        <v>917554</v>
      </c>
      <c r="DC12" s="1313">
        <v>113889.58</v>
      </c>
      <c r="DD12" s="1313">
        <v>179652.64</v>
      </c>
      <c r="DE12" s="1313">
        <v>106433.94</v>
      </c>
      <c r="DF12" s="1313">
        <v>315042.74</v>
      </c>
      <c r="DG12" s="1313">
        <v>0</v>
      </c>
      <c r="DH12" s="1313">
        <v>0</v>
      </c>
      <c r="DI12" s="1313">
        <v>220323.52</v>
      </c>
      <c r="DJ12" s="1313">
        <v>494695.38</v>
      </c>
      <c r="DK12" s="1313">
        <v>0</v>
      </c>
      <c r="DL12" s="1313">
        <v>0</v>
      </c>
      <c r="DM12" s="1313">
        <v>0</v>
      </c>
      <c r="DN12" s="1313">
        <v>0</v>
      </c>
      <c r="DO12" s="1313">
        <v>0</v>
      </c>
      <c r="DP12" s="1313">
        <v>2000</v>
      </c>
      <c r="DQ12" s="1313">
        <v>0</v>
      </c>
      <c r="DR12" s="1313">
        <v>0</v>
      </c>
      <c r="DS12" s="1313">
        <v>0</v>
      </c>
      <c r="DT12" s="1313">
        <v>2000</v>
      </c>
      <c r="DU12" s="1313">
        <v>0</v>
      </c>
      <c r="DV12" s="1313">
        <v>0</v>
      </c>
      <c r="DW12" s="1313">
        <v>0</v>
      </c>
      <c r="DX12" s="1313">
        <v>0</v>
      </c>
      <c r="DY12" s="1313">
        <v>14083</v>
      </c>
      <c r="DZ12" s="1313">
        <v>0</v>
      </c>
      <c r="EA12" s="1313">
        <v>3380335.81</v>
      </c>
      <c r="EB12" s="1313">
        <v>3605696.11</v>
      </c>
      <c r="EC12" s="1313">
        <v>1090.07</v>
      </c>
      <c r="ED12" s="1313">
        <v>3000</v>
      </c>
      <c r="EE12" s="1313">
        <v>0</v>
      </c>
      <c r="EF12" s="1313">
        <v>0</v>
      </c>
      <c r="EG12" s="1313">
        <v>3379245.74</v>
      </c>
      <c r="EH12" s="1313">
        <v>3602696.11</v>
      </c>
      <c r="EI12" s="1313">
        <v>14083</v>
      </c>
      <c r="EK12" s="1313">
        <v>3365162.74</v>
      </c>
      <c r="EM12" s="1313">
        <v>6946</v>
      </c>
      <c r="EO12" s="1313">
        <v>8.5</v>
      </c>
      <c r="EQ12" s="1313">
        <v>39332</v>
      </c>
      <c r="ES12" s="1313">
        <v>8.5</v>
      </c>
      <c r="EU12" s="1313">
        <v>39332</v>
      </c>
      <c r="EW12" s="1313">
        <v>289867.48</v>
      </c>
      <c r="EY12" s="1313">
        <v>21584.89</v>
      </c>
      <c r="FA12" s="1313">
        <v>0</v>
      </c>
      <c r="FC12" s="1313">
        <v>268282.59000000003</v>
      </c>
      <c r="FE12" s="1313">
        <v>0</v>
      </c>
      <c r="FG12" s="1313">
        <v>0</v>
      </c>
    </row>
    <row r="13" spans="1:164">
      <c r="A13" s="1313" t="s">
        <v>757</v>
      </c>
      <c r="B13" s="1313" t="s">
        <v>774</v>
      </c>
      <c r="C13" s="1313">
        <v>173.41</v>
      </c>
      <c r="E13" s="1313">
        <v>0</v>
      </c>
      <c r="G13" s="1313">
        <v>179.05</v>
      </c>
      <c r="I13" s="1313">
        <v>0</v>
      </c>
      <c r="J13" s="1313">
        <v>0</v>
      </c>
      <c r="K13" s="1313">
        <v>28418.61</v>
      </c>
      <c r="L13" s="1313">
        <v>16000</v>
      </c>
      <c r="M13" s="1313">
        <v>0</v>
      </c>
      <c r="N13" s="1313">
        <v>0</v>
      </c>
      <c r="O13" s="1313">
        <v>0</v>
      </c>
      <c r="P13" s="1313">
        <v>0</v>
      </c>
      <c r="Q13" s="1313">
        <v>0</v>
      </c>
      <c r="R13" s="1313">
        <v>0</v>
      </c>
      <c r="S13" s="1313">
        <v>0</v>
      </c>
      <c r="T13" s="1313">
        <v>0</v>
      </c>
      <c r="U13" s="1313">
        <v>0</v>
      </c>
      <c r="V13" s="1313">
        <v>0</v>
      </c>
      <c r="W13" s="1313">
        <v>0</v>
      </c>
      <c r="X13" s="1313">
        <v>0</v>
      </c>
      <c r="Y13" s="1313">
        <v>0</v>
      </c>
      <c r="Z13" s="1313">
        <v>0</v>
      </c>
      <c r="AA13" s="1313">
        <v>0</v>
      </c>
      <c r="AB13" s="1313">
        <v>0</v>
      </c>
      <c r="AC13" s="1313">
        <v>1036378</v>
      </c>
      <c r="AD13" s="1313">
        <v>1443840</v>
      </c>
      <c r="AE13" s="1313">
        <v>1064796.6100000001</v>
      </c>
      <c r="AF13" s="1313">
        <v>1459840</v>
      </c>
      <c r="AG13" s="1313">
        <v>0</v>
      </c>
      <c r="AH13" s="1313">
        <v>0</v>
      </c>
      <c r="AI13" s="1313">
        <v>7224</v>
      </c>
      <c r="AJ13" s="1313">
        <v>7035</v>
      </c>
      <c r="AK13" s="1313">
        <v>0</v>
      </c>
      <c r="AL13" s="1313">
        <v>0</v>
      </c>
      <c r="AM13" s="1313">
        <v>0</v>
      </c>
      <c r="AN13" s="1313">
        <v>0</v>
      </c>
      <c r="AO13" s="1313">
        <v>0</v>
      </c>
      <c r="AP13" s="1313">
        <v>0</v>
      </c>
      <c r="AQ13" s="1313">
        <v>7032</v>
      </c>
      <c r="AR13" s="1313">
        <v>0</v>
      </c>
      <c r="AS13" s="1313">
        <v>164672</v>
      </c>
      <c r="AT13" s="1313">
        <v>84980</v>
      </c>
      <c r="AU13" s="1313">
        <v>920.41</v>
      </c>
      <c r="AV13" s="1313">
        <v>0</v>
      </c>
      <c r="AW13" s="1313">
        <v>0</v>
      </c>
      <c r="AX13" s="1313">
        <v>0</v>
      </c>
      <c r="AY13" s="1313">
        <v>205.41</v>
      </c>
      <c r="AZ13" s="1313">
        <v>0</v>
      </c>
      <c r="BA13" s="1313">
        <v>0</v>
      </c>
      <c r="BB13" s="1313">
        <v>0</v>
      </c>
      <c r="BC13" s="1313">
        <v>0</v>
      </c>
      <c r="BD13" s="1313">
        <v>0</v>
      </c>
      <c r="BE13" s="1313">
        <v>0</v>
      </c>
      <c r="BF13" s="1313">
        <v>0</v>
      </c>
      <c r="BG13" s="1313">
        <v>0</v>
      </c>
      <c r="BH13" s="1313">
        <v>0</v>
      </c>
      <c r="BI13" s="1313">
        <v>180053.82</v>
      </c>
      <c r="BJ13" s="1313">
        <v>92015</v>
      </c>
      <c r="BK13" s="1313">
        <v>349526.22</v>
      </c>
      <c r="BL13" s="1313">
        <v>209145</v>
      </c>
      <c r="BM13" s="1313">
        <v>0</v>
      </c>
      <c r="BN13" s="1313">
        <v>0</v>
      </c>
      <c r="BO13" s="1313">
        <v>0</v>
      </c>
      <c r="BP13" s="1313">
        <v>0</v>
      </c>
      <c r="BQ13" s="1313">
        <v>0</v>
      </c>
      <c r="BR13" s="1313">
        <v>0</v>
      </c>
      <c r="BS13" s="1313">
        <v>0</v>
      </c>
      <c r="BT13" s="1313">
        <v>0</v>
      </c>
      <c r="BU13" s="1313">
        <v>0</v>
      </c>
      <c r="BV13" s="1313">
        <v>0</v>
      </c>
      <c r="BW13" s="1313">
        <v>0</v>
      </c>
      <c r="BX13" s="1313">
        <v>0</v>
      </c>
      <c r="BY13" s="1313">
        <v>0</v>
      </c>
      <c r="BZ13" s="1313">
        <v>0</v>
      </c>
      <c r="CA13" s="1313">
        <v>1594376.65</v>
      </c>
      <c r="CB13" s="1313">
        <v>1761000</v>
      </c>
      <c r="CC13" s="1313">
        <v>581004.71</v>
      </c>
      <c r="CD13" s="1313">
        <v>842909.78</v>
      </c>
      <c r="CE13" s="1313">
        <v>37152.239999999998</v>
      </c>
      <c r="CF13" s="1313">
        <v>24300</v>
      </c>
      <c r="CG13" s="1313">
        <v>0</v>
      </c>
      <c r="CH13" s="1313">
        <v>0</v>
      </c>
      <c r="CI13" s="1313">
        <v>0</v>
      </c>
      <c r="CJ13" s="1313">
        <v>0</v>
      </c>
      <c r="CK13" s="1313">
        <v>83732.710000000006</v>
      </c>
      <c r="CL13" s="1313">
        <v>37009.5</v>
      </c>
      <c r="CM13" s="1313">
        <v>12335.26</v>
      </c>
      <c r="CN13" s="1313">
        <v>0</v>
      </c>
      <c r="CO13" s="1313">
        <v>714224.92</v>
      </c>
      <c r="CP13" s="1313">
        <v>904219.28</v>
      </c>
      <c r="CQ13" s="1313">
        <v>225026.98</v>
      </c>
      <c r="CR13" s="1313">
        <v>175865.1</v>
      </c>
      <c r="CS13" s="1313">
        <v>60693.82</v>
      </c>
      <c r="CT13" s="1313">
        <v>62100</v>
      </c>
      <c r="CU13" s="1313">
        <v>194556.06</v>
      </c>
      <c r="CV13" s="1313">
        <v>244750</v>
      </c>
      <c r="CW13" s="1313">
        <v>7092.28</v>
      </c>
      <c r="CX13" s="1313">
        <v>0</v>
      </c>
      <c r="CY13" s="1313">
        <v>0</v>
      </c>
      <c r="CZ13" s="1313">
        <v>0</v>
      </c>
      <c r="DA13" s="1313">
        <v>487369.14</v>
      </c>
      <c r="DB13" s="1313">
        <v>482715.1</v>
      </c>
      <c r="DC13" s="1313">
        <v>53900.04</v>
      </c>
      <c r="DD13" s="1313">
        <v>21431</v>
      </c>
      <c r="DE13" s="1313">
        <v>100098.97</v>
      </c>
      <c r="DF13" s="1313">
        <v>65934.3</v>
      </c>
      <c r="DG13" s="1313">
        <v>96858.28</v>
      </c>
      <c r="DH13" s="1313">
        <v>141291.70000000001</v>
      </c>
      <c r="DI13" s="1313">
        <v>250857.29</v>
      </c>
      <c r="DJ13" s="1313">
        <v>228657</v>
      </c>
      <c r="DK13" s="1313">
        <v>111022.33</v>
      </c>
      <c r="DL13" s="1313">
        <v>139940.25</v>
      </c>
      <c r="DM13" s="1313">
        <v>0</v>
      </c>
      <c r="DN13" s="1313">
        <v>0</v>
      </c>
      <c r="DO13" s="1313">
        <v>114.73</v>
      </c>
      <c r="DP13" s="1313">
        <v>0</v>
      </c>
      <c r="DQ13" s="1313">
        <v>0</v>
      </c>
      <c r="DR13" s="1313">
        <v>0</v>
      </c>
      <c r="DS13" s="1313">
        <v>111137.06</v>
      </c>
      <c r="DT13" s="1313">
        <v>139940.25</v>
      </c>
      <c r="DU13" s="1313">
        <v>7885.98</v>
      </c>
      <c r="DV13" s="1313">
        <v>0</v>
      </c>
      <c r="DW13" s="1313">
        <v>0</v>
      </c>
      <c r="DX13" s="1313">
        <v>0</v>
      </c>
      <c r="DY13" s="1313">
        <v>0</v>
      </c>
      <c r="DZ13" s="1313">
        <v>0</v>
      </c>
      <c r="EA13" s="1313">
        <v>1571474.39</v>
      </c>
      <c r="EB13" s="1313">
        <v>1755531.63</v>
      </c>
      <c r="EC13" s="1313">
        <v>11171.31</v>
      </c>
      <c r="ED13" s="1313">
        <v>0</v>
      </c>
      <c r="EE13" s="1313">
        <v>0</v>
      </c>
      <c r="EF13" s="1313">
        <v>0</v>
      </c>
      <c r="EG13" s="1313">
        <v>1560303.08</v>
      </c>
      <c r="EH13" s="1313">
        <v>1755531.63</v>
      </c>
      <c r="EI13" s="1313">
        <v>21012.47</v>
      </c>
      <c r="EK13" s="1313">
        <v>1539290.61</v>
      </c>
      <c r="EM13" s="1313">
        <v>8876</v>
      </c>
      <c r="EO13" s="1313">
        <v>11.3</v>
      </c>
      <c r="EQ13" s="1313">
        <v>33972</v>
      </c>
      <c r="ES13" s="1313">
        <v>12.55</v>
      </c>
      <c r="EU13" s="1313">
        <v>40890</v>
      </c>
      <c r="EW13" s="1313">
        <v>41800.61</v>
      </c>
      <c r="EY13" s="1313">
        <v>18849.87</v>
      </c>
      <c r="FA13" s="1313">
        <v>0</v>
      </c>
      <c r="FC13" s="1313">
        <v>22950.74</v>
      </c>
      <c r="FE13" s="1313">
        <v>0</v>
      </c>
      <c r="FG13" s="1313">
        <v>0</v>
      </c>
    </row>
    <row r="14" spans="1:164">
      <c r="A14" s="1313" t="s">
        <v>758</v>
      </c>
      <c r="B14" s="1313" t="s">
        <v>775</v>
      </c>
      <c r="C14" s="1313">
        <v>354.77</v>
      </c>
      <c r="E14" s="1313">
        <v>0</v>
      </c>
      <c r="G14" s="1313">
        <v>360.11</v>
      </c>
      <c r="I14" s="1313">
        <v>0</v>
      </c>
      <c r="J14" s="1313">
        <v>0</v>
      </c>
      <c r="K14" s="1313">
        <v>570329.11</v>
      </c>
      <c r="L14" s="1313">
        <v>754745</v>
      </c>
      <c r="M14" s="1313">
        <v>0</v>
      </c>
      <c r="N14" s="1313">
        <v>0</v>
      </c>
      <c r="O14" s="1313">
        <v>0</v>
      </c>
      <c r="P14" s="1313">
        <v>0</v>
      </c>
      <c r="Q14" s="1313">
        <v>0</v>
      </c>
      <c r="R14" s="1313">
        <v>0</v>
      </c>
      <c r="S14" s="1313">
        <v>0</v>
      </c>
      <c r="T14" s="1313">
        <v>626688</v>
      </c>
      <c r="U14" s="1313">
        <v>0</v>
      </c>
      <c r="V14" s="1313">
        <v>0</v>
      </c>
      <c r="W14" s="1313">
        <v>0</v>
      </c>
      <c r="X14" s="1313">
        <v>0</v>
      </c>
      <c r="Y14" s="1313">
        <v>0</v>
      </c>
      <c r="Z14" s="1313">
        <v>0</v>
      </c>
      <c r="AA14" s="1313">
        <v>0</v>
      </c>
      <c r="AB14" s="1313">
        <v>0</v>
      </c>
      <c r="AC14" s="1313">
        <v>2168280</v>
      </c>
      <c r="AD14" s="1313">
        <v>2211840</v>
      </c>
      <c r="AE14" s="1313">
        <v>2738609.11</v>
      </c>
      <c r="AF14" s="1313">
        <v>3593273</v>
      </c>
      <c r="AG14" s="1313">
        <v>0</v>
      </c>
      <c r="AH14" s="1313">
        <v>0</v>
      </c>
      <c r="AI14" s="1313">
        <v>14890</v>
      </c>
      <c r="AJ14" s="1313">
        <v>19866</v>
      </c>
      <c r="AK14" s="1313">
        <v>10000</v>
      </c>
      <c r="AL14" s="1313">
        <v>0</v>
      </c>
      <c r="AM14" s="1313">
        <v>0</v>
      </c>
      <c r="AN14" s="1313">
        <v>0</v>
      </c>
      <c r="AO14" s="1313">
        <v>0</v>
      </c>
      <c r="AP14" s="1313">
        <v>0</v>
      </c>
      <c r="AQ14" s="1313">
        <v>0</v>
      </c>
      <c r="AR14" s="1313">
        <v>3887</v>
      </c>
      <c r="AS14" s="1313">
        <v>63984</v>
      </c>
      <c r="AT14" s="1313">
        <v>78430</v>
      </c>
      <c r="AU14" s="1313">
        <v>1478.19</v>
      </c>
      <c r="AV14" s="1313">
        <v>1476</v>
      </c>
      <c r="AW14" s="1313">
        <v>0</v>
      </c>
      <c r="AX14" s="1313">
        <v>0</v>
      </c>
      <c r="AY14" s="1313">
        <v>908.9</v>
      </c>
      <c r="AZ14" s="1313">
        <v>1000</v>
      </c>
      <c r="BA14" s="1313">
        <v>0</v>
      </c>
      <c r="BB14" s="1313">
        <v>0</v>
      </c>
      <c r="BC14" s="1313">
        <v>0</v>
      </c>
      <c r="BD14" s="1313">
        <v>0</v>
      </c>
      <c r="BE14" s="1313">
        <v>0</v>
      </c>
      <c r="BF14" s="1313">
        <v>0</v>
      </c>
      <c r="BG14" s="1313">
        <v>0</v>
      </c>
      <c r="BH14" s="1313">
        <v>0</v>
      </c>
      <c r="BI14" s="1313">
        <v>91261.09</v>
      </c>
      <c r="BJ14" s="1313">
        <v>104659</v>
      </c>
      <c r="BK14" s="1313">
        <v>363164.43</v>
      </c>
      <c r="BL14" s="1313">
        <v>302136</v>
      </c>
      <c r="BM14" s="1313">
        <v>57038.14</v>
      </c>
      <c r="BN14" s="1313">
        <v>0</v>
      </c>
      <c r="BO14" s="1313">
        <v>0</v>
      </c>
      <c r="BP14" s="1313">
        <v>0</v>
      </c>
      <c r="BQ14" s="1313">
        <v>0</v>
      </c>
      <c r="BR14" s="1313">
        <v>0</v>
      </c>
      <c r="BS14" s="1313">
        <v>0</v>
      </c>
      <c r="BT14" s="1313">
        <v>0</v>
      </c>
      <c r="BU14" s="1313">
        <v>0</v>
      </c>
      <c r="BV14" s="1313">
        <v>0</v>
      </c>
      <c r="BW14" s="1313">
        <v>0</v>
      </c>
      <c r="BX14" s="1313">
        <v>0</v>
      </c>
      <c r="BY14" s="1313">
        <v>57038.14</v>
      </c>
      <c r="BZ14" s="1313">
        <v>0</v>
      </c>
      <c r="CA14" s="1313">
        <v>3250072.77</v>
      </c>
      <c r="CB14" s="1313">
        <v>4000068</v>
      </c>
      <c r="CC14" s="1313">
        <v>1699824.38</v>
      </c>
      <c r="CD14" s="1313">
        <v>2130332.7599999998</v>
      </c>
      <c r="CE14" s="1313">
        <v>88907.64</v>
      </c>
      <c r="CF14" s="1313">
        <v>73516.97</v>
      </c>
      <c r="CG14" s="1313">
        <v>0</v>
      </c>
      <c r="CH14" s="1313">
        <v>0</v>
      </c>
      <c r="CI14" s="1313">
        <v>0</v>
      </c>
      <c r="CJ14" s="1313">
        <v>0</v>
      </c>
      <c r="CK14" s="1313">
        <v>111140.75</v>
      </c>
      <c r="CL14" s="1313">
        <v>69182.34</v>
      </c>
      <c r="CM14" s="1313">
        <v>0</v>
      </c>
      <c r="CN14" s="1313">
        <v>0</v>
      </c>
      <c r="CO14" s="1313">
        <v>1899872.77</v>
      </c>
      <c r="CP14" s="1313">
        <v>2273032.0699999998</v>
      </c>
      <c r="CQ14" s="1313">
        <v>26493.3</v>
      </c>
      <c r="CR14" s="1313">
        <v>49863</v>
      </c>
      <c r="CS14" s="1313">
        <v>212040.1</v>
      </c>
      <c r="CT14" s="1313">
        <v>254634.66</v>
      </c>
      <c r="CU14" s="1313">
        <v>431275.28</v>
      </c>
      <c r="CV14" s="1313">
        <v>520334.39</v>
      </c>
      <c r="CW14" s="1313">
        <v>3904.29</v>
      </c>
      <c r="CX14" s="1313">
        <v>6400</v>
      </c>
      <c r="CY14" s="1313">
        <v>277.52</v>
      </c>
      <c r="CZ14" s="1313">
        <v>0</v>
      </c>
      <c r="DA14" s="1313">
        <v>673990.49</v>
      </c>
      <c r="DB14" s="1313">
        <v>831232.05</v>
      </c>
      <c r="DC14" s="1313">
        <v>92690.9</v>
      </c>
      <c r="DD14" s="1313">
        <v>125773.74</v>
      </c>
      <c r="DE14" s="1313">
        <v>129548.06</v>
      </c>
      <c r="DF14" s="1313">
        <v>230587.61</v>
      </c>
      <c r="DG14" s="1313">
        <v>337754.87</v>
      </c>
      <c r="DH14" s="1313">
        <v>318079.53000000003</v>
      </c>
      <c r="DI14" s="1313">
        <v>559993.82999999996</v>
      </c>
      <c r="DJ14" s="1313">
        <v>674440.88</v>
      </c>
      <c r="DK14" s="1313">
        <v>116193.8</v>
      </c>
      <c r="DL14" s="1313">
        <v>124000</v>
      </c>
      <c r="DM14" s="1313">
        <v>0</v>
      </c>
      <c r="DN14" s="1313">
        <v>0</v>
      </c>
      <c r="DO14" s="1313">
        <v>0</v>
      </c>
      <c r="DP14" s="1313">
        <v>0</v>
      </c>
      <c r="DQ14" s="1313">
        <v>0</v>
      </c>
      <c r="DR14" s="1313">
        <v>0</v>
      </c>
      <c r="DS14" s="1313">
        <v>116193.8</v>
      </c>
      <c r="DT14" s="1313">
        <v>124000</v>
      </c>
      <c r="DU14" s="1313">
        <v>0</v>
      </c>
      <c r="DV14" s="1313">
        <v>0</v>
      </c>
      <c r="DW14" s="1313">
        <v>0</v>
      </c>
      <c r="DX14" s="1313">
        <v>0</v>
      </c>
      <c r="DY14" s="1313">
        <v>0</v>
      </c>
      <c r="DZ14" s="1313">
        <v>0</v>
      </c>
      <c r="EA14" s="1313">
        <v>3250050.89</v>
      </c>
      <c r="EB14" s="1313">
        <v>3902705</v>
      </c>
      <c r="EC14" s="1313">
        <v>0</v>
      </c>
      <c r="ED14" s="1313">
        <v>20520</v>
      </c>
      <c r="EE14" s="1313">
        <v>0</v>
      </c>
      <c r="EF14" s="1313">
        <v>0</v>
      </c>
      <c r="EG14" s="1313">
        <v>3250050.89</v>
      </c>
      <c r="EH14" s="1313">
        <v>3882185</v>
      </c>
      <c r="EI14" s="1313">
        <v>556300.24</v>
      </c>
      <c r="EK14" s="1313">
        <v>2693750.65</v>
      </c>
      <c r="EM14" s="1313">
        <v>7592</v>
      </c>
      <c r="EO14" s="1313">
        <v>26.92</v>
      </c>
      <c r="EQ14" s="1313">
        <v>37122</v>
      </c>
      <c r="ES14" s="1313">
        <v>28.38</v>
      </c>
      <c r="EU14" s="1313">
        <v>39106</v>
      </c>
      <c r="EW14" s="1313">
        <v>2048.42</v>
      </c>
      <c r="EY14" s="1313">
        <v>0</v>
      </c>
      <c r="FA14" s="1313">
        <v>0</v>
      </c>
      <c r="FC14" s="1313">
        <v>2048.42</v>
      </c>
      <c r="FE14" s="1313">
        <v>0</v>
      </c>
      <c r="FG14" s="1313">
        <v>0</v>
      </c>
    </row>
    <row r="15" spans="1:164">
      <c r="A15" s="1313" t="s">
        <v>759</v>
      </c>
      <c r="B15" s="1313" t="s">
        <v>776</v>
      </c>
      <c r="C15" s="1313">
        <v>484.76</v>
      </c>
      <c r="E15" s="1313">
        <v>0</v>
      </c>
      <c r="G15" s="1313">
        <v>500.7</v>
      </c>
      <c r="I15" s="1313">
        <v>0</v>
      </c>
      <c r="J15" s="1313">
        <v>0</v>
      </c>
      <c r="K15" s="1313">
        <v>214232.16</v>
      </c>
      <c r="L15" s="1313">
        <v>181179</v>
      </c>
      <c r="M15" s="1313">
        <v>0</v>
      </c>
      <c r="N15" s="1313">
        <v>0</v>
      </c>
      <c r="O15" s="1313">
        <v>0</v>
      </c>
      <c r="P15" s="1313">
        <v>0</v>
      </c>
      <c r="Q15" s="1313">
        <v>0</v>
      </c>
      <c r="R15" s="1313">
        <v>0</v>
      </c>
      <c r="S15" s="1313">
        <v>634587</v>
      </c>
      <c r="T15" s="1313">
        <v>0</v>
      </c>
      <c r="U15" s="1313">
        <v>0</v>
      </c>
      <c r="V15" s="1313">
        <v>0</v>
      </c>
      <c r="W15" s="1313">
        <v>0</v>
      </c>
      <c r="X15" s="1313">
        <v>0</v>
      </c>
      <c r="Y15" s="1313">
        <v>0</v>
      </c>
      <c r="Z15" s="1313">
        <v>0</v>
      </c>
      <c r="AA15" s="1313">
        <v>0</v>
      </c>
      <c r="AB15" s="1313">
        <v>0</v>
      </c>
      <c r="AC15" s="1313">
        <v>2379808</v>
      </c>
      <c r="AD15" s="1313">
        <v>3072000</v>
      </c>
      <c r="AE15" s="1313">
        <v>3228627.16</v>
      </c>
      <c r="AF15" s="1313">
        <v>3253179</v>
      </c>
      <c r="AG15" s="1313">
        <v>0</v>
      </c>
      <c r="AH15" s="1313">
        <v>0</v>
      </c>
      <c r="AI15" s="1313">
        <v>16342</v>
      </c>
      <c r="AJ15" s="1313">
        <v>25500</v>
      </c>
      <c r="AK15" s="1313">
        <v>10600</v>
      </c>
      <c r="AL15" s="1313">
        <v>0</v>
      </c>
      <c r="AM15" s="1313">
        <v>0</v>
      </c>
      <c r="AN15" s="1313">
        <v>0</v>
      </c>
      <c r="AO15" s="1313">
        <v>0</v>
      </c>
      <c r="AP15" s="1313">
        <v>0</v>
      </c>
      <c r="AQ15" s="1313">
        <v>0</v>
      </c>
      <c r="AR15" s="1313">
        <v>1794</v>
      </c>
      <c r="AS15" s="1313">
        <v>56048</v>
      </c>
      <c r="AT15" s="1313">
        <v>80960</v>
      </c>
      <c r="AU15" s="1313">
        <v>2044.73</v>
      </c>
      <c r="AV15" s="1313">
        <v>2050</v>
      </c>
      <c r="AW15" s="1313">
        <v>0</v>
      </c>
      <c r="AX15" s="1313">
        <v>0</v>
      </c>
      <c r="AY15" s="1313">
        <v>928.65</v>
      </c>
      <c r="AZ15" s="1313">
        <v>900</v>
      </c>
      <c r="BA15" s="1313">
        <v>0</v>
      </c>
      <c r="BB15" s="1313">
        <v>0</v>
      </c>
      <c r="BC15" s="1313">
        <v>0</v>
      </c>
      <c r="BD15" s="1313">
        <v>0</v>
      </c>
      <c r="BE15" s="1313">
        <v>0</v>
      </c>
      <c r="BF15" s="1313">
        <v>0</v>
      </c>
      <c r="BG15" s="1313">
        <v>0</v>
      </c>
      <c r="BH15" s="1313">
        <v>0</v>
      </c>
      <c r="BI15" s="1313">
        <v>85963.38</v>
      </c>
      <c r="BJ15" s="1313">
        <v>111204</v>
      </c>
      <c r="BK15" s="1313">
        <v>539204.03</v>
      </c>
      <c r="BL15" s="1313">
        <v>244000</v>
      </c>
      <c r="BM15" s="1313">
        <v>17404.73</v>
      </c>
      <c r="BN15" s="1313">
        <v>0</v>
      </c>
      <c r="BO15" s="1313">
        <v>0</v>
      </c>
      <c r="BP15" s="1313">
        <v>0</v>
      </c>
      <c r="BQ15" s="1313">
        <v>0</v>
      </c>
      <c r="BR15" s="1313">
        <v>0</v>
      </c>
      <c r="BS15" s="1313">
        <v>0</v>
      </c>
      <c r="BT15" s="1313">
        <v>0</v>
      </c>
      <c r="BU15" s="1313">
        <v>0</v>
      </c>
      <c r="BV15" s="1313">
        <v>0</v>
      </c>
      <c r="BW15" s="1313">
        <v>0</v>
      </c>
      <c r="BX15" s="1313">
        <v>0</v>
      </c>
      <c r="BY15" s="1313">
        <v>17404.73</v>
      </c>
      <c r="BZ15" s="1313">
        <v>0</v>
      </c>
      <c r="CA15" s="1313">
        <v>3871199.3</v>
      </c>
      <c r="CB15" s="1313">
        <v>3608383</v>
      </c>
      <c r="CC15" s="1313">
        <v>2093906.68</v>
      </c>
      <c r="CD15" s="1313">
        <v>1988269.83</v>
      </c>
      <c r="CE15" s="1313">
        <v>140769.04999999999</v>
      </c>
      <c r="CF15" s="1313">
        <v>84855.19</v>
      </c>
      <c r="CG15" s="1313">
        <v>0</v>
      </c>
      <c r="CH15" s="1313">
        <v>0</v>
      </c>
      <c r="CI15" s="1313">
        <v>0</v>
      </c>
      <c r="CJ15" s="1313">
        <v>0</v>
      </c>
      <c r="CK15" s="1313">
        <v>83754.25</v>
      </c>
      <c r="CL15" s="1313">
        <v>96783</v>
      </c>
      <c r="CM15" s="1313">
        <v>0</v>
      </c>
      <c r="CN15" s="1313">
        <v>0</v>
      </c>
      <c r="CO15" s="1313">
        <v>2318429.98</v>
      </c>
      <c r="CP15" s="1313">
        <v>2169908.02</v>
      </c>
      <c r="CQ15" s="1313">
        <v>27644.400000000001</v>
      </c>
      <c r="CR15" s="1313">
        <v>52980</v>
      </c>
      <c r="CS15" s="1313">
        <v>160752.9</v>
      </c>
      <c r="CT15" s="1313">
        <v>189219</v>
      </c>
      <c r="CU15" s="1313">
        <v>555939.30000000005</v>
      </c>
      <c r="CV15" s="1313">
        <v>610800</v>
      </c>
      <c r="CW15" s="1313">
        <v>11502.92</v>
      </c>
      <c r="CX15" s="1313">
        <v>6800</v>
      </c>
      <c r="CY15" s="1313">
        <v>204.71</v>
      </c>
      <c r="CZ15" s="1313">
        <v>0</v>
      </c>
      <c r="DA15" s="1313">
        <v>756044.23</v>
      </c>
      <c r="DB15" s="1313">
        <v>859799</v>
      </c>
      <c r="DC15" s="1313">
        <v>123608.91</v>
      </c>
      <c r="DD15" s="1313">
        <v>0</v>
      </c>
      <c r="DE15" s="1313">
        <v>71540.94</v>
      </c>
      <c r="DF15" s="1313">
        <v>129005</v>
      </c>
      <c r="DG15" s="1313">
        <v>357514.03</v>
      </c>
      <c r="DH15" s="1313">
        <v>238125.47</v>
      </c>
      <c r="DI15" s="1313">
        <v>552663.88</v>
      </c>
      <c r="DJ15" s="1313">
        <v>367130.47</v>
      </c>
      <c r="DK15" s="1313">
        <v>133108.15</v>
      </c>
      <c r="DL15" s="1313">
        <v>135758.10999999999</v>
      </c>
      <c r="DM15" s="1313">
        <v>0</v>
      </c>
      <c r="DN15" s="1313">
        <v>0</v>
      </c>
      <c r="DO15" s="1313">
        <v>0</v>
      </c>
      <c r="DP15" s="1313">
        <v>0</v>
      </c>
      <c r="DQ15" s="1313">
        <v>0</v>
      </c>
      <c r="DR15" s="1313">
        <v>0</v>
      </c>
      <c r="DS15" s="1313">
        <v>133108.15</v>
      </c>
      <c r="DT15" s="1313">
        <v>135758.10999999999</v>
      </c>
      <c r="DU15" s="1313">
        <v>128572</v>
      </c>
      <c r="DV15" s="1313">
        <v>0</v>
      </c>
      <c r="DW15" s="1313">
        <v>0</v>
      </c>
      <c r="DX15" s="1313">
        <v>0</v>
      </c>
      <c r="DY15" s="1313">
        <v>0</v>
      </c>
      <c r="DZ15" s="1313">
        <v>0</v>
      </c>
      <c r="EA15" s="1313">
        <v>3888818.24</v>
      </c>
      <c r="EB15" s="1313">
        <v>3532595.6</v>
      </c>
      <c r="EC15" s="1313">
        <v>128572</v>
      </c>
      <c r="ED15" s="1313">
        <v>21740</v>
      </c>
      <c r="EE15" s="1313">
        <v>0</v>
      </c>
      <c r="EF15" s="1313">
        <v>0</v>
      </c>
      <c r="EG15" s="1313">
        <v>3760246.24</v>
      </c>
      <c r="EH15" s="1313">
        <v>3510855.6</v>
      </c>
      <c r="EI15" s="1313">
        <v>182985.24</v>
      </c>
      <c r="EK15" s="1313">
        <v>3577261</v>
      </c>
      <c r="EM15" s="1313">
        <v>7379</v>
      </c>
      <c r="EO15" s="1313">
        <v>28.88</v>
      </c>
      <c r="EQ15" s="1313">
        <v>38929</v>
      </c>
      <c r="ES15" s="1313">
        <v>28.88</v>
      </c>
      <c r="EU15" s="1313">
        <v>38929</v>
      </c>
      <c r="EW15" s="1313">
        <v>5550.76</v>
      </c>
      <c r="EY15" s="1313">
        <v>0</v>
      </c>
      <c r="FA15" s="1313">
        <v>0</v>
      </c>
      <c r="FC15" s="1313">
        <v>5550.76</v>
      </c>
      <c r="FE15" s="1313">
        <v>0</v>
      </c>
      <c r="FG15" s="1313">
        <v>0</v>
      </c>
    </row>
    <row r="16" spans="1:164">
      <c r="A16" s="1313" t="s">
        <v>760</v>
      </c>
      <c r="B16" s="1313" t="s">
        <v>777</v>
      </c>
      <c r="C16" s="1313">
        <v>327.88</v>
      </c>
      <c r="E16" s="1313">
        <v>0</v>
      </c>
      <c r="G16" s="1313">
        <v>358.59</v>
      </c>
      <c r="I16" s="1313">
        <v>0</v>
      </c>
      <c r="J16" s="1313">
        <v>0</v>
      </c>
      <c r="K16" s="1313">
        <v>463795.63</v>
      </c>
      <c r="L16" s="1313">
        <v>366777</v>
      </c>
      <c r="M16" s="1313">
        <v>0</v>
      </c>
      <c r="N16" s="1313">
        <v>0</v>
      </c>
      <c r="O16" s="1313">
        <v>0</v>
      </c>
      <c r="P16" s="1313">
        <v>0</v>
      </c>
      <c r="Q16" s="1313">
        <v>0</v>
      </c>
      <c r="R16" s="1313">
        <v>0</v>
      </c>
      <c r="S16" s="1313">
        <v>0</v>
      </c>
      <c r="T16" s="1313">
        <v>0</v>
      </c>
      <c r="U16" s="1313">
        <v>0</v>
      </c>
      <c r="V16" s="1313">
        <v>0</v>
      </c>
      <c r="W16" s="1313">
        <v>0</v>
      </c>
      <c r="X16" s="1313">
        <v>0</v>
      </c>
      <c r="Y16" s="1313">
        <v>0</v>
      </c>
      <c r="Z16" s="1313">
        <v>0</v>
      </c>
      <c r="AA16" s="1313">
        <v>0</v>
      </c>
      <c r="AB16" s="1313">
        <v>0</v>
      </c>
      <c r="AC16" s="1313">
        <v>2181290</v>
      </c>
      <c r="AD16" s="1313">
        <v>3010560</v>
      </c>
      <c r="AE16" s="1313">
        <v>2645085.63</v>
      </c>
      <c r="AF16" s="1313">
        <v>3377337</v>
      </c>
      <c r="AG16" s="1313">
        <v>0</v>
      </c>
      <c r="AH16" s="1313">
        <v>0</v>
      </c>
      <c r="AI16" s="1313">
        <v>7623</v>
      </c>
      <c r="AJ16" s="1313">
        <v>24990</v>
      </c>
      <c r="AK16" s="1313">
        <v>4400</v>
      </c>
      <c r="AL16" s="1313">
        <v>0</v>
      </c>
      <c r="AM16" s="1313">
        <v>150</v>
      </c>
      <c r="AN16" s="1313">
        <v>0</v>
      </c>
      <c r="AO16" s="1313">
        <v>0</v>
      </c>
      <c r="AP16" s="1313">
        <v>0</v>
      </c>
      <c r="AQ16" s="1313">
        <v>0</v>
      </c>
      <c r="AR16" s="1313">
        <v>3289</v>
      </c>
      <c r="AS16" s="1313">
        <v>28272</v>
      </c>
      <c r="AT16" s="1313">
        <v>88550</v>
      </c>
      <c r="AU16" s="1313">
        <v>1062.26</v>
      </c>
      <c r="AV16" s="1313">
        <v>1989</v>
      </c>
      <c r="AW16" s="1313">
        <v>0</v>
      </c>
      <c r="AX16" s="1313">
        <v>0</v>
      </c>
      <c r="AY16" s="1313">
        <v>290.91000000000003</v>
      </c>
      <c r="AZ16" s="1313">
        <v>300</v>
      </c>
      <c r="BA16" s="1313">
        <v>0</v>
      </c>
      <c r="BB16" s="1313">
        <v>0</v>
      </c>
      <c r="BC16" s="1313">
        <v>0</v>
      </c>
      <c r="BD16" s="1313">
        <v>0</v>
      </c>
      <c r="BE16" s="1313">
        <v>0</v>
      </c>
      <c r="BF16" s="1313">
        <v>0</v>
      </c>
      <c r="BG16" s="1313">
        <v>600</v>
      </c>
      <c r="BH16" s="1313">
        <v>0</v>
      </c>
      <c r="BI16" s="1313">
        <v>42398.17</v>
      </c>
      <c r="BJ16" s="1313">
        <v>119118</v>
      </c>
      <c r="BK16" s="1313">
        <v>284760.69</v>
      </c>
      <c r="BL16" s="1313">
        <v>109074</v>
      </c>
      <c r="BM16" s="1313">
        <v>2278</v>
      </c>
      <c r="BN16" s="1313">
        <v>0</v>
      </c>
      <c r="BO16" s="1313">
        <v>0</v>
      </c>
      <c r="BP16" s="1313">
        <v>0</v>
      </c>
      <c r="BQ16" s="1313">
        <v>0</v>
      </c>
      <c r="BR16" s="1313">
        <v>0</v>
      </c>
      <c r="BS16" s="1313">
        <v>0</v>
      </c>
      <c r="BT16" s="1313">
        <v>0</v>
      </c>
      <c r="BU16" s="1313">
        <v>0</v>
      </c>
      <c r="BV16" s="1313">
        <v>0</v>
      </c>
      <c r="BW16" s="1313">
        <v>0</v>
      </c>
      <c r="BX16" s="1313">
        <v>0</v>
      </c>
      <c r="BY16" s="1313">
        <v>2278</v>
      </c>
      <c r="BZ16" s="1313">
        <v>0</v>
      </c>
      <c r="CA16" s="1313">
        <v>2974522.49</v>
      </c>
      <c r="CB16" s="1313">
        <v>3605529</v>
      </c>
      <c r="CC16" s="1313">
        <v>1597039.17</v>
      </c>
      <c r="CD16" s="1313">
        <v>1833610.54</v>
      </c>
      <c r="CE16" s="1313">
        <v>48602.55</v>
      </c>
      <c r="CF16" s="1313">
        <v>99575.01</v>
      </c>
      <c r="CG16" s="1313">
        <v>0</v>
      </c>
      <c r="CH16" s="1313">
        <v>0</v>
      </c>
      <c r="CI16" s="1313">
        <v>0</v>
      </c>
      <c r="CJ16" s="1313">
        <v>0</v>
      </c>
      <c r="CK16" s="1313">
        <v>95919.86</v>
      </c>
      <c r="CL16" s="1313">
        <v>30054</v>
      </c>
      <c r="CM16" s="1313">
        <v>150</v>
      </c>
      <c r="CN16" s="1313">
        <v>0</v>
      </c>
      <c r="CO16" s="1313">
        <v>1741711.58</v>
      </c>
      <c r="CP16" s="1313">
        <v>1963239.55</v>
      </c>
      <c r="CQ16" s="1313">
        <v>23093.3</v>
      </c>
      <c r="CR16" s="1313">
        <v>155687.43</v>
      </c>
      <c r="CS16" s="1313">
        <v>102343</v>
      </c>
      <c r="CT16" s="1313">
        <v>91909</v>
      </c>
      <c r="CU16" s="1313">
        <v>511593.59</v>
      </c>
      <c r="CV16" s="1313">
        <v>718326.08</v>
      </c>
      <c r="CW16" s="1313">
        <v>3904.29</v>
      </c>
      <c r="CX16" s="1313">
        <v>6800</v>
      </c>
      <c r="CY16" s="1313">
        <v>0</v>
      </c>
      <c r="CZ16" s="1313">
        <v>0</v>
      </c>
      <c r="DA16" s="1313">
        <v>640934.18000000005</v>
      </c>
      <c r="DB16" s="1313">
        <v>972722.51</v>
      </c>
      <c r="DC16" s="1313">
        <v>21812.02</v>
      </c>
      <c r="DD16" s="1313">
        <v>134300.57999999999</v>
      </c>
      <c r="DE16" s="1313">
        <v>48315.98</v>
      </c>
      <c r="DF16" s="1313">
        <v>133670</v>
      </c>
      <c r="DG16" s="1313">
        <v>402023.11</v>
      </c>
      <c r="DH16" s="1313">
        <v>284148.36</v>
      </c>
      <c r="DI16" s="1313">
        <v>472151.11</v>
      </c>
      <c r="DJ16" s="1313">
        <v>552118.93999999994</v>
      </c>
      <c r="DK16" s="1313">
        <v>106769.75</v>
      </c>
      <c r="DL16" s="1313">
        <v>112175</v>
      </c>
      <c r="DM16" s="1313">
        <v>0</v>
      </c>
      <c r="DN16" s="1313">
        <v>0</v>
      </c>
      <c r="DO16" s="1313">
        <v>0</v>
      </c>
      <c r="DP16" s="1313">
        <v>0</v>
      </c>
      <c r="DQ16" s="1313">
        <v>0</v>
      </c>
      <c r="DR16" s="1313">
        <v>0</v>
      </c>
      <c r="DS16" s="1313">
        <v>106769.75</v>
      </c>
      <c r="DT16" s="1313">
        <v>112175</v>
      </c>
      <c r="DU16" s="1313">
        <v>0</v>
      </c>
      <c r="DV16" s="1313">
        <v>0</v>
      </c>
      <c r="DW16" s="1313">
        <v>0</v>
      </c>
      <c r="DX16" s="1313">
        <v>0</v>
      </c>
      <c r="DY16" s="1313">
        <v>0</v>
      </c>
      <c r="DZ16" s="1313">
        <v>0</v>
      </c>
      <c r="EA16" s="1313">
        <v>2961566.62</v>
      </c>
      <c r="EB16" s="1313">
        <v>3600256</v>
      </c>
      <c r="EC16" s="1313">
        <v>0</v>
      </c>
      <c r="ED16" s="1313">
        <v>35340</v>
      </c>
      <c r="EE16" s="1313">
        <v>0</v>
      </c>
      <c r="EF16" s="1313">
        <v>0</v>
      </c>
      <c r="EG16" s="1313">
        <v>2961566.62</v>
      </c>
      <c r="EH16" s="1313">
        <v>3564916</v>
      </c>
      <c r="EI16" s="1313">
        <v>449709.11</v>
      </c>
      <c r="EK16" s="1313">
        <v>2511857.5099999998</v>
      </c>
      <c r="EM16" s="1313">
        <v>7660</v>
      </c>
      <c r="EO16" s="1313">
        <v>23.73</v>
      </c>
      <c r="EQ16" s="1313">
        <v>38862</v>
      </c>
      <c r="ES16" s="1313">
        <v>25.1</v>
      </c>
      <c r="EU16" s="1313">
        <v>43020</v>
      </c>
      <c r="EW16" s="1313">
        <v>5451.15</v>
      </c>
      <c r="EY16" s="1313">
        <v>0</v>
      </c>
      <c r="FA16" s="1313">
        <v>0</v>
      </c>
      <c r="FC16" s="1313">
        <v>5451.15</v>
      </c>
      <c r="FE16" s="1313">
        <v>0</v>
      </c>
      <c r="FG16" s="1313">
        <v>0</v>
      </c>
    </row>
    <row r="17" spans="1:163">
      <c r="A17" s="1313" t="s">
        <v>761</v>
      </c>
      <c r="B17" s="1313" t="s">
        <v>778</v>
      </c>
      <c r="C17" s="1313">
        <v>403.74</v>
      </c>
      <c r="E17" s="1313">
        <v>0</v>
      </c>
      <c r="G17" s="1313">
        <v>411.38</v>
      </c>
      <c r="I17" s="1313">
        <v>0</v>
      </c>
      <c r="J17" s="1313">
        <v>0</v>
      </c>
      <c r="K17" s="1313">
        <v>104057.84</v>
      </c>
      <c r="L17" s="1313">
        <v>34000</v>
      </c>
      <c r="M17" s="1313">
        <v>0</v>
      </c>
      <c r="N17" s="1313">
        <v>0</v>
      </c>
      <c r="O17" s="1313">
        <v>0</v>
      </c>
      <c r="P17" s="1313">
        <v>0</v>
      </c>
      <c r="Q17" s="1313">
        <v>0</v>
      </c>
      <c r="R17" s="1313">
        <v>0</v>
      </c>
      <c r="S17" s="1313">
        <v>0</v>
      </c>
      <c r="T17" s="1313">
        <v>0</v>
      </c>
      <c r="U17" s="1313">
        <v>0</v>
      </c>
      <c r="V17" s="1313">
        <v>0</v>
      </c>
      <c r="W17" s="1313">
        <v>0</v>
      </c>
      <c r="X17" s="1313">
        <v>0</v>
      </c>
      <c r="Y17" s="1313">
        <v>0</v>
      </c>
      <c r="Z17" s="1313">
        <v>0</v>
      </c>
      <c r="AA17" s="1313">
        <v>0</v>
      </c>
      <c r="AB17" s="1313">
        <v>0</v>
      </c>
      <c r="AC17" s="1313">
        <v>2501171.0099999998</v>
      </c>
      <c r="AD17" s="1313">
        <v>2764800</v>
      </c>
      <c r="AE17" s="1313">
        <v>2605228.85</v>
      </c>
      <c r="AF17" s="1313">
        <v>2798800</v>
      </c>
      <c r="AG17" s="1313">
        <v>0</v>
      </c>
      <c r="AH17" s="1313">
        <v>0</v>
      </c>
      <c r="AI17" s="1313">
        <v>15620</v>
      </c>
      <c r="AJ17" s="1313">
        <v>19071</v>
      </c>
      <c r="AK17" s="1313">
        <v>2400</v>
      </c>
      <c r="AL17" s="1313">
        <v>0</v>
      </c>
      <c r="AM17" s="1313">
        <v>0</v>
      </c>
      <c r="AN17" s="1313">
        <v>0</v>
      </c>
      <c r="AO17" s="1313">
        <v>0</v>
      </c>
      <c r="AP17" s="1313">
        <v>0</v>
      </c>
      <c r="AQ17" s="1313">
        <v>0</v>
      </c>
      <c r="AR17" s="1313">
        <v>0</v>
      </c>
      <c r="AS17" s="1313">
        <v>50096</v>
      </c>
      <c r="AT17" s="1313">
        <v>55660</v>
      </c>
      <c r="AU17" s="1313">
        <v>1760.15</v>
      </c>
      <c r="AV17" s="1313">
        <v>0</v>
      </c>
      <c r="AW17" s="1313">
        <v>0</v>
      </c>
      <c r="AX17" s="1313">
        <v>0</v>
      </c>
      <c r="AY17" s="1313">
        <v>0</v>
      </c>
      <c r="AZ17" s="1313">
        <v>0</v>
      </c>
      <c r="BA17" s="1313">
        <v>0</v>
      </c>
      <c r="BB17" s="1313">
        <v>0</v>
      </c>
      <c r="BC17" s="1313">
        <v>0</v>
      </c>
      <c r="BD17" s="1313">
        <v>0</v>
      </c>
      <c r="BE17" s="1313">
        <v>0</v>
      </c>
      <c r="BF17" s="1313">
        <v>0</v>
      </c>
      <c r="BG17" s="1313">
        <v>0</v>
      </c>
      <c r="BH17" s="1313">
        <v>0</v>
      </c>
      <c r="BI17" s="1313">
        <v>69876.149999999994</v>
      </c>
      <c r="BJ17" s="1313">
        <v>74731</v>
      </c>
      <c r="BK17" s="1313">
        <v>327430.32</v>
      </c>
      <c r="BL17" s="1313">
        <v>117464</v>
      </c>
      <c r="BM17" s="1313">
        <v>1639</v>
      </c>
      <c r="BN17" s="1313">
        <v>0</v>
      </c>
      <c r="BO17" s="1313">
        <v>0</v>
      </c>
      <c r="BP17" s="1313">
        <v>0</v>
      </c>
      <c r="BQ17" s="1313">
        <v>0</v>
      </c>
      <c r="BR17" s="1313">
        <v>0</v>
      </c>
      <c r="BS17" s="1313">
        <v>0</v>
      </c>
      <c r="BT17" s="1313">
        <v>0</v>
      </c>
      <c r="BU17" s="1313">
        <v>0</v>
      </c>
      <c r="BV17" s="1313">
        <v>0</v>
      </c>
      <c r="BW17" s="1313">
        <v>0</v>
      </c>
      <c r="BX17" s="1313">
        <v>0</v>
      </c>
      <c r="BY17" s="1313">
        <v>1639</v>
      </c>
      <c r="BZ17" s="1313">
        <v>0</v>
      </c>
      <c r="CA17" s="1313">
        <v>3004174.32</v>
      </c>
      <c r="CB17" s="1313">
        <v>2990995</v>
      </c>
      <c r="CC17" s="1313">
        <v>1306186.33</v>
      </c>
      <c r="CD17" s="1313">
        <v>1228314.99</v>
      </c>
      <c r="CE17" s="1313">
        <v>33745.199999999997</v>
      </c>
      <c r="CF17" s="1313">
        <v>92441.5</v>
      </c>
      <c r="CG17" s="1313">
        <v>0</v>
      </c>
      <c r="CH17" s="1313">
        <v>0</v>
      </c>
      <c r="CI17" s="1313">
        <v>0</v>
      </c>
      <c r="CJ17" s="1313">
        <v>0</v>
      </c>
      <c r="CK17" s="1313">
        <v>102556.18</v>
      </c>
      <c r="CL17" s="1313">
        <v>0</v>
      </c>
      <c r="CM17" s="1313">
        <v>0</v>
      </c>
      <c r="CN17" s="1313">
        <v>0</v>
      </c>
      <c r="CO17" s="1313">
        <v>1442487.71</v>
      </c>
      <c r="CP17" s="1313">
        <v>1320756.49</v>
      </c>
      <c r="CQ17" s="1313">
        <v>134201.79999999999</v>
      </c>
      <c r="CR17" s="1313">
        <v>160892</v>
      </c>
      <c r="CS17" s="1313">
        <v>26324.7</v>
      </c>
      <c r="CT17" s="1313">
        <v>140156.5</v>
      </c>
      <c r="CU17" s="1313">
        <v>522174.28</v>
      </c>
      <c r="CV17" s="1313">
        <v>520648</v>
      </c>
      <c r="CW17" s="1313">
        <v>850</v>
      </c>
      <c r="CX17" s="1313">
        <v>8000</v>
      </c>
      <c r="CY17" s="1313">
        <v>0</v>
      </c>
      <c r="CZ17" s="1313">
        <v>0</v>
      </c>
      <c r="DA17" s="1313">
        <v>683550.78</v>
      </c>
      <c r="DB17" s="1313">
        <v>829696.5</v>
      </c>
      <c r="DC17" s="1313">
        <v>107642.98</v>
      </c>
      <c r="DD17" s="1313">
        <v>100727</v>
      </c>
      <c r="DE17" s="1313">
        <v>55229.94</v>
      </c>
      <c r="DF17" s="1313">
        <v>123023</v>
      </c>
      <c r="DG17" s="1313">
        <v>280481.86</v>
      </c>
      <c r="DH17" s="1313">
        <v>355173.81</v>
      </c>
      <c r="DI17" s="1313">
        <v>443354.78</v>
      </c>
      <c r="DJ17" s="1313">
        <v>578923.81000000006</v>
      </c>
      <c r="DK17" s="1313">
        <v>88951.71</v>
      </c>
      <c r="DL17" s="1313">
        <v>105247.06</v>
      </c>
      <c r="DM17" s="1313">
        <v>0</v>
      </c>
      <c r="DN17" s="1313">
        <v>0</v>
      </c>
      <c r="DO17" s="1313">
        <v>0</v>
      </c>
      <c r="DP17" s="1313">
        <v>0</v>
      </c>
      <c r="DQ17" s="1313">
        <v>0</v>
      </c>
      <c r="DR17" s="1313">
        <v>0</v>
      </c>
      <c r="DS17" s="1313">
        <v>88951.71</v>
      </c>
      <c r="DT17" s="1313">
        <v>105247.06</v>
      </c>
      <c r="DU17" s="1313">
        <v>192579.5</v>
      </c>
      <c r="DV17" s="1313">
        <v>15000</v>
      </c>
      <c r="DW17" s="1313">
        <v>0</v>
      </c>
      <c r="DX17" s="1313">
        <v>0</v>
      </c>
      <c r="DY17" s="1313">
        <v>258251</v>
      </c>
      <c r="DZ17" s="1313">
        <v>0</v>
      </c>
      <c r="EA17" s="1313">
        <v>3109175.48</v>
      </c>
      <c r="EB17" s="1313">
        <v>2849623.86</v>
      </c>
      <c r="EC17" s="1313">
        <v>232732.11</v>
      </c>
      <c r="ED17" s="1313">
        <v>22000</v>
      </c>
      <c r="EE17" s="1313">
        <v>0</v>
      </c>
      <c r="EF17" s="1313">
        <v>0</v>
      </c>
      <c r="EG17" s="1313">
        <v>2876443.37</v>
      </c>
      <c r="EH17" s="1313">
        <v>2827623.86</v>
      </c>
      <c r="EI17" s="1313">
        <v>354065.61</v>
      </c>
      <c r="EK17" s="1313">
        <v>2522377.7599999998</v>
      </c>
      <c r="EM17" s="1313">
        <v>6247</v>
      </c>
      <c r="EO17" s="1313">
        <v>26.81</v>
      </c>
      <c r="EQ17" s="1313">
        <v>35555</v>
      </c>
      <c r="ES17" s="1313">
        <v>29.81</v>
      </c>
      <c r="EU17" s="1313">
        <v>38726</v>
      </c>
      <c r="EW17" s="1313">
        <v>82559.38</v>
      </c>
      <c r="EY17" s="1313">
        <v>5946.58</v>
      </c>
      <c r="FA17" s="1313">
        <v>0</v>
      </c>
      <c r="FC17" s="1313">
        <v>76612.800000000003</v>
      </c>
      <c r="FE17" s="1313">
        <v>0</v>
      </c>
      <c r="FG17" s="1313">
        <v>0</v>
      </c>
    </row>
    <row r="18" spans="1:163">
      <c r="A18" s="1313" t="s">
        <v>762</v>
      </c>
      <c r="B18" s="1313" t="s">
        <v>779</v>
      </c>
      <c r="C18" s="1313">
        <v>75.63</v>
      </c>
      <c r="E18" s="1313">
        <v>0</v>
      </c>
      <c r="G18" s="1313">
        <v>76.22</v>
      </c>
      <c r="I18" s="1313">
        <v>0</v>
      </c>
      <c r="J18" s="1313">
        <v>0</v>
      </c>
      <c r="K18" s="1313">
        <v>296188.03999999998</v>
      </c>
      <c r="L18" s="1313">
        <v>0</v>
      </c>
      <c r="M18" s="1313">
        <v>0</v>
      </c>
      <c r="N18" s="1313">
        <v>0</v>
      </c>
      <c r="O18" s="1313">
        <v>0</v>
      </c>
      <c r="P18" s="1313">
        <v>0</v>
      </c>
      <c r="Q18" s="1313">
        <v>0</v>
      </c>
      <c r="R18" s="1313">
        <v>0</v>
      </c>
      <c r="S18" s="1313">
        <v>0</v>
      </c>
      <c r="T18" s="1313">
        <v>0</v>
      </c>
      <c r="U18" s="1313">
        <v>0</v>
      </c>
      <c r="V18" s="1313">
        <v>0</v>
      </c>
      <c r="W18" s="1313">
        <v>0</v>
      </c>
      <c r="X18" s="1313">
        <v>0</v>
      </c>
      <c r="Y18" s="1313">
        <v>0</v>
      </c>
      <c r="Z18" s="1313">
        <v>0</v>
      </c>
      <c r="AA18" s="1313">
        <v>0</v>
      </c>
      <c r="AB18" s="1313">
        <v>0</v>
      </c>
      <c r="AC18" s="1313">
        <v>478149</v>
      </c>
      <c r="AD18" s="1313">
        <v>1658860</v>
      </c>
      <c r="AE18" s="1313">
        <v>774337.04</v>
      </c>
      <c r="AF18" s="1313">
        <v>1658860</v>
      </c>
      <c r="AG18" s="1313">
        <v>0</v>
      </c>
      <c r="AH18" s="1313">
        <v>0</v>
      </c>
      <c r="AI18" s="1313">
        <v>2413</v>
      </c>
      <c r="AJ18" s="1313">
        <v>11443</v>
      </c>
      <c r="AK18" s="1313">
        <v>0</v>
      </c>
      <c r="AL18" s="1313">
        <v>290000</v>
      </c>
      <c r="AM18" s="1313">
        <v>0</v>
      </c>
      <c r="AN18" s="1313">
        <v>0</v>
      </c>
      <c r="AO18" s="1313">
        <v>0</v>
      </c>
      <c r="AP18" s="1313">
        <v>0</v>
      </c>
      <c r="AQ18" s="1313">
        <v>0</v>
      </c>
      <c r="AR18" s="1313">
        <v>0</v>
      </c>
      <c r="AS18" s="1313">
        <v>45632</v>
      </c>
      <c r="AT18" s="1313">
        <v>191268</v>
      </c>
      <c r="AU18" s="1313">
        <v>220.33</v>
      </c>
      <c r="AV18" s="1313">
        <v>0</v>
      </c>
      <c r="AW18" s="1313">
        <v>0</v>
      </c>
      <c r="AX18" s="1313">
        <v>0</v>
      </c>
      <c r="AY18" s="1313">
        <v>251.33</v>
      </c>
      <c r="AZ18" s="1313">
        <v>0</v>
      </c>
      <c r="BA18" s="1313">
        <v>0</v>
      </c>
      <c r="BB18" s="1313">
        <v>0</v>
      </c>
      <c r="BC18" s="1313">
        <v>0</v>
      </c>
      <c r="BD18" s="1313">
        <v>0</v>
      </c>
      <c r="BE18" s="1313">
        <v>0</v>
      </c>
      <c r="BF18" s="1313">
        <v>0</v>
      </c>
      <c r="BG18" s="1313">
        <v>0</v>
      </c>
      <c r="BH18" s="1313">
        <v>0</v>
      </c>
      <c r="BI18" s="1313">
        <v>48516.66</v>
      </c>
      <c r="BJ18" s="1313">
        <v>492711</v>
      </c>
      <c r="BK18" s="1313">
        <v>202654.62</v>
      </c>
      <c r="BL18" s="1313">
        <v>405273</v>
      </c>
      <c r="BM18" s="1313">
        <v>-61130.67</v>
      </c>
      <c r="BN18" s="1313">
        <v>0</v>
      </c>
      <c r="BO18" s="1313">
        <v>0</v>
      </c>
      <c r="BP18" s="1313">
        <v>0</v>
      </c>
      <c r="BQ18" s="1313">
        <v>0</v>
      </c>
      <c r="BR18" s="1313">
        <v>0</v>
      </c>
      <c r="BS18" s="1313">
        <v>0</v>
      </c>
      <c r="BT18" s="1313">
        <v>0</v>
      </c>
      <c r="BU18" s="1313">
        <v>0</v>
      </c>
      <c r="BV18" s="1313">
        <v>0</v>
      </c>
      <c r="BW18" s="1313">
        <v>0</v>
      </c>
      <c r="BX18" s="1313">
        <v>0</v>
      </c>
      <c r="BY18" s="1313">
        <v>-61130.67</v>
      </c>
      <c r="BZ18" s="1313">
        <v>0</v>
      </c>
      <c r="CA18" s="1313">
        <v>964377.65</v>
      </c>
      <c r="CB18" s="1313">
        <v>2556844</v>
      </c>
      <c r="CC18" s="1313">
        <v>390030.53</v>
      </c>
      <c r="CD18" s="1313">
        <v>1267858</v>
      </c>
      <c r="CE18" s="1313">
        <v>6351.62</v>
      </c>
      <c r="CF18" s="1313">
        <v>20800</v>
      </c>
      <c r="CG18" s="1313">
        <v>0</v>
      </c>
      <c r="CH18" s="1313">
        <v>0</v>
      </c>
      <c r="CI18" s="1313">
        <v>0</v>
      </c>
      <c r="CJ18" s="1313">
        <v>0</v>
      </c>
      <c r="CK18" s="1313">
        <v>26000</v>
      </c>
      <c r="CL18" s="1313">
        <v>0</v>
      </c>
      <c r="CM18" s="1313">
        <v>0</v>
      </c>
      <c r="CN18" s="1313">
        <v>0</v>
      </c>
      <c r="CO18" s="1313">
        <v>422382.15</v>
      </c>
      <c r="CP18" s="1313">
        <v>1288658</v>
      </c>
      <c r="CQ18" s="1313">
        <v>50395.02</v>
      </c>
      <c r="CR18" s="1313">
        <v>313031</v>
      </c>
      <c r="CS18" s="1313">
        <v>106839.98</v>
      </c>
      <c r="CT18" s="1313">
        <v>67800</v>
      </c>
      <c r="CU18" s="1313">
        <v>40083.29</v>
      </c>
      <c r="CV18" s="1313">
        <v>101574</v>
      </c>
      <c r="CW18" s="1313">
        <v>0</v>
      </c>
      <c r="CX18" s="1313">
        <v>72900</v>
      </c>
      <c r="CY18" s="1313">
        <v>0</v>
      </c>
      <c r="CZ18" s="1313">
        <v>0</v>
      </c>
      <c r="DA18" s="1313">
        <v>197318.29</v>
      </c>
      <c r="DB18" s="1313">
        <v>555305</v>
      </c>
      <c r="DC18" s="1313">
        <v>0</v>
      </c>
      <c r="DD18" s="1313">
        <v>6700</v>
      </c>
      <c r="DE18" s="1313">
        <v>17903</v>
      </c>
      <c r="DF18" s="1313">
        <v>31425</v>
      </c>
      <c r="DG18" s="1313">
        <v>0</v>
      </c>
      <c r="DH18" s="1313">
        <v>0</v>
      </c>
      <c r="DI18" s="1313">
        <v>17903</v>
      </c>
      <c r="DJ18" s="1313">
        <v>38125</v>
      </c>
      <c r="DK18" s="1313">
        <v>71423.91</v>
      </c>
      <c r="DL18" s="1313">
        <v>211766</v>
      </c>
      <c r="DM18" s="1313">
        <v>0</v>
      </c>
      <c r="DN18" s="1313">
        <v>0</v>
      </c>
      <c r="DO18" s="1313">
        <v>500</v>
      </c>
      <c r="DP18" s="1313">
        <v>0</v>
      </c>
      <c r="DQ18" s="1313">
        <v>0</v>
      </c>
      <c r="DR18" s="1313">
        <v>0</v>
      </c>
      <c r="DS18" s="1313">
        <v>71923.91</v>
      </c>
      <c r="DT18" s="1313">
        <v>211766</v>
      </c>
      <c r="DU18" s="1313">
        <v>0</v>
      </c>
      <c r="DV18" s="1313">
        <v>190000</v>
      </c>
      <c r="DW18" s="1313">
        <v>55759</v>
      </c>
      <c r="DX18" s="1313">
        <v>88271</v>
      </c>
      <c r="DY18" s="1313">
        <v>0</v>
      </c>
      <c r="DZ18" s="1313">
        <v>0</v>
      </c>
      <c r="EA18" s="1313">
        <v>765286.35</v>
      </c>
      <c r="EB18" s="1313">
        <v>2372125</v>
      </c>
      <c r="EC18" s="1313">
        <v>5162.01</v>
      </c>
      <c r="ED18" s="1313">
        <v>201000</v>
      </c>
      <c r="EE18" s="1313">
        <v>55759</v>
      </c>
      <c r="EF18" s="1313">
        <v>88271</v>
      </c>
      <c r="EG18" s="1313">
        <v>704365.34</v>
      </c>
      <c r="EH18" s="1313">
        <v>2082854</v>
      </c>
      <c r="EI18" s="1313">
        <v>500</v>
      </c>
      <c r="EK18" s="1313">
        <v>703865.34</v>
      </c>
      <c r="EM18" s="1313">
        <v>9306</v>
      </c>
      <c r="EO18" s="1313">
        <v>5.67</v>
      </c>
      <c r="EQ18" s="1313">
        <v>40259</v>
      </c>
      <c r="ES18" s="1313">
        <v>5.67</v>
      </c>
      <c r="EU18" s="1313">
        <v>40259</v>
      </c>
      <c r="EW18" s="1313">
        <v>351616.58</v>
      </c>
      <c r="EY18" s="1313">
        <v>74526.78</v>
      </c>
      <c r="FA18" s="1313">
        <v>0</v>
      </c>
      <c r="FC18" s="1313">
        <v>277089.8</v>
      </c>
      <c r="FE18" s="1313">
        <v>0</v>
      </c>
      <c r="FG18" s="1313">
        <v>0</v>
      </c>
    </row>
    <row r="19" spans="1:163">
      <c r="A19" s="1313" t="s">
        <v>763</v>
      </c>
      <c r="B19" s="1313" t="s">
        <v>780</v>
      </c>
      <c r="C19" s="1313">
        <v>384.71</v>
      </c>
      <c r="E19" s="1313">
        <v>0</v>
      </c>
      <c r="G19" s="1313">
        <v>391.32</v>
      </c>
      <c r="I19" s="1313">
        <v>0</v>
      </c>
      <c r="J19" s="1313">
        <v>0</v>
      </c>
      <c r="K19" s="1313">
        <v>1098026.82</v>
      </c>
      <c r="L19" s="1313">
        <v>303850</v>
      </c>
      <c r="M19" s="1313">
        <v>0</v>
      </c>
      <c r="N19" s="1313">
        <v>0</v>
      </c>
      <c r="O19" s="1313">
        <v>0</v>
      </c>
      <c r="P19" s="1313">
        <v>0</v>
      </c>
      <c r="Q19" s="1313">
        <v>0</v>
      </c>
      <c r="R19" s="1313">
        <v>0</v>
      </c>
      <c r="S19" s="1313">
        <v>0</v>
      </c>
      <c r="T19" s="1313">
        <v>0</v>
      </c>
      <c r="U19" s="1313">
        <v>0</v>
      </c>
      <c r="V19" s="1313">
        <v>0</v>
      </c>
      <c r="W19" s="1313">
        <v>0</v>
      </c>
      <c r="X19" s="1313">
        <v>0</v>
      </c>
      <c r="Y19" s="1313">
        <v>0</v>
      </c>
      <c r="Z19" s="1313">
        <v>0</v>
      </c>
      <c r="AA19" s="1313">
        <v>0</v>
      </c>
      <c r="AB19" s="1313">
        <v>0</v>
      </c>
      <c r="AC19" s="1313">
        <v>2358426</v>
      </c>
      <c r="AD19" s="1313">
        <v>3772416</v>
      </c>
      <c r="AE19" s="1313">
        <v>3456452.82</v>
      </c>
      <c r="AF19" s="1313">
        <v>4076266</v>
      </c>
      <c r="AG19" s="1313">
        <v>0</v>
      </c>
      <c r="AH19" s="1313">
        <v>0</v>
      </c>
      <c r="AI19" s="1313">
        <v>14086</v>
      </c>
      <c r="AJ19" s="1313">
        <v>26021</v>
      </c>
      <c r="AK19" s="1313">
        <v>7408.64</v>
      </c>
      <c r="AL19" s="1313">
        <v>0</v>
      </c>
      <c r="AM19" s="1313">
        <v>0</v>
      </c>
      <c r="AN19" s="1313">
        <v>0</v>
      </c>
      <c r="AO19" s="1313">
        <v>0</v>
      </c>
      <c r="AP19" s="1313">
        <v>0</v>
      </c>
      <c r="AQ19" s="1313">
        <v>0</v>
      </c>
      <c r="AR19" s="1313">
        <v>0</v>
      </c>
      <c r="AS19" s="1313">
        <v>83824</v>
      </c>
      <c r="AT19" s="1313">
        <v>149725</v>
      </c>
      <c r="AU19" s="1313">
        <v>1395.2</v>
      </c>
      <c r="AV19" s="1313">
        <v>0</v>
      </c>
      <c r="AW19" s="1313">
        <v>0</v>
      </c>
      <c r="AX19" s="1313">
        <v>0</v>
      </c>
      <c r="AY19" s="1313">
        <v>828.76</v>
      </c>
      <c r="AZ19" s="1313">
        <v>0</v>
      </c>
      <c r="BA19" s="1313">
        <v>0</v>
      </c>
      <c r="BB19" s="1313">
        <v>0</v>
      </c>
      <c r="BC19" s="1313">
        <v>0</v>
      </c>
      <c r="BD19" s="1313">
        <v>0</v>
      </c>
      <c r="BE19" s="1313">
        <v>0</v>
      </c>
      <c r="BF19" s="1313">
        <v>0</v>
      </c>
      <c r="BG19" s="1313">
        <v>0</v>
      </c>
      <c r="BH19" s="1313">
        <v>0</v>
      </c>
      <c r="BI19" s="1313">
        <v>107542.6</v>
      </c>
      <c r="BJ19" s="1313">
        <v>175746</v>
      </c>
      <c r="BK19" s="1313">
        <v>475783.75</v>
      </c>
      <c r="BL19" s="1313">
        <v>635839</v>
      </c>
      <c r="BM19" s="1313">
        <v>100000</v>
      </c>
      <c r="BN19" s="1313">
        <v>150000</v>
      </c>
      <c r="BO19" s="1313">
        <v>0</v>
      </c>
      <c r="BP19" s="1313">
        <v>0</v>
      </c>
      <c r="BQ19" s="1313">
        <v>0</v>
      </c>
      <c r="BR19" s="1313">
        <v>0</v>
      </c>
      <c r="BS19" s="1313">
        <v>0</v>
      </c>
      <c r="BT19" s="1313">
        <v>0</v>
      </c>
      <c r="BU19" s="1313">
        <v>0</v>
      </c>
      <c r="BV19" s="1313">
        <v>0</v>
      </c>
      <c r="BW19" s="1313">
        <v>0</v>
      </c>
      <c r="BX19" s="1313">
        <v>0</v>
      </c>
      <c r="BY19" s="1313">
        <v>100000</v>
      </c>
      <c r="BZ19" s="1313">
        <v>150000</v>
      </c>
      <c r="CA19" s="1313">
        <v>4139779.17</v>
      </c>
      <c r="CB19" s="1313">
        <v>5037851</v>
      </c>
      <c r="CC19" s="1313">
        <v>981484.71</v>
      </c>
      <c r="CD19" s="1313">
        <v>1825969.24</v>
      </c>
      <c r="CE19" s="1313">
        <v>75469.740000000005</v>
      </c>
      <c r="CF19" s="1313">
        <v>150038.03</v>
      </c>
      <c r="CG19" s="1313">
        <v>0</v>
      </c>
      <c r="CH19" s="1313">
        <v>0</v>
      </c>
      <c r="CI19" s="1313">
        <v>0</v>
      </c>
      <c r="CJ19" s="1313">
        <v>0</v>
      </c>
      <c r="CK19" s="1313">
        <v>137931.85</v>
      </c>
      <c r="CL19" s="1313">
        <v>159349.56</v>
      </c>
      <c r="CM19" s="1313">
        <v>107791.5</v>
      </c>
      <c r="CN19" s="1313">
        <v>48313.5</v>
      </c>
      <c r="CO19" s="1313">
        <v>1302677.8</v>
      </c>
      <c r="CP19" s="1313">
        <v>2183670.33</v>
      </c>
      <c r="CQ19" s="1313">
        <v>212190.46</v>
      </c>
      <c r="CR19" s="1313">
        <v>297360</v>
      </c>
      <c r="CS19" s="1313">
        <v>64456.81</v>
      </c>
      <c r="CT19" s="1313">
        <v>84785.2</v>
      </c>
      <c r="CU19" s="1313">
        <v>320951.37</v>
      </c>
      <c r="CV19" s="1313">
        <v>787648.45</v>
      </c>
      <c r="CW19" s="1313">
        <v>6339.1</v>
      </c>
      <c r="CX19" s="1313">
        <v>5500</v>
      </c>
      <c r="CY19" s="1313">
        <v>467.93</v>
      </c>
      <c r="CZ19" s="1313">
        <v>0</v>
      </c>
      <c r="DA19" s="1313">
        <v>604405.67000000004</v>
      </c>
      <c r="DB19" s="1313">
        <v>1175293.6499999999</v>
      </c>
      <c r="DC19" s="1313">
        <v>109127.57</v>
      </c>
      <c r="DD19" s="1313">
        <v>130619.99</v>
      </c>
      <c r="DE19" s="1313">
        <v>292105.06</v>
      </c>
      <c r="DF19" s="1313">
        <v>164227.09</v>
      </c>
      <c r="DG19" s="1313">
        <v>205434.3</v>
      </c>
      <c r="DH19" s="1313">
        <v>631715.5</v>
      </c>
      <c r="DI19" s="1313">
        <v>606666.93000000005</v>
      </c>
      <c r="DJ19" s="1313">
        <v>926562.58</v>
      </c>
      <c r="DK19" s="1313">
        <v>148938.65</v>
      </c>
      <c r="DL19" s="1313">
        <v>240064.01</v>
      </c>
      <c r="DM19" s="1313">
        <v>26843.82</v>
      </c>
      <c r="DN19" s="1313">
        <v>0</v>
      </c>
      <c r="DO19" s="1313">
        <v>0</v>
      </c>
      <c r="DP19" s="1313">
        <v>500</v>
      </c>
      <c r="DQ19" s="1313">
        <v>0</v>
      </c>
      <c r="DR19" s="1313">
        <v>0</v>
      </c>
      <c r="DS19" s="1313">
        <v>175782.47</v>
      </c>
      <c r="DT19" s="1313">
        <v>240564.01</v>
      </c>
      <c r="DU19" s="1313">
        <v>255991.33</v>
      </c>
      <c r="DV19" s="1313">
        <v>997458.07</v>
      </c>
      <c r="DW19" s="1313">
        <v>535731.38</v>
      </c>
      <c r="DX19" s="1313">
        <v>290645</v>
      </c>
      <c r="DY19" s="1313">
        <v>0</v>
      </c>
      <c r="DZ19" s="1313">
        <v>0</v>
      </c>
      <c r="EA19" s="1313">
        <v>3481255.58</v>
      </c>
      <c r="EB19" s="1313">
        <v>5814193.6399999997</v>
      </c>
      <c r="EC19" s="1313">
        <v>285040.44</v>
      </c>
      <c r="ED19" s="1313">
        <v>1035458.07</v>
      </c>
      <c r="EE19" s="1313">
        <v>535731.38</v>
      </c>
      <c r="EF19" s="1313">
        <v>290645</v>
      </c>
      <c r="EG19" s="1313">
        <v>2660483.7599999998</v>
      </c>
      <c r="EH19" s="1313">
        <v>4488090.57</v>
      </c>
      <c r="EI19" s="1313">
        <v>66749.83</v>
      </c>
      <c r="EK19" s="1313">
        <v>2593733.9300000002</v>
      </c>
      <c r="EM19" s="1313">
        <v>6742</v>
      </c>
      <c r="EO19" s="1313">
        <v>15.49</v>
      </c>
      <c r="EQ19" s="1313">
        <v>42778</v>
      </c>
      <c r="ES19" s="1313">
        <v>18.89</v>
      </c>
      <c r="EU19" s="1313">
        <v>46273</v>
      </c>
      <c r="EW19" s="1313">
        <v>83098.460000000006</v>
      </c>
      <c r="EY19" s="1313">
        <v>12987.12</v>
      </c>
      <c r="FA19" s="1313">
        <v>0</v>
      </c>
      <c r="FC19" s="1313">
        <v>70111.34</v>
      </c>
      <c r="FE19" s="1313">
        <v>772173.16</v>
      </c>
      <c r="FG19" s="1313">
        <v>0</v>
      </c>
    </row>
    <row r="20" spans="1:163">
      <c r="A20" s="1313" t="s">
        <v>764</v>
      </c>
      <c r="B20" s="1313" t="s">
        <v>781</v>
      </c>
      <c r="C20" s="1313">
        <v>302.13</v>
      </c>
      <c r="E20" s="1313">
        <v>0</v>
      </c>
      <c r="G20" s="1313">
        <v>302.14</v>
      </c>
      <c r="I20" s="1313">
        <v>0</v>
      </c>
      <c r="J20" s="1313">
        <v>0</v>
      </c>
      <c r="K20" s="1313">
        <v>72448.61</v>
      </c>
      <c r="L20" s="1313">
        <v>0</v>
      </c>
      <c r="M20" s="1313">
        <v>0</v>
      </c>
      <c r="N20" s="1313">
        <v>0</v>
      </c>
      <c r="O20" s="1313">
        <v>0</v>
      </c>
      <c r="P20" s="1313">
        <v>0</v>
      </c>
      <c r="Q20" s="1313">
        <v>0</v>
      </c>
      <c r="R20" s="1313">
        <v>0</v>
      </c>
      <c r="S20" s="1313">
        <v>0</v>
      </c>
      <c r="T20" s="1313">
        <v>0</v>
      </c>
      <c r="U20" s="1313">
        <v>0</v>
      </c>
      <c r="V20" s="1313">
        <v>0</v>
      </c>
      <c r="W20" s="1313">
        <v>0</v>
      </c>
      <c r="X20" s="1313">
        <v>0</v>
      </c>
      <c r="Y20" s="1313">
        <v>0</v>
      </c>
      <c r="Z20" s="1313">
        <v>0</v>
      </c>
      <c r="AA20" s="1313">
        <v>0</v>
      </c>
      <c r="AB20" s="1313">
        <v>0</v>
      </c>
      <c r="AC20" s="1313">
        <v>1414836</v>
      </c>
      <c r="AD20" s="1313">
        <v>0</v>
      </c>
      <c r="AE20" s="1313">
        <v>1487284.61</v>
      </c>
      <c r="AF20" s="1313">
        <v>0</v>
      </c>
      <c r="AG20" s="1313">
        <v>0</v>
      </c>
      <c r="AH20" s="1313">
        <v>0</v>
      </c>
      <c r="AI20" s="1313">
        <v>8652</v>
      </c>
      <c r="AJ20" s="1313">
        <v>0</v>
      </c>
      <c r="AK20" s="1313">
        <v>0</v>
      </c>
      <c r="AL20" s="1313">
        <v>0</v>
      </c>
      <c r="AM20" s="1313">
        <v>0</v>
      </c>
      <c r="AN20" s="1313">
        <v>0</v>
      </c>
      <c r="AO20" s="1313">
        <v>0</v>
      </c>
      <c r="AP20" s="1313">
        <v>0</v>
      </c>
      <c r="AQ20" s="1313">
        <v>0</v>
      </c>
      <c r="AR20" s="1313">
        <v>0</v>
      </c>
      <c r="AS20" s="1313">
        <v>204709</v>
      </c>
      <c r="AT20" s="1313">
        <v>0</v>
      </c>
      <c r="AU20" s="1313">
        <v>0</v>
      </c>
      <c r="AV20" s="1313">
        <v>0</v>
      </c>
      <c r="AW20" s="1313">
        <v>0</v>
      </c>
      <c r="AX20" s="1313">
        <v>0</v>
      </c>
      <c r="AY20" s="1313">
        <v>0</v>
      </c>
      <c r="AZ20" s="1313">
        <v>0</v>
      </c>
      <c r="BA20" s="1313">
        <v>0</v>
      </c>
      <c r="BB20" s="1313">
        <v>0</v>
      </c>
      <c r="BC20" s="1313">
        <v>0</v>
      </c>
      <c r="BD20" s="1313">
        <v>0</v>
      </c>
      <c r="BE20" s="1313">
        <v>0</v>
      </c>
      <c r="BF20" s="1313">
        <v>0</v>
      </c>
      <c r="BG20" s="1313">
        <v>0</v>
      </c>
      <c r="BH20" s="1313">
        <v>0</v>
      </c>
      <c r="BI20" s="1313">
        <v>213361</v>
      </c>
      <c r="BJ20" s="1313">
        <v>0</v>
      </c>
      <c r="BK20" s="1313">
        <v>402738.77</v>
      </c>
      <c r="BL20" s="1313">
        <v>0</v>
      </c>
      <c r="BM20" s="1313">
        <v>0</v>
      </c>
      <c r="BN20" s="1313">
        <v>0</v>
      </c>
      <c r="BO20" s="1313">
        <v>0</v>
      </c>
      <c r="BP20" s="1313">
        <v>0</v>
      </c>
      <c r="BQ20" s="1313">
        <v>0</v>
      </c>
      <c r="BR20" s="1313">
        <v>0</v>
      </c>
      <c r="BS20" s="1313">
        <v>0</v>
      </c>
      <c r="BT20" s="1313">
        <v>0</v>
      </c>
      <c r="BU20" s="1313">
        <v>0</v>
      </c>
      <c r="BV20" s="1313">
        <v>0</v>
      </c>
      <c r="BW20" s="1313">
        <v>0</v>
      </c>
      <c r="BX20" s="1313">
        <v>0</v>
      </c>
      <c r="BY20" s="1313">
        <v>0</v>
      </c>
      <c r="BZ20" s="1313">
        <v>0</v>
      </c>
      <c r="CA20" s="1313">
        <v>2103384.38</v>
      </c>
      <c r="CB20" s="1313">
        <v>0</v>
      </c>
      <c r="CC20" s="1313">
        <v>1281428.17</v>
      </c>
      <c r="CD20" s="1313">
        <v>0</v>
      </c>
      <c r="CE20" s="1313">
        <v>62124.67</v>
      </c>
      <c r="CF20" s="1313">
        <v>0</v>
      </c>
      <c r="CG20" s="1313">
        <v>0</v>
      </c>
      <c r="CH20" s="1313">
        <v>0</v>
      </c>
      <c r="CI20" s="1313">
        <v>0</v>
      </c>
      <c r="CJ20" s="1313">
        <v>0</v>
      </c>
      <c r="CK20" s="1313">
        <v>57199.41</v>
      </c>
      <c r="CL20" s="1313">
        <v>0</v>
      </c>
      <c r="CM20" s="1313">
        <v>0</v>
      </c>
      <c r="CN20" s="1313">
        <v>0</v>
      </c>
      <c r="CO20" s="1313">
        <v>1400752.25</v>
      </c>
      <c r="CP20" s="1313">
        <v>0</v>
      </c>
      <c r="CQ20" s="1313">
        <v>50548.31</v>
      </c>
      <c r="CR20" s="1313">
        <v>0</v>
      </c>
      <c r="CS20" s="1313">
        <v>78961.67</v>
      </c>
      <c r="CT20" s="1313">
        <v>0</v>
      </c>
      <c r="CU20" s="1313">
        <v>487648.8</v>
      </c>
      <c r="CV20" s="1313">
        <v>0</v>
      </c>
      <c r="CW20" s="1313">
        <v>30922.83</v>
      </c>
      <c r="CX20" s="1313">
        <v>0</v>
      </c>
      <c r="CY20" s="1313">
        <v>0</v>
      </c>
      <c r="CZ20" s="1313">
        <v>0</v>
      </c>
      <c r="DA20" s="1313">
        <v>648081.61</v>
      </c>
      <c r="DB20" s="1313">
        <v>0</v>
      </c>
      <c r="DC20" s="1313">
        <v>62244</v>
      </c>
      <c r="DD20" s="1313">
        <v>0</v>
      </c>
      <c r="DE20" s="1313">
        <v>116407.26</v>
      </c>
      <c r="DF20" s="1313">
        <v>0</v>
      </c>
      <c r="DG20" s="1313">
        <v>118437.67</v>
      </c>
      <c r="DH20" s="1313">
        <v>0</v>
      </c>
      <c r="DI20" s="1313">
        <v>297088.93</v>
      </c>
      <c r="DJ20" s="1313">
        <v>0</v>
      </c>
      <c r="DK20" s="1313">
        <v>136725.81</v>
      </c>
      <c r="DL20" s="1313">
        <v>0</v>
      </c>
      <c r="DM20" s="1313">
        <v>0</v>
      </c>
      <c r="DN20" s="1313">
        <v>0</v>
      </c>
      <c r="DO20" s="1313">
        <v>737.36</v>
      </c>
      <c r="DP20" s="1313">
        <v>0</v>
      </c>
      <c r="DQ20" s="1313">
        <v>0</v>
      </c>
      <c r="DR20" s="1313">
        <v>0</v>
      </c>
      <c r="DS20" s="1313">
        <v>137463.17000000001</v>
      </c>
      <c r="DT20" s="1313">
        <v>0</v>
      </c>
      <c r="DU20" s="1313">
        <v>0</v>
      </c>
      <c r="DV20" s="1313">
        <v>0</v>
      </c>
      <c r="DW20" s="1313">
        <v>0</v>
      </c>
      <c r="DX20" s="1313">
        <v>0</v>
      </c>
      <c r="DY20" s="1313">
        <v>0</v>
      </c>
      <c r="DZ20" s="1313">
        <v>0</v>
      </c>
      <c r="EA20" s="1313">
        <v>2483385.96</v>
      </c>
      <c r="EB20" s="1313">
        <v>0</v>
      </c>
      <c r="EC20" s="1313">
        <v>133363.14000000001</v>
      </c>
      <c r="ED20" s="1313">
        <v>0</v>
      </c>
      <c r="EE20" s="1313">
        <v>0</v>
      </c>
      <c r="EF20" s="1313">
        <v>0</v>
      </c>
      <c r="EG20" s="1313">
        <v>2350022.8199999998</v>
      </c>
      <c r="EH20" s="1313">
        <v>0</v>
      </c>
      <c r="EI20" s="1313">
        <v>29503.84</v>
      </c>
      <c r="EK20" s="1313">
        <v>2320518.98</v>
      </c>
      <c r="EM20" s="1313">
        <v>7680</v>
      </c>
      <c r="EO20" s="1313">
        <v>22</v>
      </c>
      <c r="EQ20" s="1313">
        <v>36023</v>
      </c>
      <c r="ES20" s="1313">
        <v>23.21</v>
      </c>
      <c r="EU20" s="1313">
        <v>37507</v>
      </c>
      <c r="EW20" s="1313">
        <v>0</v>
      </c>
      <c r="EY20" s="1313">
        <v>0</v>
      </c>
      <c r="FA20" s="1313">
        <v>0</v>
      </c>
      <c r="FC20" s="1313">
        <v>0</v>
      </c>
      <c r="FE20" s="1313">
        <v>0</v>
      </c>
      <c r="FG20" s="1313">
        <v>0</v>
      </c>
    </row>
    <row r="21" spans="1:163">
      <c r="A21" s="1313" t="s">
        <v>731</v>
      </c>
      <c r="B21" s="1313" t="s">
        <v>732</v>
      </c>
      <c r="I21" s="1313">
        <v>0</v>
      </c>
      <c r="J21" s="1313">
        <v>0</v>
      </c>
      <c r="K21" s="1313">
        <v>0</v>
      </c>
      <c r="L21" s="1313">
        <v>0</v>
      </c>
      <c r="M21" s="1313">
        <v>0</v>
      </c>
      <c r="N21" s="1313">
        <v>0</v>
      </c>
      <c r="O21" s="1313">
        <v>0</v>
      </c>
      <c r="P21" s="1313">
        <v>0</v>
      </c>
      <c r="Q21" s="1313">
        <v>0</v>
      </c>
      <c r="R21" s="1313">
        <v>0</v>
      </c>
      <c r="S21" s="1313">
        <v>0</v>
      </c>
      <c r="T21" s="1313">
        <v>0</v>
      </c>
      <c r="U21" s="1313">
        <v>0</v>
      </c>
      <c r="V21" s="1313">
        <v>0</v>
      </c>
      <c r="W21" s="1313">
        <v>0</v>
      </c>
      <c r="X21" s="1313">
        <v>0</v>
      </c>
      <c r="Y21" s="1313">
        <v>0</v>
      </c>
      <c r="Z21" s="1313">
        <v>0</v>
      </c>
      <c r="AA21" s="1313">
        <v>0</v>
      </c>
      <c r="AB21" s="1313">
        <v>0</v>
      </c>
      <c r="AC21" s="1313">
        <v>0</v>
      </c>
      <c r="AD21" s="1313">
        <v>1290240</v>
      </c>
      <c r="AE21" s="1313">
        <v>0</v>
      </c>
      <c r="AF21" s="1313">
        <v>1290240</v>
      </c>
      <c r="AG21" s="1313">
        <v>0</v>
      </c>
      <c r="AH21" s="1313">
        <v>0</v>
      </c>
      <c r="AI21" s="1313">
        <v>0</v>
      </c>
      <c r="AJ21" s="1313">
        <v>8679</v>
      </c>
      <c r="AK21" s="1313">
        <v>0</v>
      </c>
      <c r="AL21" s="1313">
        <v>0</v>
      </c>
      <c r="AO21" s="1313">
        <v>0</v>
      </c>
      <c r="AP21" s="1313">
        <v>0</v>
      </c>
      <c r="AQ21" s="1313">
        <v>0</v>
      </c>
      <c r="AR21" s="1313">
        <v>0</v>
      </c>
      <c r="AS21" s="1313">
        <v>0</v>
      </c>
      <c r="AT21" s="1313">
        <v>0</v>
      </c>
      <c r="AU21" s="1313">
        <v>0</v>
      </c>
      <c r="AV21" s="1313">
        <v>0</v>
      </c>
      <c r="AW21" s="1313">
        <v>0</v>
      </c>
      <c r="AX21" s="1313">
        <v>0</v>
      </c>
      <c r="AY21" s="1313">
        <v>0</v>
      </c>
      <c r="AZ21" s="1313">
        <v>0</v>
      </c>
      <c r="BC21" s="1313">
        <v>0</v>
      </c>
      <c r="BD21" s="1313">
        <v>0</v>
      </c>
      <c r="BE21" s="1313">
        <v>0</v>
      </c>
      <c r="BF21" s="1313">
        <v>0</v>
      </c>
      <c r="BG21" s="1313">
        <v>0</v>
      </c>
      <c r="BH21" s="1313">
        <v>0</v>
      </c>
      <c r="BI21" s="1313">
        <v>0</v>
      </c>
      <c r="BJ21" s="1313">
        <v>8679</v>
      </c>
      <c r="BK21" s="1313">
        <v>0</v>
      </c>
      <c r="BL21" s="1313">
        <v>400000</v>
      </c>
      <c r="BM21" s="1313">
        <v>0</v>
      </c>
      <c r="BN21" s="1313">
        <v>0</v>
      </c>
      <c r="BQ21" s="1313">
        <v>0</v>
      </c>
      <c r="BR21" s="1313">
        <v>0</v>
      </c>
      <c r="BS21" s="1313">
        <v>0</v>
      </c>
      <c r="BT21" s="1313">
        <v>0</v>
      </c>
      <c r="BY21" s="1313">
        <v>0</v>
      </c>
      <c r="BZ21" s="1313">
        <v>0</v>
      </c>
      <c r="CA21" s="1313">
        <v>0</v>
      </c>
      <c r="CB21" s="1313">
        <v>1698919</v>
      </c>
      <c r="CC21" s="1313">
        <v>0</v>
      </c>
      <c r="CD21" s="1313">
        <v>854368</v>
      </c>
      <c r="CE21" s="1313">
        <v>0</v>
      </c>
      <c r="CF21" s="1313">
        <v>71560</v>
      </c>
      <c r="CG21" s="1313">
        <v>0</v>
      </c>
      <c r="CH21" s="1313">
        <v>0</v>
      </c>
      <c r="CI21" s="1313">
        <v>0</v>
      </c>
      <c r="CJ21" s="1313">
        <v>0</v>
      </c>
      <c r="CK21" s="1313">
        <v>0</v>
      </c>
      <c r="CL21" s="1313">
        <v>0</v>
      </c>
      <c r="CM21" s="1313">
        <v>0</v>
      </c>
      <c r="CN21" s="1313">
        <v>0</v>
      </c>
      <c r="CO21" s="1313">
        <v>0</v>
      </c>
      <c r="CP21" s="1313">
        <v>925928</v>
      </c>
      <c r="CQ21" s="1313">
        <v>0</v>
      </c>
      <c r="CR21" s="1313">
        <v>29250</v>
      </c>
      <c r="CS21" s="1313">
        <v>0</v>
      </c>
      <c r="CT21" s="1313">
        <v>105934</v>
      </c>
      <c r="CU21" s="1313">
        <v>0</v>
      </c>
      <c r="CV21" s="1313">
        <v>90250</v>
      </c>
      <c r="CW21" s="1313">
        <v>0</v>
      </c>
      <c r="CX21" s="1313">
        <v>8400</v>
      </c>
      <c r="CY21" s="1313">
        <v>0</v>
      </c>
      <c r="CZ21" s="1313">
        <v>0</v>
      </c>
      <c r="DA21" s="1313">
        <v>0</v>
      </c>
      <c r="DB21" s="1313">
        <v>233834</v>
      </c>
      <c r="DC21" s="1313">
        <v>0</v>
      </c>
      <c r="DD21" s="1313">
        <v>36474</v>
      </c>
      <c r="DE21" s="1313">
        <v>0</v>
      </c>
      <c r="DF21" s="1313">
        <v>520473</v>
      </c>
      <c r="DG21" s="1313">
        <v>0</v>
      </c>
      <c r="DH21" s="1313">
        <v>159835</v>
      </c>
      <c r="DI21" s="1313">
        <v>0</v>
      </c>
      <c r="DJ21" s="1313">
        <v>716782</v>
      </c>
      <c r="DK21" s="1313">
        <v>0</v>
      </c>
      <c r="DL21" s="1313">
        <v>12040</v>
      </c>
      <c r="DM21" s="1313">
        <v>0</v>
      </c>
      <c r="DN21" s="1313">
        <v>0</v>
      </c>
      <c r="DO21" s="1313">
        <v>0</v>
      </c>
      <c r="DP21" s="1313">
        <v>0</v>
      </c>
      <c r="DQ21" s="1313">
        <v>0</v>
      </c>
      <c r="DR21" s="1313">
        <v>0</v>
      </c>
      <c r="DS21" s="1313">
        <v>0</v>
      </c>
      <c r="DT21" s="1313">
        <v>12040</v>
      </c>
      <c r="DU21" s="1313">
        <v>0</v>
      </c>
      <c r="DV21" s="1313">
        <v>0</v>
      </c>
      <c r="DW21" s="1313">
        <v>0</v>
      </c>
      <c r="DX21" s="1313">
        <v>0</v>
      </c>
      <c r="DY21" s="1313">
        <v>0</v>
      </c>
      <c r="DZ21" s="1313">
        <v>0</v>
      </c>
      <c r="EA21" s="1313">
        <v>0</v>
      </c>
      <c r="EB21" s="1313">
        <v>1888584</v>
      </c>
      <c r="EC21" s="1313">
        <v>0</v>
      </c>
      <c r="ED21" s="1313">
        <v>185000</v>
      </c>
      <c r="EE21" s="1313">
        <v>0</v>
      </c>
      <c r="EF21" s="1313">
        <v>0</v>
      </c>
      <c r="EG21" s="1313">
        <v>0</v>
      </c>
      <c r="EH21" s="1313">
        <v>1703584</v>
      </c>
      <c r="EK21" s="1313">
        <v>0</v>
      </c>
      <c r="EM21" s="1313">
        <v>0</v>
      </c>
    </row>
    <row r="22" spans="1:163">
      <c r="A22" s="1313" t="s">
        <v>765</v>
      </c>
      <c r="B22" s="1313" t="s">
        <v>782</v>
      </c>
      <c r="C22" s="1313">
        <v>280.81</v>
      </c>
      <c r="E22" s="1313">
        <v>5.29</v>
      </c>
      <c r="G22" s="1313">
        <v>288.79000000000002</v>
      </c>
      <c r="I22" s="1313">
        <v>0</v>
      </c>
      <c r="J22" s="1313">
        <v>0</v>
      </c>
      <c r="K22" s="1313">
        <v>9817</v>
      </c>
      <c r="L22" s="1313">
        <v>52612</v>
      </c>
      <c r="M22" s="1313">
        <v>0</v>
      </c>
      <c r="N22" s="1313">
        <v>0</v>
      </c>
      <c r="O22" s="1313">
        <v>0</v>
      </c>
      <c r="P22" s="1313">
        <v>0</v>
      </c>
      <c r="Q22" s="1313">
        <v>0</v>
      </c>
      <c r="R22" s="1313">
        <v>0</v>
      </c>
      <c r="S22" s="1313">
        <v>618291</v>
      </c>
      <c r="T22" s="1313">
        <v>184320</v>
      </c>
      <c r="U22" s="1313">
        <v>0</v>
      </c>
      <c r="V22" s="1313">
        <v>0</v>
      </c>
      <c r="W22" s="1313">
        <v>0</v>
      </c>
      <c r="X22" s="1313">
        <v>0</v>
      </c>
      <c r="Y22" s="1313">
        <v>0</v>
      </c>
      <c r="Z22" s="1313">
        <v>0</v>
      </c>
      <c r="AA22" s="1313">
        <v>0</v>
      </c>
      <c r="AB22" s="1313">
        <v>0</v>
      </c>
      <c r="AC22" s="1313">
        <v>1121784</v>
      </c>
      <c r="AD22" s="1313">
        <v>1766830</v>
      </c>
      <c r="AE22" s="1313">
        <v>1749892</v>
      </c>
      <c r="AF22" s="1313">
        <v>2003762</v>
      </c>
      <c r="AG22" s="1313">
        <v>0</v>
      </c>
      <c r="AH22" s="1313">
        <v>0</v>
      </c>
      <c r="AI22" s="1313">
        <v>7703</v>
      </c>
      <c r="AJ22" s="1313">
        <v>13476.84</v>
      </c>
      <c r="AK22" s="1313">
        <v>0</v>
      </c>
      <c r="AL22" s="1313">
        <v>0</v>
      </c>
      <c r="AM22" s="1313">
        <v>3475</v>
      </c>
      <c r="AN22" s="1313">
        <v>0</v>
      </c>
      <c r="AO22" s="1313">
        <v>0</v>
      </c>
      <c r="AP22" s="1313">
        <v>0</v>
      </c>
      <c r="AQ22" s="1313">
        <v>0</v>
      </c>
      <c r="AR22" s="1313">
        <v>0</v>
      </c>
      <c r="AS22" s="1313">
        <v>0</v>
      </c>
      <c r="AT22" s="1313">
        <v>0</v>
      </c>
      <c r="AU22" s="1313">
        <v>0</v>
      </c>
      <c r="AV22" s="1313">
        <v>0</v>
      </c>
      <c r="AW22" s="1313">
        <v>0</v>
      </c>
      <c r="AX22" s="1313">
        <v>0</v>
      </c>
      <c r="AY22" s="1313">
        <v>0</v>
      </c>
      <c r="AZ22" s="1313">
        <v>0</v>
      </c>
      <c r="BA22" s="1313">
        <v>0</v>
      </c>
      <c r="BB22" s="1313">
        <v>0</v>
      </c>
      <c r="BC22" s="1313">
        <v>0</v>
      </c>
      <c r="BD22" s="1313">
        <v>0</v>
      </c>
      <c r="BE22" s="1313">
        <v>0</v>
      </c>
      <c r="BF22" s="1313">
        <v>0</v>
      </c>
      <c r="BG22" s="1313">
        <v>0</v>
      </c>
      <c r="BH22" s="1313">
        <v>0</v>
      </c>
      <c r="BI22" s="1313">
        <v>11178</v>
      </c>
      <c r="BJ22" s="1313">
        <v>13476.84</v>
      </c>
      <c r="BK22" s="1313">
        <v>37686</v>
      </c>
      <c r="BL22" s="1313">
        <v>0</v>
      </c>
      <c r="BM22" s="1313">
        <v>182033.46</v>
      </c>
      <c r="BN22" s="1313">
        <v>0</v>
      </c>
      <c r="BO22" s="1313">
        <v>0</v>
      </c>
      <c r="BP22" s="1313">
        <v>0</v>
      </c>
      <c r="BQ22" s="1313">
        <v>0</v>
      </c>
      <c r="BR22" s="1313">
        <v>0</v>
      </c>
      <c r="BS22" s="1313">
        <v>0</v>
      </c>
      <c r="BT22" s="1313">
        <v>0</v>
      </c>
      <c r="BU22" s="1313">
        <v>0</v>
      </c>
      <c r="BV22" s="1313">
        <v>0</v>
      </c>
      <c r="BW22" s="1313">
        <v>0</v>
      </c>
      <c r="BX22" s="1313">
        <v>0</v>
      </c>
      <c r="BY22" s="1313">
        <v>182033.46</v>
      </c>
      <c r="BZ22" s="1313">
        <v>0</v>
      </c>
      <c r="CA22" s="1313">
        <v>1980789.46</v>
      </c>
      <c r="CB22" s="1313">
        <v>2017238.84</v>
      </c>
      <c r="CC22" s="1313">
        <v>1050886.48</v>
      </c>
      <c r="CD22" s="1313">
        <v>1112911.58</v>
      </c>
      <c r="CE22" s="1313">
        <v>0</v>
      </c>
      <c r="CF22" s="1313">
        <v>1200</v>
      </c>
      <c r="CG22" s="1313">
        <v>0</v>
      </c>
      <c r="CH22" s="1313">
        <v>0</v>
      </c>
      <c r="CI22" s="1313">
        <v>0</v>
      </c>
      <c r="CJ22" s="1313">
        <v>0</v>
      </c>
      <c r="CK22" s="1313">
        <v>0</v>
      </c>
      <c r="CL22" s="1313">
        <v>0</v>
      </c>
      <c r="CM22" s="1313">
        <v>0</v>
      </c>
      <c r="CN22" s="1313">
        <v>0</v>
      </c>
      <c r="CO22" s="1313">
        <v>1050886.48</v>
      </c>
      <c r="CP22" s="1313">
        <v>1114111.58</v>
      </c>
      <c r="CQ22" s="1313">
        <v>126133.63</v>
      </c>
      <c r="CR22" s="1313">
        <v>182947.78</v>
      </c>
      <c r="CS22" s="1313">
        <v>26442.5</v>
      </c>
      <c r="CT22" s="1313">
        <v>151315</v>
      </c>
      <c r="CU22" s="1313">
        <v>445876.25</v>
      </c>
      <c r="CV22" s="1313">
        <v>453714</v>
      </c>
      <c r="CW22" s="1313">
        <v>0</v>
      </c>
      <c r="CX22" s="1313">
        <v>0</v>
      </c>
      <c r="CY22" s="1313">
        <v>0</v>
      </c>
      <c r="CZ22" s="1313">
        <v>0</v>
      </c>
      <c r="DA22" s="1313">
        <v>598452.38</v>
      </c>
      <c r="DB22" s="1313">
        <v>787976.78</v>
      </c>
      <c r="DC22" s="1313">
        <v>32764.32</v>
      </c>
      <c r="DD22" s="1313">
        <v>33458.230000000003</v>
      </c>
      <c r="DE22" s="1313">
        <v>17009.82</v>
      </c>
      <c r="DF22" s="1313">
        <v>16334.17</v>
      </c>
      <c r="DG22" s="1313">
        <v>8117.4</v>
      </c>
      <c r="DH22" s="1313">
        <v>0</v>
      </c>
      <c r="DI22" s="1313">
        <v>57891.54</v>
      </c>
      <c r="DJ22" s="1313">
        <v>49792.4</v>
      </c>
      <c r="DK22" s="1313">
        <v>0</v>
      </c>
      <c r="DL22" s="1313">
        <v>0</v>
      </c>
      <c r="DM22" s="1313">
        <v>0</v>
      </c>
      <c r="DN22" s="1313">
        <v>0</v>
      </c>
      <c r="DO22" s="1313">
        <v>0</v>
      </c>
      <c r="DP22" s="1313">
        <v>0</v>
      </c>
      <c r="DQ22" s="1313">
        <v>0</v>
      </c>
      <c r="DR22" s="1313">
        <v>0</v>
      </c>
      <c r="DS22" s="1313">
        <v>0</v>
      </c>
      <c r="DT22" s="1313">
        <v>0</v>
      </c>
      <c r="DU22" s="1313">
        <v>0</v>
      </c>
      <c r="DV22" s="1313">
        <v>0</v>
      </c>
      <c r="DW22" s="1313">
        <v>173117.59</v>
      </c>
      <c r="DX22" s="1313">
        <v>0</v>
      </c>
      <c r="DY22" s="1313">
        <v>0</v>
      </c>
      <c r="DZ22" s="1313">
        <v>0</v>
      </c>
      <c r="EA22" s="1313">
        <v>1880347.99</v>
      </c>
      <c r="EB22" s="1313">
        <v>1951880.76</v>
      </c>
      <c r="EC22" s="1313">
        <v>119431.96</v>
      </c>
      <c r="ED22" s="1313">
        <v>96000</v>
      </c>
      <c r="EE22" s="1313">
        <v>173117.59</v>
      </c>
      <c r="EF22" s="1313">
        <v>0</v>
      </c>
      <c r="EG22" s="1313">
        <v>1587798.44</v>
      </c>
      <c r="EH22" s="1313">
        <v>1855880.76</v>
      </c>
      <c r="EI22" s="1313">
        <v>1717</v>
      </c>
      <c r="EK22" s="1313">
        <v>1586081.44</v>
      </c>
      <c r="EM22" s="1313">
        <v>5648</v>
      </c>
      <c r="EO22" s="1313">
        <v>15.35</v>
      </c>
      <c r="EQ22" s="1313">
        <v>43601</v>
      </c>
      <c r="ES22" s="1313">
        <v>15.35</v>
      </c>
      <c r="EU22" s="1313">
        <v>43601</v>
      </c>
      <c r="EW22" s="1313">
        <v>91777.63</v>
      </c>
      <c r="EY22" s="1313">
        <v>1555.5</v>
      </c>
      <c r="FA22" s="1313">
        <v>0</v>
      </c>
      <c r="FC22" s="1313">
        <v>90222.13</v>
      </c>
      <c r="FE22" s="1313">
        <v>33000</v>
      </c>
      <c r="FG22" s="1313">
        <v>0</v>
      </c>
    </row>
  </sheetData>
  <pageMargins left="0.7" right="0.7" top="0.75" bottom="0.75" header="0.3" footer="0.3"/>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sheetPr>
  <dimension ref="A2:FK23"/>
  <sheetViews>
    <sheetView workbookViewId="0"/>
  </sheetViews>
  <sheetFormatPr baseColWidth="10" defaultColWidth="8.83203125" defaultRowHeight="11" x14ac:dyDescent="0"/>
  <cols>
    <col min="1" max="1" width="8.83203125" style="1313"/>
    <col min="2" max="4" width="12" style="422" customWidth="1"/>
    <col min="5" max="16384" width="8.83203125" style="1313"/>
  </cols>
  <sheetData>
    <row r="2" spans="1:167">
      <c r="A2" s="1313" t="s">
        <v>704</v>
      </c>
      <c r="F2" s="1313" t="s">
        <v>804</v>
      </c>
      <c r="H2" s="1313" t="s">
        <v>805</v>
      </c>
      <c r="J2" s="1313" t="s">
        <v>806</v>
      </c>
      <c r="L2" s="1313" t="s">
        <v>807</v>
      </c>
      <c r="N2" s="1313" t="s">
        <v>840</v>
      </c>
      <c r="P2" s="1313" t="s">
        <v>808</v>
      </c>
      <c r="R2" s="1313" t="s">
        <v>809</v>
      </c>
      <c r="T2" s="1313" t="s">
        <v>810</v>
      </c>
      <c r="V2" s="1313" t="s">
        <v>811</v>
      </c>
      <c r="X2" s="1313" t="s">
        <v>812</v>
      </c>
      <c r="Z2" s="1313" t="s">
        <v>813</v>
      </c>
      <c r="AB2" s="1313" t="s">
        <v>814</v>
      </c>
      <c r="AD2" s="1313" t="s">
        <v>815</v>
      </c>
      <c r="AF2" s="1313" t="s">
        <v>816</v>
      </c>
      <c r="AH2" s="1313" t="s">
        <v>174</v>
      </c>
      <c r="AJ2" s="1313" t="s">
        <v>817</v>
      </c>
      <c r="AL2" s="1313" t="s">
        <v>818</v>
      </c>
      <c r="AN2" s="1313" t="s">
        <v>819</v>
      </c>
      <c r="AP2" s="1313" t="s">
        <v>820</v>
      </c>
      <c r="AR2" s="1313" t="s">
        <v>821</v>
      </c>
      <c r="AT2" s="1313" t="s">
        <v>822</v>
      </c>
      <c r="AV2" s="1313" t="s">
        <v>823</v>
      </c>
      <c r="AX2" s="1313" t="s">
        <v>824</v>
      </c>
      <c r="AZ2" s="1313" t="s">
        <v>825</v>
      </c>
      <c r="BB2" s="1313" t="s">
        <v>826</v>
      </c>
      <c r="BD2" s="1313" t="s">
        <v>827</v>
      </c>
      <c r="BF2" s="1313" t="s">
        <v>828</v>
      </c>
      <c r="BH2" s="1313" t="s">
        <v>829</v>
      </c>
      <c r="BJ2" s="1313" t="s">
        <v>830</v>
      </c>
      <c r="BL2" s="1313" t="s">
        <v>175</v>
      </c>
      <c r="BN2" s="1313" t="s">
        <v>832</v>
      </c>
      <c r="BP2" s="1313" t="s">
        <v>833</v>
      </c>
      <c r="BR2" s="1313" t="s">
        <v>834</v>
      </c>
      <c r="BT2" s="1313" t="s">
        <v>835</v>
      </c>
      <c r="BV2" s="1313" t="s">
        <v>836</v>
      </c>
      <c r="BX2" s="1313" t="s">
        <v>837</v>
      </c>
      <c r="BZ2" s="1313" t="s">
        <v>838</v>
      </c>
      <c r="CB2" s="1313" t="s">
        <v>839</v>
      </c>
      <c r="CD2" s="1313" t="s">
        <v>176</v>
      </c>
      <c r="CF2" s="1313" t="s">
        <v>177</v>
      </c>
      <c r="CH2" s="1313" t="s">
        <v>178</v>
      </c>
      <c r="CJ2" s="1313" t="s">
        <v>179</v>
      </c>
      <c r="CL2" s="1313" t="s">
        <v>180</v>
      </c>
      <c r="CN2" s="1313" t="s">
        <v>181</v>
      </c>
      <c r="CP2" s="1313" t="s">
        <v>182</v>
      </c>
      <c r="CR2" s="1313" t="s">
        <v>183</v>
      </c>
      <c r="CT2" s="1313" t="s">
        <v>184</v>
      </c>
      <c r="CV2" s="1313" t="s">
        <v>185</v>
      </c>
      <c r="CX2" s="1313" t="s">
        <v>186</v>
      </c>
      <c r="CZ2" s="1313" t="s">
        <v>187</v>
      </c>
      <c r="DB2" s="1313" t="s">
        <v>188</v>
      </c>
      <c r="DD2" s="1313" t="s">
        <v>189</v>
      </c>
      <c r="DF2" s="1313" t="s">
        <v>190</v>
      </c>
      <c r="DH2" s="1313" t="s">
        <v>191</v>
      </c>
      <c r="DJ2" s="1313" t="s">
        <v>192</v>
      </c>
      <c r="DL2" s="1313" t="s">
        <v>193</v>
      </c>
      <c r="DN2" s="1313" t="s">
        <v>194</v>
      </c>
      <c r="DP2" s="1313" t="s">
        <v>195</v>
      </c>
      <c r="DR2" s="1313" t="s">
        <v>196</v>
      </c>
      <c r="DT2" s="1313" t="s">
        <v>197</v>
      </c>
      <c r="DV2" s="1313" t="s">
        <v>198</v>
      </c>
      <c r="DX2" s="1313" t="s">
        <v>199</v>
      </c>
      <c r="DZ2" s="1313" t="s">
        <v>200</v>
      </c>
      <c r="EB2" s="1313" t="s">
        <v>201</v>
      </c>
      <c r="ED2" s="1313" t="s">
        <v>202</v>
      </c>
      <c r="EF2" s="1313" t="s">
        <v>203</v>
      </c>
      <c r="EH2" s="1313" t="s">
        <v>204</v>
      </c>
      <c r="EJ2" s="1313" t="s">
        <v>205</v>
      </c>
      <c r="EL2" s="1313" t="s">
        <v>206</v>
      </c>
      <c r="EN2" s="1313" t="s">
        <v>207</v>
      </c>
      <c r="EP2" s="1313" t="s">
        <v>573</v>
      </c>
      <c r="ER2" s="1313" t="s">
        <v>208</v>
      </c>
      <c r="ET2" s="1313" t="s">
        <v>209</v>
      </c>
      <c r="EV2" s="1313" t="s">
        <v>210</v>
      </c>
      <c r="EX2" s="1313" t="s">
        <v>211</v>
      </c>
      <c r="EZ2" s="1313" t="s">
        <v>212</v>
      </c>
      <c r="FB2" s="1313" t="s">
        <v>213</v>
      </c>
      <c r="FD2" s="1313" t="s">
        <v>214</v>
      </c>
      <c r="FF2" s="1313" t="s">
        <v>215</v>
      </c>
      <c r="FH2" s="1313" t="s">
        <v>216</v>
      </c>
      <c r="FJ2" s="1313" t="s">
        <v>217</v>
      </c>
    </row>
    <row r="3" spans="1:167">
      <c r="C3" s="422" t="s">
        <v>660</v>
      </c>
      <c r="D3" s="422" t="s">
        <v>661</v>
      </c>
      <c r="E3" s="1313" t="s">
        <v>662</v>
      </c>
      <c r="F3" s="1313" t="s">
        <v>663</v>
      </c>
      <c r="H3" s="1313" t="s">
        <v>664</v>
      </c>
      <c r="J3" s="1313" t="s">
        <v>665</v>
      </c>
      <c r="L3" s="1313" t="s">
        <v>666</v>
      </c>
      <c r="N3" s="1313" t="s">
        <v>697</v>
      </c>
      <c r="P3" s="1313" t="s">
        <v>667</v>
      </c>
      <c r="R3" s="1313" t="s">
        <v>668</v>
      </c>
      <c r="T3" s="1313" t="s">
        <v>669</v>
      </c>
      <c r="V3" s="1313" t="s">
        <v>670</v>
      </c>
      <c r="X3" s="1313" t="s">
        <v>671</v>
      </c>
      <c r="Z3" s="1313" t="s">
        <v>672</v>
      </c>
      <c r="AB3" s="1313" t="s">
        <v>673</v>
      </c>
      <c r="AD3" s="1313" t="s">
        <v>674</v>
      </c>
      <c r="AF3" s="1313" t="s">
        <v>675</v>
      </c>
      <c r="AH3" s="1313" t="s">
        <v>218</v>
      </c>
      <c r="AJ3" s="1313" t="s">
        <v>676</v>
      </c>
      <c r="AL3" s="1313" t="s">
        <v>677</v>
      </c>
      <c r="AN3" s="1313" t="s">
        <v>678</v>
      </c>
      <c r="AP3" s="1313" t="s">
        <v>679</v>
      </c>
      <c r="AR3" s="1313" t="s">
        <v>680</v>
      </c>
      <c r="AT3" s="1313" t="s">
        <v>681</v>
      </c>
      <c r="AV3" s="1313" t="s">
        <v>682</v>
      </c>
      <c r="AX3" s="1313" t="s">
        <v>683</v>
      </c>
      <c r="AZ3" s="1313" t="s">
        <v>684</v>
      </c>
      <c r="BB3" s="1313" t="s">
        <v>685</v>
      </c>
      <c r="BD3" s="1313" t="s">
        <v>686</v>
      </c>
      <c r="BF3" s="1313" t="s">
        <v>687</v>
      </c>
      <c r="BH3" s="1313" t="s">
        <v>688</v>
      </c>
      <c r="BJ3" s="1313" t="s">
        <v>689</v>
      </c>
      <c r="BL3" s="1313" t="s">
        <v>219</v>
      </c>
      <c r="BN3" s="1313" t="s">
        <v>690</v>
      </c>
      <c r="BP3" s="1313" t="s">
        <v>691</v>
      </c>
      <c r="BR3" s="1313" t="s">
        <v>692</v>
      </c>
      <c r="BT3" s="1313" t="s">
        <v>693</v>
      </c>
      <c r="BV3" s="1313" t="s">
        <v>694</v>
      </c>
      <c r="BX3" s="1313" t="s">
        <v>695</v>
      </c>
      <c r="BZ3" s="1313" t="s">
        <v>1349</v>
      </c>
      <c r="CB3" s="1313" t="s">
        <v>696</v>
      </c>
      <c r="CD3" s="1313" t="s">
        <v>57</v>
      </c>
      <c r="CF3" s="1313" t="s">
        <v>58</v>
      </c>
      <c r="CH3" s="1313" t="s">
        <v>1133</v>
      </c>
      <c r="CJ3" s="1313" t="s">
        <v>684</v>
      </c>
      <c r="CL3" s="1313" t="s">
        <v>676</v>
      </c>
      <c r="CN3" s="1313" t="s">
        <v>59</v>
      </c>
      <c r="CP3" s="1313" t="s">
        <v>1349</v>
      </c>
      <c r="CR3" s="1313" t="s">
        <v>60</v>
      </c>
      <c r="CT3" s="1313" t="s">
        <v>61</v>
      </c>
      <c r="CV3" s="1313" t="s">
        <v>62</v>
      </c>
      <c r="CX3" s="1313" t="s">
        <v>63</v>
      </c>
      <c r="CZ3" s="1313" t="s">
        <v>64</v>
      </c>
      <c r="DB3" s="1313" t="s">
        <v>65</v>
      </c>
      <c r="DD3" s="1313" t="s">
        <v>66</v>
      </c>
      <c r="DF3" s="1313" t="s">
        <v>67</v>
      </c>
      <c r="DH3" s="1313" t="s">
        <v>68</v>
      </c>
      <c r="DJ3" s="1313" t="s">
        <v>69</v>
      </c>
      <c r="DL3" s="1313" t="s">
        <v>66</v>
      </c>
      <c r="DN3" s="1313" t="s">
        <v>70</v>
      </c>
      <c r="DP3" s="1313" t="s">
        <v>71</v>
      </c>
      <c r="DR3" s="1313" t="s">
        <v>72</v>
      </c>
      <c r="DT3" s="1313" t="s">
        <v>73</v>
      </c>
      <c r="DV3" s="1313" t="s">
        <v>74</v>
      </c>
      <c r="DX3" s="1313" t="s">
        <v>75</v>
      </c>
      <c r="DZ3" s="1313" t="s">
        <v>76</v>
      </c>
      <c r="EB3" s="1313" t="s">
        <v>77</v>
      </c>
      <c r="ED3" s="1313" t="s">
        <v>78</v>
      </c>
      <c r="EF3" s="1313" t="s">
        <v>79</v>
      </c>
      <c r="EH3" s="1313" t="s">
        <v>80</v>
      </c>
      <c r="EJ3" s="1313" t="s">
        <v>81</v>
      </c>
      <c r="EL3" s="1313" t="s">
        <v>82</v>
      </c>
      <c r="EN3" s="1313" t="s">
        <v>83</v>
      </c>
      <c r="EP3" s="1313" t="s">
        <v>584</v>
      </c>
      <c r="ER3" s="1313" t="s">
        <v>84</v>
      </c>
      <c r="ET3" s="1313" t="s">
        <v>85</v>
      </c>
      <c r="EV3" s="1313" t="s">
        <v>86</v>
      </c>
      <c r="EX3" s="1313" t="s">
        <v>87</v>
      </c>
      <c r="EZ3" s="1313" t="s">
        <v>88</v>
      </c>
      <c r="FB3" s="1313" t="s">
        <v>89</v>
      </c>
      <c r="FD3" s="1313" t="s">
        <v>90</v>
      </c>
      <c r="FF3" s="1313" t="s">
        <v>91</v>
      </c>
      <c r="FH3" s="1313" t="s">
        <v>92</v>
      </c>
      <c r="FJ3" s="1313" t="s">
        <v>93</v>
      </c>
    </row>
    <row r="4" spans="1:167">
      <c r="E4" s="1313" t="s">
        <v>1374</v>
      </c>
      <c r="F4" s="1313" t="s">
        <v>704</v>
      </c>
      <c r="G4" s="1313" t="s">
        <v>94</v>
      </c>
      <c r="H4" s="1313" t="s">
        <v>704</v>
      </c>
      <c r="I4" s="1313" t="s">
        <v>94</v>
      </c>
      <c r="J4" s="1313" t="s">
        <v>704</v>
      </c>
      <c r="K4" s="1313" t="s">
        <v>94</v>
      </c>
      <c r="L4" s="1313" t="s">
        <v>704</v>
      </c>
      <c r="M4" s="1313" t="s">
        <v>94</v>
      </c>
      <c r="N4" s="1313" t="s">
        <v>704</v>
      </c>
      <c r="O4" s="1313" t="s">
        <v>94</v>
      </c>
      <c r="P4" s="1313" t="s">
        <v>704</v>
      </c>
      <c r="Q4" s="1313" t="s">
        <v>94</v>
      </c>
      <c r="R4" s="1313" t="s">
        <v>704</v>
      </c>
      <c r="S4" s="1313" t="s">
        <v>94</v>
      </c>
      <c r="T4" s="1313" t="s">
        <v>704</v>
      </c>
      <c r="U4" s="1313" t="s">
        <v>94</v>
      </c>
      <c r="V4" s="1313" t="s">
        <v>704</v>
      </c>
      <c r="W4" s="1313" t="s">
        <v>94</v>
      </c>
      <c r="X4" s="1313" t="s">
        <v>704</v>
      </c>
      <c r="Y4" s="1313" t="s">
        <v>94</v>
      </c>
      <c r="Z4" s="1313" t="s">
        <v>704</v>
      </c>
      <c r="AA4" s="1313" t="s">
        <v>94</v>
      </c>
      <c r="AB4" s="1313" t="s">
        <v>704</v>
      </c>
      <c r="AC4" s="1313" t="s">
        <v>94</v>
      </c>
      <c r="AD4" s="1313" t="s">
        <v>704</v>
      </c>
      <c r="AE4" s="1313" t="s">
        <v>94</v>
      </c>
      <c r="AF4" s="1313" t="s">
        <v>704</v>
      </c>
      <c r="AG4" s="1313" t="s">
        <v>94</v>
      </c>
      <c r="AH4" s="1313" t="s">
        <v>704</v>
      </c>
      <c r="AI4" s="1313" t="s">
        <v>94</v>
      </c>
      <c r="AJ4" s="1313" t="s">
        <v>704</v>
      </c>
      <c r="AK4" s="1313" t="s">
        <v>94</v>
      </c>
      <c r="AL4" s="1313" t="s">
        <v>704</v>
      </c>
      <c r="AM4" s="1313" t="s">
        <v>94</v>
      </c>
      <c r="AN4" s="1313" t="s">
        <v>704</v>
      </c>
      <c r="AO4" s="1313" t="s">
        <v>94</v>
      </c>
      <c r="AP4" s="1313" t="s">
        <v>704</v>
      </c>
      <c r="AQ4" s="1313" t="s">
        <v>94</v>
      </c>
      <c r="AR4" s="1313" t="s">
        <v>704</v>
      </c>
      <c r="AS4" s="1313" t="s">
        <v>94</v>
      </c>
      <c r="AT4" s="1313" t="s">
        <v>704</v>
      </c>
      <c r="AU4" s="1313" t="s">
        <v>94</v>
      </c>
      <c r="AV4" s="1313" t="s">
        <v>704</v>
      </c>
      <c r="AW4" s="1313" t="s">
        <v>94</v>
      </c>
      <c r="AX4" s="1313" t="s">
        <v>704</v>
      </c>
      <c r="AY4" s="1313" t="s">
        <v>94</v>
      </c>
      <c r="AZ4" s="1313" t="s">
        <v>704</v>
      </c>
      <c r="BA4" s="1313" t="s">
        <v>94</v>
      </c>
      <c r="BB4" s="1313" t="s">
        <v>704</v>
      </c>
      <c r="BC4" s="1313" t="s">
        <v>94</v>
      </c>
      <c r="BD4" s="1313" t="s">
        <v>704</v>
      </c>
      <c r="BE4" s="1313" t="s">
        <v>94</v>
      </c>
      <c r="BF4" s="1313" t="s">
        <v>704</v>
      </c>
      <c r="BG4" s="1313" t="s">
        <v>94</v>
      </c>
      <c r="BH4" s="1313" t="s">
        <v>704</v>
      </c>
      <c r="BI4" s="1313" t="s">
        <v>94</v>
      </c>
      <c r="BJ4" s="1313" t="s">
        <v>704</v>
      </c>
      <c r="BK4" s="1313" t="s">
        <v>94</v>
      </c>
      <c r="BL4" s="1313" t="s">
        <v>704</v>
      </c>
      <c r="BM4" s="1313" t="s">
        <v>94</v>
      </c>
      <c r="BN4" s="1313" t="s">
        <v>704</v>
      </c>
      <c r="BO4" s="1313" t="s">
        <v>94</v>
      </c>
      <c r="BP4" s="1313" t="s">
        <v>704</v>
      </c>
      <c r="BQ4" s="1313" t="s">
        <v>94</v>
      </c>
      <c r="BR4" s="1313" t="s">
        <v>704</v>
      </c>
      <c r="BS4" s="1313" t="s">
        <v>94</v>
      </c>
      <c r="BT4" s="1313" t="s">
        <v>704</v>
      </c>
      <c r="BU4" s="1313" t="s">
        <v>94</v>
      </c>
      <c r="BV4" s="1313" t="s">
        <v>704</v>
      </c>
      <c r="BW4" s="1313" t="s">
        <v>94</v>
      </c>
      <c r="BX4" s="1313" t="s">
        <v>704</v>
      </c>
      <c r="BY4" s="1313" t="s">
        <v>94</v>
      </c>
      <c r="BZ4" s="1313" t="s">
        <v>704</v>
      </c>
      <c r="CA4" s="1313" t="s">
        <v>94</v>
      </c>
      <c r="CB4" s="1313" t="s">
        <v>704</v>
      </c>
      <c r="CC4" s="1313" t="s">
        <v>94</v>
      </c>
      <c r="CD4" s="1313" t="s">
        <v>704</v>
      </c>
      <c r="CE4" s="1313" t="s">
        <v>94</v>
      </c>
      <c r="CF4" s="1313" t="s">
        <v>704</v>
      </c>
      <c r="CG4" s="1313" t="s">
        <v>94</v>
      </c>
      <c r="CH4" s="1313" t="s">
        <v>704</v>
      </c>
      <c r="CI4" s="1313" t="s">
        <v>94</v>
      </c>
      <c r="CJ4" s="1313" t="s">
        <v>704</v>
      </c>
      <c r="CK4" s="1313" t="s">
        <v>94</v>
      </c>
      <c r="CL4" s="1313" t="s">
        <v>704</v>
      </c>
      <c r="CM4" s="1313" t="s">
        <v>94</v>
      </c>
      <c r="CN4" s="1313" t="s">
        <v>704</v>
      </c>
      <c r="CO4" s="1313" t="s">
        <v>94</v>
      </c>
      <c r="CP4" s="1313" t="s">
        <v>704</v>
      </c>
      <c r="CQ4" s="1313" t="s">
        <v>94</v>
      </c>
      <c r="CR4" s="1313" t="s">
        <v>704</v>
      </c>
      <c r="CS4" s="1313" t="s">
        <v>94</v>
      </c>
      <c r="CT4" s="1313" t="s">
        <v>704</v>
      </c>
      <c r="CU4" s="1313" t="s">
        <v>94</v>
      </c>
      <c r="CV4" s="1313" t="s">
        <v>704</v>
      </c>
      <c r="CW4" s="1313" t="s">
        <v>94</v>
      </c>
      <c r="CX4" s="1313" t="s">
        <v>704</v>
      </c>
      <c r="CY4" s="1313" t="s">
        <v>94</v>
      </c>
      <c r="CZ4" s="1313" t="s">
        <v>704</v>
      </c>
      <c r="DA4" s="1313" t="s">
        <v>94</v>
      </c>
      <c r="DB4" s="1313" t="s">
        <v>704</v>
      </c>
      <c r="DC4" s="1313" t="s">
        <v>94</v>
      </c>
      <c r="DD4" s="1313" t="s">
        <v>704</v>
      </c>
      <c r="DE4" s="1313" t="s">
        <v>94</v>
      </c>
      <c r="DF4" s="1313" t="s">
        <v>704</v>
      </c>
      <c r="DG4" s="1313" t="s">
        <v>94</v>
      </c>
      <c r="DH4" s="1313" t="s">
        <v>704</v>
      </c>
      <c r="DI4" s="1313" t="s">
        <v>94</v>
      </c>
      <c r="DJ4" s="1313" t="s">
        <v>704</v>
      </c>
      <c r="DK4" s="1313" t="s">
        <v>94</v>
      </c>
      <c r="DL4" s="1313" t="s">
        <v>704</v>
      </c>
      <c r="DM4" s="1313" t="s">
        <v>94</v>
      </c>
      <c r="DN4" s="1313" t="s">
        <v>704</v>
      </c>
      <c r="DO4" s="1313" t="s">
        <v>94</v>
      </c>
      <c r="DP4" s="1313" t="s">
        <v>704</v>
      </c>
      <c r="DQ4" s="1313" t="s">
        <v>94</v>
      </c>
      <c r="DR4" s="1313" t="s">
        <v>704</v>
      </c>
      <c r="DS4" s="1313" t="s">
        <v>94</v>
      </c>
      <c r="DT4" s="1313" t="s">
        <v>704</v>
      </c>
      <c r="DU4" s="1313" t="s">
        <v>94</v>
      </c>
      <c r="DV4" s="1313" t="s">
        <v>704</v>
      </c>
      <c r="DW4" s="1313" t="s">
        <v>94</v>
      </c>
      <c r="DX4" s="1313" t="s">
        <v>704</v>
      </c>
      <c r="DY4" s="1313" t="s">
        <v>94</v>
      </c>
      <c r="DZ4" s="1313" t="s">
        <v>704</v>
      </c>
      <c r="EA4" s="1313" t="s">
        <v>94</v>
      </c>
      <c r="EB4" s="1313" t="s">
        <v>704</v>
      </c>
      <c r="EC4" s="1313" t="s">
        <v>94</v>
      </c>
      <c r="ED4" s="1313" t="s">
        <v>704</v>
      </c>
      <c r="EE4" s="1313" t="s">
        <v>94</v>
      </c>
      <c r="EF4" s="1313" t="s">
        <v>704</v>
      </c>
      <c r="EG4" s="1313" t="s">
        <v>94</v>
      </c>
      <c r="EH4" s="1313" t="s">
        <v>704</v>
      </c>
      <c r="EI4" s="1313" t="s">
        <v>94</v>
      </c>
      <c r="EJ4" s="1313" t="s">
        <v>704</v>
      </c>
      <c r="EK4" s="1313" t="s">
        <v>94</v>
      </c>
      <c r="EL4" s="1313" t="s">
        <v>704</v>
      </c>
      <c r="EM4" s="1313" t="s">
        <v>94</v>
      </c>
      <c r="EN4" s="1313" t="s">
        <v>704</v>
      </c>
      <c r="EO4" s="1313" t="s">
        <v>94</v>
      </c>
      <c r="EP4" s="1313" t="s">
        <v>704</v>
      </c>
      <c r="EQ4" s="1313" t="s">
        <v>94</v>
      </c>
      <c r="ER4" s="1313" t="s">
        <v>704</v>
      </c>
      <c r="ES4" s="1313" t="s">
        <v>94</v>
      </c>
      <c r="ET4" s="1313" t="s">
        <v>704</v>
      </c>
      <c r="EU4" s="1313" t="s">
        <v>94</v>
      </c>
      <c r="EV4" s="1313" t="s">
        <v>704</v>
      </c>
      <c r="EW4" s="1313" t="s">
        <v>94</v>
      </c>
      <c r="EX4" s="1313" t="s">
        <v>704</v>
      </c>
      <c r="EY4" s="1313" t="s">
        <v>94</v>
      </c>
      <c r="EZ4" s="1313" t="s">
        <v>704</v>
      </c>
      <c r="FA4" s="1313" t="s">
        <v>94</v>
      </c>
      <c r="FB4" s="1313" t="s">
        <v>704</v>
      </c>
      <c r="FC4" s="1313" t="s">
        <v>94</v>
      </c>
      <c r="FD4" s="1313" t="s">
        <v>704</v>
      </c>
      <c r="FE4" s="1313" t="s">
        <v>94</v>
      </c>
      <c r="FF4" s="1313" t="s">
        <v>704</v>
      </c>
      <c r="FG4" s="1313" t="s">
        <v>94</v>
      </c>
      <c r="FH4" s="1313" t="s">
        <v>704</v>
      </c>
      <c r="FI4" s="1313" t="s">
        <v>94</v>
      </c>
      <c r="FJ4" s="1313" t="s">
        <v>704</v>
      </c>
      <c r="FK4" s="1313" t="s">
        <v>94</v>
      </c>
    </row>
    <row r="5" spans="1:167" ht="44">
      <c r="A5" s="1313" t="s">
        <v>749</v>
      </c>
      <c r="B5" s="422" t="s">
        <v>766</v>
      </c>
      <c r="C5" s="422" t="s">
        <v>705</v>
      </c>
      <c r="D5" s="422" t="s">
        <v>706</v>
      </c>
      <c r="E5" s="1313">
        <v>728</v>
      </c>
      <c r="F5" s="1313">
        <v>687.66</v>
      </c>
      <c r="H5" s="1313">
        <v>0.82</v>
      </c>
      <c r="J5" s="1313">
        <v>723.23</v>
      </c>
      <c r="L5" s="1313">
        <v>0</v>
      </c>
      <c r="M5" s="1313">
        <v>0</v>
      </c>
      <c r="N5" s="1313">
        <v>199501.36</v>
      </c>
      <c r="O5" s="1313">
        <v>199921</v>
      </c>
      <c r="P5" s="1313">
        <v>0</v>
      </c>
      <c r="Q5" s="1313">
        <v>0</v>
      </c>
      <c r="R5" s="1313">
        <v>0</v>
      </c>
      <c r="S5" s="1313">
        <v>0</v>
      </c>
      <c r="T5" s="1313">
        <v>0</v>
      </c>
      <c r="U5" s="1313">
        <v>0</v>
      </c>
      <c r="V5" s="1313">
        <v>153556</v>
      </c>
      <c r="W5" s="1313">
        <v>0</v>
      </c>
      <c r="X5" s="1313">
        <v>0</v>
      </c>
      <c r="Y5" s="1313">
        <v>0</v>
      </c>
      <c r="Z5" s="1313">
        <v>0</v>
      </c>
      <c r="AA5" s="1313">
        <v>0</v>
      </c>
      <c r="AB5" s="1313">
        <v>0</v>
      </c>
      <c r="AC5" s="1313">
        <v>0</v>
      </c>
      <c r="AD5" s="1313">
        <v>0</v>
      </c>
      <c r="AE5" s="1313">
        <v>0</v>
      </c>
      <c r="AF5" s="1313">
        <v>4203691</v>
      </c>
      <c r="AG5" s="1313">
        <v>4448256</v>
      </c>
      <c r="AH5" s="1313">
        <v>4556748.3600000003</v>
      </c>
      <c r="AI5" s="1313">
        <v>4648177</v>
      </c>
      <c r="AJ5" s="1313">
        <v>0</v>
      </c>
      <c r="AK5" s="1313">
        <v>0</v>
      </c>
      <c r="AL5" s="1313">
        <v>28866</v>
      </c>
      <c r="AM5" s="1313">
        <v>30408</v>
      </c>
      <c r="AN5" s="1313">
        <v>15000</v>
      </c>
      <c r="AO5" s="1313">
        <v>6000</v>
      </c>
      <c r="AP5" s="1313">
        <v>850</v>
      </c>
      <c r="AQ5" s="1313">
        <v>0</v>
      </c>
      <c r="AR5" s="1313">
        <v>0</v>
      </c>
      <c r="AS5" s="1313">
        <v>0</v>
      </c>
      <c r="AT5" s="1313">
        <v>6739</v>
      </c>
      <c r="AU5" s="1313">
        <v>6877</v>
      </c>
      <c r="AV5" s="1313">
        <v>92831</v>
      </c>
      <c r="AW5" s="1313">
        <v>112803</v>
      </c>
      <c r="AX5" s="1313">
        <v>2859.15</v>
      </c>
      <c r="AY5" s="1313">
        <v>0</v>
      </c>
      <c r="AZ5" s="1313">
        <v>0</v>
      </c>
      <c r="BA5" s="1313">
        <v>0</v>
      </c>
      <c r="BB5" s="1313">
        <v>608.01</v>
      </c>
      <c r="BC5" s="1313">
        <v>0</v>
      </c>
      <c r="BD5" s="1313">
        <v>0</v>
      </c>
      <c r="BE5" s="1313">
        <v>0</v>
      </c>
      <c r="BF5" s="1313">
        <v>0</v>
      </c>
      <c r="BG5" s="1313">
        <v>0</v>
      </c>
      <c r="BH5" s="1313">
        <v>0</v>
      </c>
      <c r="BI5" s="1313">
        <v>0</v>
      </c>
      <c r="BJ5" s="1313">
        <v>0</v>
      </c>
      <c r="BK5" s="1313">
        <v>0</v>
      </c>
      <c r="BL5" s="1313">
        <v>147753.16</v>
      </c>
      <c r="BM5" s="1313">
        <v>156088</v>
      </c>
      <c r="BN5" s="1313">
        <v>451882.82</v>
      </c>
      <c r="BO5" s="1313">
        <v>294201.08</v>
      </c>
      <c r="BP5" s="1313">
        <v>0</v>
      </c>
      <c r="BQ5" s="1313">
        <v>0</v>
      </c>
      <c r="BR5" s="1313">
        <v>0</v>
      </c>
      <c r="BS5" s="1313">
        <v>0</v>
      </c>
      <c r="BT5" s="1313">
        <v>0</v>
      </c>
      <c r="BU5" s="1313">
        <v>0</v>
      </c>
      <c r="BV5" s="1313">
        <v>0</v>
      </c>
      <c r="BW5" s="1313">
        <v>0</v>
      </c>
      <c r="BX5" s="1313">
        <v>0</v>
      </c>
      <c r="BY5" s="1313">
        <v>0</v>
      </c>
      <c r="BZ5" s="1313">
        <v>0</v>
      </c>
      <c r="CA5" s="1313">
        <v>0</v>
      </c>
      <c r="CB5" s="1313">
        <v>0</v>
      </c>
      <c r="CC5" s="1313">
        <v>0</v>
      </c>
      <c r="CD5" s="1313">
        <v>5156384.34</v>
      </c>
      <c r="CE5" s="1313">
        <v>5098466.08</v>
      </c>
      <c r="CF5" s="1313">
        <v>2012174.3</v>
      </c>
      <c r="CG5" s="1313">
        <v>1953648.23</v>
      </c>
      <c r="CH5" s="1313">
        <v>151993.07</v>
      </c>
      <c r="CI5" s="1313">
        <v>171300.59</v>
      </c>
      <c r="CJ5" s="1313">
        <v>814.87</v>
      </c>
      <c r="CK5" s="1313">
        <v>1800</v>
      </c>
      <c r="CL5" s="1313">
        <v>0</v>
      </c>
      <c r="CM5" s="1313">
        <v>0</v>
      </c>
      <c r="CN5" s="1313">
        <v>104013.01</v>
      </c>
      <c r="CO5" s="1313">
        <v>62566.27</v>
      </c>
      <c r="CP5" s="1313">
        <v>645827.94999999995</v>
      </c>
      <c r="CQ5" s="1313">
        <v>679655.31</v>
      </c>
      <c r="CR5" s="1313">
        <v>2914823.2</v>
      </c>
      <c r="CS5" s="1313">
        <v>2868970.4</v>
      </c>
      <c r="CT5" s="1313">
        <v>99484.46</v>
      </c>
      <c r="CU5" s="1313">
        <v>133257</v>
      </c>
      <c r="CV5" s="1313">
        <v>60174.19</v>
      </c>
      <c r="CW5" s="1313">
        <v>61649.26</v>
      </c>
      <c r="CX5" s="1313">
        <v>475695.08</v>
      </c>
      <c r="CY5" s="1313">
        <v>535448.47</v>
      </c>
      <c r="CZ5" s="1313">
        <v>3848.36</v>
      </c>
      <c r="DA5" s="1313">
        <v>6000</v>
      </c>
      <c r="DB5" s="1313">
        <v>268.04000000000002</v>
      </c>
      <c r="DC5" s="1313">
        <v>0</v>
      </c>
      <c r="DD5" s="1313">
        <v>639470.13</v>
      </c>
      <c r="DE5" s="1313">
        <v>736354.73</v>
      </c>
      <c r="DF5" s="1313">
        <v>91117.36</v>
      </c>
      <c r="DG5" s="1313">
        <v>128985.49</v>
      </c>
      <c r="DH5" s="1313">
        <v>181045.39</v>
      </c>
      <c r="DI5" s="1313">
        <v>206212.76</v>
      </c>
      <c r="DJ5" s="1313">
        <v>218213.74</v>
      </c>
      <c r="DK5" s="1313">
        <v>318255.39</v>
      </c>
      <c r="DL5" s="1313">
        <v>490376.49</v>
      </c>
      <c r="DM5" s="1313">
        <v>653453.64</v>
      </c>
      <c r="DN5" s="1313">
        <v>322983.19</v>
      </c>
      <c r="DO5" s="1313">
        <v>197794</v>
      </c>
      <c r="DP5" s="1313">
        <v>0</v>
      </c>
      <c r="DQ5" s="1313">
        <v>0</v>
      </c>
      <c r="DR5" s="1313">
        <v>8000</v>
      </c>
      <c r="DS5" s="1313">
        <v>8000</v>
      </c>
      <c r="DT5" s="1313">
        <v>0</v>
      </c>
      <c r="DU5" s="1313">
        <v>0</v>
      </c>
      <c r="DV5" s="1313">
        <v>330983.19</v>
      </c>
      <c r="DW5" s="1313">
        <v>205794</v>
      </c>
      <c r="DX5" s="1313">
        <v>0</v>
      </c>
      <c r="DY5" s="1313">
        <v>0</v>
      </c>
      <c r="DZ5" s="1313">
        <v>510225.71</v>
      </c>
      <c r="EA5" s="1313">
        <v>518409</v>
      </c>
      <c r="EB5" s="1313">
        <v>0</v>
      </c>
      <c r="EC5" s="1313">
        <v>0</v>
      </c>
      <c r="ED5" s="1313">
        <v>4885878.72</v>
      </c>
      <c r="EE5" s="1313">
        <v>4982981.7699999996</v>
      </c>
      <c r="EF5" s="1313">
        <v>65472.73</v>
      </c>
      <c r="EG5" s="1313">
        <v>53000</v>
      </c>
      <c r="EH5" s="1313">
        <v>510225.71</v>
      </c>
      <c r="EI5" s="1313">
        <v>518409</v>
      </c>
      <c r="EJ5" s="1313">
        <v>4310180.28</v>
      </c>
      <c r="EK5" s="1313">
        <v>4411572.7699999996</v>
      </c>
      <c r="EL5" s="1313">
        <v>206851.36</v>
      </c>
      <c r="EN5" s="1313">
        <v>4103328.92</v>
      </c>
      <c r="EP5" s="1313">
        <v>5967</v>
      </c>
      <c r="ER5" s="1313">
        <v>55.63</v>
      </c>
      <c r="ET5" s="1313">
        <v>34626</v>
      </c>
      <c r="EV5" s="1313">
        <v>57.63</v>
      </c>
      <c r="EX5" s="1313">
        <v>36038</v>
      </c>
      <c r="EZ5" s="1313">
        <v>523353.98</v>
      </c>
      <c r="FB5" s="1313">
        <v>20953</v>
      </c>
      <c r="FD5" s="1313">
        <v>0</v>
      </c>
      <c r="FF5" s="1313">
        <v>502400.98</v>
      </c>
      <c r="FH5" s="1313">
        <v>0</v>
      </c>
      <c r="FJ5" s="1313">
        <v>0</v>
      </c>
    </row>
    <row r="6" spans="1:167" ht="33">
      <c r="A6" s="1313" t="s">
        <v>727</v>
      </c>
      <c r="B6" s="422" t="s">
        <v>728</v>
      </c>
      <c r="C6" s="422" t="s">
        <v>729</v>
      </c>
      <c r="D6" s="422" t="s">
        <v>730</v>
      </c>
      <c r="L6" s="1313">
        <v>0</v>
      </c>
      <c r="M6" s="1313">
        <v>0</v>
      </c>
      <c r="N6" s="1313">
        <v>0</v>
      </c>
      <c r="O6" s="1313">
        <v>26955</v>
      </c>
      <c r="P6" s="1313">
        <v>0</v>
      </c>
      <c r="Q6" s="1313">
        <v>0</v>
      </c>
      <c r="R6" s="1313">
        <v>0</v>
      </c>
      <c r="S6" s="1313">
        <v>0</v>
      </c>
      <c r="T6" s="1313">
        <v>0</v>
      </c>
      <c r="U6" s="1313">
        <v>0</v>
      </c>
      <c r="V6" s="1313">
        <v>0</v>
      </c>
      <c r="W6" s="1313">
        <v>0</v>
      </c>
      <c r="X6" s="1313">
        <v>0</v>
      </c>
      <c r="Y6" s="1313">
        <v>0</v>
      </c>
      <c r="Z6" s="1313">
        <v>0</v>
      </c>
      <c r="AA6" s="1313">
        <v>0</v>
      </c>
      <c r="AB6" s="1313">
        <v>0</v>
      </c>
      <c r="AC6" s="1313">
        <v>0</v>
      </c>
      <c r="AD6" s="1313">
        <v>0</v>
      </c>
      <c r="AE6" s="1313">
        <v>0</v>
      </c>
      <c r="AF6" s="1313">
        <v>0</v>
      </c>
      <c r="AG6" s="1313">
        <v>1290240</v>
      </c>
      <c r="AH6" s="1313">
        <v>0</v>
      </c>
      <c r="AI6" s="1313">
        <v>1317195</v>
      </c>
      <c r="AJ6" s="1313">
        <v>0</v>
      </c>
      <c r="AK6" s="1313">
        <v>0</v>
      </c>
      <c r="AL6" s="1313">
        <v>0</v>
      </c>
      <c r="AM6" s="1313">
        <v>6993</v>
      </c>
      <c r="AN6" s="1313">
        <v>0</v>
      </c>
      <c r="AO6" s="1313">
        <v>0</v>
      </c>
      <c r="AR6" s="1313">
        <v>0</v>
      </c>
      <c r="AS6" s="1313">
        <v>0</v>
      </c>
      <c r="AT6" s="1313">
        <v>0</v>
      </c>
      <c r="AU6" s="1313">
        <v>0</v>
      </c>
      <c r="AV6" s="1313">
        <v>0</v>
      </c>
      <c r="AW6" s="1313">
        <v>142692</v>
      </c>
      <c r="AX6" s="1313">
        <v>0</v>
      </c>
      <c r="AY6" s="1313">
        <v>0</v>
      </c>
      <c r="AZ6" s="1313">
        <v>0</v>
      </c>
      <c r="BA6" s="1313">
        <v>0</v>
      </c>
      <c r="BB6" s="1313">
        <v>0</v>
      </c>
      <c r="BC6" s="1313">
        <v>0</v>
      </c>
      <c r="BF6" s="1313">
        <v>0</v>
      </c>
      <c r="BG6" s="1313">
        <v>0</v>
      </c>
      <c r="BH6" s="1313">
        <v>0</v>
      </c>
      <c r="BI6" s="1313">
        <v>0</v>
      </c>
      <c r="BJ6" s="1313">
        <v>0</v>
      </c>
      <c r="BK6" s="1313">
        <v>0</v>
      </c>
      <c r="BL6" s="1313">
        <v>0</v>
      </c>
      <c r="BM6" s="1313">
        <v>149685</v>
      </c>
      <c r="BN6" s="1313">
        <v>0</v>
      </c>
      <c r="BO6" s="1313">
        <v>378267</v>
      </c>
      <c r="BP6" s="1313">
        <v>0</v>
      </c>
      <c r="BQ6" s="1313">
        <v>0</v>
      </c>
      <c r="BT6" s="1313">
        <v>0</v>
      </c>
      <c r="BU6" s="1313">
        <v>0</v>
      </c>
      <c r="BV6" s="1313">
        <v>0</v>
      </c>
      <c r="BW6" s="1313">
        <v>0</v>
      </c>
      <c r="CB6" s="1313">
        <v>0</v>
      </c>
      <c r="CC6" s="1313">
        <v>0</v>
      </c>
      <c r="CD6" s="1313">
        <v>0</v>
      </c>
      <c r="CE6" s="1313">
        <v>1845147</v>
      </c>
      <c r="CF6" s="1313">
        <v>0</v>
      </c>
      <c r="CG6" s="1313">
        <v>459761</v>
      </c>
      <c r="CH6" s="1313">
        <v>0</v>
      </c>
      <c r="CI6" s="1313">
        <v>121864</v>
      </c>
      <c r="CJ6" s="1313">
        <v>0</v>
      </c>
      <c r="CK6" s="1313">
        <v>0</v>
      </c>
      <c r="CL6" s="1313">
        <v>0</v>
      </c>
      <c r="CM6" s="1313">
        <v>0</v>
      </c>
      <c r="CN6" s="1313">
        <v>0</v>
      </c>
      <c r="CO6" s="1313">
        <v>123893</v>
      </c>
      <c r="CP6" s="1313">
        <v>0</v>
      </c>
      <c r="CQ6" s="1313">
        <v>0</v>
      </c>
      <c r="CR6" s="1313">
        <v>0</v>
      </c>
      <c r="CS6" s="1313">
        <v>705518</v>
      </c>
      <c r="CT6" s="1313">
        <v>0</v>
      </c>
      <c r="CU6" s="1313">
        <v>173000</v>
      </c>
      <c r="CV6" s="1313">
        <v>0</v>
      </c>
      <c r="CW6" s="1313">
        <v>61963</v>
      </c>
      <c r="CX6" s="1313">
        <v>0</v>
      </c>
      <c r="CY6" s="1313">
        <v>263600</v>
      </c>
      <c r="CZ6" s="1313">
        <v>0</v>
      </c>
      <c r="DA6" s="1313">
        <v>0</v>
      </c>
      <c r="DB6" s="1313">
        <v>0</v>
      </c>
      <c r="DC6" s="1313">
        <v>0</v>
      </c>
      <c r="DD6" s="1313">
        <v>0</v>
      </c>
      <c r="DE6" s="1313">
        <v>498563</v>
      </c>
      <c r="DF6" s="1313">
        <v>0</v>
      </c>
      <c r="DG6" s="1313">
        <v>136723</v>
      </c>
      <c r="DH6" s="1313">
        <v>0</v>
      </c>
      <c r="DI6" s="1313">
        <v>154487</v>
      </c>
      <c r="DJ6" s="1313">
        <v>0</v>
      </c>
      <c r="DK6" s="1313">
        <v>161553.60000000001</v>
      </c>
      <c r="DL6" s="1313">
        <v>0</v>
      </c>
      <c r="DM6" s="1313">
        <v>452763.6</v>
      </c>
      <c r="DN6" s="1313">
        <v>0</v>
      </c>
      <c r="DO6" s="1313">
        <v>144255</v>
      </c>
      <c r="DP6" s="1313">
        <v>0</v>
      </c>
      <c r="DQ6" s="1313">
        <v>0</v>
      </c>
      <c r="DR6" s="1313">
        <v>0</v>
      </c>
      <c r="DS6" s="1313">
        <v>0</v>
      </c>
      <c r="DT6" s="1313">
        <v>0</v>
      </c>
      <c r="DU6" s="1313">
        <v>0</v>
      </c>
      <c r="DV6" s="1313">
        <v>0</v>
      </c>
      <c r="DW6" s="1313">
        <v>144255</v>
      </c>
      <c r="DX6" s="1313">
        <v>0</v>
      </c>
      <c r="DY6" s="1313">
        <v>96700</v>
      </c>
      <c r="DZ6" s="1313">
        <v>0</v>
      </c>
      <c r="EA6" s="1313">
        <v>55000</v>
      </c>
      <c r="EB6" s="1313">
        <v>0</v>
      </c>
      <c r="EC6" s="1313">
        <v>0</v>
      </c>
      <c r="ED6" s="1313">
        <v>0</v>
      </c>
      <c r="EE6" s="1313">
        <v>1952799.6</v>
      </c>
      <c r="EF6" s="1313">
        <v>0</v>
      </c>
      <c r="EG6" s="1313">
        <v>96700</v>
      </c>
      <c r="EH6" s="1313">
        <v>0</v>
      </c>
      <c r="EI6" s="1313">
        <v>55000</v>
      </c>
      <c r="EJ6" s="1313">
        <v>0</v>
      </c>
      <c r="EK6" s="1313">
        <v>1801099.6</v>
      </c>
      <c r="EN6" s="1313">
        <v>0</v>
      </c>
      <c r="EP6" s="1313">
        <v>0</v>
      </c>
    </row>
    <row r="7" spans="1:167" ht="33">
      <c r="A7" s="1313" t="s">
        <v>750</v>
      </c>
      <c r="B7" s="422" t="s">
        <v>767</v>
      </c>
      <c r="C7" s="422" t="s">
        <v>95</v>
      </c>
      <c r="D7" s="422" t="s">
        <v>708</v>
      </c>
      <c r="E7" s="1313">
        <v>67</v>
      </c>
      <c r="F7" s="1313">
        <v>59.75</v>
      </c>
      <c r="H7" s="1313">
        <v>0.34</v>
      </c>
      <c r="J7" s="1313">
        <v>64.37</v>
      </c>
      <c r="L7" s="1313">
        <v>0</v>
      </c>
      <c r="M7" s="1313">
        <v>0</v>
      </c>
      <c r="N7" s="1313">
        <v>1816.07</v>
      </c>
      <c r="O7" s="1313">
        <v>0</v>
      </c>
      <c r="P7" s="1313">
        <v>0</v>
      </c>
      <c r="Q7" s="1313">
        <v>0</v>
      </c>
      <c r="R7" s="1313">
        <v>0</v>
      </c>
      <c r="S7" s="1313">
        <v>0</v>
      </c>
      <c r="T7" s="1313">
        <v>0</v>
      </c>
      <c r="U7" s="1313">
        <v>0</v>
      </c>
      <c r="V7" s="1313">
        <v>1039</v>
      </c>
      <c r="W7" s="1313">
        <v>0</v>
      </c>
      <c r="X7" s="1313">
        <v>0</v>
      </c>
      <c r="Y7" s="1313">
        <v>5038</v>
      </c>
      <c r="Z7" s="1313">
        <v>0</v>
      </c>
      <c r="AA7" s="1313">
        <v>0</v>
      </c>
      <c r="AB7" s="1313">
        <v>0</v>
      </c>
      <c r="AC7" s="1313">
        <v>0</v>
      </c>
      <c r="AD7" s="1313">
        <v>0</v>
      </c>
      <c r="AE7" s="1313">
        <v>0</v>
      </c>
      <c r="AF7" s="1313">
        <v>402818</v>
      </c>
      <c r="AG7" s="1313">
        <v>400835</v>
      </c>
      <c r="AH7" s="1313">
        <v>405673.07</v>
      </c>
      <c r="AI7" s="1313">
        <v>405873</v>
      </c>
      <c r="AJ7" s="1313">
        <v>0</v>
      </c>
      <c r="AK7" s="1313">
        <v>0</v>
      </c>
      <c r="AL7" s="1313">
        <v>2766</v>
      </c>
      <c r="AM7" s="1313">
        <v>2765</v>
      </c>
      <c r="AN7" s="1313">
        <v>180.06</v>
      </c>
      <c r="AO7" s="1313">
        <v>0</v>
      </c>
      <c r="AP7" s="1313">
        <v>0</v>
      </c>
      <c r="AQ7" s="1313">
        <v>0</v>
      </c>
      <c r="AR7" s="1313">
        <v>0</v>
      </c>
      <c r="AS7" s="1313">
        <v>0</v>
      </c>
      <c r="AT7" s="1313">
        <v>0</v>
      </c>
      <c r="AU7" s="1313">
        <v>0</v>
      </c>
      <c r="AV7" s="1313">
        <v>51584</v>
      </c>
      <c r="AW7" s="1313">
        <v>58696</v>
      </c>
      <c r="AX7" s="1313">
        <v>0</v>
      </c>
      <c r="AY7" s="1313">
        <v>0</v>
      </c>
      <c r="AZ7" s="1313">
        <v>0</v>
      </c>
      <c r="BA7" s="1313">
        <v>0</v>
      </c>
      <c r="BB7" s="1313">
        <v>192.98</v>
      </c>
      <c r="BC7" s="1313">
        <v>0</v>
      </c>
      <c r="BD7" s="1313">
        <v>0</v>
      </c>
      <c r="BE7" s="1313">
        <v>0</v>
      </c>
      <c r="BF7" s="1313">
        <v>0</v>
      </c>
      <c r="BG7" s="1313">
        <v>0</v>
      </c>
      <c r="BH7" s="1313">
        <v>0</v>
      </c>
      <c r="BI7" s="1313">
        <v>0</v>
      </c>
      <c r="BJ7" s="1313">
        <v>0</v>
      </c>
      <c r="BK7" s="1313">
        <v>0</v>
      </c>
      <c r="BL7" s="1313">
        <v>54723.040000000001</v>
      </c>
      <c r="BM7" s="1313">
        <v>61461</v>
      </c>
      <c r="BN7" s="1313">
        <v>99356.07</v>
      </c>
      <c r="BO7" s="1313">
        <v>177091</v>
      </c>
      <c r="BP7" s="1313">
        <v>0</v>
      </c>
      <c r="BQ7" s="1313">
        <v>0</v>
      </c>
      <c r="BR7" s="1313">
        <v>0</v>
      </c>
      <c r="BS7" s="1313">
        <v>0</v>
      </c>
      <c r="BT7" s="1313">
        <v>0</v>
      </c>
      <c r="BU7" s="1313">
        <v>0</v>
      </c>
      <c r="BV7" s="1313">
        <v>0</v>
      </c>
      <c r="BW7" s="1313">
        <v>0</v>
      </c>
      <c r="BX7" s="1313">
        <v>0</v>
      </c>
      <c r="BY7" s="1313">
        <v>0</v>
      </c>
      <c r="BZ7" s="1313">
        <v>0</v>
      </c>
      <c r="CA7" s="1313">
        <v>0</v>
      </c>
      <c r="CB7" s="1313">
        <v>0</v>
      </c>
      <c r="CC7" s="1313">
        <v>0</v>
      </c>
      <c r="CD7" s="1313">
        <v>559752.18000000005</v>
      </c>
      <c r="CE7" s="1313">
        <v>644425</v>
      </c>
      <c r="CF7" s="1313">
        <v>227510.12</v>
      </c>
      <c r="CG7" s="1313">
        <v>199241.5</v>
      </c>
      <c r="CH7" s="1313">
        <v>22301.87</v>
      </c>
      <c r="CI7" s="1313">
        <v>29731</v>
      </c>
      <c r="CJ7" s="1313">
        <v>0</v>
      </c>
      <c r="CK7" s="1313">
        <v>0</v>
      </c>
      <c r="CL7" s="1313">
        <v>0</v>
      </c>
      <c r="CM7" s="1313">
        <v>0</v>
      </c>
      <c r="CN7" s="1313">
        <v>33964.870000000003</v>
      </c>
      <c r="CO7" s="1313">
        <v>32877</v>
      </c>
      <c r="CP7" s="1313">
        <v>0</v>
      </c>
      <c r="CQ7" s="1313">
        <v>0</v>
      </c>
      <c r="CR7" s="1313">
        <v>283776.86</v>
      </c>
      <c r="CS7" s="1313">
        <v>261849.5</v>
      </c>
      <c r="CT7" s="1313">
        <v>73972.399999999994</v>
      </c>
      <c r="CU7" s="1313">
        <v>84356.5</v>
      </c>
      <c r="CV7" s="1313">
        <v>41620.639999999999</v>
      </c>
      <c r="CW7" s="1313">
        <v>40733</v>
      </c>
      <c r="CX7" s="1313">
        <v>45961.15</v>
      </c>
      <c r="CY7" s="1313">
        <v>44285</v>
      </c>
      <c r="CZ7" s="1313">
        <v>20630.52</v>
      </c>
      <c r="DA7" s="1313">
        <v>21673</v>
      </c>
      <c r="DB7" s="1313">
        <v>0</v>
      </c>
      <c r="DC7" s="1313">
        <v>0</v>
      </c>
      <c r="DD7" s="1313">
        <v>182184.71</v>
      </c>
      <c r="DE7" s="1313">
        <v>191047.5</v>
      </c>
      <c r="DF7" s="1313">
        <v>23222.639999999999</v>
      </c>
      <c r="DG7" s="1313">
        <v>24941</v>
      </c>
      <c r="DH7" s="1313">
        <v>10357.69</v>
      </c>
      <c r="DI7" s="1313">
        <v>12050</v>
      </c>
      <c r="DJ7" s="1313">
        <v>0</v>
      </c>
      <c r="DK7" s="1313">
        <v>0</v>
      </c>
      <c r="DL7" s="1313">
        <v>33580.33</v>
      </c>
      <c r="DM7" s="1313">
        <v>36991</v>
      </c>
      <c r="DN7" s="1313">
        <v>19850.28</v>
      </c>
      <c r="DO7" s="1313">
        <v>26250</v>
      </c>
      <c r="DP7" s="1313">
        <v>0</v>
      </c>
      <c r="DQ7" s="1313">
        <v>0</v>
      </c>
      <c r="DR7" s="1313">
        <v>216.62</v>
      </c>
      <c r="DS7" s="1313">
        <v>500</v>
      </c>
      <c r="DT7" s="1313">
        <v>0</v>
      </c>
      <c r="DU7" s="1313">
        <v>0</v>
      </c>
      <c r="DV7" s="1313">
        <v>20066.900000000001</v>
      </c>
      <c r="DW7" s="1313">
        <v>26750</v>
      </c>
      <c r="DX7" s="1313">
        <v>0</v>
      </c>
      <c r="DY7" s="1313">
        <v>0</v>
      </c>
      <c r="DZ7" s="1313">
        <v>0</v>
      </c>
      <c r="EA7" s="1313">
        <v>0</v>
      </c>
      <c r="EB7" s="1313">
        <v>56428</v>
      </c>
      <c r="EC7" s="1313">
        <v>0</v>
      </c>
      <c r="ED7" s="1313">
        <v>576036.80000000005</v>
      </c>
      <c r="EE7" s="1313">
        <v>516638</v>
      </c>
      <c r="EF7" s="1313">
        <v>5337.93</v>
      </c>
      <c r="EG7" s="1313">
        <v>0</v>
      </c>
      <c r="EH7" s="1313">
        <v>0</v>
      </c>
      <c r="EI7" s="1313">
        <v>0</v>
      </c>
      <c r="EJ7" s="1313">
        <v>570698.87</v>
      </c>
      <c r="EK7" s="1313">
        <v>516638</v>
      </c>
      <c r="EL7" s="1313">
        <v>58034.47</v>
      </c>
      <c r="EN7" s="1313">
        <v>512664.4</v>
      </c>
      <c r="EP7" s="1313">
        <v>8580</v>
      </c>
      <c r="ER7" s="1313">
        <v>4.95</v>
      </c>
      <c r="ET7" s="1313">
        <v>35089</v>
      </c>
      <c r="EV7" s="1313">
        <v>5.95</v>
      </c>
      <c r="EX7" s="1313">
        <v>38781</v>
      </c>
      <c r="EZ7" s="1313">
        <v>112369.44</v>
      </c>
      <c r="FB7" s="1313">
        <v>4415.84</v>
      </c>
      <c r="FD7" s="1313">
        <v>0</v>
      </c>
      <c r="FF7" s="1313">
        <v>107953.60000000001</v>
      </c>
      <c r="FH7" s="1313">
        <v>0</v>
      </c>
      <c r="FJ7" s="1313">
        <v>0</v>
      </c>
    </row>
    <row r="8" spans="1:167" ht="33">
      <c r="A8" s="1313" t="s">
        <v>751</v>
      </c>
      <c r="B8" s="422" t="s">
        <v>768</v>
      </c>
      <c r="C8" s="422" t="s">
        <v>709</v>
      </c>
      <c r="D8" s="422" t="s">
        <v>710</v>
      </c>
      <c r="E8" s="1313">
        <v>98</v>
      </c>
      <c r="F8" s="1313">
        <v>73.86</v>
      </c>
      <c r="H8" s="1313">
        <v>0</v>
      </c>
      <c r="J8" s="1313">
        <v>81.55</v>
      </c>
      <c r="L8" s="1313">
        <v>0</v>
      </c>
      <c r="M8" s="1313">
        <v>0</v>
      </c>
      <c r="N8" s="1313">
        <v>63334.64</v>
      </c>
      <c r="O8" s="1313">
        <v>0</v>
      </c>
      <c r="P8" s="1313">
        <v>0</v>
      </c>
      <c r="Q8" s="1313">
        <v>0</v>
      </c>
      <c r="R8" s="1313">
        <v>0</v>
      </c>
      <c r="S8" s="1313">
        <v>0</v>
      </c>
      <c r="T8" s="1313">
        <v>0</v>
      </c>
      <c r="U8" s="1313">
        <v>0</v>
      </c>
      <c r="V8" s="1313">
        <v>0</v>
      </c>
      <c r="W8" s="1313">
        <v>0</v>
      </c>
      <c r="X8" s="1313">
        <v>0</v>
      </c>
      <c r="Y8" s="1313">
        <v>0</v>
      </c>
      <c r="Z8" s="1313">
        <v>0</v>
      </c>
      <c r="AA8" s="1313">
        <v>0</v>
      </c>
      <c r="AB8" s="1313">
        <v>0</v>
      </c>
      <c r="AC8" s="1313">
        <v>0</v>
      </c>
      <c r="AD8" s="1313">
        <v>0</v>
      </c>
      <c r="AE8" s="1313">
        <v>0</v>
      </c>
      <c r="AF8" s="1313">
        <v>593406</v>
      </c>
      <c r="AG8" s="1313">
        <v>0</v>
      </c>
      <c r="AH8" s="1313">
        <v>656740.64</v>
      </c>
      <c r="AI8" s="1313">
        <v>0</v>
      </c>
      <c r="AJ8" s="1313">
        <v>0</v>
      </c>
      <c r="AK8" s="1313">
        <v>0</v>
      </c>
      <c r="AL8" s="1313">
        <v>4076</v>
      </c>
      <c r="AM8" s="1313">
        <v>0</v>
      </c>
      <c r="AN8" s="1313">
        <v>0</v>
      </c>
      <c r="AO8" s="1313">
        <v>0</v>
      </c>
      <c r="AP8" s="1313">
        <v>0</v>
      </c>
      <c r="AQ8" s="1313">
        <v>0</v>
      </c>
      <c r="AR8" s="1313">
        <v>0</v>
      </c>
      <c r="AS8" s="1313">
        <v>0</v>
      </c>
      <c r="AT8" s="1313">
        <v>0</v>
      </c>
      <c r="AU8" s="1313">
        <v>0</v>
      </c>
      <c r="AV8" s="1313">
        <v>0</v>
      </c>
      <c r="AW8" s="1313">
        <v>0</v>
      </c>
      <c r="AX8" s="1313">
        <v>440.31</v>
      </c>
      <c r="AY8" s="1313">
        <v>0</v>
      </c>
      <c r="AZ8" s="1313">
        <v>22208.880000000001</v>
      </c>
      <c r="BA8" s="1313">
        <v>0</v>
      </c>
      <c r="BB8" s="1313">
        <v>0</v>
      </c>
      <c r="BC8" s="1313">
        <v>0</v>
      </c>
      <c r="BD8" s="1313">
        <v>0</v>
      </c>
      <c r="BE8" s="1313">
        <v>0</v>
      </c>
      <c r="BF8" s="1313">
        <v>0</v>
      </c>
      <c r="BG8" s="1313">
        <v>0</v>
      </c>
      <c r="BH8" s="1313">
        <v>0</v>
      </c>
      <c r="BI8" s="1313">
        <v>0</v>
      </c>
      <c r="BJ8" s="1313">
        <v>0</v>
      </c>
      <c r="BK8" s="1313">
        <v>0</v>
      </c>
      <c r="BL8" s="1313">
        <v>26725.19</v>
      </c>
      <c r="BM8" s="1313">
        <v>0</v>
      </c>
      <c r="BN8" s="1313">
        <v>57148.82</v>
      </c>
      <c r="BO8" s="1313">
        <v>0</v>
      </c>
      <c r="BP8" s="1313">
        <v>0</v>
      </c>
      <c r="BQ8" s="1313">
        <v>0</v>
      </c>
      <c r="BR8" s="1313">
        <v>0</v>
      </c>
      <c r="BS8" s="1313">
        <v>0</v>
      </c>
      <c r="BT8" s="1313">
        <v>0</v>
      </c>
      <c r="BU8" s="1313">
        <v>0</v>
      </c>
      <c r="BV8" s="1313">
        <v>0</v>
      </c>
      <c r="BW8" s="1313">
        <v>0</v>
      </c>
      <c r="BX8" s="1313">
        <v>0</v>
      </c>
      <c r="BY8" s="1313">
        <v>0</v>
      </c>
      <c r="BZ8" s="1313">
        <v>0</v>
      </c>
      <c r="CA8" s="1313">
        <v>0</v>
      </c>
      <c r="CB8" s="1313">
        <v>0</v>
      </c>
      <c r="CC8" s="1313">
        <v>0</v>
      </c>
      <c r="CD8" s="1313">
        <v>740614.65</v>
      </c>
      <c r="CE8" s="1313">
        <v>0</v>
      </c>
      <c r="CF8" s="1313">
        <v>440824.11</v>
      </c>
      <c r="CG8" s="1313">
        <v>0</v>
      </c>
      <c r="CH8" s="1313">
        <v>31395.45</v>
      </c>
      <c r="CI8" s="1313">
        <v>0</v>
      </c>
      <c r="CJ8" s="1313">
        <v>0</v>
      </c>
      <c r="CK8" s="1313">
        <v>0</v>
      </c>
      <c r="CL8" s="1313">
        <v>0</v>
      </c>
      <c r="CM8" s="1313">
        <v>0</v>
      </c>
      <c r="CN8" s="1313">
        <v>37562.78</v>
      </c>
      <c r="CO8" s="1313">
        <v>0</v>
      </c>
      <c r="CP8" s="1313">
        <v>0</v>
      </c>
      <c r="CQ8" s="1313">
        <v>0</v>
      </c>
      <c r="CR8" s="1313">
        <v>509782.34</v>
      </c>
      <c r="CS8" s="1313">
        <v>0</v>
      </c>
      <c r="CT8" s="1313">
        <v>98019</v>
      </c>
      <c r="CU8" s="1313">
        <v>0</v>
      </c>
      <c r="CV8" s="1313">
        <v>65999.98</v>
      </c>
      <c r="CW8" s="1313">
        <v>0</v>
      </c>
      <c r="CX8" s="1313">
        <v>17384.490000000002</v>
      </c>
      <c r="CY8" s="1313">
        <v>0</v>
      </c>
      <c r="CZ8" s="1313">
        <v>5200.59</v>
      </c>
      <c r="DA8" s="1313">
        <v>0</v>
      </c>
      <c r="DB8" s="1313">
        <v>0</v>
      </c>
      <c r="DC8" s="1313">
        <v>0</v>
      </c>
      <c r="DD8" s="1313">
        <v>186604.06</v>
      </c>
      <c r="DE8" s="1313">
        <v>0</v>
      </c>
      <c r="DF8" s="1313">
        <v>36626.480000000003</v>
      </c>
      <c r="DG8" s="1313">
        <v>0</v>
      </c>
      <c r="DH8" s="1313">
        <v>15765.57</v>
      </c>
      <c r="DI8" s="1313">
        <v>0</v>
      </c>
      <c r="DJ8" s="1313">
        <v>29764.07</v>
      </c>
      <c r="DK8" s="1313">
        <v>0</v>
      </c>
      <c r="DL8" s="1313">
        <v>82156.12</v>
      </c>
      <c r="DM8" s="1313">
        <v>0</v>
      </c>
      <c r="DN8" s="1313">
        <v>41576.660000000003</v>
      </c>
      <c r="DO8" s="1313">
        <v>0</v>
      </c>
      <c r="DP8" s="1313">
        <v>2188.1999999999998</v>
      </c>
      <c r="DQ8" s="1313">
        <v>0</v>
      </c>
      <c r="DR8" s="1313">
        <v>0</v>
      </c>
      <c r="DS8" s="1313">
        <v>0</v>
      </c>
      <c r="DT8" s="1313">
        <v>0</v>
      </c>
      <c r="DU8" s="1313">
        <v>0</v>
      </c>
      <c r="DV8" s="1313">
        <v>43764.86</v>
      </c>
      <c r="DW8" s="1313">
        <v>0</v>
      </c>
      <c r="DX8" s="1313">
        <v>0</v>
      </c>
      <c r="DY8" s="1313">
        <v>0</v>
      </c>
      <c r="DZ8" s="1313">
        <v>0</v>
      </c>
      <c r="EA8" s="1313">
        <v>0</v>
      </c>
      <c r="EB8" s="1313">
        <v>7620.36</v>
      </c>
      <c r="EC8" s="1313">
        <v>0</v>
      </c>
      <c r="ED8" s="1313">
        <v>829927.74</v>
      </c>
      <c r="EE8" s="1313">
        <v>0</v>
      </c>
      <c r="EF8" s="1313">
        <v>1182.5</v>
      </c>
      <c r="EG8" s="1313">
        <v>0</v>
      </c>
      <c r="EH8" s="1313">
        <v>0</v>
      </c>
      <c r="EI8" s="1313">
        <v>0</v>
      </c>
      <c r="EJ8" s="1313">
        <v>828745.24</v>
      </c>
      <c r="EK8" s="1313">
        <v>0</v>
      </c>
      <c r="EL8" s="1313">
        <v>30513.73</v>
      </c>
      <c r="EN8" s="1313">
        <v>798231.51</v>
      </c>
      <c r="EP8" s="1313">
        <v>10807</v>
      </c>
      <c r="ER8" s="1313">
        <v>7.57</v>
      </c>
      <c r="ET8" s="1313">
        <v>33164</v>
      </c>
      <c r="EV8" s="1313">
        <v>8.57</v>
      </c>
      <c r="EX8" s="1313">
        <v>33342</v>
      </c>
      <c r="EZ8" s="1313">
        <v>0</v>
      </c>
      <c r="FB8" s="1313">
        <v>0</v>
      </c>
      <c r="FD8" s="1313">
        <v>0</v>
      </c>
      <c r="FF8" s="1313">
        <v>0</v>
      </c>
      <c r="FH8" s="1313">
        <v>0</v>
      </c>
      <c r="FJ8" s="1313">
        <v>0</v>
      </c>
    </row>
    <row r="9" spans="1:167" ht="33">
      <c r="A9" s="1313" t="s">
        <v>752</v>
      </c>
      <c r="B9" s="422" t="s">
        <v>769</v>
      </c>
      <c r="C9" s="422" t="s">
        <v>711</v>
      </c>
      <c r="D9" s="1460" t="s">
        <v>712</v>
      </c>
      <c r="E9" s="1313">
        <v>577</v>
      </c>
      <c r="F9" s="1313">
        <v>607.76</v>
      </c>
      <c r="H9" s="1313">
        <v>0</v>
      </c>
      <c r="J9" s="1313">
        <v>633.09</v>
      </c>
      <c r="L9" s="1313">
        <v>0</v>
      </c>
      <c r="M9" s="1313">
        <v>0</v>
      </c>
      <c r="N9" s="1313">
        <v>1403483.8</v>
      </c>
      <c r="O9" s="1313">
        <v>2651594</v>
      </c>
      <c r="P9" s="1313">
        <v>0</v>
      </c>
      <c r="Q9" s="1313">
        <v>0</v>
      </c>
      <c r="R9" s="1313">
        <v>0</v>
      </c>
      <c r="S9" s="1313">
        <v>0</v>
      </c>
      <c r="T9" s="1313">
        <v>0</v>
      </c>
      <c r="U9" s="1313">
        <v>0</v>
      </c>
      <c r="V9" s="1313">
        <v>0</v>
      </c>
      <c r="W9" s="1313">
        <v>0</v>
      </c>
      <c r="X9" s="1313">
        <v>0</v>
      </c>
      <c r="Y9" s="1313">
        <v>0</v>
      </c>
      <c r="Z9" s="1313">
        <v>0</v>
      </c>
      <c r="AA9" s="1313">
        <v>0</v>
      </c>
      <c r="AB9" s="1313">
        <v>0</v>
      </c>
      <c r="AC9" s="1313">
        <v>0</v>
      </c>
      <c r="AD9" s="1313">
        <v>0</v>
      </c>
      <c r="AE9" s="1313">
        <v>0</v>
      </c>
      <c r="AF9" s="1313">
        <v>3829845</v>
      </c>
      <c r="AG9" s="1313">
        <v>5222400</v>
      </c>
      <c r="AH9" s="1313">
        <v>5233328.8</v>
      </c>
      <c r="AI9" s="1313">
        <v>7873994</v>
      </c>
      <c r="AJ9" s="1313">
        <v>0</v>
      </c>
      <c r="AK9" s="1313">
        <v>0</v>
      </c>
      <c r="AL9" s="1313">
        <v>21557</v>
      </c>
      <c r="AM9" s="1313">
        <v>34850</v>
      </c>
      <c r="AN9" s="1313">
        <v>17376.72</v>
      </c>
      <c r="AO9" s="1313">
        <v>36000</v>
      </c>
      <c r="AP9" s="1313">
        <v>350</v>
      </c>
      <c r="AQ9" s="1313">
        <v>0</v>
      </c>
      <c r="AR9" s="1313">
        <v>0</v>
      </c>
      <c r="AS9" s="1313">
        <v>0</v>
      </c>
      <c r="AT9" s="1313">
        <v>0</v>
      </c>
      <c r="AU9" s="1313">
        <v>0</v>
      </c>
      <c r="AV9" s="1313">
        <v>522883</v>
      </c>
      <c r="AW9" s="1313">
        <v>568855</v>
      </c>
      <c r="AX9" s="1313">
        <v>2618.66</v>
      </c>
      <c r="AY9" s="1313">
        <v>0</v>
      </c>
      <c r="AZ9" s="1313">
        <v>15166.42</v>
      </c>
      <c r="BA9" s="1313">
        <v>0</v>
      </c>
      <c r="BB9" s="1313">
        <v>2283.83</v>
      </c>
      <c r="BC9" s="1313">
        <v>0</v>
      </c>
      <c r="BD9" s="1313">
        <v>0</v>
      </c>
      <c r="BE9" s="1313">
        <v>0</v>
      </c>
      <c r="BF9" s="1313">
        <v>0</v>
      </c>
      <c r="BG9" s="1313">
        <v>0</v>
      </c>
      <c r="BH9" s="1313">
        <v>0</v>
      </c>
      <c r="BI9" s="1313">
        <v>0</v>
      </c>
      <c r="BJ9" s="1313">
        <v>0</v>
      </c>
      <c r="BK9" s="1313">
        <v>0</v>
      </c>
      <c r="BL9" s="1313">
        <v>582235.63</v>
      </c>
      <c r="BM9" s="1313">
        <v>639705</v>
      </c>
      <c r="BN9" s="1313">
        <v>2053022.97</v>
      </c>
      <c r="BO9" s="1313">
        <v>1644566</v>
      </c>
      <c r="BP9" s="1313">
        <v>676184</v>
      </c>
      <c r="BQ9" s="1313">
        <v>0</v>
      </c>
      <c r="BR9" s="1313">
        <v>0</v>
      </c>
      <c r="BS9" s="1313">
        <v>0</v>
      </c>
      <c r="BT9" s="1313">
        <v>23894.25</v>
      </c>
      <c r="BU9" s="1313">
        <v>0</v>
      </c>
      <c r="BV9" s="1313">
        <v>0</v>
      </c>
      <c r="BW9" s="1313">
        <v>0</v>
      </c>
      <c r="BX9" s="1313">
        <v>0</v>
      </c>
      <c r="BY9" s="1313">
        <v>0</v>
      </c>
      <c r="BZ9" s="1313">
        <v>0</v>
      </c>
      <c r="CA9" s="1313">
        <v>0</v>
      </c>
      <c r="CB9" s="1313">
        <v>700078.25</v>
      </c>
      <c r="CC9" s="1313">
        <v>0</v>
      </c>
      <c r="CD9" s="1313">
        <v>8568665.6500000004</v>
      </c>
      <c r="CE9" s="1313">
        <v>10158265</v>
      </c>
      <c r="CF9" s="1313">
        <v>2098654.16</v>
      </c>
      <c r="CG9" s="1313">
        <v>2481905</v>
      </c>
      <c r="CH9" s="1313">
        <v>87323.58</v>
      </c>
      <c r="CI9" s="1313">
        <v>174790</v>
      </c>
      <c r="CJ9" s="1313">
        <v>0</v>
      </c>
      <c r="CK9" s="1313">
        <v>0</v>
      </c>
      <c r="CL9" s="1313">
        <v>0</v>
      </c>
      <c r="CM9" s="1313">
        <v>0</v>
      </c>
      <c r="CN9" s="1313">
        <v>1069484.94</v>
      </c>
      <c r="CO9" s="1313">
        <v>973717</v>
      </c>
      <c r="CP9" s="1313">
        <v>2080.04</v>
      </c>
      <c r="CQ9" s="1313">
        <v>59660</v>
      </c>
      <c r="CR9" s="1313">
        <v>3257542.72</v>
      </c>
      <c r="CS9" s="1313">
        <v>3690072</v>
      </c>
      <c r="CT9" s="1313">
        <v>344849.87</v>
      </c>
      <c r="CU9" s="1313">
        <v>477688</v>
      </c>
      <c r="CV9" s="1313">
        <v>133291.98000000001</v>
      </c>
      <c r="CW9" s="1313">
        <v>171201</v>
      </c>
      <c r="CX9" s="1313">
        <v>674510.92</v>
      </c>
      <c r="CY9" s="1313">
        <v>750958</v>
      </c>
      <c r="CZ9" s="1313">
        <v>551237.25</v>
      </c>
      <c r="DA9" s="1313">
        <v>747510</v>
      </c>
      <c r="DB9" s="1313">
        <v>211002.81</v>
      </c>
      <c r="DC9" s="1313">
        <v>185978</v>
      </c>
      <c r="DD9" s="1313">
        <v>1914892.83</v>
      </c>
      <c r="DE9" s="1313">
        <v>2333335</v>
      </c>
      <c r="DF9" s="1313">
        <v>115259.69</v>
      </c>
      <c r="DG9" s="1313">
        <v>220437</v>
      </c>
      <c r="DH9" s="1313">
        <v>461698.49</v>
      </c>
      <c r="DI9" s="1313">
        <v>651488</v>
      </c>
      <c r="DJ9" s="1313">
        <v>1016000.6</v>
      </c>
      <c r="DK9" s="1313">
        <v>1701836</v>
      </c>
      <c r="DL9" s="1313">
        <v>1592958.78</v>
      </c>
      <c r="DM9" s="1313">
        <v>2573761</v>
      </c>
      <c r="DN9" s="1313">
        <v>489114.56</v>
      </c>
      <c r="DO9" s="1313">
        <v>719203</v>
      </c>
      <c r="DP9" s="1313">
        <v>0</v>
      </c>
      <c r="DQ9" s="1313">
        <v>0</v>
      </c>
      <c r="DR9" s="1313">
        <v>0</v>
      </c>
      <c r="DS9" s="1313">
        <v>0</v>
      </c>
      <c r="DT9" s="1313">
        <v>0</v>
      </c>
      <c r="DU9" s="1313">
        <v>0</v>
      </c>
      <c r="DV9" s="1313">
        <v>489114.56</v>
      </c>
      <c r="DW9" s="1313">
        <v>719203</v>
      </c>
      <c r="DX9" s="1313">
        <v>699421.97</v>
      </c>
      <c r="DY9" s="1313">
        <v>0</v>
      </c>
      <c r="DZ9" s="1313">
        <v>1192681.93</v>
      </c>
      <c r="EA9" s="1313">
        <v>483392</v>
      </c>
      <c r="EB9" s="1313">
        <v>59</v>
      </c>
      <c r="EC9" s="1313">
        <v>0</v>
      </c>
      <c r="ED9" s="1313">
        <v>9146671.7899999991</v>
      </c>
      <c r="EE9" s="1313">
        <v>9799763</v>
      </c>
      <c r="EF9" s="1313">
        <v>972230.38</v>
      </c>
      <c r="EG9" s="1313">
        <v>351617</v>
      </c>
      <c r="EH9" s="1313">
        <v>1192681.93</v>
      </c>
      <c r="EI9" s="1313">
        <v>483392</v>
      </c>
      <c r="EJ9" s="1313">
        <v>6981759.4800000004</v>
      </c>
      <c r="EK9" s="1313">
        <v>8964754</v>
      </c>
      <c r="EL9" s="1313">
        <v>86241.21</v>
      </c>
      <c r="EN9" s="1313">
        <v>6895518.2699999996</v>
      </c>
      <c r="EP9" s="1313">
        <v>11345</v>
      </c>
      <c r="ER9" s="1313">
        <v>37.5</v>
      </c>
      <c r="ET9" s="1313">
        <v>34039</v>
      </c>
      <c r="EV9" s="1313">
        <v>37.5</v>
      </c>
      <c r="EX9" s="1313">
        <v>34039</v>
      </c>
      <c r="EZ9" s="1313">
        <v>1713445.56</v>
      </c>
      <c r="FB9" s="1313">
        <v>231064.42</v>
      </c>
      <c r="FD9" s="1313">
        <v>0</v>
      </c>
      <c r="FF9" s="1313">
        <v>1482381.14</v>
      </c>
      <c r="FH9" s="1313">
        <v>35934.85</v>
      </c>
      <c r="FJ9" s="1313">
        <v>0</v>
      </c>
    </row>
    <row r="10" spans="1:167" ht="33">
      <c r="A10" s="1313" t="s">
        <v>753</v>
      </c>
      <c r="B10" s="422" t="s">
        <v>770</v>
      </c>
      <c r="C10" s="422" t="s">
        <v>713</v>
      </c>
      <c r="D10" s="422" t="s">
        <v>706</v>
      </c>
      <c r="E10" s="1313">
        <v>603</v>
      </c>
      <c r="F10" s="1313">
        <v>581.69000000000005</v>
      </c>
      <c r="H10" s="1313">
        <v>0.45</v>
      </c>
      <c r="J10" s="1313">
        <v>16618.990000000002</v>
      </c>
      <c r="L10" s="1313">
        <v>0</v>
      </c>
      <c r="M10" s="1313">
        <v>0</v>
      </c>
      <c r="N10" s="1313">
        <v>183881.79</v>
      </c>
      <c r="O10" s="1313">
        <v>79058</v>
      </c>
      <c r="P10" s="1313">
        <v>0</v>
      </c>
      <c r="Q10" s="1313">
        <v>0</v>
      </c>
      <c r="R10" s="1313">
        <v>0</v>
      </c>
      <c r="S10" s="1313">
        <v>0</v>
      </c>
      <c r="T10" s="1313">
        <v>0</v>
      </c>
      <c r="U10" s="1313">
        <v>0</v>
      </c>
      <c r="V10" s="1313">
        <v>481704</v>
      </c>
      <c r="W10" s="1313">
        <v>84541</v>
      </c>
      <c r="X10" s="1313">
        <v>0</v>
      </c>
      <c r="Y10" s="1313">
        <v>0</v>
      </c>
      <c r="Z10" s="1313">
        <v>0</v>
      </c>
      <c r="AA10" s="1313">
        <v>0</v>
      </c>
      <c r="AB10" s="1313">
        <v>0</v>
      </c>
      <c r="AC10" s="1313">
        <v>0</v>
      </c>
      <c r="AD10" s="1313">
        <v>0</v>
      </c>
      <c r="AE10" s="1313">
        <v>0</v>
      </c>
      <c r="AF10" s="1313">
        <v>3192190</v>
      </c>
      <c r="AG10" s="1313">
        <v>3724739</v>
      </c>
      <c r="AH10" s="1313">
        <v>3857775.79</v>
      </c>
      <c r="AI10" s="1313">
        <v>3888338</v>
      </c>
      <c r="AJ10" s="1313">
        <v>0</v>
      </c>
      <c r="AK10" s="1313">
        <v>0</v>
      </c>
      <c r="AL10" s="1313">
        <v>21921</v>
      </c>
      <c r="AM10" s="1313">
        <v>25692</v>
      </c>
      <c r="AN10" s="1313">
        <v>16400</v>
      </c>
      <c r="AO10" s="1313">
        <v>0</v>
      </c>
      <c r="AP10" s="1313">
        <v>0</v>
      </c>
      <c r="AQ10" s="1313">
        <v>0</v>
      </c>
      <c r="AR10" s="1313">
        <v>0</v>
      </c>
      <c r="AS10" s="1313">
        <v>0</v>
      </c>
      <c r="AT10" s="1313">
        <v>0</v>
      </c>
      <c r="AU10" s="1313">
        <v>0</v>
      </c>
      <c r="AV10" s="1313">
        <v>72099</v>
      </c>
      <c r="AW10" s="1313">
        <v>93947</v>
      </c>
      <c r="AX10" s="1313">
        <v>2171.2199999999998</v>
      </c>
      <c r="AY10" s="1313">
        <v>0</v>
      </c>
      <c r="AZ10" s="1313">
        <v>0</v>
      </c>
      <c r="BA10" s="1313">
        <v>0</v>
      </c>
      <c r="BB10" s="1313">
        <v>886.36</v>
      </c>
      <c r="BC10" s="1313">
        <v>887</v>
      </c>
      <c r="BD10" s="1313">
        <v>0</v>
      </c>
      <c r="BE10" s="1313">
        <v>0</v>
      </c>
      <c r="BF10" s="1313">
        <v>0</v>
      </c>
      <c r="BG10" s="1313">
        <v>0</v>
      </c>
      <c r="BH10" s="1313">
        <v>0</v>
      </c>
      <c r="BI10" s="1313">
        <v>0</v>
      </c>
      <c r="BJ10" s="1313">
        <v>0</v>
      </c>
      <c r="BK10" s="1313">
        <v>0</v>
      </c>
      <c r="BL10" s="1313">
        <v>113477.58</v>
      </c>
      <c r="BM10" s="1313">
        <v>120526</v>
      </c>
      <c r="BN10" s="1313">
        <v>428911.75</v>
      </c>
      <c r="BO10" s="1313">
        <v>404366.17</v>
      </c>
      <c r="BP10" s="1313">
        <v>26544.47</v>
      </c>
      <c r="BQ10" s="1313">
        <v>0</v>
      </c>
      <c r="BR10" s="1313">
        <v>0</v>
      </c>
      <c r="BS10" s="1313">
        <v>0</v>
      </c>
      <c r="BT10" s="1313">
        <v>0</v>
      </c>
      <c r="BU10" s="1313">
        <v>0</v>
      </c>
      <c r="BV10" s="1313">
        <v>0</v>
      </c>
      <c r="BW10" s="1313">
        <v>777</v>
      </c>
      <c r="BX10" s="1313">
        <v>0</v>
      </c>
      <c r="BY10" s="1313">
        <v>0</v>
      </c>
      <c r="BZ10" s="1313">
        <v>0</v>
      </c>
      <c r="CA10" s="1313">
        <v>0</v>
      </c>
      <c r="CB10" s="1313">
        <v>26544.47</v>
      </c>
      <c r="CC10" s="1313">
        <v>777</v>
      </c>
      <c r="CD10" s="1313">
        <v>4426709.59</v>
      </c>
      <c r="CE10" s="1313">
        <v>4414007.17</v>
      </c>
      <c r="CF10" s="1313">
        <v>1974871.63</v>
      </c>
      <c r="CG10" s="1313">
        <v>2291995.63</v>
      </c>
      <c r="CH10" s="1313">
        <v>83530.179999999993</v>
      </c>
      <c r="CI10" s="1313">
        <v>88404.66</v>
      </c>
      <c r="CJ10" s="1313">
        <v>43449.96</v>
      </c>
      <c r="CK10" s="1313">
        <v>45024.5</v>
      </c>
      <c r="CL10" s="1313">
        <v>0</v>
      </c>
      <c r="CM10" s="1313">
        <v>0</v>
      </c>
      <c r="CN10" s="1313">
        <v>80494.02</v>
      </c>
      <c r="CO10" s="1313">
        <v>54000</v>
      </c>
      <c r="CP10" s="1313">
        <v>75626.740000000005</v>
      </c>
      <c r="CQ10" s="1313">
        <v>90105</v>
      </c>
      <c r="CR10" s="1313">
        <v>2257972.5299999998</v>
      </c>
      <c r="CS10" s="1313">
        <v>2569529.79</v>
      </c>
      <c r="CT10" s="1313">
        <v>194704.27</v>
      </c>
      <c r="CU10" s="1313">
        <v>241992</v>
      </c>
      <c r="CV10" s="1313">
        <v>214730.75</v>
      </c>
      <c r="CW10" s="1313">
        <v>245898</v>
      </c>
      <c r="CX10" s="1313">
        <v>464808.08</v>
      </c>
      <c r="CY10" s="1313">
        <v>742937.44</v>
      </c>
      <c r="CZ10" s="1313">
        <v>5525.2</v>
      </c>
      <c r="DA10" s="1313">
        <v>42200</v>
      </c>
      <c r="DB10" s="1313">
        <v>0</v>
      </c>
      <c r="DC10" s="1313">
        <v>0</v>
      </c>
      <c r="DD10" s="1313">
        <v>879768.3</v>
      </c>
      <c r="DE10" s="1313">
        <v>1273027.44</v>
      </c>
      <c r="DF10" s="1313">
        <v>154617.82999999999</v>
      </c>
      <c r="DG10" s="1313">
        <v>184705.22</v>
      </c>
      <c r="DH10" s="1313">
        <v>134218.6</v>
      </c>
      <c r="DI10" s="1313">
        <v>188928.05</v>
      </c>
      <c r="DJ10" s="1313">
        <v>258050.76</v>
      </c>
      <c r="DK10" s="1313">
        <v>230558.9</v>
      </c>
      <c r="DL10" s="1313">
        <v>546887.18999999994</v>
      </c>
      <c r="DM10" s="1313">
        <v>604192.17000000004</v>
      </c>
      <c r="DN10" s="1313">
        <v>167692.39000000001</v>
      </c>
      <c r="DO10" s="1313">
        <v>177418</v>
      </c>
      <c r="DP10" s="1313">
        <v>0</v>
      </c>
      <c r="DQ10" s="1313">
        <v>0</v>
      </c>
      <c r="DR10" s="1313">
        <v>36.840000000000003</v>
      </c>
      <c r="DS10" s="1313">
        <v>500</v>
      </c>
      <c r="DT10" s="1313">
        <v>0</v>
      </c>
      <c r="DU10" s="1313">
        <v>0</v>
      </c>
      <c r="DV10" s="1313">
        <v>167729.23000000001</v>
      </c>
      <c r="DW10" s="1313">
        <v>177918</v>
      </c>
      <c r="DX10" s="1313">
        <v>191567.45</v>
      </c>
      <c r="DY10" s="1313">
        <v>70000</v>
      </c>
      <c r="DZ10" s="1313">
        <v>0</v>
      </c>
      <c r="EA10" s="1313">
        <v>0</v>
      </c>
      <c r="EB10" s="1313">
        <v>105456.36</v>
      </c>
      <c r="EC10" s="1313">
        <v>0</v>
      </c>
      <c r="ED10" s="1313">
        <v>4149381.06</v>
      </c>
      <c r="EE10" s="1313">
        <v>4694667.4000000004</v>
      </c>
      <c r="EF10" s="1313">
        <v>207389.61</v>
      </c>
      <c r="EG10" s="1313">
        <v>239892.27</v>
      </c>
      <c r="EH10" s="1313">
        <v>0</v>
      </c>
      <c r="EI10" s="1313">
        <v>0</v>
      </c>
      <c r="EJ10" s="1313">
        <v>3941991.45</v>
      </c>
      <c r="EK10" s="1313">
        <v>4454775.13</v>
      </c>
      <c r="EL10" s="1313">
        <v>267996.99</v>
      </c>
      <c r="EN10" s="1313">
        <v>3673994.46</v>
      </c>
      <c r="EP10" s="1313">
        <v>6316</v>
      </c>
      <c r="ER10" s="1313">
        <v>45.88</v>
      </c>
      <c r="ET10" s="1313">
        <v>32351</v>
      </c>
      <c r="EV10" s="1313">
        <v>51.01</v>
      </c>
      <c r="EX10" s="1313">
        <v>34840</v>
      </c>
      <c r="EZ10" s="1313">
        <v>424586.54</v>
      </c>
      <c r="FB10" s="1313">
        <v>14399.57</v>
      </c>
      <c r="FD10" s="1313">
        <v>0</v>
      </c>
      <c r="FF10" s="1313">
        <v>410186.97</v>
      </c>
      <c r="FH10" s="1313">
        <v>796076.18</v>
      </c>
      <c r="FJ10" s="1313">
        <v>0</v>
      </c>
    </row>
    <row r="11" spans="1:167">
      <c r="A11" s="1313" t="s">
        <v>754</v>
      </c>
      <c r="B11" s="422" t="s">
        <v>771</v>
      </c>
      <c r="C11" s="422" t="s">
        <v>714</v>
      </c>
      <c r="D11" s="422" t="s">
        <v>715</v>
      </c>
      <c r="E11" s="1313">
        <v>476</v>
      </c>
      <c r="F11" s="1313">
        <v>457.28</v>
      </c>
      <c r="H11" s="1313">
        <v>1.61</v>
      </c>
      <c r="J11" s="1313">
        <v>476.55</v>
      </c>
      <c r="L11" s="1313">
        <v>0</v>
      </c>
      <c r="M11" s="1313">
        <v>0</v>
      </c>
      <c r="N11" s="1313">
        <v>212702.61</v>
      </c>
      <c r="O11" s="1313">
        <v>50000</v>
      </c>
      <c r="P11" s="1313">
        <v>0</v>
      </c>
      <c r="Q11" s="1313">
        <v>0</v>
      </c>
      <c r="R11" s="1313">
        <v>0</v>
      </c>
      <c r="S11" s="1313">
        <v>0</v>
      </c>
      <c r="T11" s="1313">
        <v>0</v>
      </c>
      <c r="U11" s="1313">
        <v>0</v>
      </c>
      <c r="V11" s="1313">
        <v>110070</v>
      </c>
      <c r="W11" s="1313">
        <v>0</v>
      </c>
      <c r="X11" s="1313">
        <v>0</v>
      </c>
      <c r="Y11" s="1313">
        <v>0</v>
      </c>
      <c r="Z11" s="1313">
        <v>0</v>
      </c>
      <c r="AA11" s="1313">
        <v>0</v>
      </c>
      <c r="AB11" s="1313">
        <v>0</v>
      </c>
      <c r="AC11" s="1313">
        <v>0</v>
      </c>
      <c r="AD11" s="1313">
        <v>0</v>
      </c>
      <c r="AE11" s="1313">
        <v>0</v>
      </c>
      <c r="AF11" s="1313">
        <v>2759869.89</v>
      </c>
      <c r="AG11" s="1313">
        <v>3686400</v>
      </c>
      <c r="AH11" s="1313">
        <v>3082642.5</v>
      </c>
      <c r="AI11" s="1313">
        <v>3736400</v>
      </c>
      <c r="AJ11" s="1313">
        <v>0</v>
      </c>
      <c r="AK11" s="1313">
        <v>0</v>
      </c>
      <c r="AL11" s="1313">
        <v>18952</v>
      </c>
      <c r="AM11" s="1313">
        <v>20173</v>
      </c>
      <c r="AN11" s="1313">
        <v>1437.46</v>
      </c>
      <c r="AO11" s="1313">
        <v>0</v>
      </c>
      <c r="AP11" s="1313">
        <v>2100</v>
      </c>
      <c r="AQ11" s="1313">
        <v>0</v>
      </c>
      <c r="AR11" s="1313">
        <v>0</v>
      </c>
      <c r="AS11" s="1313">
        <v>0</v>
      </c>
      <c r="AT11" s="1313">
        <v>0</v>
      </c>
      <c r="AU11" s="1313">
        <v>0</v>
      </c>
      <c r="AV11" s="1313">
        <v>60254</v>
      </c>
      <c r="AW11" s="1313">
        <v>67728</v>
      </c>
      <c r="AX11" s="1313">
        <v>0</v>
      </c>
      <c r="AY11" s="1313">
        <v>0</v>
      </c>
      <c r="AZ11" s="1313">
        <v>0</v>
      </c>
      <c r="BA11" s="1313">
        <v>0</v>
      </c>
      <c r="BB11" s="1313">
        <v>1270.33</v>
      </c>
      <c r="BC11" s="1313">
        <v>0</v>
      </c>
      <c r="BD11" s="1313">
        <v>0</v>
      </c>
      <c r="BE11" s="1313">
        <v>0</v>
      </c>
      <c r="BF11" s="1313">
        <v>0</v>
      </c>
      <c r="BG11" s="1313">
        <v>0</v>
      </c>
      <c r="BH11" s="1313">
        <v>0</v>
      </c>
      <c r="BI11" s="1313">
        <v>0</v>
      </c>
      <c r="BJ11" s="1313">
        <v>1406.5</v>
      </c>
      <c r="BK11" s="1313">
        <v>0</v>
      </c>
      <c r="BL11" s="1313">
        <v>85420.29</v>
      </c>
      <c r="BM11" s="1313">
        <v>87901</v>
      </c>
      <c r="BN11" s="1313">
        <v>422058.07</v>
      </c>
      <c r="BO11" s="1313">
        <v>209338</v>
      </c>
      <c r="BP11" s="1313">
        <v>-19089</v>
      </c>
      <c r="BQ11" s="1313">
        <v>0</v>
      </c>
      <c r="BR11" s="1313">
        <v>0</v>
      </c>
      <c r="BS11" s="1313">
        <v>0</v>
      </c>
      <c r="BT11" s="1313">
        <v>0</v>
      </c>
      <c r="BU11" s="1313">
        <v>0</v>
      </c>
      <c r="BV11" s="1313">
        <v>0</v>
      </c>
      <c r="BW11" s="1313">
        <v>0</v>
      </c>
      <c r="BX11" s="1313">
        <v>0</v>
      </c>
      <c r="BY11" s="1313">
        <v>0</v>
      </c>
      <c r="BZ11" s="1313">
        <v>0</v>
      </c>
      <c r="CA11" s="1313">
        <v>0</v>
      </c>
      <c r="CB11" s="1313">
        <v>-19089</v>
      </c>
      <c r="CC11" s="1313">
        <v>0</v>
      </c>
      <c r="CD11" s="1313">
        <v>3571031.86</v>
      </c>
      <c r="CE11" s="1313">
        <v>4033639</v>
      </c>
      <c r="CF11" s="1313">
        <v>1656260.31</v>
      </c>
      <c r="CG11" s="1313">
        <v>1773811.88</v>
      </c>
      <c r="CH11" s="1313">
        <v>176514.24</v>
      </c>
      <c r="CI11" s="1313">
        <v>84771.25</v>
      </c>
      <c r="CJ11" s="1313">
        <v>0</v>
      </c>
      <c r="CK11" s="1313">
        <v>0</v>
      </c>
      <c r="CL11" s="1313">
        <v>0</v>
      </c>
      <c r="CM11" s="1313">
        <v>0</v>
      </c>
      <c r="CN11" s="1313">
        <v>83252.850000000006</v>
      </c>
      <c r="CO11" s="1313">
        <v>0</v>
      </c>
      <c r="CP11" s="1313">
        <v>55919.74</v>
      </c>
      <c r="CQ11" s="1313">
        <v>0</v>
      </c>
      <c r="CR11" s="1313">
        <v>1971947.14</v>
      </c>
      <c r="CS11" s="1313">
        <v>1858583.13</v>
      </c>
      <c r="CT11" s="1313">
        <v>189239.91</v>
      </c>
      <c r="CU11" s="1313">
        <v>213158</v>
      </c>
      <c r="CV11" s="1313">
        <v>153997.43</v>
      </c>
      <c r="CW11" s="1313">
        <v>231299</v>
      </c>
      <c r="CX11" s="1313">
        <v>853146.16</v>
      </c>
      <c r="CY11" s="1313">
        <v>1063955</v>
      </c>
      <c r="CZ11" s="1313">
        <v>12250</v>
      </c>
      <c r="DA11" s="1313">
        <v>14000</v>
      </c>
      <c r="DB11" s="1313">
        <v>172.97</v>
      </c>
      <c r="DC11" s="1313">
        <v>0</v>
      </c>
      <c r="DD11" s="1313">
        <v>1208806.47</v>
      </c>
      <c r="DE11" s="1313">
        <v>1522412</v>
      </c>
      <c r="DF11" s="1313">
        <v>112854.75</v>
      </c>
      <c r="DG11" s="1313">
        <v>109349.03</v>
      </c>
      <c r="DH11" s="1313">
        <v>145584.29</v>
      </c>
      <c r="DI11" s="1313">
        <v>171918</v>
      </c>
      <c r="DJ11" s="1313">
        <v>161494.23000000001</v>
      </c>
      <c r="DK11" s="1313">
        <v>435744.43</v>
      </c>
      <c r="DL11" s="1313">
        <v>419933.27</v>
      </c>
      <c r="DM11" s="1313">
        <v>717011.46</v>
      </c>
      <c r="DN11" s="1313">
        <v>92968.22</v>
      </c>
      <c r="DO11" s="1313">
        <v>135247.06</v>
      </c>
      <c r="DP11" s="1313">
        <v>0</v>
      </c>
      <c r="DQ11" s="1313">
        <v>0</v>
      </c>
      <c r="DR11" s="1313">
        <v>0</v>
      </c>
      <c r="DS11" s="1313">
        <v>0</v>
      </c>
      <c r="DT11" s="1313">
        <v>0</v>
      </c>
      <c r="DU11" s="1313">
        <v>0</v>
      </c>
      <c r="DV11" s="1313">
        <v>92968.22</v>
      </c>
      <c r="DW11" s="1313">
        <v>135247.06</v>
      </c>
      <c r="DX11" s="1313">
        <v>19495</v>
      </c>
      <c r="DY11" s="1313">
        <v>58800</v>
      </c>
      <c r="DZ11" s="1313">
        <v>0</v>
      </c>
      <c r="EA11" s="1313">
        <v>0</v>
      </c>
      <c r="EB11" s="1313">
        <v>34095</v>
      </c>
      <c r="EC11" s="1313">
        <v>0</v>
      </c>
      <c r="ED11" s="1313">
        <v>3747245.1</v>
      </c>
      <c r="EE11" s="1313">
        <v>4292053.6500000004</v>
      </c>
      <c r="EF11" s="1313">
        <v>107625.2</v>
      </c>
      <c r="EG11" s="1313">
        <v>92800</v>
      </c>
      <c r="EH11" s="1313">
        <v>0</v>
      </c>
      <c r="EI11" s="1313">
        <v>0</v>
      </c>
      <c r="EJ11" s="1313">
        <v>3639619.9</v>
      </c>
      <c r="EK11" s="1313">
        <v>4199253.6500000004</v>
      </c>
      <c r="EL11" s="1313">
        <v>218592.95</v>
      </c>
      <c r="EN11" s="1313">
        <v>3421026.95</v>
      </c>
      <c r="EP11" s="1313">
        <v>7481</v>
      </c>
      <c r="ER11" s="1313">
        <v>30.61</v>
      </c>
      <c r="ET11" s="1313">
        <v>38018</v>
      </c>
      <c r="EV11" s="1313">
        <v>32.79</v>
      </c>
      <c r="EX11" s="1313">
        <v>39281</v>
      </c>
      <c r="EZ11" s="1313">
        <v>341603.17</v>
      </c>
      <c r="FB11" s="1313">
        <v>0</v>
      </c>
      <c r="FD11" s="1313">
        <v>0</v>
      </c>
      <c r="FF11" s="1313">
        <v>341603.17</v>
      </c>
      <c r="FH11" s="1313">
        <v>0</v>
      </c>
      <c r="FJ11" s="1313">
        <v>0</v>
      </c>
    </row>
    <row r="12" spans="1:167" ht="22">
      <c r="A12" s="1313" t="s">
        <v>755</v>
      </c>
      <c r="B12" s="422" t="s">
        <v>772</v>
      </c>
      <c r="C12" s="422" t="s">
        <v>714</v>
      </c>
      <c r="E12" s="1313">
        <v>264</v>
      </c>
      <c r="F12" s="1313">
        <v>256.88</v>
      </c>
      <c r="H12" s="1313">
        <v>0</v>
      </c>
      <c r="J12" s="1313">
        <v>264.76</v>
      </c>
      <c r="L12" s="1313">
        <v>0</v>
      </c>
      <c r="M12" s="1313">
        <v>0</v>
      </c>
      <c r="N12" s="1313">
        <v>12740.91</v>
      </c>
      <c r="O12" s="1313">
        <v>0</v>
      </c>
      <c r="P12" s="1313">
        <v>0</v>
      </c>
      <c r="Q12" s="1313">
        <v>0</v>
      </c>
      <c r="R12" s="1313">
        <v>0</v>
      </c>
      <c r="S12" s="1313">
        <v>0</v>
      </c>
      <c r="T12" s="1313">
        <v>0</v>
      </c>
      <c r="U12" s="1313">
        <v>0</v>
      </c>
      <c r="V12" s="1313">
        <v>0</v>
      </c>
      <c r="W12" s="1313">
        <v>0</v>
      </c>
      <c r="X12" s="1313">
        <v>88689</v>
      </c>
      <c r="Y12" s="1313">
        <v>0</v>
      </c>
      <c r="Z12" s="1313">
        <v>0</v>
      </c>
      <c r="AA12" s="1313">
        <v>0</v>
      </c>
      <c r="AB12" s="1313">
        <v>0</v>
      </c>
      <c r="AC12" s="1313">
        <v>0</v>
      </c>
      <c r="AD12" s="1313">
        <v>0</v>
      </c>
      <c r="AE12" s="1313">
        <v>0</v>
      </c>
      <c r="AF12" s="1313">
        <v>1629523</v>
      </c>
      <c r="AG12" s="1313">
        <v>1607328</v>
      </c>
      <c r="AH12" s="1313">
        <v>1730952.91</v>
      </c>
      <c r="AI12" s="1313">
        <v>1607328</v>
      </c>
      <c r="AJ12" s="1313">
        <v>0</v>
      </c>
      <c r="AK12" s="1313">
        <v>0</v>
      </c>
      <c r="AL12" s="1313">
        <v>11190</v>
      </c>
      <c r="AM12" s="1313">
        <v>11087</v>
      </c>
      <c r="AN12" s="1313">
        <v>3942.51</v>
      </c>
      <c r="AO12" s="1313">
        <v>0</v>
      </c>
      <c r="AP12" s="1313">
        <v>0</v>
      </c>
      <c r="AQ12" s="1313">
        <v>0</v>
      </c>
      <c r="AR12" s="1313">
        <v>0</v>
      </c>
      <c r="AS12" s="1313">
        <v>0</v>
      </c>
      <c r="AT12" s="1313">
        <v>0</v>
      </c>
      <c r="AU12" s="1313">
        <v>0</v>
      </c>
      <c r="AV12" s="1313">
        <v>326697</v>
      </c>
      <c r="AW12" s="1313">
        <v>391644</v>
      </c>
      <c r="AX12" s="1313">
        <v>1108.33</v>
      </c>
      <c r="AY12" s="1313">
        <v>0</v>
      </c>
      <c r="AZ12" s="1313">
        <v>0</v>
      </c>
      <c r="BA12" s="1313">
        <v>0</v>
      </c>
      <c r="BB12" s="1313">
        <v>1210.46</v>
      </c>
      <c r="BC12" s="1313">
        <v>0</v>
      </c>
      <c r="BD12" s="1313">
        <v>0</v>
      </c>
      <c r="BE12" s="1313">
        <v>0</v>
      </c>
      <c r="BF12" s="1313">
        <v>0</v>
      </c>
      <c r="BG12" s="1313">
        <v>0</v>
      </c>
      <c r="BH12" s="1313">
        <v>0</v>
      </c>
      <c r="BI12" s="1313">
        <v>0</v>
      </c>
      <c r="BJ12" s="1313">
        <v>0</v>
      </c>
      <c r="BK12" s="1313">
        <v>0</v>
      </c>
      <c r="BL12" s="1313">
        <v>344148.3</v>
      </c>
      <c r="BM12" s="1313">
        <v>402731</v>
      </c>
      <c r="BN12" s="1313">
        <v>804657.28</v>
      </c>
      <c r="BO12" s="1313">
        <v>563508.01</v>
      </c>
      <c r="BP12" s="1313">
        <v>0</v>
      </c>
      <c r="BQ12" s="1313">
        <v>0</v>
      </c>
      <c r="BR12" s="1313">
        <v>0</v>
      </c>
      <c r="BS12" s="1313">
        <v>0</v>
      </c>
      <c r="BT12" s="1313">
        <v>0</v>
      </c>
      <c r="BU12" s="1313">
        <v>0</v>
      </c>
      <c r="BV12" s="1313">
        <v>0</v>
      </c>
      <c r="BW12" s="1313">
        <v>0</v>
      </c>
      <c r="BX12" s="1313">
        <v>0</v>
      </c>
      <c r="BY12" s="1313">
        <v>0</v>
      </c>
      <c r="BZ12" s="1313">
        <v>0</v>
      </c>
      <c r="CA12" s="1313">
        <v>0</v>
      </c>
      <c r="CB12" s="1313">
        <v>0</v>
      </c>
      <c r="CC12" s="1313">
        <v>0</v>
      </c>
      <c r="CD12" s="1313">
        <v>2879758.49</v>
      </c>
      <c r="CE12" s="1313">
        <v>2573567.0099999998</v>
      </c>
      <c r="CF12" s="1313">
        <v>909922.01</v>
      </c>
      <c r="CG12" s="1313">
        <v>916346</v>
      </c>
      <c r="CH12" s="1313">
        <v>62166.23</v>
      </c>
      <c r="CI12" s="1313">
        <v>23223</v>
      </c>
      <c r="CJ12" s="1313">
        <v>0</v>
      </c>
      <c r="CK12" s="1313">
        <v>0</v>
      </c>
      <c r="CL12" s="1313">
        <v>0</v>
      </c>
      <c r="CM12" s="1313">
        <v>0</v>
      </c>
      <c r="CN12" s="1313">
        <v>302328.45</v>
      </c>
      <c r="CO12" s="1313">
        <v>191880</v>
      </c>
      <c r="CP12" s="1313">
        <v>36070.5</v>
      </c>
      <c r="CQ12" s="1313">
        <v>0</v>
      </c>
      <c r="CR12" s="1313">
        <v>1310487.19</v>
      </c>
      <c r="CS12" s="1313">
        <v>1131449</v>
      </c>
      <c r="CT12" s="1313">
        <v>180169.17</v>
      </c>
      <c r="CU12" s="1313">
        <v>164509</v>
      </c>
      <c r="CV12" s="1313">
        <v>176184.69</v>
      </c>
      <c r="CW12" s="1313">
        <v>113188</v>
      </c>
      <c r="CX12" s="1313">
        <v>356903.08</v>
      </c>
      <c r="CY12" s="1313">
        <v>330080</v>
      </c>
      <c r="CZ12" s="1313">
        <v>21368.02</v>
      </c>
      <c r="DA12" s="1313">
        <v>3000</v>
      </c>
      <c r="DB12" s="1313">
        <v>0</v>
      </c>
      <c r="DC12" s="1313">
        <v>0</v>
      </c>
      <c r="DD12" s="1313">
        <v>734624.96</v>
      </c>
      <c r="DE12" s="1313">
        <v>610777</v>
      </c>
      <c r="DF12" s="1313">
        <v>185404.35</v>
      </c>
      <c r="DG12" s="1313">
        <v>88826</v>
      </c>
      <c r="DH12" s="1313">
        <v>330856.28000000003</v>
      </c>
      <c r="DI12" s="1313">
        <v>308898</v>
      </c>
      <c r="DJ12" s="1313">
        <v>128428.21</v>
      </c>
      <c r="DK12" s="1313">
        <v>93471</v>
      </c>
      <c r="DL12" s="1313">
        <v>644688.84</v>
      </c>
      <c r="DM12" s="1313">
        <v>491195</v>
      </c>
      <c r="DN12" s="1313">
        <v>230639.46</v>
      </c>
      <c r="DO12" s="1313">
        <v>23490</v>
      </c>
      <c r="DP12" s="1313">
        <v>0</v>
      </c>
      <c r="DQ12" s="1313">
        <v>0</v>
      </c>
      <c r="DR12" s="1313">
        <v>481.34</v>
      </c>
      <c r="DS12" s="1313">
        <v>0</v>
      </c>
      <c r="DT12" s="1313">
        <v>0</v>
      </c>
      <c r="DU12" s="1313">
        <v>0</v>
      </c>
      <c r="DV12" s="1313">
        <v>231120.8</v>
      </c>
      <c r="DW12" s="1313">
        <v>23490</v>
      </c>
      <c r="DX12" s="1313">
        <v>1885</v>
      </c>
      <c r="DY12" s="1313">
        <v>0</v>
      </c>
      <c r="DZ12" s="1313">
        <v>0</v>
      </c>
      <c r="EA12" s="1313">
        <v>0</v>
      </c>
      <c r="EB12" s="1313">
        <v>0</v>
      </c>
      <c r="EC12" s="1313">
        <v>0</v>
      </c>
      <c r="ED12" s="1313">
        <v>2922806.79</v>
      </c>
      <c r="EE12" s="1313">
        <v>2256911</v>
      </c>
      <c r="EF12" s="1313">
        <v>48392.51</v>
      </c>
      <c r="EG12" s="1313">
        <v>1500</v>
      </c>
      <c r="EH12" s="1313">
        <v>0</v>
      </c>
      <c r="EI12" s="1313">
        <v>0</v>
      </c>
      <c r="EJ12" s="1313">
        <v>2874414.28</v>
      </c>
      <c r="EK12" s="1313">
        <v>2255411</v>
      </c>
      <c r="EL12" s="1313">
        <v>3740.09</v>
      </c>
      <c r="EN12" s="1313">
        <v>2870674.19</v>
      </c>
      <c r="EP12" s="1313">
        <v>11175</v>
      </c>
      <c r="ER12" s="1313">
        <v>15.47</v>
      </c>
      <c r="ET12" s="1313">
        <v>35967</v>
      </c>
      <c r="EV12" s="1313">
        <v>17.559999999999999</v>
      </c>
      <c r="EX12" s="1313">
        <v>36988</v>
      </c>
      <c r="EZ12" s="1313">
        <v>45199.43</v>
      </c>
      <c r="FB12" s="1313">
        <v>14738.44</v>
      </c>
      <c r="FD12" s="1313">
        <v>0</v>
      </c>
      <c r="FF12" s="1313">
        <v>30460.99</v>
      </c>
      <c r="FH12" s="1313">
        <v>0</v>
      </c>
      <c r="FJ12" s="1313">
        <v>0</v>
      </c>
    </row>
    <row r="13" spans="1:167" ht="33">
      <c r="A13" s="1313" t="s">
        <v>756</v>
      </c>
      <c r="B13" s="422" t="s">
        <v>773</v>
      </c>
      <c r="C13" s="422" t="s">
        <v>716</v>
      </c>
      <c r="D13" s="422" t="s">
        <v>708</v>
      </c>
      <c r="E13" s="1313">
        <v>500</v>
      </c>
      <c r="F13" s="1313">
        <v>484.47</v>
      </c>
      <c r="H13" s="1313">
        <v>0</v>
      </c>
      <c r="J13" s="1313">
        <v>489.6</v>
      </c>
      <c r="L13" s="1313">
        <v>0</v>
      </c>
      <c r="M13" s="1313">
        <v>0</v>
      </c>
      <c r="N13" s="1313">
        <v>914.93</v>
      </c>
      <c r="O13" s="1313">
        <v>24247</v>
      </c>
      <c r="P13" s="1313">
        <v>0</v>
      </c>
      <c r="Q13" s="1313">
        <v>0</v>
      </c>
      <c r="R13" s="1313">
        <v>0</v>
      </c>
      <c r="S13" s="1313">
        <v>0</v>
      </c>
      <c r="T13" s="1313">
        <v>0</v>
      </c>
      <c r="U13" s="1313">
        <v>0</v>
      </c>
      <c r="V13" s="1313">
        <v>8553</v>
      </c>
      <c r="W13" s="1313">
        <v>0</v>
      </c>
      <c r="X13" s="1313">
        <v>10747</v>
      </c>
      <c r="Y13" s="1313">
        <v>0</v>
      </c>
      <c r="Z13" s="1313">
        <v>0</v>
      </c>
      <c r="AA13" s="1313">
        <v>0</v>
      </c>
      <c r="AB13" s="1313">
        <v>0</v>
      </c>
      <c r="AC13" s="1313">
        <v>0</v>
      </c>
      <c r="AD13" s="1313">
        <v>0</v>
      </c>
      <c r="AE13" s="1313">
        <v>0</v>
      </c>
      <c r="AF13" s="1313">
        <v>2972591</v>
      </c>
      <c r="AG13" s="1313">
        <v>3019653</v>
      </c>
      <c r="AH13" s="1313">
        <v>2992805.93</v>
      </c>
      <c r="AI13" s="1313">
        <v>3043900</v>
      </c>
      <c r="AJ13" s="1313">
        <v>0</v>
      </c>
      <c r="AK13" s="1313">
        <v>0</v>
      </c>
      <c r="AL13" s="1313">
        <v>20413</v>
      </c>
      <c r="AM13" s="1313">
        <v>20413</v>
      </c>
      <c r="AN13" s="1313">
        <v>0</v>
      </c>
      <c r="AO13" s="1313">
        <v>0</v>
      </c>
      <c r="AP13" s="1313">
        <v>0</v>
      </c>
      <c r="AQ13" s="1313">
        <v>0</v>
      </c>
      <c r="AR13" s="1313">
        <v>0</v>
      </c>
      <c r="AS13" s="1313">
        <v>0</v>
      </c>
      <c r="AT13" s="1313">
        <v>0</v>
      </c>
      <c r="AU13" s="1313">
        <v>0</v>
      </c>
      <c r="AV13" s="1313">
        <v>0</v>
      </c>
      <c r="AW13" s="1313">
        <v>0</v>
      </c>
      <c r="AX13" s="1313">
        <v>2021.85</v>
      </c>
      <c r="AY13" s="1313">
        <v>2022</v>
      </c>
      <c r="AZ13" s="1313">
        <v>0</v>
      </c>
      <c r="BA13" s="1313">
        <v>0</v>
      </c>
      <c r="BB13" s="1313">
        <v>0</v>
      </c>
      <c r="BC13" s="1313">
        <v>0</v>
      </c>
      <c r="BD13" s="1313">
        <v>0</v>
      </c>
      <c r="BE13" s="1313">
        <v>0</v>
      </c>
      <c r="BF13" s="1313">
        <v>0</v>
      </c>
      <c r="BG13" s="1313">
        <v>0</v>
      </c>
      <c r="BH13" s="1313">
        <v>0</v>
      </c>
      <c r="BI13" s="1313">
        <v>0</v>
      </c>
      <c r="BJ13" s="1313">
        <v>0</v>
      </c>
      <c r="BK13" s="1313">
        <v>0</v>
      </c>
      <c r="BL13" s="1313">
        <v>22434.85</v>
      </c>
      <c r="BM13" s="1313">
        <v>22435</v>
      </c>
      <c r="BN13" s="1313">
        <v>377803.53</v>
      </c>
      <c r="BO13" s="1313">
        <v>500361.51</v>
      </c>
      <c r="BP13" s="1313">
        <v>0</v>
      </c>
      <c r="BQ13" s="1313">
        <v>0</v>
      </c>
      <c r="BR13" s="1313">
        <v>0</v>
      </c>
      <c r="BS13" s="1313">
        <v>0</v>
      </c>
      <c r="BT13" s="1313">
        <v>0</v>
      </c>
      <c r="BU13" s="1313">
        <v>0</v>
      </c>
      <c r="BV13" s="1313">
        <v>0</v>
      </c>
      <c r="BW13" s="1313">
        <v>0</v>
      </c>
      <c r="BX13" s="1313">
        <v>0</v>
      </c>
      <c r="BY13" s="1313">
        <v>0</v>
      </c>
      <c r="BZ13" s="1313">
        <v>0</v>
      </c>
      <c r="CA13" s="1313">
        <v>0</v>
      </c>
      <c r="CB13" s="1313">
        <v>0</v>
      </c>
      <c r="CC13" s="1313">
        <v>0</v>
      </c>
      <c r="CD13" s="1313">
        <v>3393044.31</v>
      </c>
      <c r="CE13" s="1313">
        <v>3566696.51</v>
      </c>
      <c r="CF13" s="1313">
        <v>2351506.14</v>
      </c>
      <c r="CG13" s="1313">
        <v>2049161.33</v>
      </c>
      <c r="CH13" s="1313">
        <v>84752.03</v>
      </c>
      <c r="CI13" s="1313">
        <v>90404.4</v>
      </c>
      <c r="CJ13" s="1313">
        <v>0</v>
      </c>
      <c r="CK13" s="1313">
        <v>0</v>
      </c>
      <c r="CL13" s="1313">
        <v>0</v>
      </c>
      <c r="CM13" s="1313">
        <v>0</v>
      </c>
      <c r="CN13" s="1313">
        <v>12389.48</v>
      </c>
      <c r="CO13" s="1313">
        <v>51881</v>
      </c>
      <c r="CP13" s="1313">
        <v>0</v>
      </c>
      <c r="CQ13" s="1313">
        <v>0</v>
      </c>
      <c r="CR13" s="1313">
        <v>2448647.65</v>
      </c>
      <c r="CS13" s="1313">
        <v>2191446.73</v>
      </c>
      <c r="CT13" s="1313">
        <v>692278.18</v>
      </c>
      <c r="CU13" s="1313">
        <v>676554</v>
      </c>
      <c r="CV13" s="1313">
        <v>3907.56</v>
      </c>
      <c r="CW13" s="1313">
        <v>236000</v>
      </c>
      <c r="CX13" s="1313">
        <v>1095.9000000000001</v>
      </c>
      <c r="CY13" s="1313">
        <v>0</v>
      </c>
      <c r="CZ13" s="1313">
        <v>0</v>
      </c>
      <c r="DA13" s="1313">
        <v>0</v>
      </c>
      <c r="DB13" s="1313">
        <v>0</v>
      </c>
      <c r="DC13" s="1313">
        <v>5000</v>
      </c>
      <c r="DD13" s="1313">
        <v>697281.64</v>
      </c>
      <c r="DE13" s="1313">
        <v>917554</v>
      </c>
      <c r="DF13" s="1313">
        <v>113889.58</v>
      </c>
      <c r="DG13" s="1313">
        <v>179652.64</v>
      </c>
      <c r="DH13" s="1313">
        <v>106433.94</v>
      </c>
      <c r="DI13" s="1313">
        <v>315042.74</v>
      </c>
      <c r="DJ13" s="1313">
        <v>0</v>
      </c>
      <c r="DK13" s="1313">
        <v>0</v>
      </c>
      <c r="DL13" s="1313">
        <v>220323.52</v>
      </c>
      <c r="DM13" s="1313">
        <v>494695.38</v>
      </c>
      <c r="DN13" s="1313">
        <v>0</v>
      </c>
      <c r="DO13" s="1313">
        <v>0</v>
      </c>
      <c r="DP13" s="1313">
        <v>0</v>
      </c>
      <c r="DQ13" s="1313">
        <v>0</v>
      </c>
      <c r="DR13" s="1313">
        <v>0</v>
      </c>
      <c r="DS13" s="1313">
        <v>2000</v>
      </c>
      <c r="DT13" s="1313">
        <v>0</v>
      </c>
      <c r="DU13" s="1313">
        <v>0</v>
      </c>
      <c r="DV13" s="1313">
        <v>0</v>
      </c>
      <c r="DW13" s="1313">
        <v>2000</v>
      </c>
      <c r="DX13" s="1313">
        <v>0</v>
      </c>
      <c r="DY13" s="1313">
        <v>0</v>
      </c>
      <c r="DZ13" s="1313">
        <v>0</v>
      </c>
      <c r="EA13" s="1313">
        <v>0</v>
      </c>
      <c r="EB13" s="1313">
        <v>14083</v>
      </c>
      <c r="EC13" s="1313">
        <v>0</v>
      </c>
      <c r="ED13" s="1313">
        <v>3380335.81</v>
      </c>
      <c r="EE13" s="1313">
        <v>3605696.11</v>
      </c>
      <c r="EF13" s="1313">
        <v>1090.07</v>
      </c>
      <c r="EG13" s="1313">
        <v>3000</v>
      </c>
      <c r="EH13" s="1313">
        <v>0</v>
      </c>
      <c r="EI13" s="1313">
        <v>0</v>
      </c>
      <c r="EJ13" s="1313">
        <v>3379245.74</v>
      </c>
      <c r="EK13" s="1313">
        <v>3602696.11</v>
      </c>
      <c r="EL13" s="1313">
        <v>14083</v>
      </c>
      <c r="EN13" s="1313">
        <v>3365162.74</v>
      </c>
      <c r="EP13" s="1313">
        <v>6946</v>
      </c>
      <c r="ER13" s="1313">
        <v>8.5</v>
      </c>
      <c r="ET13" s="1313">
        <v>39332</v>
      </c>
      <c r="EV13" s="1313">
        <v>8.5</v>
      </c>
      <c r="EX13" s="1313">
        <v>39332</v>
      </c>
      <c r="EZ13" s="1313">
        <v>289867.48</v>
      </c>
      <c r="FB13" s="1313">
        <v>21584.89</v>
      </c>
      <c r="FD13" s="1313">
        <v>0</v>
      </c>
      <c r="FF13" s="1313">
        <v>268282.59000000003</v>
      </c>
      <c r="FH13" s="1313">
        <v>0</v>
      </c>
      <c r="FJ13" s="1313">
        <v>0</v>
      </c>
    </row>
    <row r="14" spans="1:167" ht="33">
      <c r="A14" s="1313" t="s">
        <v>757</v>
      </c>
      <c r="B14" s="422" t="s">
        <v>774</v>
      </c>
      <c r="C14" s="422" t="s">
        <v>714</v>
      </c>
      <c r="D14" s="1460" t="s">
        <v>717</v>
      </c>
      <c r="E14" s="1313">
        <v>164</v>
      </c>
      <c r="F14" s="1313">
        <v>173.41</v>
      </c>
      <c r="H14" s="1313">
        <v>0</v>
      </c>
      <c r="J14" s="1313">
        <v>179.05</v>
      </c>
      <c r="L14" s="1313">
        <v>0</v>
      </c>
      <c r="M14" s="1313">
        <v>0</v>
      </c>
      <c r="N14" s="1313">
        <v>28418.61</v>
      </c>
      <c r="O14" s="1313">
        <v>16000</v>
      </c>
      <c r="P14" s="1313">
        <v>0</v>
      </c>
      <c r="Q14" s="1313">
        <v>0</v>
      </c>
      <c r="R14" s="1313">
        <v>0</v>
      </c>
      <c r="S14" s="1313">
        <v>0</v>
      </c>
      <c r="T14" s="1313">
        <v>0</v>
      </c>
      <c r="U14" s="1313">
        <v>0</v>
      </c>
      <c r="V14" s="1313">
        <v>0</v>
      </c>
      <c r="W14" s="1313">
        <v>0</v>
      </c>
      <c r="X14" s="1313">
        <v>0</v>
      </c>
      <c r="Y14" s="1313">
        <v>0</v>
      </c>
      <c r="Z14" s="1313">
        <v>0</v>
      </c>
      <c r="AA14" s="1313">
        <v>0</v>
      </c>
      <c r="AB14" s="1313">
        <v>0</v>
      </c>
      <c r="AC14" s="1313">
        <v>0</v>
      </c>
      <c r="AD14" s="1313">
        <v>0</v>
      </c>
      <c r="AE14" s="1313">
        <v>0</v>
      </c>
      <c r="AF14" s="1313">
        <v>1036378</v>
      </c>
      <c r="AG14" s="1313">
        <v>1443840</v>
      </c>
      <c r="AH14" s="1313">
        <v>1064796.6100000001</v>
      </c>
      <c r="AI14" s="1313">
        <v>1459840</v>
      </c>
      <c r="AJ14" s="1313">
        <v>0</v>
      </c>
      <c r="AK14" s="1313">
        <v>0</v>
      </c>
      <c r="AL14" s="1313">
        <v>7224</v>
      </c>
      <c r="AM14" s="1313">
        <v>7035</v>
      </c>
      <c r="AN14" s="1313">
        <v>0</v>
      </c>
      <c r="AO14" s="1313">
        <v>0</v>
      </c>
      <c r="AP14" s="1313">
        <v>0</v>
      </c>
      <c r="AQ14" s="1313">
        <v>0</v>
      </c>
      <c r="AR14" s="1313">
        <v>0</v>
      </c>
      <c r="AS14" s="1313">
        <v>0</v>
      </c>
      <c r="AT14" s="1313">
        <v>7032</v>
      </c>
      <c r="AU14" s="1313">
        <v>0</v>
      </c>
      <c r="AV14" s="1313">
        <v>164672</v>
      </c>
      <c r="AW14" s="1313">
        <v>84980</v>
      </c>
      <c r="AX14" s="1313">
        <v>920.41</v>
      </c>
      <c r="AY14" s="1313">
        <v>0</v>
      </c>
      <c r="AZ14" s="1313">
        <v>0</v>
      </c>
      <c r="BA14" s="1313">
        <v>0</v>
      </c>
      <c r="BB14" s="1313">
        <v>205.41</v>
      </c>
      <c r="BC14" s="1313">
        <v>0</v>
      </c>
      <c r="BD14" s="1313">
        <v>0</v>
      </c>
      <c r="BE14" s="1313">
        <v>0</v>
      </c>
      <c r="BF14" s="1313">
        <v>0</v>
      </c>
      <c r="BG14" s="1313">
        <v>0</v>
      </c>
      <c r="BH14" s="1313">
        <v>0</v>
      </c>
      <c r="BI14" s="1313">
        <v>0</v>
      </c>
      <c r="BJ14" s="1313">
        <v>0</v>
      </c>
      <c r="BK14" s="1313">
        <v>0</v>
      </c>
      <c r="BL14" s="1313">
        <v>180053.82</v>
      </c>
      <c r="BM14" s="1313">
        <v>92015</v>
      </c>
      <c r="BN14" s="1313">
        <v>349526.22</v>
      </c>
      <c r="BO14" s="1313">
        <v>209145</v>
      </c>
      <c r="BP14" s="1313">
        <v>0</v>
      </c>
      <c r="BQ14" s="1313">
        <v>0</v>
      </c>
      <c r="BR14" s="1313">
        <v>0</v>
      </c>
      <c r="BS14" s="1313">
        <v>0</v>
      </c>
      <c r="BT14" s="1313">
        <v>0</v>
      </c>
      <c r="BU14" s="1313">
        <v>0</v>
      </c>
      <c r="BV14" s="1313">
        <v>0</v>
      </c>
      <c r="BW14" s="1313">
        <v>0</v>
      </c>
      <c r="BX14" s="1313">
        <v>0</v>
      </c>
      <c r="BY14" s="1313">
        <v>0</v>
      </c>
      <c r="BZ14" s="1313">
        <v>0</v>
      </c>
      <c r="CA14" s="1313">
        <v>0</v>
      </c>
      <c r="CB14" s="1313">
        <v>0</v>
      </c>
      <c r="CC14" s="1313">
        <v>0</v>
      </c>
      <c r="CD14" s="1313">
        <v>1594376.65</v>
      </c>
      <c r="CE14" s="1313">
        <v>1761000</v>
      </c>
      <c r="CF14" s="1313">
        <v>581004.71</v>
      </c>
      <c r="CG14" s="1313">
        <v>842909.78</v>
      </c>
      <c r="CH14" s="1313">
        <v>37152.239999999998</v>
      </c>
      <c r="CI14" s="1313">
        <v>24300</v>
      </c>
      <c r="CJ14" s="1313">
        <v>0</v>
      </c>
      <c r="CK14" s="1313">
        <v>0</v>
      </c>
      <c r="CL14" s="1313">
        <v>0</v>
      </c>
      <c r="CM14" s="1313">
        <v>0</v>
      </c>
      <c r="CN14" s="1313">
        <v>83732.710000000006</v>
      </c>
      <c r="CO14" s="1313">
        <v>37009.5</v>
      </c>
      <c r="CP14" s="1313">
        <v>12335.26</v>
      </c>
      <c r="CQ14" s="1313">
        <v>0</v>
      </c>
      <c r="CR14" s="1313">
        <v>714224.92</v>
      </c>
      <c r="CS14" s="1313">
        <v>904219.28</v>
      </c>
      <c r="CT14" s="1313">
        <v>225026.98</v>
      </c>
      <c r="CU14" s="1313">
        <v>175865.1</v>
      </c>
      <c r="CV14" s="1313">
        <v>60693.82</v>
      </c>
      <c r="CW14" s="1313">
        <v>62100</v>
      </c>
      <c r="CX14" s="1313">
        <v>194556.06</v>
      </c>
      <c r="CY14" s="1313">
        <v>244750</v>
      </c>
      <c r="CZ14" s="1313">
        <v>7092.28</v>
      </c>
      <c r="DA14" s="1313">
        <v>0</v>
      </c>
      <c r="DB14" s="1313">
        <v>0</v>
      </c>
      <c r="DC14" s="1313">
        <v>0</v>
      </c>
      <c r="DD14" s="1313">
        <v>487369.14</v>
      </c>
      <c r="DE14" s="1313">
        <v>482715.1</v>
      </c>
      <c r="DF14" s="1313">
        <v>53900.04</v>
      </c>
      <c r="DG14" s="1313">
        <v>21431</v>
      </c>
      <c r="DH14" s="1313">
        <v>100098.97</v>
      </c>
      <c r="DI14" s="1313">
        <v>65934.3</v>
      </c>
      <c r="DJ14" s="1313">
        <v>96858.28</v>
      </c>
      <c r="DK14" s="1313">
        <v>141291.70000000001</v>
      </c>
      <c r="DL14" s="1313">
        <v>250857.29</v>
      </c>
      <c r="DM14" s="1313">
        <v>228657</v>
      </c>
      <c r="DN14" s="1313">
        <v>111022.33</v>
      </c>
      <c r="DO14" s="1313">
        <v>139940.25</v>
      </c>
      <c r="DP14" s="1313">
        <v>0</v>
      </c>
      <c r="DQ14" s="1313">
        <v>0</v>
      </c>
      <c r="DR14" s="1313">
        <v>114.73</v>
      </c>
      <c r="DS14" s="1313">
        <v>0</v>
      </c>
      <c r="DT14" s="1313">
        <v>0</v>
      </c>
      <c r="DU14" s="1313">
        <v>0</v>
      </c>
      <c r="DV14" s="1313">
        <v>111137.06</v>
      </c>
      <c r="DW14" s="1313">
        <v>139940.25</v>
      </c>
      <c r="DX14" s="1313">
        <v>7885.98</v>
      </c>
      <c r="DY14" s="1313">
        <v>0</v>
      </c>
      <c r="DZ14" s="1313">
        <v>0</v>
      </c>
      <c r="EA14" s="1313">
        <v>0</v>
      </c>
      <c r="EB14" s="1313">
        <v>0</v>
      </c>
      <c r="EC14" s="1313">
        <v>0</v>
      </c>
      <c r="ED14" s="1313">
        <v>1571474.39</v>
      </c>
      <c r="EE14" s="1313">
        <v>1755531.63</v>
      </c>
      <c r="EF14" s="1313">
        <v>11171.31</v>
      </c>
      <c r="EG14" s="1313">
        <v>0</v>
      </c>
      <c r="EH14" s="1313">
        <v>0</v>
      </c>
      <c r="EI14" s="1313">
        <v>0</v>
      </c>
      <c r="EJ14" s="1313">
        <v>1560303.08</v>
      </c>
      <c r="EK14" s="1313">
        <v>1755531.63</v>
      </c>
      <c r="EL14" s="1313">
        <v>21012.47</v>
      </c>
      <c r="EN14" s="1313">
        <v>1539290.61</v>
      </c>
      <c r="EP14" s="1313">
        <v>8876</v>
      </c>
      <c r="ER14" s="1313">
        <v>11.3</v>
      </c>
      <c r="ET14" s="1313">
        <v>33972</v>
      </c>
      <c r="EV14" s="1313">
        <v>12.55</v>
      </c>
      <c r="EX14" s="1313">
        <v>40890</v>
      </c>
      <c r="EZ14" s="1313">
        <v>41800.61</v>
      </c>
      <c r="FB14" s="1313">
        <v>18849.87</v>
      </c>
      <c r="FD14" s="1313">
        <v>0</v>
      </c>
      <c r="FF14" s="1313">
        <v>22950.74</v>
      </c>
      <c r="FH14" s="1313">
        <v>0</v>
      </c>
      <c r="FJ14" s="1313">
        <v>0</v>
      </c>
    </row>
    <row r="15" spans="1:167" ht="33">
      <c r="A15" s="1313" t="s">
        <v>758</v>
      </c>
      <c r="B15" s="422" t="s">
        <v>775</v>
      </c>
      <c r="C15" s="422" t="s">
        <v>714</v>
      </c>
      <c r="D15" s="422" t="s">
        <v>718</v>
      </c>
      <c r="E15" s="1313">
        <v>362</v>
      </c>
      <c r="F15" s="1313">
        <v>354.77</v>
      </c>
      <c r="H15" s="1313">
        <v>0</v>
      </c>
      <c r="J15" s="1313">
        <v>360.11</v>
      </c>
      <c r="L15" s="1313">
        <v>0</v>
      </c>
      <c r="M15" s="1313">
        <v>0</v>
      </c>
      <c r="N15" s="1313">
        <v>570329.11</v>
      </c>
      <c r="O15" s="1313">
        <v>754745</v>
      </c>
      <c r="P15" s="1313">
        <v>0</v>
      </c>
      <c r="Q15" s="1313">
        <v>0</v>
      </c>
      <c r="R15" s="1313">
        <v>0</v>
      </c>
      <c r="S15" s="1313">
        <v>0</v>
      </c>
      <c r="T15" s="1313">
        <v>0</v>
      </c>
      <c r="U15" s="1313">
        <v>0</v>
      </c>
      <c r="V15" s="1313">
        <v>0</v>
      </c>
      <c r="W15" s="1313">
        <v>626688</v>
      </c>
      <c r="X15" s="1313">
        <v>0</v>
      </c>
      <c r="Y15" s="1313">
        <v>0</v>
      </c>
      <c r="Z15" s="1313">
        <v>0</v>
      </c>
      <c r="AA15" s="1313">
        <v>0</v>
      </c>
      <c r="AB15" s="1313">
        <v>0</v>
      </c>
      <c r="AC15" s="1313">
        <v>0</v>
      </c>
      <c r="AD15" s="1313">
        <v>0</v>
      </c>
      <c r="AE15" s="1313">
        <v>0</v>
      </c>
      <c r="AF15" s="1313">
        <v>2168280</v>
      </c>
      <c r="AG15" s="1313">
        <v>2211840</v>
      </c>
      <c r="AH15" s="1313">
        <v>2738609.11</v>
      </c>
      <c r="AI15" s="1313">
        <v>3593273</v>
      </c>
      <c r="AJ15" s="1313">
        <v>0</v>
      </c>
      <c r="AK15" s="1313">
        <v>0</v>
      </c>
      <c r="AL15" s="1313">
        <v>14890</v>
      </c>
      <c r="AM15" s="1313">
        <v>19866</v>
      </c>
      <c r="AN15" s="1313">
        <v>10000</v>
      </c>
      <c r="AO15" s="1313">
        <v>0</v>
      </c>
      <c r="AP15" s="1313">
        <v>0</v>
      </c>
      <c r="AQ15" s="1313">
        <v>0</v>
      </c>
      <c r="AR15" s="1313">
        <v>0</v>
      </c>
      <c r="AS15" s="1313">
        <v>0</v>
      </c>
      <c r="AT15" s="1313">
        <v>0</v>
      </c>
      <c r="AU15" s="1313">
        <v>3887</v>
      </c>
      <c r="AV15" s="1313">
        <v>63984</v>
      </c>
      <c r="AW15" s="1313">
        <v>78430</v>
      </c>
      <c r="AX15" s="1313">
        <v>1478.19</v>
      </c>
      <c r="AY15" s="1313">
        <v>1476</v>
      </c>
      <c r="AZ15" s="1313">
        <v>0</v>
      </c>
      <c r="BA15" s="1313">
        <v>0</v>
      </c>
      <c r="BB15" s="1313">
        <v>908.9</v>
      </c>
      <c r="BC15" s="1313">
        <v>1000</v>
      </c>
      <c r="BD15" s="1313">
        <v>0</v>
      </c>
      <c r="BE15" s="1313">
        <v>0</v>
      </c>
      <c r="BF15" s="1313">
        <v>0</v>
      </c>
      <c r="BG15" s="1313">
        <v>0</v>
      </c>
      <c r="BH15" s="1313">
        <v>0</v>
      </c>
      <c r="BI15" s="1313">
        <v>0</v>
      </c>
      <c r="BJ15" s="1313">
        <v>0</v>
      </c>
      <c r="BK15" s="1313">
        <v>0</v>
      </c>
      <c r="BL15" s="1313">
        <v>91261.09</v>
      </c>
      <c r="BM15" s="1313">
        <v>104659</v>
      </c>
      <c r="BN15" s="1313">
        <v>363164.43</v>
      </c>
      <c r="BO15" s="1313">
        <v>302136</v>
      </c>
      <c r="BP15" s="1313">
        <v>57038.14</v>
      </c>
      <c r="BQ15" s="1313">
        <v>0</v>
      </c>
      <c r="BR15" s="1313">
        <v>0</v>
      </c>
      <c r="BS15" s="1313">
        <v>0</v>
      </c>
      <c r="BT15" s="1313">
        <v>0</v>
      </c>
      <c r="BU15" s="1313">
        <v>0</v>
      </c>
      <c r="BV15" s="1313">
        <v>0</v>
      </c>
      <c r="BW15" s="1313">
        <v>0</v>
      </c>
      <c r="BX15" s="1313">
        <v>0</v>
      </c>
      <c r="BY15" s="1313">
        <v>0</v>
      </c>
      <c r="BZ15" s="1313">
        <v>0</v>
      </c>
      <c r="CA15" s="1313">
        <v>0</v>
      </c>
      <c r="CB15" s="1313">
        <v>57038.14</v>
      </c>
      <c r="CC15" s="1313">
        <v>0</v>
      </c>
      <c r="CD15" s="1313">
        <v>3250072.77</v>
      </c>
      <c r="CE15" s="1313">
        <v>4000068</v>
      </c>
      <c r="CF15" s="1313">
        <v>1699824.38</v>
      </c>
      <c r="CG15" s="1313">
        <v>2130332.7599999998</v>
      </c>
      <c r="CH15" s="1313">
        <v>88907.64</v>
      </c>
      <c r="CI15" s="1313">
        <v>73516.97</v>
      </c>
      <c r="CJ15" s="1313">
        <v>0</v>
      </c>
      <c r="CK15" s="1313">
        <v>0</v>
      </c>
      <c r="CL15" s="1313">
        <v>0</v>
      </c>
      <c r="CM15" s="1313">
        <v>0</v>
      </c>
      <c r="CN15" s="1313">
        <v>111140.75</v>
      </c>
      <c r="CO15" s="1313">
        <v>69182.34</v>
      </c>
      <c r="CP15" s="1313">
        <v>0</v>
      </c>
      <c r="CQ15" s="1313">
        <v>0</v>
      </c>
      <c r="CR15" s="1313">
        <v>1899872.77</v>
      </c>
      <c r="CS15" s="1313">
        <v>2273032.0699999998</v>
      </c>
      <c r="CT15" s="1313">
        <v>26493.3</v>
      </c>
      <c r="CU15" s="1313">
        <v>49863</v>
      </c>
      <c r="CV15" s="1313">
        <v>212040.1</v>
      </c>
      <c r="CW15" s="1313">
        <v>254634.66</v>
      </c>
      <c r="CX15" s="1313">
        <v>431275.28</v>
      </c>
      <c r="CY15" s="1313">
        <v>520334.39</v>
      </c>
      <c r="CZ15" s="1313">
        <v>3904.29</v>
      </c>
      <c r="DA15" s="1313">
        <v>6400</v>
      </c>
      <c r="DB15" s="1313">
        <v>277.52</v>
      </c>
      <c r="DC15" s="1313">
        <v>0</v>
      </c>
      <c r="DD15" s="1313">
        <v>673990.49</v>
      </c>
      <c r="DE15" s="1313">
        <v>831232.05</v>
      </c>
      <c r="DF15" s="1313">
        <v>92690.9</v>
      </c>
      <c r="DG15" s="1313">
        <v>125773.74</v>
      </c>
      <c r="DH15" s="1313">
        <v>129548.06</v>
      </c>
      <c r="DI15" s="1313">
        <v>230587.61</v>
      </c>
      <c r="DJ15" s="1313">
        <v>337754.87</v>
      </c>
      <c r="DK15" s="1313">
        <v>318079.53000000003</v>
      </c>
      <c r="DL15" s="1313">
        <v>559993.82999999996</v>
      </c>
      <c r="DM15" s="1313">
        <v>674440.88</v>
      </c>
      <c r="DN15" s="1313">
        <v>116193.8</v>
      </c>
      <c r="DO15" s="1313">
        <v>124000</v>
      </c>
      <c r="DP15" s="1313">
        <v>0</v>
      </c>
      <c r="DQ15" s="1313">
        <v>0</v>
      </c>
      <c r="DR15" s="1313">
        <v>0</v>
      </c>
      <c r="DS15" s="1313">
        <v>0</v>
      </c>
      <c r="DT15" s="1313">
        <v>0</v>
      </c>
      <c r="DU15" s="1313">
        <v>0</v>
      </c>
      <c r="DV15" s="1313">
        <v>116193.8</v>
      </c>
      <c r="DW15" s="1313">
        <v>124000</v>
      </c>
      <c r="DX15" s="1313">
        <v>0</v>
      </c>
      <c r="DY15" s="1313">
        <v>0</v>
      </c>
      <c r="DZ15" s="1313">
        <v>0</v>
      </c>
      <c r="EA15" s="1313">
        <v>0</v>
      </c>
      <c r="EB15" s="1313">
        <v>0</v>
      </c>
      <c r="EC15" s="1313">
        <v>0</v>
      </c>
      <c r="ED15" s="1313">
        <v>3250050.89</v>
      </c>
      <c r="EE15" s="1313">
        <v>3902705</v>
      </c>
      <c r="EF15" s="1313">
        <v>0</v>
      </c>
      <c r="EG15" s="1313">
        <v>20520</v>
      </c>
      <c r="EH15" s="1313">
        <v>0</v>
      </c>
      <c r="EI15" s="1313">
        <v>0</v>
      </c>
      <c r="EJ15" s="1313">
        <v>3250050.89</v>
      </c>
      <c r="EK15" s="1313">
        <v>3882185</v>
      </c>
      <c r="EL15" s="1313">
        <v>556300.24</v>
      </c>
      <c r="EN15" s="1313">
        <v>2693750.65</v>
      </c>
      <c r="EP15" s="1313">
        <v>7592</v>
      </c>
      <c r="ER15" s="1313">
        <v>26.92</v>
      </c>
      <c r="ET15" s="1313">
        <v>37122</v>
      </c>
      <c r="EV15" s="1313">
        <v>28.38</v>
      </c>
      <c r="EX15" s="1313">
        <v>39106</v>
      </c>
      <c r="EZ15" s="1313">
        <v>2048.42</v>
      </c>
      <c r="FB15" s="1313">
        <v>0</v>
      </c>
      <c r="FD15" s="1313">
        <v>0</v>
      </c>
      <c r="FF15" s="1313">
        <v>2048.42</v>
      </c>
      <c r="FH15" s="1313">
        <v>0</v>
      </c>
      <c r="FJ15" s="1313">
        <v>0</v>
      </c>
    </row>
    <row r="16" spans="1:167" ht="22">
      <c r="A16" s="1313" t="s">
        <v>759</v>
      </c>
      <c r="B16" s="422" t="s">
        <v>776</v>
      </c>
      <c r="C16" s="422" t="s">
        <v>714</v>
      </c>
      <c r="D16" s="1460" t="s">
        <v>719</v>
      </c>
      <c r="E16" s="1313">
        <v>502</v>
      </c>
      <c r="F16" s="1313">
        <v>484.76</v>
      </c>
      <c r="H16" s="1313">
        <v>0</v>
      </c>
      <c r="J16" s="1313">
        <v>500.7</v>
      </c>
      <c r="L16" s="1313">
        <v>0</v>
      </c>
      <c r="M16" s="1313">
        <v>0</v>
      </c>
      <c r="N16" s="1313">
        <v>214232.16</v>
      </c>
      <c r="O16" s="1313">
        <v>181179</v>
      </c>
      <c r="P16" s="1313">
        <v>0</v>
      </c>
      <c r="Q16" s="1313">
        <v>0</v>
      </c>
      <c r="R16" s="1313">
        <v>0</v>
      </c>
      <c r="S16" s="1313">
        <v>0</v>
      </c>
      <c r="T16" s="1313">
        <v>0</v>
      </c>
      <c r="U16" s="1313">
        <v>0</v>
      </c>
      <c r="V16" s="1313">
        <v>634587</v>
      </c>
      <c r="W16" s="1313">
        <v>0</v>
      </c>
      <c r="X16" s="1313">
        <v>0</v>
      </c>
      <c r="Y16" s="1313">
        <v>0</v>
      </c>
      <c r="Z16" s="1313">
        <v>0</v>
      </c>
      <c r="AA16" s="1313">
        <v>0</v>
      </c>
      <c r="AB16" s="1313">
        <v>0</v>
      </c>
      <c r="AC16" s="1313">
        <v>0</v>
      </c>
      <c r="AD16" s="1313">
        <v>0</v>
      </c>
      <c r="AE16" s="1313">
        <v>0</v>
      </c>
      <c r="AF16" s="1313">
        <v>2379808</v>
      </c>
      <c r="AG16" s="1313">
        <v>3072000</v>
      </c>
      <c r="AH16" s="1313">
        <v>3228627.16</v>
      </c>
      <c r="AI16" s="1313">
        <v>3253179</v>
      </c>
      <c r="AJ16" s="1313">
        <v>0</v>
      </c>
      <c r="AK16" s="1313">
        <v>0</v>
      </c>
      <c r="AL16" s="1313">
        <v>16342</v>
      </c>
      <c r="AM16" s="1313">
        <v>25500</v>
      </c>
      <c r="AN16" s="1313">
        <v>10600</v>
      </c>
      <c r="AO16" s="1313">
        <v>0</v>
      </c>
      <c r="AP16" s="1313">
        <v>0</v>
      </c>
      <c r="AQ16" s="1313">
        <v>0</v>
      </c>
      <c r="AR16" s="1313">
        <v>0</v>
      </c>
      <c r="AS16" s="1313">
        <v>0</v>
      </c>
      <c r="AT16" s="1313">
        <v>0</v>
      </c>
      <c r="AU16" s="1313">
        <v>1794</v>
      </c>
      <c r="AV16" s="1313">
        <v>56048</v>
      </c>
      <c r="AW16" s="1313">
        <v>80960</v>
      </c>
      <c r="AX16" s="1313">
        <v>2044.73</v>
      </c>
      <c r="AY16" s="1313">
        <v>2050</v>
      </c>
      <c r="AZ16" s="1313">
        <v>0</v>
      </c>
      <c r="BA16" s="1313">
        <v>0</v>
      </c>
      <c r="BB16" s="1313">
        <v>928.65</v>
      </c>
      <c r="BC16" s="1313">
        <v>900</v>
      </c>
      <c r="BD16" s="1313">
        <v>0</v>
      </c>
      <c r="BE16" s="1313">
        <v>0</v>
      </c>
      <c r="BF16" s="1313">
        <v>0</v>
      </c>
      <c r="BG16" s="1313">
        <v>0</v>
      </c>
      <c r="BH16" s="1313">
        <v>0</v>
      </c>
      <c r="BI16" s="1313">
        <v>0</v>
      </c>
      <c r="BJ16" s="1313">
        <v>0</v>
      </c>
      <c r="BK16" s="1313">
        <v>0</v>
      </c>
      <c r="BL16" s="1313">
        <v>85963.38</v>
      </c>
      <c r="BM16" s="1313">
        <v>111204</v>
      </c>
      <c r="BN16" s="1313">
        <v>539204.03</v>
      </c>
      <c r="BO16" s="1313">
        <v>244000</v>
      </c>
      <c r="BP16" s="1313">
        <v>17404.73</v>
      </c>
      <c r="BQ16" s="1313">
        <v>0</v>
      </c>
      <c r="BR16" s="1313">
        <v>0</v>
      </c>
      <c r="BS16" s="1313">
        <v>0</v>
      </c>
      <c r="BT16" s="1313">
        <v>0</v>
      </c>
      <c r="BU16" s="1313">
        <v>0</v>
      </c>
      <c r="BV16" s="1313">
        <v>0</v>
      </c>
      <c r="BW16" s="1313">
        <v>0</v>
      </c>
      <c r="BX16" s="1313">
        <v>0</v>
      </c>
      <c r="BY16" s="1313">
        <v>0</v>
      </c>
      <c r="BZ16" s="1313">
        <v>0</v>
      </c>
      <c r="CA16" s="1313">
        <v>0</v>
      </c>
      <c r="CB16" s="1313">
        <v>17404.73</v>
      </c>
      <c r="CC16" s="1313">
        <v>0</v>
      </c>
      <c r="CD16" s="1313">
        <v>3871199.3</v>
      </c>
      <c r="CE16" s="1313">
        <v>3608383</v>
      </c>
      <c r="CF16" s="1313">
        <v>2093906.68</v>
      </c>
      <c r="CG16" s="1313">
        <v>1988269.83</v>
      </c>
      <c r="CH16" s="1313">
        <v>140769.04999999999</v>
      </c>
      <c r="CI16" s="1313">
        <v>84855.19</v>
      </c>
      <c r="CJ16" s="1313">
        <v>0</v>
      </c>
      <c r="CK16" s="1313">
        <v>0</v>
      </c>
      <c r="CL16" s="1313">
        <v>0</v>
      </c>
      <c r="CM16" s="1313">
        <v>0</v>
      </c>
      <c r="CN16" s="1313">
        <v>83754.25</v>
      </c>
      <c r="CO16" s="1313">
        <v>96783</v>
      </c>
      <c r="CP16" s="1313">
        <v>0</v>
      </c>
      <c r="CQ16" s="1313">
        <v>0</v>
      </c>
      <c r="CR16" s="1313">
        <v>2318429.98</v>
      </c>
      <c r="CS16" s="1313">
        <v>2169908.02</v>
      </c>
      <c r="CT16" s="1313">
        <v>27644.400000000001</v>
      </c>
      <c r="CU16" s="1313">
        <v>52980</v>
      </c>
      <c r="CV16" s="1313">
        <v>160752.9</v>
      </c>
      <c r="CW16" s="1313">
        <v>189219</v>
      </c>
      <c r="CX16" s="1313">
        <v>555939.30000000005</v>
      </c>
      <c r="CY16" s="1313">
        <v>610800</v>
      </c>
      <c r="CZ16" s="1313">
        <v>11502.92</v>
      </c>
      <c r="DA16" s="1313">
        <v>6800</v>
      </c>
      <c r="DB16" s="1313">
        <v>204.71</v>
      </c>
      <c r="DC16" s="1313">
        <v>0</v>
      </c>
      <c r="DD16" s="1313">
        <v>756044.23</v>
      </c>
      <c r="DE16" s="1313">
        <v>859799</v>
      </c>
      <c r="DF16" s="1313">
        <v>123608.91</v>
      </c>
      <c r="DG16" s="1313">
        <v>0</v>
      </c>
      <c r="DH16" s="1313">
        <v>71540.94</v>
      </c>
      <c r="DI16" s="1313">
        <v>129005</v>
      </c>
      <c r="DJ16" s="1313">
        <v>357514.03</v>
      </c>
      <c r="DK16" s="1313">
        <v>238125.47</v>
      </c>
      <c r="DL16" s="1313">
        <v>552663.88</v>
      </c>
      <c r="DM16" s="1313">
        <v>367130.47</v>
      </c>
      <c r="DN16" s="1313">
        <v>133108.15</v>
      </c>
      <c r="DO16" s="1313">
        <v>135758.10999999999</v>
      </c>
      <c r="DP16" s="1313">
        <v>0</v>
      </c>
      <c r="DQ16" s="1313">
        <v>0</v>
      </c>
      <c r="DR16" s="1313">
        <v>0</v>
      </c>
      <c r="DS16" s="1313">
        <v>0</v>
      </c>
      <c r="DT16" s="1313">
        <v>0</v>
      </c>
      <c r="DU16" s="1313">
        <v>0</v>
      </c>
      <c r="DV16" s="1313">
        <v>133108.15</v>
      </c>
      <c r="DW16" s="1313">
        <v>135758.10999999999</v>
      </c>
      <c r="DX16" s="1313">
        <v>128572</v>
      </c>
      <c r="DY16" s="1313">
        <v>0</v>
      </c>
      <c r="DZ16" s="1313">
        <v>0</v>
      </c>
      <c r="EA16" s="1313">
        <v>0</v>
      </c>
      <c r="EB16" s="1313">
        <v>0</v>
      </c>
      <c r="EC16" s="1313">
        <v>0</v>
      </c>
      <c r="ED16" s="1313">
        <v>3888818.24</v>
      </c>
      <c r="EE16" s="1313">
        <v>3532595.6</v>
      </c>
      <c r="EF16" s="1313">
        <v>128572</v>
      </c>
      <c r="EG16" s="1313">
        <v>21740</v>
      </c>
      <c r="EH16" s="1313">
        <v>0</v>
      </c>
      <c r="EI16" s="1313">
        <v>0</v>
      </c>
      <c r="EJ16" s="1313">
        <v>3760246.24</v>
      </c>
      <c r="EK16" s="1313">
        <v>3510855.6</v>
      </c>
      <c r="EL16" s="1313">
        <v>182985.24</v>
      </c>
      <c r="EN16" s="1313">
        <v>3577261</v>
      </c>
      <c r="EP16" s="1313">
        <v>7379</v>
      </c>
      <c r="ER16" s="1313">
        <v>28.88</v>
      </c>
      <c r="ET16" s="1313">
        <v>38929</v>
      </c>
      <c r="EV16" s="1313">
        <v>28.88</v>
      </c>
      <c r="EX16" s="1313">
        <v>38929</v>
      </c>
      <c r="EZ16" s="1313">
        <v>5550.76</v>
      </c>
      <c r="FB16" s="1313">
        <v>0</v>
      </c>
      <c r="FD16" s="1313">
        <v>0</v>
      </c>
      <c r="FF16" s="1313">
        <v>5550.76</v>
      </c>
      <c r="FH16" s="1313">
        <v>0</v>
      </c>
      <c r="FJ16" s="1313">
        <v>0</v>
      </c>
    </row>
    <row r="17" spans="1:166" ht="22">
      <c r="A17" s="1313" t="s">
        <v>760</v>
      </c>
      <c r="B17" s="422" t="s">
        <v>777</v>
      </c>
      <c r="C17" s="422" t="s">
        <v>714</v>
      </c>
      <c r="D17" s="1460" t="s">
        <v>720</v>
      </c>
      <c r="E17" s="1313">
        <v>367</v>
      </c>
      <c r="F17" s="1313">
        <v>327.88</v>
      </c>
      <c r="H17" s="1313">
        <v>0</v>
      </c>
      <c r="J17" s="1313">
        <v>358.59</v>
      </c>
      <c r="L17" s="1313">
        <v>0</v>
      </c>
      <c r="M17" s="1313">
        <v>0</v>
      </c>
      <c r="N17" s="1313">
        <v>463795.63</v>
      </c>
      <c r="O17" s="1313">
        <v>366777</v>
      </c>
      <c r="P17" s="1313">
        <v>0</v>
      </c>
      <c r="Q17" s="1313">
        <v>0</v>
      </c>
      <c r="R17" s="1313">
        <v>0</v>
      </c>
      <c r="S17" s="1313">
        <v>0</v>
      </c>
      <c r="T17" s="1313">
        <v>0</v>
      </c>
      <c r="U17" s="1313">
        <v>0</v>
      </c>
      <c r="V17" s="1313">
        <v>0</v>
      </c>
      <c r="W17" s="1313">
        <v>0</v>
      </c>
      <c r="X17" s="1313">
        <v>0</v>
      </c>
      <c r="Y17" s="1313">
        <v>0</v>
      </c>
      <c r="Z17" s="1313">
        <v>0</v>
      </c>
      <c r="AA17" s="1313">
        <v>0</v>
      </c>
      <c r="AB17" s="1313">
        <v>0</v>
      </c>
      <c r="AC17" s="1313">
        <v>0</v>
      </c>
      <c r="AD17" s="1313">
        <v>0</v>
      </c>
      <c r="AE17" s="1313">
        <v>0</v>
      </c>
      <c r="AF17" s="1313">
        <v>2181290</v>
      </c>
      <c r="AG17" s="1313">
        <v>3010560</v>
      </c>
      <c r="AH17" s="1313">
        <v>2645085.63</v>
      </c>
      <c r="AI17" s="1313">
        <v>3377337</v>
      </c>
      <c r="AJ17" s="1313">
        <v>0</v>
      </c>
      <c r="AK17" s="1313">
        <v>0</v>
      </c>
      <c r="AL17" s="1313">
        <v>7623</v>
      </c>
      <c r="AM17" s="1313">
        <v>24990</v>
      </c>
      <c r="AN17" s="1313">
        <v>4400</v>
      </c>
      <c r="AO17" s="1313">
        <v>0</v>
      </c>
      <c r="AP17" s="1313">
        <v>150</v>
      </c>
      <c r="AQ17" s="1313">
        <v>0</v>
      </c>
      <c r="AR17" s="1313">
        <v>0</v>
      </c>
      <c r="AS17" s="1313">
        <v>0</v>
      </c>
      <c r="AT17" s="1313">
        <v>0</v>
      </c>
      <c r="AU17" s="1313">
        <v>3289</v>
      </c>
      <c r="AV17" s="1313">
        <v>28272</v>
      </c>
      <c r="AW17" s="1313">
        <v>88550</v>
      </c>
      <c r="AX17" s="1313">
        <v>1062.26</v>
      </c>
      <c r="AY17" s="1313">
        <v>1989</v>
      </c>
      <c r="AZ17" s="1313">
        <v>0</v>
      </c>
      <c r="BA17" s="1313">
        <v>0</v>
      </c>
      <c r="BB17" s="1313">
        <v>290.91000000000003</v>
      </c>
      <c r="BC17" s="1313">
        <v>300</v>
      </c>
      <c r="BD17" s="1313">
        <v>0</v>
      </c>
      <c r="BE17" s="1313">
        <v>0</v>
      </c>
      <c r="BF17" s="1313">
        <v>0</v>
      </c>
      <c r="BG17" s="1313">
        <v>0</v>
      </c>
      <c r="BH17" s="1313">
        <v>0</v>
      </c>
      <c r="BI17" s="1313">
        <v>0</v>
      </c>
      <c r="BJ17" s="1313">
        <v>600</v>
      </c>
      <c r="BK17" s="1313">
        <v>0</v>
      </c>
      <c r="BL17" s="1313">
        <v>42398.17</v>
      </c>
      <c r="BM17" s="1313">
        <v>119118</v>
      </c>
      <c r="BN17" s="1313">
        <v>284760.69</v>
      </c>
      <c r="BO17" s="1313">
        <v>109074</v>
      </c>
      <c r="BP17" s="1313">
        <v>2278</v>
      </c>
      <c r="BQ17" s="1313">
        <v>0</v>
      </c>
      <c r="BR17" s="1313">
        <v>0</v>
      </c>
      <c r="BS17" s="1313">
        <v>0</v>
      </c>
      <c r="BT17" s="1313">
        <v>0</v>
      </c>
      <c r="BU17" s="1313">
        <v>0</v>
      </c>
      <c r="BV17" s="1313">
        <v>0</v>
      </c>
      <c r="BW17" s="1313">
        <v>0</v>
      </c>
      <c r="BX17" s="1313">
        <v>0</v>
      </c>
      <c r="BY17" s="1313">
        <v>0</v>
      </c>
      <c r="BZ17" s="1313">
        <v>0</v>
      </c>
      <c r="CA17" s="1313">
        <v>0</v>
      </c>
      <c r="CB17" s="1313">
        <v>2278</v>
      </c>
      <c r="CC17" s="1313">
        <v>0</v>
      </c>
      <c r="CD17" s="1313">
        <v>2974522.49</v>
      </c>
      <c r="CE17" s="1313">
        <v>3605529</v>
      </c>
      <c r="CF17" s="1313">
        <v>1597039.17</v>
      </c>
      <c r="CG17" s="1313">
        <v>1833610.54</v>
      </c>
      <c r="CH17" s="1313">
        <v>48602.55</v>
      </c>
      <c r="CI17" s="1313">
        <v>99575.01</v>
      </c>
      <c r="CJ17" s="1313">
        <v>0</v>
      </c>
      <c r="CK17" s="1313">
        <v>0</v>
      </c>
      <c r="CL17" s="1313">
        <v>0</v>
      </c>
      <c r="CM17" s="1313">
        <v>0</v>
      </c>
      <c r="CN17" s="1313">
        <v>95919.86</v>
      </c>
      <c r="CO17" s="1313">
        <v>30054</v>
      </c>
      <c r="CP17" s="1313">
        <v>150</v>
      </c>
      <c r="CQ17" s="1313">
        <v>0</v>
      </c>
      <c r="CR17" s="1313">
        <v>1741711.58</v>
      </c>
      <c r="CS17" s="1313">
        <v>1963239.55</v>
      </c>
      <c r="CT17" s="1313">
        <v>23093.3</v>
      </c>
      <c r="CU17" s="1313">
        <v>155687.43</v>
      </c>
      <c r="CV17" s="1313">
        <v>102343</v>
      </c>
      <c r="CW17" s="1313">
        <v>91909</v>
      </c>
      <c r="CX17" s="1313">
        <v>511593.59</v>
      </c>
      <c r="CY17" s="1313">
        <v>718326.08</v>
      </c>
      <c r="CZ17" s="1313">
        <v>3904.29</v>
      </c>
      <c r="DA17" s="1313">
        <v>6800</v>
      </c>
      <c r="DB17" s="1313">
        <v>0</v>
      </c>
      <c r="DC17" s="1313">
        <v>0</v>
      </c>
      <c r="DD17" s="1313">
        <v>640934.18000000005</v>
      </c>
      <c r="DE17" s="1313">
        <v>972722.51</v>
      </c>
      <c r="DF17" s="1313">
        <v>21812.02</v>
      </c>
      <c r="DG17" s="1313">
        <v>134300.57999999999</v>
      </c>
      <c r="DH17" s="1313">
        <v>48315.98</v>
      </c>
      <c r="DI17" s="1313">
        <v>133670</v>
      </c>
      <c r="DJ17" s="1313">
        <v>402023.11</v>
      </c>
      <c r="DK17" s="1313">
        <v>284148.36</v>
      </c>
      <c r="DL17" s="1313">
        <v>472151.11</v>
      </c>
      <c r="DM17" s="1313">
        <v>552118.93999999994</v>
      </c>
      <c r="DN17" s="1313">
        <v>106769.75</v>
      </c>
      <c r="DO17" s="1313">
        <v>112175</v>
      </c>
      <c r="DP17" s="1313">
        <v>0</v>
      </c>
      <c r="DQ17" s="1313">
        <v>0</v>
      </c>
      <c r="DR17" s="1313">
        <v>0</v>
      </c>
      <c r="DS17" s="1313">
        <v>0</v>
      </c>
      <c r="DT17" s="1313">
        <v>0</v>
      </c>
      <c r="DU17" s="1313">
        <v>0</v>
      </c>
      <c r="DV17" s="1313">
        <v>106769.75</v>
      </c>
      <c r="DW17" s="1313">
        <v>112175</v>
      </c>
      <c r="DX17" s="1313">
        <v>0</v>
      </c>
      <c r="DY17" s="1313">
        <v>0</v>
      </c>
      <c r="DZ17" s="1313">
        <v>0</v>
      </c>
      <c r="EA17" s="1313">
        <v>0</v>
      </c>
      <c r="EB17" s="1313">
        <v>0</v>
      </c>
      <c r="EC17" s="1313">
        <v>0</v>
      </c>
      <c r="ED17" s="1313">
        <v>2961566.62</v>
      </c>
      <c r="EE17" s="1313">
        <v>3600256</v>
      </c>
      <c r="EF17" s="1313">
        <v>0</v>
      </c>
      <c r="EG17" s="1313">
        <v>35340</v>
      </c>
      <c r="EH17" s="1313">
        <v>0</v>
      </c>
      <c r="EI17" s="1313">
        <v>0</v>
      </c>
      <c r="EJ17" s="1313">
        <v>2961566.62</v>
      </c>
      <c r="EK17" s="1313">
        <v>3564916</v>
      </c>
      <c r="EL17" s="1313">
        <v>449709.11</v>
      </c>
      <c r="EN17" s="1313">
        <v>2511857.5099999998</v>
      </c>
      <c r="EP17" s="1313">
        <v>7660</v>
      </c>
      <c r="ER17" s="1313">
        <v>23.73</v>
      </c>
      <c r="ET17" s="1313">
        <v>38862</v>
      </c>
      <c r="EV17" s="1313">
        <v>25.1</v>
      </c>
      <c r="EX17" s="1313">
        <v>43020</v>
      </c>
      <c r="EZ17" s="1313">
        <v>5451.15</v>
      </c>
      <c r="FB17" s="1313">
        <v>0</v>
      </c>
      <c r="FD17" s="1313">
        <v>0</v>
      </c>
      <c r="FF17" s="1313">
        <v>5451.15</v>
      </c>
      <c r="FH17" s="1313">
        <v>0</v>
      </c>
      <c r="FJ17" s="1313">
        <v>0</v>
      </c>
    </row>
    <row r="18" spans="1:166" ht="22">
      <c r="A18" s="1313" t="s">
        <v>761</v>
      </c>
      <c r="B18" s="422" t="s">
        <v>778</v>
      </c>
      <c r="C18" s="422" t="s">
        <v>716</v>
      </c>
      <c r="D18" s="422" t="s">
        <v>721</v>
      </c>
      <c r="E18" s="1313">
        <v>428</v>
      </c>
      <c r="F18" s="1313">
        <v>403.74</v>
      </c>
      <c r="H18" s="1313">
        <v>0</v>
      </c>
      <c r="J18" s="1313">
        <v>411.38</v>
      </c>
      <c r="L18" s="1313">
        <v>0</v>
      </c>
      <c r="M18" s="1313">
        <v>0</v>
      </c>
      <c r="N18" s="1313">
        <v>104057.84</v>
      </c>
      <c r="O18" s="1313">
        <v>34000</v>
      </c>
      <c r="P18" s="1313">
        <v>0</v>
      </c>
      <c r="Q18" s="1313">
        <v>0</v>
      </c>
      <c r="R18" s="1313">
        <v>0</v>
      </c>
      <c r="S18" s="1313">
        <v>0</v>
      </c>
      <c r="T18" s="1313">
        <v>0</v>
      </c>
      <c r="U18" s="1313">
        <v>0</v>
      </c>
      <c r="V18" s="1313">
        <v>0</v>
      </c>
      <c r="W18" s="1313">
        <v>0</v>
      </c>
      <c r="X18" s="1313">
        <v>0</v>
      </c>
      <c r="Y18" s="1313">
        <v>0</v>
      </c>
      <c r="Z18" s="1313">
        <v>0</v>
      </c>
      <c r="AA18" s="1313">
        <v>0</v>
      </c>
      <c r="AB18" s="1313">
        <v>0</v>
      </c>
      <c r="AC18" s="1313">
        <v>0</v>
      </c>
      <c r="AD18" s="1313">
        <v>0</v>
      </c>
      <c r="AE18" s="1313">
        <v>0</v>
      </c>
      <c r="AF18" s="1313">
        <v>2501171.0099999998</v>
      </c>
      <c r="AG18" s="1313">
        <v>2764800</v>
      </c>
      <c r="AH18" s="1313">
        <v>2605228.85</v>
      </c>
      <c r="AI18" s="1313">
        <v>2798800</v>
      </c>
      <c r="AJ18" s="1313">
        <v>0</v>
      </c>
      <c r="AK18" s="1313">
        <v>0</v>
      </c>
      <c r="AL18" s="1313">
        <v>15620</v>
      </c>
      <c r="AM18" s="1313">
        <v>19071</v>
      </c>
      <c r="AN18" s="1313">
        <v>2400</v>
      </c>
      <c r="AO18" s="1313">
        <v>0</v>
      </c>
      <c r="AP18" s="1313">
        <v>0</v>
      </c>
      <c r="AQ18" s="1313">
        <v>0</v>
      </c>
      <c r="AR18" s="1313">
        <v>0</v>
      </c>
      <c r="AS18" s="1313">
        <v>0</v>
      </c>
      <c r="AT18" s="1313">
        <v>0</v>
      </c>
      <c r="AU18" s="1313">
        <v>0</v>
      </c>
      <c r="AV18" s="1313">
        <v>50096</v>
      </c>
      <c r="AW18" s="1313">
        <v>55660</v>
      </c>
      <c r="AX18" s="1313">
        <v>1760.15</v>
      </c>
      <c r="AY18" s="1313">
        <v>0</v>
      </c>
      <c r="AZ18" s="1313">
        <v>0</v>
      </c>
      <c r="BA18" s="1313">
        <v>0</v>
      </c>
      <c r="BB18" s="1313">
        <v>0</v>
      </c>
      <c r="BC18" s="1313">
        <v>0</v>
      </c>
      <c r="BD18" s="1313">
        <v>0</v>
      </c>
      <c r="BE18" s="1313">
        <v>0</v>
      </c>
      <c r="BF18" s="1313">
        <v>0</v>
      </c>
      <c r="BG18" s="1313">
        <v>0</v>
      </c>
      <c r="BH18" s="1313">
        <v>0</v>
      </c>
      <c r="BI18" s="1313">
        <v>0</v>
      </c>
      <c r="BJ18" s="1313">
        <v>0</v>
      </c>
      <c r="BK18" s="1313">
        <v>0</v>
      </c>
      <c r="BL18" s="1313">
        <v>69876.149999999994</v>
      </c>
      <c r="BM18" s="1313">
        <v>74731</v>
      </c>
      <c r="BN18" s="1313">
        <v>327430.32</v>
      </c>
      <c r="BO18" s="1313">
        <v>117464</v>
      </c>
      <c r="BP18" s="1313">
        <v>1639</v>
      </c>
      <c r="BQ18" s="1313">
        <v>0</v>
      </c>
      <c r="BR18" s="1313">
        <v>0</v>
      </c>
      <c r="BS18" s="1313">
        <v>0</v>
      </c>
      <c r="BT18" s="1313">
        <v>0</v>
      </c>
      <c r="BU18" s="1313">
        <v>0</v>
      </c>
      <c r="BV18" s="1313">
        <v>0</v>
      </c>
      <c r="BW18" s="1313">
        <v>0</v>
      </c>
      <c r="BX18" s="1313">
        <v>0</v>
      </c>
      <c r="BY18" s="1313">
        <v>0</v>
      </c>
      <c r="BZ18" s="1313">
        <v>0</v>
      </c>
      <c r="CA18" s="1313">
        <v>0</v>
      </c>
      <c r="CB18" s="1313">
        <v>1639</v>
      </c>
      <c r="CC18" s="1313">
        <v>0</v>
      </c>
      <c r="CD18" s="1313">
        <v>3004174.32</v>
      </c>
      <c r="CE18" s="1313">
        <v>2990995</v>
      </c>
      <c r="CF18" s="1313">
        <v>1306186.33</v>
      </c>
      <c r="CG18" s="1313">
        <v>1228314.99</v>
      </c>
      <c r="CH18" s="1313">
        <v>33745.199999999997</v>
      </c>
      <c r="CI18" s="1313">
        <v>92441.5</v>
      </c>
      <c r="CJ18" s="1313">
        <v>0</v>
      </c>
      <c r="CK18" s="1313">
        <v>0</v>
      </c>
      <c r="CL18" s="1313">
        <v>0</v>
      </c>
      <c r="CM18" s="1313">
        <v>0</v>
      </c>
      <c r="CN18" s="1313">
        <v>102556.18</v>
      </c>
      <c r="CO18" s="1313">
        <v>0</v>
      </c>
      <c r="CP18" s="1313">
        <v>0</v>
      </c>
      <c r="CQ18" s="1313">
        <v>0</v>
      </c>
      <c r="CR18" s="1313">
        <v>1442487.71</v>
      </c>
      <c r="CS18" s="1313">
        <v>1320756.49</v>
      </c>
      <c r="CT18" s="1313">
        <v>134201.79999999999</v>
      </c>
      <c r="CU18" s="1313">
        <v>160892</v>
      </c>
      <c r="CV18" s="1313">
        <v>26324.7</v>
      </c>
      <c r="CW18" s="1313">
        <v>140156.5</v>
      </c>
      <c r="CX18" s="1313">
        <v>522174.28</v>
      </c>
      <c r="CY18" s="1313">
        <v>520648</v>
      </c>
      <c r="CZ18" s="1313">
        <v>850</v>
      </c>
      <c r="DA18" s="1313">
        <v>8000</v>
      </c>
      <c r="DB18" s="1313">
        <v>0</v>
      </c>
      <c r="DC18" s="1313">
        <v>0</v>
      </c>
      <c r="DD18" s="1313">
        <v>683550.78</v>
      </c>
      <c r="DE18" s="1313">
        <v>829696.5</v>
      </c>
      <c r="DF18" s="1313">
        <v>107642.98</v>
      </c>
      <c r="DG18" s="1313">
        <v>100727</v>
      </c>
      <c r="DH18" s="1313">
        <v>55229.94</v>
      </c>
      <c r="DI18" s="1313">
        <v>123023</v>
      </c>
      <c r="DJ18" s="1313">
        <v>280481.86</v>
      </c>
      <c r="DK18" s="1313">
        <v>355173.81</v>
      </c>
      <c r="DL18" s="1313">
        <v>443354.78</v>
      </c>
      <c r="DM18" s="1313">
        <v>578923.81000000006</v>
      </c>
      <c r="DN18" s="1313">
        <v>88951.71</v>
      </c>
      <c r="DO18" s="1313">
        <v>105247.06</v>
      </c>
      <c r="DP18" s="1313">
        <v>0</v>
      </c>
      <c r="DQ18" s="1313">
        <v>0</v>
      </c>
      <c r="DR18" s="1313">
        <v>0</v>
      </c>
      <c r="DS18" s="1313">
        <v>0</v>
      </c>
      <c r="DT18" s="1313">
        <v>0</v>
      </c>
      <c r="DU18" s="1313">
        <v>0</v>
      </c>
      <c r="DV18" s="1313">
        <v>88951.71</v>
      </c>
      <c r="DW18" s="1313">
        <v>105247.06</v>
      </c>
      <c r="DX18" s="1313">
        <v>192579.5</v>
      </c>
      <c r="DY18" s="1313">
        <v>15000</v>
      </c>
      <c r="DZ18" s="1313">
        <v>0</v>
      </c>
      <c r="EA18" s="1313">
        <v>0</v>
      </c>
      <c r="EB18" s="1313">
        <v>258251</v>
      </c>
      <c r="EC18" s="1313">
        <v>0</v>
      </c>
      <c r="ED18" s="1313">
        <v>3109175.48</v>
      </c>
      <c r="EE18" s="1313">
        <v>2849623.86</v>
      </c>
      <c r="EF18" s="1313">
        <v>232732.11</v>
      </c>
      <c r="EG18" s="1313">
        <v>22000</v>
      </c>
      <c r="EH18" s="1313">
        <v>0</v>
      </c>
      <c r="EI18" s="1313">
        <v>0</v>
      </c>
      <c r="EJ18" s="1313">
        <v>2876443.37</v>
      </c>
      <c r="EK18" s="1313">
        <v>2827623.86</v>
      </c>
      <c r="EL18" s="1313">
        <v>354065.61</v>
      </c>
      <c r="EN18" s="1313">
        <v>2522377.7599999998</v>
      </c>
      <c r="EP18" s="1313">
        <v>6247</v>
      </c>
      <c r="ER18" s="1313">
        <v>26.81</v>
      </c>
      <c r="ET18" s="1313">
        <v>35555</v>
      </c>
      <c r="EV18" s="1313">
        <v>29.81</v>
      </c>
      <c r="EX18" s="1313">
        <v>38726</v>
      </c>
      <c r="EZ18" s="1313">
        <v>82559.38</v>
      </c>
      <c r="FB18" s="1313">
        <v>5946.58</v>
      </c>
      <c r="FD18" s="1313">
        <v>0</v>
      </c>
      <c r="FF18" s="1313">
        <v>76612.800000000003</v>
      </c>
      <c r="FH18" s="1313">
        <v>0</v>
      </c>
      <c r="FJ18" s="1313">
        <v>0</v>
      </c>
    </row>
    <row r="19" spans="1:166" ht="33">
      <c r="A19" s="1313" t="s">
        <v>762</v>
      </c>
      <c r="B19" s="422" t="s">
        <v>779</v>
      </c>
      <c r="C19" s="422" t="s">
        <v>714</v>
      </c>
      <c r="D19" s="422" t="s">
        <v>708</v>
      </c>
      <c r="E19" s="1313">
        <v>81</v>
      </c>
      <c r="F19" s="1313">
        <v>75.63</v>
      </c>
      <c r="H19" s="1313">
        <v>0</v>
      </c>
      <c r="J19" s="1313">
        <v>76.22</v>
      </c>
      <c r="L19" s="1313">
        <v>0</v>
      </c>
      <c r="M19" s="1313">
        <v>0</v>
      </c>
      <c r="N19" s="1313">
        <v>296188.03999999998</v>
      </c>
      <c r="O19" s="1313">
        <v>0</v>
      </c>
      <c r="P19" s="1313">
        <v>0</v>
      </c>
      <c r="Q19" s="1313">
        <v>0</v>
      </c>
      <c r="R19" s="1313">
        <v>0</v>
      </c>
      <c r="S19" s="1313">
        <v>0</v>
      </c>
      <c r="T19" s="1313">
        <v>0</v>
      </c>
      <c r="U19" s="1313">
        <v>0</v>
      </c>
      <c r="V19" s="1313">
        <v>0</v>
      </c>
      <c r="W19" s="1313">
        <v>0</v>
      </c>
      <c r="X19" s="1313">
        <v>0</v>
      </c>
      <c r="Y19" s="1313">
        <v>0</v>
      </c>
      <c r="Z19" s="1313">
        <v>0</v>
      </c>
      <c r="AA19" s="1313">
        <v>0</v>
      </c>
      <c r="AB19" s="1313">
        <v>0</v>
      </c>
      <c r="AC19" s="1313">
        <v>0</v>
      </c>
      <c r="AD19" s="1313">
        <v>0</v>
      </c>
      <c r="AE19" s="1313">
        <v>0</v>
      </c>
      <c r="AF19" s="1313">
        <v>478149</v>
      </c>
      <c r="AG19" s="1313">
        <v>1658860</v>
      </c>
      <c r="AH19" s="1313">
        <v>774337.04</v>
      </c>
      <c r="AI19" s="1313">
        <v>1658860</v>
      </c>
      <c r="AJ19" s="1313">
        <v>0</v>
      </c>
      <c r="AK19" s="1313">
        <v>0</v>
      </c>
      <c r="AL19" s="1313">
        <v>2413</v>
      </c>
      <c r="AM19" s="1313">
        <v>11443</v>
      </c>
      <c r="AN19" s="1313">
        <v>0</v>
      </c>
      <c r="AO19" s="1313">
        <v>290000</v>
      </c>
      <c r="AP19" s="1313">
        <v>0</v>
      </c>
      <c r="AQ19" s="1313">
        <v>0</v>
      </c>
      <c r="AR19" s="1313">
        <v>0</v>
      </c>
      <c r="AS19" s="1313">
        <v>0</v>
      </c>
      <c r="AT19" s="1313">
        <v>0</v>
      </c>
      <c r="AU19" s="1313">
        <v>0</v>
      </c>
      <c r="AV19" s="1313">
        <v>45632</v>
      </c>
      <c r="AW19" s="1313">
        <v>191268</v>
      </c>
      <c r="AX19" s="1313">
        <v>220.33</v>
      </c>
      <c r="AY19" s="1313">
        <v>0</v>
      </c>
      <c r="AZ19" s="1313">
        <v>0</v>
      </c>
      <c r="BA19" s="1313">
        <v>0</v>
      </c>
      <c r="BB19" s="1313">
        <v>251.33</v>
      </c>
      <c r="BC19" s="1313">
        <v>0</v>
      </c>
      <c r="BD19" s="1313">
        <v>0</v>
      </c>
      <c r="BE19" s="1313">
        <v>0</v>
      </c>
      <c r="BF19" s="1313">
        <v>0</v>
      </c>
      <c r="BG19" s="1313">
        <v>0</v>
      </c>
      <c r="BH19" s="1313">
        <v>0</v>
      </c>
      <c r="BI19" s="1313">
        <v>0</v>
      </c>
      <c r="BJ19" s="1313">
        <v>0</v>
      </c>
      <c r="BK19" s="1313">
        <v>0</v>
      </c>
      <c r="BL19" s="1313">
        <v>48516.66</v>
      </c>
      <c r="BM19" s="1313">
        <v>492711</v>
      </c>
      <c r="BN19" s="1313">
        <v>202654.62</v>
      </c>
      <c r="BO19" s="1313">
        <v>405273</v>
      </c>
      <c r="BP19" s="1313">
        <v>-61130.67</v>
      </c>
      <c r="BQ19" s="1313">
        <v>0</v>
      </c>
      <c r="BR19" s="1313">
        <v>0</v>
      </c>
      <c r="BS19" s="1313">
        <v>0</v>
      </c>
      <c r="BT19" s="1313">
        <v>0</v>
      </c>
      <c r="BU19" s="1313">
        <v>0</v>
      </c>
      <c r="BV19" s="1313">
        <v>0</v>
      </c>
      <c r="BW19" s="1313">
        <v>0</v>
      </c>
      <c r="BX19" s="1313">
        <v>0</v>
      </c>
      <c r="BY19" s="1313">
        <v>0</v>
      </c>
      <c r="BZ19" s="1313">
        <v>0</v>
      </c>
      <c r="CA19" s="1313">
        <v>0</v>
      </c>
      <c r="CB19" s="1313">
        <v>-61130.67</v>
      </c>
      <c r="CC19" s="1313">
        <v>0</v>
      </c>
      <c r="CD19" s="1313">
        <v>964377.65</v>
      </c>
      <c r="CE19" s="1313">
        <v>2556844</v>
      </c>
      <c r="CF19" s="1313">
        <v>390030.53</v>
      </c>
      <c r="CG19" s="1313">
        <v>1267858</v>
      </c>
      <c r="CH19" s="1313">
        <v>6351.62</v>
      </c>
      <c r="CI19" s="1313">
        <v>20800</v>
      </c>
      <c r="CJ19" s="1313">
        <v>0</v>
      </c>
      <c r="CK19" s="1313">
        <v>0</v>
      </c>
      <c r="CL19" s="1313">
        <v>0</v>
      </c>
      <c r="CM19" s="1313">
        <v>0</v>
      </c>
      <c r="CN19" s="1313">
        <v>26000</v>
      </c>
      <c r="CO19" s="1313">
        <v>0</v>
      </c>
      <c r="CP19" s="1313">
        <v>0</v>
      </c>
      <c r="CQ19" s="1313">
        <v>0</v>
      </c>
      <c r="CR19" s="1313">
        <v>422382.15</v>
      </c>
      <c r="CS19" s="1313">
        <v>1288658</v>
      </c>
      <c r="CT19" s="1313">
        <v>50395.02</v>
      </c>
      <c r="CU19" s="1313">
        <v>313031</v>
      </c>
      <c r="CV19" s="1313">
        <v>106839.98</v>
      </c>
      <c r="CW19" s="1313">
        <v>67800</v>
      </c>
      <c r="CX19" s="1313">
        <v>40083.29</v>
      </c>
      <c r="CY19" s="1313">
        <v>101574</v>
      </c>
      <c r="CZ19" s="1313">
        <v>0</v>
      </c>
      <c r="DA19" s="1313">
        <v>72900</v>
      </c>
      <c r="DB19" s="1313">
        <v>0</v>
      </c>
      <c r="DC19" s="1313">
        <v>0</v>
      </c>
      <c r="DD19" s="1313">
        <v>197318.29</v>
      </c>
      <c r="DE19" s="1313">
        <v>555305</v>
      </c>
      <c r="DF19" s="1313">
        <v>0</v>
      </c>
      <c r="DG19" s="1313">
        <v>6700</v>
      </c>
      <c r="DH19" s="1313">
        <v>17903</v>
      </c>
      <c r="DI19" s="1313">
        <v>31425</v>
      </c>
      <c r="DJ19" s="1313">
        <v>0</v>
      </c>
      <c r="DK19" s="1313">
        <v>0</v>
      </c>
      <c r="DL19" s="1313">
        <v>17903</v>
      </c>
      <c r="DM19" s="1313">
        <v>38125</v>
      </c>
      <c r="DN19" s="1313">
        <v>71423.91</v>
      </c>
      <c r="DO19" s="1313">
        <v>211766</v>
      </c>
      <c r="DP19" s="1313">
        <v>0</v>
      </c>
      <c r="DQ19" s="1313">
        <v>0</v>
      </c>
      <c r="DR19" s="1313">
        <v>500</v>
      </c>
      <c r="DS19" s="1313">
        <v>0</v>
      </c>
      <c r="DT19" s="1313">
        <v>0</v>
      </c>
      <c r="DU19" s="1313">
        <v>0</v>
      </c>
      <c r="DV19" s="1313">
        <v>71923.91</v>
      </c>
      <c r="DW19" s="1313">
        <v>211766</v>
      </c>
      <c r="DX19" s="1313">
        <v>0</v>
      </c>
      <c r="DY19" s="1313">
        <v>190000</v>
      </c>
      <c r="DZ19" s="1313">
        <v>55759</v>
      </c>
      <c r="EA19" s="1313">
        <v>88271</v>
      </c>
      <c r="EB19" s="1313">
        <v>0</v>
      </c>
      <c r="EC19" s="1313">
        <v>0</v>
      </c>
      <c r="ED19" s="1313">
        <v>765286.35</v>
      </c>
      <c r="EE19" s="1313">
        <v>2372125</v>
      </c>
      <c r="EF19" s="1313">
        <v>5162.01</v>
      </c>
      <c r="EG19" s="1313">
        <v>201000</v>
      </c>
      <c r="EH19" s="1313">
        <v>55759</v>
      </c>
      <c r="EI19" s="1313">
        <v>88271</v>
      </c>
      <c r="EJ19" s="1313">
        <v>704365.34</v>
      </c>
      <c r="EK19" s="1313">
        <v>2082854</v>
      </c>
      <c r="EL19" s="1313">
        <v>500</v>
      </c>
      <c r="EN19" s="1313">
        <v>703865.34</v>
      </c>
      <c r="EP19" s="1313">
        <v>9306</v>
      </c>
      <c r="ER19" s="1313">
        <v>5.67</v>
      </c>
      <c r="ET19" s="1313">
        <v>40259</v>
      </c>
      <c r="EV19" s="1313">
        <v>5.67</v>
      </c>
      <c r="EX19" s="1313">
        <v>40259</v>
      </c>
      <c r="EZ19" s="1313">
        <v>351616.58</v>
      </c>
      <c r="FB19" s="1313">
        <v>74526.78</v>
      </c>
      <c r="FD19" s="1313">
        <v>0</v>
      </c>
      <c r="FF19" s="1313">
        <v>277089.8</v>
      </c>
      <c r="FH19" s="1313">
        <v>0</v>
      </c>
      <c r="FJ19" s="1313">
        <v>0</v>
      </c>
    </row>
    <row r="20" spans="1:166" ht="33">
      <c r="A20" s="1313" t="s">
        <v>763</v>
      </c>
      <c r="B20" s="422" t="s">
        <v>780</v>
      </c>
      <c r="C20" s="422" t="s">
        <v>722</v>
      </c>
      <c r="D20" s="422" t="s">
        <v>719</v>
      </c>
      <c r="E20" s="1313">
        <v>394</v>
      </c>
      <c r="F20" s="1313">
        <v>384.71</v>
      </c>
      <c r="H20" s="1313">
        <v>0</v>
      </c>
      <c r="J20" s="1313">
        <v>391.32</v>
      </c>
      <c r="L20" s="1313">
        <v>0</v>
      </c>
      <c r="M20" s="1313">
        <v>0</v>
      </c>
      <c r="N20" s="1313">
        <v>1098026.82</v>
      </c>
      <c r="O20" s="1313">
        <v>303850</v>
      </c>
      <c r="P20" s="1313">
        <v>0</v>
      </c>
      <c r="Q20" s="1313">
        <v>0</v>
      </c>
      <c r="R20" s="1313">
        <v>0</v>
      </c>
      <c r="S20" s="1313">
        <v>0</v>
      </c>
      <c r="T20" s="1313">
        <v>0</v>
      </c>
      <c r="U20" s="1313">
        <v>0</v>
      </c>
      <c r="V20" s="1313">
        <v>0</v>
      </c>
      <c r="W20" s="1313">
        <v>0</v>
      </c>
      <c r="X20" s="1313">
        <v>0</v>
      </c>
      <c r="Y20" s="1313">
        <v>0</v>
      </c>
      <c r="Z20" s="1313">
        <v>0</v>
      </c>
      <c r="AA20" s="1313">
        <v>0</v>
      </c>
      <c r="AB20" s="1313">
        <v>0</v>
      </c>
      <c r="AC20" s="1313">
        <v>0</v>
      </c>
      <c r="AD20" s="1313">
        <v>0</v>
      </c>
      <c r="AE20" s="1313">
        <v>0</v>
      </c>
      <c r="AF20" s="1313">
        <v>2358426</v>
      </c>
      <c r="AG20" s="1313">
        <v>3772416</v>
      </c>
      <c r="AH20" s="1313">
        <v>3456452.82</v>
      </c>
      <c r="AI20" s="1313">
        <v>4076266</v>
      </c>
      <c r="AJ20" s="1313">
        <v>0</v>
      </c>
      <c r="AK20" s="1313">
        <v>0</v>
      </c>
      <c r="AL20" s="1313">
        <v>14086</v>
      </c>
      <c r="AM20" s="1313">
        <v>26021</v>
      </c>
      <c r="AN20" s="1313">
        <v>7408.64</v>
      </c>
      <c r="AO20" s="1313">
        <v>0</v>
      </c>
      <c r="AP20" s="1313">
        <v>0</v>
      </c>
      <c r="AQ20" s="1313">
        <v>0</v>
      </c>
      <c r="AR20" s="1313">
        <v>0</v>
      </c>
      <c r="AS20" s="1313">
        <v>0</v>
      </c>
      <c r="AT20" s="1313">
        <v>0</v>
      </c>
      <c r="AU20" s="1313">
        <v>0</v>
      </c>
      <c r="AV20" s="1313">
        <v>83824</v>
      </c>
      <c r="AW20" s="1313">
        <v>149725</v>
      </c>
      <c r="AX20" s="1313">
        <v>1395.2</v>
      </c>
      <c r="AY20" s="1313">
        <v>0</v>
      </c>
      <c r="AZ20" s="1313">
        <v>0</v>
      </c>
      <c r="BA20" s="1313">
        <v>0</v>
      </c>
      <c r="BB20" s="1313">
        <v>828.76</v>
      </c>
      <c r="BC20" s="1313">
        <v>0</v>
      </c>
      <c r="BD20" s="1313">
        <v>0</v>
      </c>
      <c r="BE20" s="1313">
        <v>0</v>
      </c>
      <c r="BF20" s="1313">
        <v>0</v>
      </c>
      <c r="BG20" s="1313">
        <v>0</v>
      </c>
      <c r="BH20" s="1313">
        <v>0</v>
      </c>
      <c r="BI20" s="1313">
        <v>0</v>
      </c>
      <c r="BJ20" s="1313">
        <v>0</v>
      </c>
      <c r="BK20" s="1313">
        <v>0</v>
      </c>
      <c r="BL20" s="1313">
        <v>107542.6</v>
      </c>
      <c r="BM20" s="1313">
        <v>175746</v>
      </c>
      <c r="BN20" s="1313">
        <v>475783.75</v>
      </c>
      <c r="BO20" s="1313">
        <v>635839</v>
      </c>
      <c r="BP20" s="1313">
        <v>100000</v>
      </c>
      <c r="BQ20" s="1313">
        <v>150000</v>
      </c>
      <c r="BR20" s="1313">
        <v>0</v>
      </c>
      <c r="BS20" s="1313">
        <v>0</v>
      </c>
      <c r="BT20" s="1313">
        <v>0</v>
      </c>
      <c r="BU20" s="1313">
        <v>0</v>
      </c>
      <c r="BV20" s="1313">
        <v>0</v>
      </c>
      <c r="BW20" s="1313">
        <v>0</v>
      </c>
      <c r="BX20" s="1313">
        <v>0</v>
      </c>
      <c r="BY20" s="1313">
        <v>0</v>
      </c>
      <c r="BZ20" s="1313">
        <v>0</v>
      </c>
      <c r="CA20" s="1313">
        <v>0</v>
      </c>
      <c r="CB20" s="1313">
        <v>100000</v>
      </c>
      <c r="CC20" s="1313">
        <v>150000</v>
      </c>
      <c r="CD20" s="1313">
        <v>4139779.17</v>
      </c>
      <c r="CE20" s="1313">
        <v>5037851</v>
      </c>
      <c r="CF20" s="1313">
        <v>981484.71</v>
      </c>
      <c r="CG20" s="1313">
        <v>1825969.24</v>
      </c>
      <c r="CH20" s="1313">
        <v>75469.740000000005</v>
      </c>
      <c r="CI20" s="1313">
        <v>150038.03</v>
      </c>
      <c r="CJ20" s="1313">
        <v>0</v>
      </c>
      <c r="CK20" s="1313">
        <v>0</v>
      </c>
      <c r="CL20" s="1313">
        <v>0</v>
      </c>
      <c r="CM20" s="1313">
        <v>0</v>
      </c>
      <c r="CN20" s="1313">
        <v>137931.85</v>
      </c>
      <c r="CO20" s="1313">
        <v>159349.56</v>
      </c>
      <c r="CP20" s="1313">
        <v>107791.5</v>
      </c>
      <c r="CQ20" s="1313">
        <v>48313.5</v>
      </c>
      <c r="CR20" s="1313">
        <v>1302677.8</v>
      </c>
      <c r="CS20" s="1313">
        <v>2183670.33</v>
      </c>
      <c r="CT20" s="1313">
        <v>212190.46</v>
      </c>
      <c r="CU20" s="1313">
        <v>297360</v>
      </c>
      <c r="CV20" s="1313">
        <v>64456.81</v>
      </c>
      <c r="CW20" s="1313">
        <v>84785.2</v>
      </c>
      <c r="CX20" s="1313">
        <v>320951.37</v>
      </c>
      <c r="CY20" s="1313">
        <v>787648.45</v>
      </c>
      <c r="CZ20" s="1313">
        <v>6339.1</v>
      </c>
      <c r="DA20" s="1313">
        <v>5500</v>
      </c>
      <c r="DB20" s="1313">
        <v>467.93</v>
      </c>
      <c r="DC20" s="1313">
        <v>0</v>
      </c>
      <c r="DD20" s="1313">
        <v>604405.67000000004</v>
      </c>
      <c r="DE20" s="1313">
        <v>1175293.6499999999</v>
      </c>
      <c r="DF20" s="1313">
        <v>109127.57</v>
      </c>
      <c r="DG20" s="1313">
        <v>130619.99</v>
      </c>
      <c r="DH20" s="1313">
        <v>292105.06</v>
      </c>
      <c r="DI20" s="1313">
        <v>164227.09</v>
      </c>
      <c r="DJ20" s="1313">
        <v>205434.3</v>
      </c>
      <c r="DK20" s="1313">
        <v>631715.5</v>
      </c>
      <c r="DL20" s="1313">
        <v>606666.93000000005</v>
      </c>
      <c r="DM20" s="1313">
        <v>926562.58</v>
      </c>
      <c r="DN20" s="1313">
        <v>148938.65</v>
      </c>
      <c r="DO20" s="1313">
        <v>240064.01</v>
      </c>
      <c r="DP20" s="1313">
        <v>26843.82</v>
      </c>
      <c r="DQ20" s="1313">
        <v>0</v>
      </c>
      <c r="DR20" s="1313">
        <v>0</v>
      </c>
      <c r="DS20" s="1313">
        <v>500</v>
      </c>
      <c r="DT20" s="1313">
        <v>0</v>
      </c>
      <c r="DU20" s="1313">
        <v>0</v>
      </c>
      <c r="DV20" s="1313">
        <v>175782.47</v>
      </c>
      <c r="DW20" s="1313">
        <v>240564.01</v>
      </c>
      <c r="DX20" s="1313">
        <v>255991.33</v>
      </c>
      <c r="DY20" s="1313">
        <v>997458.07</v>
      </c>
      <c r="DZ20" s="1313">
        <v>535731.38</v>
      </c>
      <c r="EA20" s="1313">
        <v>290645</v>
      </c>
      <c r="EB20" s="1313">
        <v>0</v>
      </c>
      <c r="EC20" s="1313">
        <v>0</v>
      </c>
      <c r="ED20" s="1313">
        <v>3481255.58</v>
      </c>
      <c r="EE20" s="1313">
        <v>5814193.6399999997</v>
      </c>
      <c r="EF20" s="1313">
        <v>285040.44</v>
      </c>
      <c r="EG20" s="1313">
        <v>1035458.07</v>
      </c>
      <c r="EH20" s="1313">
        <v>535731.38</v>
      </c>
      <c r="EI20" s="1313">
        <v>290645</v>
      </c>
      <c r="EJ20" s="1313">
        <v>2660483.7599999998</v>
      </c>
      <c r="EK20" s="1313">
        <v>4488090.57</v>
      </c>
      <c r="EL20" s="1313">
        <v>66749.83</v>
      </c>
      <c r="EN20" s="1313">
        <v>2593733.9300000002</v>
      </c>
      <c r="EP20" s="1313">
        <v>6742</v>
      </c>
      <c r="ER20" s="1313">
        <v>15.49</v>
      </c>
      <c r="ET20" s="1313">
        <v>42778</v>
      </c>
      <c r="EV20" s="1313">
        <v>18.89</v>
      </c>
      <c r="EX20" s="1313">
        <v>46273</v>
      </c>
      <c r="EZ20" s="1313">
        <v>83098.460000000006</v>
      </c>
      <c r="FB20" s="1313">
        <v>12987.12</v>
      </c>
      <c r="FD20" s="1313">
        <v>0</v>
      </c>
      <c r="FF20" s="1313">
        <v>70111.34</v>
      </c>
      <c r="FH20" s="1313">
        <v>772173.16</v>
      </c>
      <c r="FJ20" s="1313">
        <v>0</v>
      </c>
    </row>
    <row r="21" spans="1:166" ht="33">
      <c r="A21" s="1313" t="s">
        <v>764</v>
      </c>
      <c r="B21" s="422" t="s">
        <v>781</v>
      </c>
      <c r="C21" s="422" t="s">
        <v>714</v>
      </c>
      <c r="D21" s="422" t="s">
        <v>723</v>
      </c>
      <c r="E21" s="1313">
        <v>386</v>
      </c>
      <c r="F21" s="1313">
        <v>302.13</v>
      </c>
      <c r="H21" s="1313">
        <v>0</v>
      </c>
      <c r="J21" s="1313">
        <v>302.14</v>
      </c>
      <c r="L21" s="1313">
        <v>0</v>
      </c>
      <c r="M21" s="1313">
        <v>0</v>
      </c>
      <c r="N21" s="1313">
        <v>72448.61</v>
      </c>
      <c r="O21" s="1313">
        <v>0</v>
      </c>
      <c r="P21" s="1313">
        <v>0</v>
      </c>
      <c r="Q21" s="1313">
        <v>0</v>
      </c>
      <c r="R21" s="1313">
        <v>0</v>
      </c>
      <c r="S21" s="1313">
        <v>0</v>
      </c>
      <c r="T21" s="1313">
        <v>0</v>
      </c>
      <c r="U21" s="1313">
        <v>0</v>
      </c>
      <c r="V21" s="1313">
        <v>0</v>
      </c>
      <c r="W21" s="1313">
        <v>0</v>
      </c>
      <c r="X21" s="1313">
        <v>0</v>
      </c>
      <c r="Y21" s="1313">
        <v>0</v>
      </c>
      <c r="Z21" s="1313">
        <v>0</v>
      </c>
      <c r="AA21" s="1313">
        <v>0</v>
      </c>
      <c r="AB21" s="1313">
        <v>0</v>
      </c>
      <c r="AC21" s="1313">
        <v>0</v>
      </c>
      <c r="AD21" s="1313">
        <v>0</v>
      </c>
      <c r="AE21" s="1313">
        <v>0</v>
      </c>
      <c r="AF21" s="1313">
        <v>1414836</v>
      </c>
      <c r="AG21" s="1313">
        <v>0</v>
      </c>
      <c r="AH21" s="1313">
        <v>1487284.61</v>
      </c>
      <c r="AI21" s="1313">
        <v>0</v>
      </c>
      <c r="AJ21" s="1313">
        <v>0</v>
      </c>
      <c r="AK21" s="1313">
        <v>0</v>
      </c>
      <c r="AL21" s="1313">
        <v>8652</v>
      </c>
      <c r="AM21" s="1313">
        <v>0</v>
      </c>
      <c r="AN21" s="1313">
        <v>0</v>
      </c>
      <c r="AO21" s="1313">
        <v>0</v>
      </c>
      <c r="AP21" s="1313">
        <v>0</v>
      </c>
      <c r="AQ21" s="1313">
        <v>0</v>
      </c>
      <c r="AR21" s="1313">
        <v>0</v>
      </c>
      <c r="AS21" s="1313">
        <v>0</v>
      </c>
      <c r="AT21" s="1313">
        <v>0</v>
      </c>
      <c r="AU21" s="1313">
        <v>0</v>
      </c>
      <c r="AV21" s="1313">
        <v>204709</v>
      </c>
      <c r="AW21" s="1313">
        <v>0</v>
      </c>
      <c r="AX21" s="1313">
        <v>0</v>
      </c>
      <c r="AY21" s="1313">
        <v>0</v>
      </c>
      <c r="AZ21" s="1313">
        <v>0</v>
      </c>
      <c r="BA21" s="1313">
        <v>0</v>
      </c>
      <c r="BB21" s="1313">
        <v>0</v>
      </c>
      <c r="BC21" s="1313">
        <v>0</v>
      </c>
      <c r="BD21" s="1313">
        <v>0</v>
      </c>
      <c r="BE21" s="1313">
        <v>0</v>
      </c>
      <c r="BF21" s="1313">
        <v>0</v>
      </c>
      <c r="BG21" s="1313">
        <v>0</v>
      </c>
      <c r="BH21" s="1313">
        <v>0</v>
      </c>
      <c r="BI21" s="1313">
        <v>0</v>
      </c>
      <c r="BJ21" s="1313">
        <v>0</v>
      </c>
      <c r="BK21" s="1313">
        <v>0</v>
      </c>
      <c r="BL21" s="1313">
        <v>213361</v>
      </c>
      <c r="BM21" s="1313">
        <v>0</v>
      </c>
      <c r="BN21" s="1313">
        <v>402738.77</v>
      </c>
      <c r="BO21" s="1313">
        <v>0</v>
      </c>
      <c r="BP21" s="1313">
        <v>0</v>
      </c>
      <c r="BQ21" s="1313">
        <v>0</v>
      </c>
      <c r="BR21" s="1313">
        <v>0</v>
      </c>
      <c r="BS21" s="1313">
        <v>0</v>
      </c>
      <c r="BT21" s="1313">
        <v>0</v>
      </c>
      <c r="BU21" s="1313">
        <v>0</v>
      </c>
      <c r="BV21" s="1313">
        <v>0</v>
      </c>
      <c r="BW21" s="1313">
        <v>0</v>
      </c>
      <c r="BX21" s="1313">
        <v>0</v>
      </c>
      <c r="BY21" s="1313">
        <v>0</v>
      </c>
      <c r="BZ21" s="1313">
        <v>0</v>
      </c>
      <c r="CA21" s="1313">
        <v>0</v>
      </c>
      <c r="CB21" s="1313">
        <v>0</v>
      </c>
      <c r="CC21" s="1313">
        <v>0</v>
      </c>
      <c r="CD21" s="1313">
        <v>2103384.38</v>
      </c>
      <c r="CE21" s="1313">
        <v>0</v>
      </c>
      <c r="CF21" s="1313">
        <v>1281428.17</v>
      </c>
      <c r="CG21" s="1313">
        <v>0</v>
      </c>
      <c r="CH21" s="1313">
        <v>62124.67</v>
      </c>
      <c r="CI21" s="1313">
        <v>0</v>
      </c>
      <c r="CJ21" s="1313">
        <v>0</v>
      </c>
      <c r="CK21" s="1313">
        <v>0</v>
      </c>
      <c r="CL21" s="1313">
        <v>0</v>
      </c>
      <c r="CM21" s="1313">
        <v>0</v>
      </c>
      <c r="CN21" s="1313">
        <v>57199.41</v>
      </c>
      <c r="CO21" s="1313">
        <v>0</v>
      </c>
      <c r="CP21" s="1313">
        <v>0</v>
      </c>
      <c r="CQ21" s="1313">
        <v>0</v>
      </c>
      <c r="CR21" s="1313">
        <v>1400752.25</v>
      </c>
      <c r="CS21" s="1313">
        <v>0</v>
      </c>
      <c r="CT21" s="1313">
        <v>50548.31</v>
      </c>
      <c r="CU21" s="1313">
        <v>0</v>
      </c>
      <c r="CV21" s="1313">
        <v>78961.67</v>
      </c>
      <c r="CW21" s="1313">
        <v>0</v>
      </c>
      <c r="CX21" s="1313">
        <v>487648.8</v>
      </c>
      <c r="CY21" s="1313">
        <v>0</v>
      </c>
      <c r="CZ21" s="1313">
        <v>30922.83</v>
      </c>
      <c r="DA21" s="1313">
        <v>0</v>
      </c>
      <c r="DB21" s="1313">
        <v>0</v>
      </c>
      <c r="DC21" s="1313">
        <v>0</v>
      </c>
      <c r="DD21" s="1313">
        <v>648081.61</v>
      </c>
      <c r="DE21" s="1313">
        <v>0</v>
      </c>
      <c r="DF21" s="1313">
        <v>62244</v>
      </c>
      <c r="DG21" s="1313">
        <v>0</v>
      </c>
      <c r="DH21" s="1313">
        <v>116407.26</v>
      </c>
      <c r="DI21" s="1313">
        <v>0</v>
      </c>
      <c r="DJ21" s="1313">
        <v>118437.67</v>
      </c>
      <c r="DK21" s="1313">
        <v>0</v>
      </c>
      <c r="DL21" s="1313">
        <v>297088.93</v>
      </c>
      <c r="DM21" s="1313">
        <v>0</v>
      </c>
      <c r="DN21" s="1313">
        <v>136725.81</v>
      </c>
      <c r="DO21" s="1313">
        <v>0</v>
      </c>
      <c r="DP21" s="1313">
        <v>0</v>
      </c>
      <c r="DQ21" s="1313">
        <v>0</v>
      </c>
      <c r="DR21" s="1313">
        <v>737.36</v>
      </c>
      <c r="DS21" s="1313">
        <v>0</v>
      </c>
      <c r="DT21" s="1313">
        <v>0</v>
      </c>
      <c r="DU21" s="1313">
        <v>0</v>
      </c>
      <c r="DV21" s="1313">
        <v>137463.17000000001</v>
      </c>
      <c r="DW21" s="1313">
        <v>0</v>
      </c>
      <c r="DX21" s="1313">
        <v>0</v>
      </c>
      <c r="DY21" s="1313">
        <v>0</v>
      </c>
      <c r="DZ21" s="1313">
        <v>0</v>
      </c>
      <c r="EA21" s="1313">
        <v>0</v>
      </c>
      <c r="EB21" s="1313">
        <v>0</v>
      </c>
      <c r="EC21" s="1313">
        <v>0</v>
      </c>
      <c r="ED21" s="1313">
        <v>2483385.96</v>
      </c>
      <c r="EE21" s="1313">
        <v>0</v>
      </c>
      <c r="EF21" s="1313">
        <v>133363.14000000001</v>
      </c>
      <c r="EG21" s="1313">
        <v>0</v>
      </c>
      <c r="EH21" s="1313">
        <v>0</v>
      </c>
      <c r="EI21" s="1313">
        <v>0</v>
      </c>
      <c r="EJ21" s="1313">
        <v>2350022.8199999998</v>
      </c>
      <c r="EK21" s="1313">
        <v>0</v>
      </c>
      <c r="EL21" s="1313">
        <v>29503.84</v>
      </c>
      <c r="EN21" s="1313">
        <v>2320518.98</v>
      </c>
      <c r="EP21" s="1313">
        <v>7680</v>
      </c>
      <c r="ER21" s="1313">
        <v>22</v>
      </c>
      <c r="ET21" s="1313">
        <v>36023</v>
      </c>
      <c r="EV21" s="1313">
        <v>23.21</v>
      </c>
      <c r="EX21" s="1313">
        <v>37507</v>
      </c>
      <c r="EZ21" s="1313">
        <v>0</v>
      </c>
      <c r="FB21" s="1313">
        <v>0</v>
      </c>
      <c r="FD21" s="1313">
        <v>0</v>
      </c>
      <c r="FF21" s="1313">
        <v>0</v>
      </c>
      <c r="FH21" s="1313">
        <v>0</v>
      </c>
      <c r="FJ21" s="1313">
        <v>0</v>
      </c>
    </row>
    <row r="22" spans="1:166" ht="22">
      <c r="A22" s="1313" t="s">
        <v>731</v>
      </c>
      <c r="B22" s="422" t="s">
        <v>732</v>
      </c>
      <c r="L22" s="1313">
        <v>0</v>
      </c>
      <c r="M22" s="1313">
        <v>0</v>
      </c>
      <c r="N22" s="1313">
        <v>0</v>
      </c>
      <c r="O22" s="1313">
        <v>0</v>
      </c>
      <c r="P22" s="1313">
        <v>0</v>
      </c>
      <c r="Q22" s="1313">
        <v>0</v>
      </c>
      <c r="R22" s="1313">
        <v>0</v>
      </c>
      <c r="S22" s="1313">
        <v>0</v>
      </c>
      <c r="T22" s="1313">
        <v>0</v>
      </c>
      <c r="U22" s="1313">
        <v>0</v>
      </c>
      <c r="V22" s="1313">
        <v>0</v>
      </c>
      <c r="W22" s="1313">
        <v>0</v>
      </c>
      <c r="X22" s="1313">
        <v>0</v>
      </c>
      <c r="Y22" s="1313">
        <v>0</v>
      </c>
      <c r="Z22" s="1313">
        <v>0</v>
      </c>
      <c r="AA22" s="1313">
        <v>0</v>
      </c>
      <c r="AB22" s="1313">
        <v>0</v>
      </c>
      <c r="AC22" s="1313">
        <v>0</v>
      </c>
      <c r="AD22" s="1313">
        <v>0</v>
      </c>
      <c r="AE22" s="1313">
        <v>0</v>
      </c>
      <c r="AF22" s="1313">
        <v>0</v>
      </c>
      <c r="AG22" s="1313">
        <v>1290240</v>
      </c>
      <c r="AH22" s="1313">
        <v>0</v>
      </c>
      <c r="AI22" s="1313">
        <v>1290240</v>
      </c>
      <c r="AJ22" s="1313">
        <v>0</v>
      </c>
      <c r="AK22" s="1313">
        <v>0</v>
      </c>
      <c r="AL22" s="1313">
        <v>0</v>
      </c>
      <c r="AM22" s="1313">
        <v>8679</v>
      </c>
      <c r="AN22" s="1313">
        <v>0</v>
      </c>
      <c r="AO22" s="1313">
        <v>0</v>
      </c>
      <c r="AR22" s="1313">
        <v>0</v>
      </c>
      <c r="AS22" s="1313">
        <v>0</v>
      </c>
      <c r="AT22" s="1313">
        <v>0</v>
      </c>
      <c r="AU22" s="1313">
        <v>0</v>
      </c>
      <c r="AV22" s="1313">
        <v>0</v>
      </c>
      <c r="AW22" s="1313">
        <v>0</v>
      </c>
      <c r="AX22" s="1313">
        <v>0</v>
      </c>
      <c r="AY22" s="1313">
        <v>0</v>
      </c>
      <c r="AZ22" s="1313">
        <v>0</v>
      </c>
      <c r="BA22" s="1313">
        <v>0</v>
      </c>
      <c r="BB22" s="1313">
        <v>0</v>
      </c>
      <c r="BC22" s="1313">
        <v>0</v>
      </c>
      <c r="BF22" s="1313">
        <v>0</v>
      </c>
      <c r="BG22" s="1313">
        <v>0</v>
      </c>
      <c r="BH22" s="1313">
        <v>0</v>
      </c>
      <c r="BI22" s="1313">
        <v>0</v>
      </c>
      <c r="BJ22" s="1313">
        <v>0</v>
      </c>
      <c r="BK22" s="1313">
        <v>0</v>
      </c>
      <c r="BL22" s="1313">
        <v>0</v>
      </c>
      <c r="BM22" s="1313">
        <v>8679</v>
      </c>
      <c r="BN22" s="1313">
        <v>0</v>
      </c>
      <c r="BO22" s="1313">
        <v>400000</v>
      </c>
      <c r="BP22" s="1313">
        <v>0</v>
      </c>
      <c r="BQ22" s="1313">
        <v>0</v>
      </c>
      <c r="BT22" s="1313">
        <v>0</v>
      </c>
      <c r="BU22" s="1313">
        <v>0</v>
      </c>
      <c r="BV22" s="1313">
        <v>0</v>
      </c>
      <c r="BW22" s="1313">
        <v>0</v>
      </c>
      <c r="CB22" s="1313">
        <v>0</v>
      </c>
      <c r="CC22" s="1313">
        <v>0</v>
      </c>
      <c r="CD22" s="1313">
        <v>0</v>
      </c>
      <c r="CE22" s="1313">
        <v>1698919</v>
      </c>
      <c r="CF22" s="1313">
        <v>0</v>
      </c>
      <c r="CG22" s="1313">
        <v>854368</v>
      </c>
      <c r="CH22" s="1313">
        <v>0</v>
      </c>
      <c r="CI22" s="1313">
        <v>71560</v>
      </c>
      <c r="CJ22" s="1313">
        <v>0</v>
      </c>
      <c r="CK22" s="1313">
        <v>0</v>
      </c>
      <c r="CL22" s="1313">
        <v>0</v>
      </c>
      <c r="CM22" s="1313">
        <v>0</v>
      </c>
      <c r="CN22" s="1313">
        <v>0</v>
      </c>
      <c r="CO22" s="1313">
        <v>0</v>
      </c>
      <c r="CP22" s="1313">
        <v>0</v>
      </c>
      <c r="CQ22" s="1313">
        <v>0</v>
      </c>
      <c r="CR22" s="1313">
        <v>0</v>
      </c>
      <c r="CS22" s="1313">
        <v>925928</v>
      </c>
      <c r="CT22" s="1313">
        <v>0</v>
      </c>
      <c r="CU22" s="1313">
        <v>29250</v>
      </c>
      <c r="CV22" s="1313">
        <v>0</v>
      </c>
      <c r="CW22" s="1313">
        <v>105934</v>
      </c>
      <c r="CX22" s="1313">
        <v>0</v>
      </c>
      <c r="CY22" s="1313">
        <v>90250</v>
      </c>
      <c r="CZ22" s="1313">
        <v>0</v>
      </c>
      <c r="DA22" s="1313">
        <v>8400</v>
      </c>
      <c r="DB22" s="1313">
        <v>0</v>
      </c>
      <c r="DC22" s="1313">
        <v>0</v>
      </c>
      <c r="DD22" s="1313">
        <v>0</v>
      </c>
      <c r="DE22" s="1313">
        <v>233834</v>
      </c>
      <c r="DF22" s="1313">
        <v>0</v>
      </c>
      <c r="DG22" s="1313">
        <v>36474</v>
      </c>
      <c r="DH22" s="1313">
        <v>0</v>
      </c>
      <c r="DI22" s="1313">
        <v>520473</v>
      </c>
      <c r="DJ22" s="1313">
        <v>0</v>
      </c>
      <c r="DK22" s="1313">
        <v>159835</v>
      </c>
      <c r="DL22" s="1313">
        <v>0</v>
      </c>
      <c r="DM22" s="1313">
        <v>716782</v>
      </c>
      <c r="DN22" s="1313">
        <v>0</v>
      </c>
      <c r="DO22" s="1313">
        <v>12040</v>
      </c>
      <c r="DP22" s="1313">
        <v>0</v>
      </c>
      <c r="DQ22" s="1313">
        <v>0</v>
      </c>
      <c r="DR22" s="1313">
        <v>0</v>
      </c>
      <c r="DS22" s="1313">
        <v>0</v>
      </c>
      <c r="DT22" s="1313">
        <v>0</v>
      </c>
      <c r="DU22" s="1313">
        <v>0</v>
      </c>
      <c r="DV22" s="1313">
        <v>0</v>
      </c>
      <c r="DW22" s="1313">
        <v>12040</v>
      </c>
      <c r="DX22" s="1313">
        <v>0</v>
      </c>
      <c r="DY22" s="1313">
        <v>0</v>
      </c>
      <c r="DZ22" s="1313">
        <v>0</v>
      </c>
      <c r="EA22" s="1313">
        <v>0</v>
      </c>
      <c r="EB22" s="1313">
        <v>0</v>
      </c>
      <c r="EC22" s="1313">
        <v>0</v>
      </c>
      <c r="ED22" s="1313">
        <v>0</v>
      </c>
      <c r="EE22" s="1313">
        <v>1888584</v>
      </c>
      <c r="EF22" s="1313">
        <v>0</v>
      </c>
      <c r="EG22" s="1313">
        <v>185000</v>
      </c>
      <c r="EH22" s="1313">
        <v>0</v>
      </c>
      <c r="EI22" s="1313">
        <v>0</v>
      </c>
      <c r="EJ22" s="1313">
        <v>0</v>
      </c>
      <c r="EK22" s="1313">
        <v>1703584</v>
      </c>
      <c r="EN22" s="1313">
        <v>0</v>
      </c>
      <c r="EP22" s="1313">
        <v>0</v>
      </c>
    </row>
    <row r="23" spans="1:166" ht="22">
      <c r="A23" s="1313" t="s">
        <v>765</v>
      </c>
      <c r="B23" s="422" t="s">
        <v>782</v>
      </c>
      <c r="C23" s="422" t="s">
        <v>724</v>
      </c>
      <c r="D23" s="1460" t="s">
        <v>725</v>
      </c>
      <c r="E23" s="1313">
        <v>280</v>
      </c>
      <c r="F23" s="1313">
        <v>280.81</v>
      </c>
      <c r="H23" s="1313">
        <v>5.29</v>
      </c>
      <c r="J23" s="1313">
        <v>288.79000000000002</v>
      </c>
      <c r="L23" s="1313">
        <v>0</v>
      </c>
      <c r="M23" s="1313">
        <v>0</v>
      </c>
      <c r="N23" s="1313">
        <v>9817</v>
      </c>
      <c r="O23" s="1313">
        <v>52612</v>
      </c>
      <c r="P23" s="1313">
        <v>0</v>
      </c>
      <c r="Q23" s="1313">
        <v>0</v>
      </c>
      <c r="R23" s="1313">
        <v>0</v>
      </c>
      <c r="S23" s="1313">
        <v>0</v>
      </c>
      <c r="T23" s="1313">
        <v>0</v>
      </c>
      <c r="U23" s="1313">
        <v>0</v>
      </c>
      <c r="V23" s="1313">
        <v>618291</v>
      </c>
      <c r="W23" s="1313">
        <v>184320</v>
      </c>
      <c r="X23" s="1313">
        <v>0</v>
      </c>
      <c r="Y23" s="1313">
        <v>0</v>
      </c>
      <c r="Z23" s="1313">
        <v>0</v>
      </c>
      <c r="AA23" s="1313">
        <v>0</v>
      </c>
      <c r="AB23" s="1313">
        <v>0</v>
      </c>
      <c r="AC23" s="1313">
        <v>0</v>
      </c>
      <c r="AD23" s="1313">
        <v>0</v>
      </c>
      <c r="AE23" s="1313">
        <v>0</v>
      </c>
      <c r="AF23" s="1313">
        <v>1121784</v>
      </c>
      <c r="AG23" s="1313">
        <v>1766830</v>
      </c>
      <c r="AH23" s="1313">
        <v>1749892</v>
      </c>
      <c r="AI23" s="1313">
        <v>2003762</v>
      </c>
      <c r="AJ23" s="1313">
        <v>0</v>
      </c>
      <c r="AK23" s="1313">
        <v>0</v>
      </c>
      <c r="AL23" s="1313">
        <v>7703</v>
      </c>
      <c r="AM23" s="1313">
        <v>13476.84</v>
      </c>
      <c r="AN23" s="1313">
        <v>0</v>
      </c>
      <c r="AO23" s="1313">
        <v>0</v>
      </c>
      <c r="AP23" s="1313">
        <v>3475</v>
      </c>
      <c r="AQ23" s="1313">
        <v>0</v>
      </c>
      <c r="AR23" s="1313">
        <v>0</v>
      </c>
      <c r="AS23" s="1313">
        <v>0</v>
      </c>
      <c r="AT23" s="1313">
        <v>0</v>
      </c>
      <c r="AU23" s="1313">
        <v>0</v>
      </c>
      <c r="AV23" s="1313">
        <v>0</v>
      </c>
      <c r="AW23" s="1313">
        <v>0</v>
      </c>
      <c r="AX23" s="1313">
        <v>0</v>
      </c>
      <c r="AY23" s="1313">
        <v>0</v>
      </c>
      <c r="AZ23" s="1313">
        <v>0</v>
      </c>
      <c r="BA23" s="1313">
        <v>0</v>
      </c>
      <c r="BB23" s="1313">
        <v>0</v>
      </c>
      <c r="BC23" s="1313">
        <v>0</v>
      </c>
      <c r="BD23" s="1313">
        <v>0</v>
      </c>
      <c r="BE23" s="1313">
        <v>0</v>
      </c>
      <c r="BF23" s="1313">
        <v>0</v>
      </c>
      <c r="BG23" s="1313">
        <v>0</v>
      </c>
      <c r="BH23" s="1313">
        <v>0</v>
      </c>
      <c r="BI23" s="1313">
        <v>0</v>
      </c>
      <c r="BJ23" s="1313">
        <v>0</v>
      </c>
      <c r="BK23" s="1313">
        <v>0</v>
      </c>
      <c r="BL23" s="1313">
        <v>11178</v>
      </c>
      <c r="BM23" s="1313">
        <v>13476.84</v>
      </c>
      <c r="BN23" s="1313">
        <v>37686</v>
      </c>
      <c r="BO23" s="1313">
        <v>0</v>
      </c>
      <c r="BP23" s="1313">
        <v>182033.46</v>
      </c>
      <c r="BQ23" s="1313">
        <v>0</v>
      </c>
      <c r="BR23" s="1313">
        <v>0</v>
      </c>
      <c r="BS23" s="1313">
        <v>0</v>
      </c>
      <c r="BT23" s="1313">
        <v>0</v>
      </c>
      <c r="BU23" s="1313">
        <v>0</v>
      </c>
      <c r="BV23" s="1313">
        <v>0</v>
      </c>
      <c r="BW23" s="1313">
        <v>0</v>
      </c>
      <c r="BX23" s="1313">
        <v>0</v>
      </c>
      <c r="BY23" s="1313">
        <v>0</v>
      </c>
      <c r="BZ23" s="1313">
        <v>0</v>
      </c>
      <c r="CA23" s="1313">
        <v>0</v>
      </c>
      <c r="CB23" s="1313">
        <v>182033.46</v>
      </c>
      <c r="CC23" s="1313">
        <v>0</v>
      </c>
      <c r="CD23" s="1313">
        <v>1980789.46</v>
      </c>
      <c r="CE23" s="1313">
        <v>2017238.84</v>
      </c>
      <c r="CF23" s="1313">
        <v>1050886.48</v>
      </c>
      <c r="CG23" s="1313">
        <v>1112911.58</v>
      </c>
      <c r="CH23" s="1313">
        <v>0</v>
      </c>
      <c r="CI23" s="1313">
        <v>1200</v>
      </c>
      <c r="CJ23" s="1313">
        <v>0</v>
      </c>
      <c r="CK23" s="1313">
        <v>0</v>
      </c>
      <c r="CL23" s="1313">
        <v>0</v>
      </c>
      <c r="CM23" s="1313">
        <v>0</v>
      </c>
      <c r="CN23" s="1313">
        <v>0</v>
      </c>
      <c r="CO23" s="1313">
        <v>0</v>
      </c>
      <c r="CP23" s="1313">
        <v>0</v>
      </c>
      <c r="CQ23" s="1313">
        <v>0</v>
      </c>
      <c r="CR23" s="1313">
        <v>1050886.48</v>
      </c>
      <c r="CS23" s="1313">
        <v>1114111.58</v>
      </c>
      <c r="CT23" s="1313">
        <v>126133.63</v>
      </c>
      <c r="CU23" s="1313">
        <v>182947.78</v>
      </c>
      <c r="CV23" s="1313">
        <v>26442.5</v>
      </c>
      <c r="CW23" s="1313">
        <v>151315</v>
      </c>
      <c r="CX23" s="1313">
        <v>445876.25</v>
      </c>
      <c r="CY23" s="1313">
        <v>453714</v>
      </c>
      <c r="CZ23" s="1313">
        <v>0</v>
      </c>
      <c r="DA23" s="1313">
        <v>0</v>
      </c>
      <c r="DB23" s="1313">
        <v>0</v>
      </c>
      <c r="DC23" s="1313">
        <v>0</v>
      </c>
      <c r="DD23" s="1313">
        <v>598452.38</v>
      </c>
      <c r="DE23" s="1313">
        <v>787976.78</v>
      </c>
      <c r="DF23" s="1313">
        <v>32764.32</v>
      </c>
      <c r="DG23" s="1313">
        <v>33458.230000000003</v>
      </c>
      <c r="DH23" s="1313">
        <v>17009.82</v>
      </c>
      <c r="DI23" s="1313">
        <v>16334.17</v>
      </c>
      <c r="DJ23" s="1313">
        <v>8117.4</v>
      </c>
      <c r="DK23" s="1313">
        <v>0</v>
      </c>
      <c r="DL23" s="1313">
        <v>57891.54</v>
      </c>
      <c r="DM23" s="1313">
        <v>49792.4</v>
      </c>
      <c r="DN23" s="1313">
        <v>0</v>
      </c>
      <c r="DO23" s="1313">
        <v>0</v>
      </c>
      <c r="DP23" s="1313">
        <v>0</v>
      </c>
      <c r="DQ23" s="1313">
        <v>0</v>
      </c>
      <c r="DR23" s="1313">
        <v>0</v>
      </c>
      <c r="DS23" s="1313">
        <v>0</v>
      </c>
      <c r="DT23" s="1313">
        <v>0</v>
      </c>
      <c r="DU23" s="1313">
        <v>0</v>
      </c>
      <c r="DV23" s="1313">
        <v>0</v>
      </c>
      <c r="DW23" s="1313">
        <v>0</v>
      </c>
      <c r="DX23" s="1313">
        <v>0</v>
      </c>
      <c r="DY23" s="1313">
        <v>0</v>
      </c>
      <c r="DZ23" s="1313">
        <v>173117.59</v>
      </c>
      <c r="EA23" s="1313">
        <v>0</v>
      </c>
      <c r="EB23" s="1313">
        <v>0</v>
      </c>
      <c r="EC23" s="1313">
        <v>0</v>
      </c>
      <c r="ED23" s="1313">
        <v>1880347.99</v>
      </c>
      <c r="EE23" s="1313">
        <v>1951880.76</v>
      </c>
      <c r="EF23" s="1313">
        <v>119431.96</v>
      </c>
      <c r="EG23" s="1313">
        <v>96000</v>
      </c>
      <c r="EH23" s="1313">
        <v>173117.59</v>
      </c>
      <c r="EI23" s="1313">
        <v>0</v>
      </c>
      <c r="EJ23" s="1313">
        <v>1587798.44</v>
      </c>
      <c r="EK23" s="1313">
        <v>1855880.76</v>
      </c>
      <c r="EL23" s="1313">
        <v>1717</v>
      </c>
      <c r="EN23" s="1313">
        <v>1586081.44</v>
      </c>
      <c r="EP23" s="1313">
        <v>5648</v>
      </c>
      <c r="ER23" s="1313">
        <v>15.35</v>
      </c>
      <c r="ET23" s="1313">
        <v>43601</v>
      </c>
      <c r="EV23" s="1313">
        <v>15.35</v>
      </c>
      <c r="EX23" s="1313">
        <v>43601</v>
      </c>
      <c r="EZ23" s="1313">
        <v>91777.63</v>
      </c>
      <c r="FB23" s="1313">
        <v>1555.5</v>
      </c>
      <c r="FD23" s="1313">
        <v>0</v>
      </c>
      <c r="FF23" s="1313">
        <v>90222.13</v>
      </c>
      <c r="FH23" s="1313">
        <v>33000</v>
      </c>
      <c r="FJ23" s="1313">
        <v>0</v>
      </c>
    </row>
  </sheetData>
  <phoneticPr fontId="153" type="noConversion"/>
  <pageMargins left="0.7" right="0.7" top="0.75" bottom="0.75" header="0.3" footer="0.3"/>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F63"/>
  <sheetViews>
    <sheetView workbookViewId="0">
      <selection activeCell="H25" sqref="H25"/>
    </sheetView>
  </sheetViews>
  <sheetFormatPr baseColWidth="10" defaultColWidth="8.83203125" defaultRowHeight="11" x14ac:dyDescent="0"/>
  <cols>
    <col min="1" max="1" width="4.83203125" style="387" customWidth="1"/>
    <col min="2" max="11" width="9.83203125" style="387" customWidth="1"/>
    <col min="12" max="12" width="4.83203125" style="387" customWidth="1"/>
    <col min="13" max="13" width="6.83203125" style="387" customWidth="1"/>
    <col min="14" max="14" width="23.83203125" style="387" customWidth="1"/>
    <col min="15" max="20" width="9.83203125" style="387" customWidth="1"/>
    <col min="21" max="21" width="6.83203125" style="387" customWidth="1"/>
    <col min="22" max="23" width="9.83203125" style="387" customWidth="1"/>
    <col min="24" max="24" width="25.5" style="387" customWidth="1"/>
    <col min="25" max="25" width="17.1640625" style="387" customWidth="1"/>
    <col min="26" max="41" width="9.83203125" style="387" customWidth="1"/>
    <col min="42" max="16384" width="8.83203125" style="387"/>
  </cols>
  <sheetData>
    <row r="1" spans="1:21" ht="18" customHeight="1">
      <c r="A1" s="310"/>
      <c r="B1" s="1672" t="s">
        <v>1066</v>
      </c>
      <c r="C1" s="1672"/>
      <c r="D1" s="1672"/>
      <c r="E1" s="1672"/>
      <c r="F1" s="1672"/>
      <c r="G1" s="1672"/>
      <c r="H1" s="1672"/>
      <c r="I1" s="1672"/>
      <c r="J1" s="1672"/>
      <c r="K1" s="1672"/>
      <c r="L1" s="310"/>
      <c r="M1" s="309"/>
      <c r="N1" s="309"/>
      <c r="O1" s="309"/>
      <c r="P1" s="309"/>
      <c r="Q1" s="309"/>
      <c r="R1" s="309"/>
      <c r="S1" s="309"/>
      <c r="T1" s="309"/>
      <c r="U1" s="309"/>
    </row>
    <row r="2" spans="1:21" ht="20" customHeight="1">
      <c r="A2" s="1673" t="s">
        <v>1066</v>
      </c>
      <c r="B2" s="1674" t="s">
        <v>1206</v>
      </c>
      <c r="C2" s="1674"/>
      <c r="D2" s="1674"/>
      <c r="E2" s="1674"/>
      <c r="F2" s="1674"/>
      <c r="G2" s="1674"/>
      <c r="H2" s="1674"/>
      <c r="I2" s="1674"/>
      <c r="J2" s="1674"/>
      <c r="K2" s="1674"/>
      <c r="L2" s="1673" t="s">
        <v>1066</v>
      </c>
      <c r="M2" s="433" t="str">
        <f>N40</f>
        <v>AR</v>
      </c>
      <c r="N2" s="1675" t="s">
        <v>1207</v>
      </c>
      <c r="O2" s="1675"/>
      <c r="P2" s="1675"/>
      <c r="Q2" s="1675"/>
      <c r="R2" s="1675"/>
      <c r="S2" s="1675"/>
      <c r="T2" s="1675"/>
      <c r="U2" s="434"/>
    </row>
    <row r="3" spans="1:21" ht="16" customHeight="1">
      <c r="A3" s="1673"/>
      <c r="B3" s="308"/>
      <c r="C3" s="308"/>
      <c r="D3" s="308"/>
      <c r="E3" s="308"/>
      <c r="F3" s="308"/>
      <c r="G3" s="308"/>
      <c r="H3" s="308"/>
      <c r="I3" s="308"/>
      <c r="J3" s="308"/>
      <c r="K3" s="308"/>
      <c r="L3" s="1673"/>
      <c r="M3" s="1525" t="s">
        <v>1195</v>
      </c>
      <c r="N3" s="1526"/>
      <c r="O3" s="1526"/>
      <c r="P3" s="1526"/>
      <c r="Q3" s="1526"/>
      <c r="R3" s="1526"/>
      <c r="S3" s="1526"/>
      <c r="T3" s="1526"/>
      <c r="U3" s="1527"/>
    </row>
    <row r="4" spans="1:21" ht="16" customHeight="1">
      <c r="A4" s="1673"/>
      <c r="B4" s="308"/>
      <c r="C4" s="308"/>
      <c r="D4" s="308"/>
      <c r="E4" s="308"/>
      <c r="F4" s="308"/>
      <c r="G4" s="308"/>
      <c r="H4" s="308"/>
      <c r="I4" s="308"/>
      <c r="J4" s="308"/>
      <c r="K4" s="308"/>
      <c r="L4" s="1673"/>
      <c r="M4" s="1525"/>
      <c r="N4" s="1526"/>
      <c r="O4" s="1526"/>
      <c r="P4" s="1526"/>
      <c r="Q4" s="1526"/>
      <c r="R4" s="1526"/>
      <c r="S4" s="1526"/>
      <c r="T4" s="1526"/>
      <c r="U4" s="1527"/>
    </row>
    <row r="5" spans="1:21" ht="16" customHeight="1">
      <c r="A5" s="1673"/>
      <c r="B5" s="308"/>
      <c r="C5" s="308"/>
      <c r="D5" s="308"/>
      <c r="E5" s="308"/>
      <c r="F5" s="308"/>
      <c r="G5" s="308"/>
      <c r="H5" s="308"/>
      <c r="I5" s="308"/>
      <c r="J5" s="308"/>
      <c r="K5" s="308"/>
      <c r="L5" s="1673"/>
      <c r="M5" s="1525"/>
      <c r="N5" s="1526"/>
      <c r="O5" s="1526"/>
      <c r="P5" s="1526"/>
      <c r="Q5" s="1526"/>
      <c r="R5" s="1526"/>
      <c r="S5" s="1526"/>
      <c r="T5" s="1526"/>
      <c r="U5" s="1527"/>
    </row>
    <row r="6" spans="1:21" ht="16" customHeight="1">
      <c r="A6" s="1673"/>
      <c r="B6" s="308"/>
      <c r="C6" s="308"/>
      <c r="D6" s="308"/>
      <c r="E6" s="308"/>
      <c r="F6" s="308"/>
      <c r="G6" s="308"/>
      <c r="H6" s="308"/>
      <c r="I6" s="308"/>
      <c r="J6" s="308"/>
      <c r="K6" s="308"/>
      <c r="L6" s="1673"/>
      <c r="M6" s="1525"/>
      <c r="N6" s="1526"/>
      <c r="O6" s="1526"/>
      <c r="P6" s="1526"/>
      <c r="Q6" s="1526"/>
      <c r="R6" s="1526"/>
      <c r="S6" s="1526"/>
      <c r="T6" s="1526"/>
      <c r="U6" s="1527"/>
    </row>
    <row r="7" spans="1:21" ht="16" customHeight="1">
      <c r="A7" s="1673"/>
      <c r="B7" s="308"/>
      <c r="C7" s="308"/>
      <c r="D7" s="308"/>
      <c r="E7" s="308"/>
      <c r="F7" s="308"/>
      <c r="G7" s="308"/>
      <c r="H7" s="308"/>
      <c r="I7" s="308"/>
      <c r="J7" s="308"/>
      <c r="K7" s="308"/>
      <c r="L7" s="1673"/>
      <c r="M7" s="1525"/>
      <c r="N7" s="1526"/>
      <c r="O7" s="1526"/>
      <c r="P7" s="1526"/>
      <c r="Q7" s="1526"/>
      <c r="R7" s="1526"/>
      <c r="S7" s="1526"/>
      <c r="T7" s="1526"/>
      <c r="U7" s="1527"/>
    </row>
    <row r="8" spans="1:21" ht="16" customHeight="1">
      <c r="A8" s="1673"/>
      <c r="B8" s="308"/>
      <c r="C8" s="308"/>
      <c r="D8" s="308"/>
      <c r="E8" s="308"/>
      <c r="F8" s="308"/>
      <c r="G8" s="308"/>
      <c r="H8" s="308"/>
      <c r="I8" s="308"/>
      <c r="J8" s="308"/>
      <c r="K8" s="308"/>
      <c r="L8" s="1673"/>
      <c r="M8" s="1528"/>
      <c r="N8" s="1529"/>
      <c r="O8" s="1529"/>
      <c r="P8" s="1529"/>
      <c r="Q8" s="1529"/>
      <c r="R8" s="1529"/>
      <c r="S8" s="1529"/>
      <c r="T8" s="1529"/>
      <c r="U8" s="1530"/>
    </row>
    <row r="9" spans="1:21" ht="16" customHeight="1">
      <c r="A9" s="1673"/>
      <c r="B9" s="308"/>
      <c r="C9" s="308"/>
      <c r="D9" s="308"/>
      <c r="E9" s="308"/>
      <c r="F9" s="308"/>
      <c r="G9" s="308"/>
      <c r="H9" s="308"/>
      <c r="I9" s="308"/>
      <c r="J9" s="308"/>
      <c r="K9" s="308"/>
      <c r="L9" s="1673"/>
      <c r="M9" s="1522"/>
      <c r="N9" s="1523"/>
      <c r="O9" s="1523"/>
      <c r="P9" s="1523"/>
      <c r="Q9" s="1523"/>
      <c r="R9" s="1523"/>
      <c r="S9" s="1523"/>
      <c r="T9" s="1523"/>
      <c r="U9" s="1524"/>
    </row>
    <row r="10" spans="1:21" ht="16" customHeight="1">
      <c r="A10" s="1673"/>
      <c r="B10" s="308"/>
      <c r="C10" s="308"/>
      <c r="D10" s="308"/>
      <c r="E10" s="308"/>
      <c r="F10" s="308"/>
      <c r="G10" s="308"/>
      <c r="H10" s="308"/>
      <c r="I10" s="308"/>
      <c r="J10" s="308"/>
      <c r="K10" s="308"/>
      <c r="L10" s="1673"/>
      <c r="M10" s="1525"/>
      <c r="N10" s="1526"/>
      <c r="O10" s="1526"/>
      <c r="P10" s="1526"/>
      <c r="Q10" s="1526"/>
      <c r="R10" s="1526"/>
      <c r="S10" s="1526"/>
      <c r="T10" s="1526"/>
      <c r="U10" s="1527"/>
    </row>
    <row r="11" spans="1:21" ht="16" customHeight="1">
      <c r="A11" s="1673"/>
      <c r="B11" s="308"/>
      <c r="C11" s="308"/>
      <c r="D11" s="308"/>
      <c r="E11" s="308"/>
      <c r="F11" s="308"/>
      <c r="G11" s="308"/>
      <c r="H11" s="308"/>
      <c r="I11" s="308"/>
      <c r="J11" s="308"/>
      <c r="K11" s="308"/>
      <c r="L11" s="1673"/>
      <c r="M11" s="1525"/>
      <c r="N11" s="1526"/>
      <c r="O11" s="1526"/>
      <c r="P11" s="1526"/>
      <c r="Q11" s="1526"/>
      <c r="R11" s="1526"/>
      <c r="S11" s="1526"/>
      <c r="T11" s="1526"/>
      <c r="U11" s="1527"/>
    </row>
    <row r="12" spans="1:21" ht="16" customHeight="1">
      <c r="A12" s="1673"/>
      <c r="B12" s="308"/>
      <c r="C12" s="308"/>
      <c r="D12" s="308"/>
      <c r="E12" s="308"/>
      <c r="F12" s="308"/>
      <c r="G12" s="308"/>
      <c r="H12" s="308"/>
      <c r="I12" s="308"/>
      <c r="J12" s="308"/>
      <c r="K12" s="308"/>
      <c r="L12" s="1673"/>
      <c r="M12" s="1525"/>
      <c r="N12" s="1526"/>
      <c r="O12" s="1526"/>
      <c r="P12" s="1526"/>
      <c r="Q12" s="1526"/>
      <c r="R12" s="1526"/>
      <c r="S12" s="1526"/>
      <c r="T12" s="1526"/>
      <c r="U12" s="1527"/>
    </row>
    <row r="13" spans="1:21" ht="16" customHeight="1">
      <c r="A13" s="1673"/>
      <c r="B13" s="308"/>
      <c r="C13" s="308"/>
      <c r="D13" s="308"/>
      <c r="E13" s="308"/>
      <c r="F13" s="308"/>
      <c r="G13" s="308"/>
      <c r="H13" s="308"/>
      <c r="I13" s="308"/>
      <c r="J13" s="308"/>
      <c r="K13" s="308"/>
      <c r="L13" s="1673"/>
      <c r="M13" s="1525"/>
      <c r="N13" s="1526"/>
      <c r="O13" s="1526"/>
      <c r="P13" s="1526"/>
      <c r="Q13" s="1526"/>
      <c r="R13" s="1526"/>
      <c r="S13" s="1526"/>
      <c r="T13" s="1526"/>
      <c r="U13" s="1527"/>
    </row>
    <row r="14" spans="1:21" ht="16" customHeight="1">
      <c r="A14" s="1673"/>
      <c r="B14" s="308"/>
      <c r="C14" s="308"/>
      <c r="D14" s="308"/>
      <c r="E14" s="308"/>
      <c r="F14" s="308"/>
      <c r="G14" s="308"/>
      <c r="H14" s="308"/>
      <c r="I14" s="308"/>
      <c r="J14" s="308"/>
      <c r="K14" s="308"/>
      <c r="L14" s="1673"/>
      <c r="M14" s="1525"/>
      <c r="N14" s="1526"/>
      <c r="O14" s="1526"/>
      <c r="P14" s="1526"/>
      <c r="Q14" s="1526"/>
      <c r="R14" s="1526"/>
      <c r="S14" s="1526"/>
      <c r="T14" s="1526"/>
      <c r="U14" s="1527"/>
    </row>
    <row r="15" spans="1:21" ht="16" customHeight="1">
      <c r="A15" s="1673"/>
      <c r="B15" s="308"/>
      <c r="C15" s="308"/>
      <c r="D15" s="308"/>
      <c r="E15" s="308"/>
      <c r="F15" s="308"/>
      <c r="G15" s="308"/>
      <c r="H15" s="308"/>
      <c r="I15" s="308"/>
      <c r="J15" s="308"/>
      <c r="K15" s="308"/>
      <c r="L15" s="1673"/>
      <c r="M15" s="1528"/>
      <c r="N15" s="1529"/>
      <c r="O15" s="1529"/>
      <c r="P15" s="1529"/>
      <c r="Q15" s="1529"/>
      <c r="R15" s="1529"/>
      <c r="S15" s="1529"/>
      <c r="T15" s="1529"/>
      <c r="U15" s="1530"/>
    </row>
    <row r="16" spans="1:21" ht="16" customHeight="1">
      <c r="A16" s="1673"/>
      <c r="B16" s="308"/>
      <c r="C16" s="308"/>
      <c r="D16" s="308"/>
      <c r="E16" s="308"/>
      <c r="F16" s="308"/>
      <c r="G16" s="308"/>
      <c r="H16" s="308"/>
      <c r="I16" s="308"/>
      <c r="J16" s="308"/>
      <c r="K16" s="308"/>
      <c r="L16" s="1673"/>
      <c r="M16" s="1522"/>
      <c r="N16" s="1523"/>
      <c r="O16" s="1523"/>
      <c r="P16" s="1523"/>
      <c r="Q16" s="1523"/>
      <c r="R16" s="1523"/>
      <c r="S16" s="1523"/>
      <c r="T16" s="1523"/>
      <c r="U16" s="1524"/>
    </row>
    <row r="17" spans="1:21" ht="16" customHeight="1">
      <c r="A17" s="1673"/>
      <c r="B17" s="308"/>
      <c r="C17" s="308"/>
      <c r="D17" s="308"/>
      <c r="E17" s="308"/>
      <c r="F17" s="308"/>
      <c r="G17" s="308"/>
      <c r="H17" s="308"/>
      <c r="I17" s="308"/>
      <c r="J17" s="308"/>
      <c r="K17" s="308"/>
      <c r="L17" s="1673"/>
      <c r="M17" s="1525"/>
      <c r="N17" s="1526"/>
      <c r="O17" s="1526"/>
      <c r="P17" s="1526"/>
      <c r="Q17" s="1526"/>
      <c r="R17" s="1526"/>
      <c r="S17" s="1526"/>
      <c r="T17" s="1526"/>
      <c r="U17" s="1527"/>
    </row>
    <row r="18" spans="1:21" ht="16" customHeight="1">
      <c r="A18" s="1673"/>
      <c r="B18" s="308"/>
      <c r="C18" s="308"/>
      <c r="D18" s="308"/>
      <c r="E18" s="308"/>
      <c r="F18" s="308"/>
      <c r="G18" s="308"/>
      <c r="H18" s="308"/>
      <c r="I18" s="308"/>
      <c r="J18" s="308"/>
      <c r="K18" s="308"/>
      <c r="L18" s="1673"/>
      <c r="M18" s="1525"/>
      <c r="N18" s="1526"/>
      <c r="O18" s="1526"/>
      <c r="P18" s="1526"/>
      <c r="Q18" s="1526"/>
      <c r="R18" s="1526"/>
      <c r="S18" s="1526"/>
      <c r="T18" s="1526"/>
      <c r="U18" s="1527"/>
    </row>
    <row r="19" spans="1:21" ht="16" customHeight="1">
      <c r="A19" s="1673"/>
      <c r="B19" s="308"/>
      <c r="C19" s="308"/>
      <c r="D19" s="308"/>
      <c r="E19" s="308"/>
      <c r="F19" s="308"/>
      <c r="G19" s="308"/>
      <c r="H19" s="308"/>
      <c r="I19" s="308"/>
      <c r="J19" s="308"/>
      <c r="K19" s="308"/>
      <c r="L19" s="1673"/>
      <c r="M19" s="1525"/>
      <c r="N19" s="1526"/>
      <c r="O19" s="1526"/>
      <c r="P19" s="1526"/>
      <c r="Q19" s="1526"/>
      <c r="R19" s="1526"/>
      <c r="S19" s="1526"/>
      <c r="T19" s="1526"/>
      <c r="U19" s="1527"/>
    </row>
    <row r="20" spans="1:21" ht="16" customHeight="1">
      <c r="A20" s="1673"/>
      <c r="B20" s="308"/>
      <c r="C20" s="308"/>
      <c r="D20" s="308"/>
      <c r="E20" s="308"/>
      <c r="F20" s="308"/>
      <c r="G20" s="308"/>
      <c r="H20" s="308"/>
      <c r="I20" s="308"/>
      <c r="J20" s="308"/>
      <c r="K20" s="308"/>
      <c r="L20" s="1673"/>
      <c r="M20" s="1525"/>
      <c r="N20" s="1526"/>
      <c r="O20" s="1526"/>
      <c r="P20" s="1526"/>
      <c r="Q20" s="1526"/>
      <c r="R20" s="1526"/>
      <c r="S20" s="1526"/>
      <c r="T20" s="1526"/>
      <c r="U20" s="1527"/>
    </row>
    <row r="21" spans="1:21" ht="16" customHeight="1">
      <c r="A21" s="1673"/>
      <c r="B21" s="308"/>
      <c r="C21" s="308"/>
      <c r="D21" s="308"/>
      <c r="E21" s="308"/>
      <c r="F21" s="308"/>
      <c r="G21" s="308"/>
      <c r="H21" s="308"/>
      <c r="I21" s="308"/>
      <c r="J21" s="308"/>
      <c r="K21" s="308"/>
      <c r="L21" s="1673"/>
      <c r="M21" s="1525"/>
      <c r="N21" s="1526"/>
      <c r="O21" s="1526"/>
      <c r="P21" s="1526"/>
      <c r="Q21" s="1526"/>
      <c r="R21" s="1526"/>
      <c r="S21" s="1526"/>
      <c r="T21" s="1526"/>
      <c r="U21" s="1527"/>
    </row>
    <row r="22" spans="1:21" ht="16" customHeight="1">
      <c r="A22" s="1673"/>
      <c r="B22" s="308"/>
      <c r="C22" s="308"/>
      <c r="D22" s="308"/>
      <c r="E22" s="308"/>
      <c r="F22" s="308"/>
      <c r="G22" s="308"/>
      <c r="H22" s="308"/>
      <c r="I22" s="308"/>
      <c r="J22" s="308"/>
      <c r="K22" s="308"/>
      <c r="L22" s="1673"/>
      <c r="M22" s="1525"/>
      <c r="N22" s="1526"/>
      <c r="O22" s="1526"/>
      <c r="P22" s="1526"/>
      <c r="Q22" s="1526"/>
      <c r="R22" s="1526"/>
      <c r="S22" s="1526"/>
      <c r="T22" s="1526"/>
      <c r="U22" s="1527"/>
    </row>
    <row r="23" spans="1:21" ht="16" customHeight="1">
      <c r="A23" s="1673"/>
      <c r="B23" s="308"/>
      <c r="C23" s="308"/>
      <c r="D23" s="308"/>
      <c r="E23" s="308"/>
      <c r="F23" s="308"/>
      <c r="G23" s="308"/>
      <c r="H23" s="308"/>
      <c r="I23" s="308"/>
      <c r="J23" s="308"/>
      <c r="K23" s="308"/>
      <c r="L23" s="1673"/>
      <c r="M23" s="1525"/>
      <c r="N23" s="1526"/>
      <c r="O23" s="1526"/>
      <c r="P23" s="1526"/>
      <c r="Q23" s="1526"/>
      <c r="R23" s="1526"/>
      <c r="S23" s="1526"/>
      <c r="T23" s="1526"/>
      <c r="U23" s="1527"/>
    </row>
    <row r="24" spans="1:21" ht="16" customHeight="1">
      <c r="A24" s="1673"/>
      <c r="B24" s="308"/>
      <c r="C24" s="308"/>
      <c r="D24" s="308"/>
      <c r="E24" s="308"/>
      <c r="F24" s="308"/>
      <c r="G24" s="308"/>
      <c r="H24" s="308"/>
      <c r="I24" s="308"/>
      <c r="J24" s="308"/>
      <c r="K24" s="308"/>
      <c r="L24" s="1673"/>
      <c r="M24" s="1525"/>
      <c r="N24" s="1526"/>
      <c r="O24" s="1526"/>
      <c r="P24" s="1526"/>
      <c r="Q24" s="1526"/>
      <c r="R24" s="1526"/>
      <c r="S24" s="1526"/>
      <c r="T24" s="1526"/>
      <c r="U24" s="1527"/>
    </row>
    <row r="25" spans="1:21" ht="16" customHeight="1">
      <c r="A25" s="1673"/>
      <c r="B25" s="308"/>
      <c r="C25" s="308"/>
      <c r="D25" s="308"/>
      <c r="E25" s="308"/>
      <c r="F25" s="308"/>
      <c r="G25" s="308"/>
      <c r="H25" s="308"/>
      <c r="I25" s="308"/>
      <c r="J25" s="308"/>
      <c r="K25" s="308"/>
      <c r="L25" s="1673"/>
      <c r="M25" s="1525"/>
      <c r="N25" s="1526"/>
      <c r="O25" s="1526"/>
      <c r="P25" s="1526"/>
      <c r="Q25" s="1526"/>
      <c r="R25" s="1526"/>
      <c r="S25" s="1526"/>
      <c r="T25" s="1526"/>
      <c r="U25" s="1527"/>
    </row>
    <row r="26" spans="1:21" ht="16" customHeight="1">
      <c r="A26" s="1673"/>
      <c r="B26" s="308"/>
      <c r="C26" s="308"/>
      <c r="D26" s="308"/>
      <c r="E26" s="308"/>
      <c r="F26" s="308"/>
      <c r="G26" s="308"/>
      <c r="H26" s="308"/>
      <c r="I26" s="308"/>
      <c r="J26" s="308"/>
      <c r="K26" s="308"/>
      <c r="L26" s="1673"/>
      <c r="M26" s="1525"/>
      <c r="N26" s="1526"/>
      <c r="O26" s="1526"/>
      <c r="P26" s="1526"/>
      <c r="Q26" s="1526"/>
      <c r="R26" s="1526"/>
      <c r="S26" s="1526"/>
      <c r="T26" s="1526"/>
      <c r="U26" s="1527"/>
    </row>
    <row r="27" spans="1:21" ht="16" customHeight="1">
      <c r="A27" s="1673"/>
      <c r="B27" s="308"/>
      <c r="C27" s="308"/>
      <c r="D27" s="308"/>
      <c r="E27" s="308"/>
      <c r="F27" s="308"/>
      <c r="G27" s="308"/>
      <c r="H27" s="308"/>
      <c r="I27" s="308"/>
      <c r="J27" s="308"/>
      <c r="K27" s="308"/>
      <c r="L27" s="1673"/>
      <c r="M27" s="1525"/>
      <c r="N27" s="1526"/>
      <c r="O27" s="1526"/>
      <c r="P27" s="1526"/>
      <c r="Q27" s="1526"/>
      <c r="R27" s="1526"/>
      <c r="S27" s="1526"/>
      <c r="T27" s="1526"/>
      <c r="U27" s="1527"/>
    </row>
    <row r="28" spans="1:21" ht="16" customHeight="1">
      <c r="A28" s="1673"/>
      <c r="B28" s="308"/>
      <c r="C28" s="308"/>
      <c r="D28" s="308"/>
      <c r="E28" s="308"/>
      <c r="F28" s="308"/>
      <c r="G28" s="308"/>
      <c r="H28" s="308"/>
      <c r="I28" s="308"/>
      <c r="J28" s="308"/>
      <c r="K28" s="308"/>
      <c r="L28" s="1673"/>
      <c r="M28" s="1528"/>
      <c r="N28" s="1529"/>
      <c r="O28" s="1529"/>
      <c r="P28" s="1529"/>
      <c r="Q28" s="1529"/>
      <c r="R28" s="1529"/>
      <c r="S28" s="1529"/>
      <c r="T28" s="1529"/>
      <c r="U28" s="1530"/>
    </row>
    <row r="29" spans="1:21" ht="16" customHeight="1">
      <c r="A29" s="1673"/>
      <c r="B29" s="308"/>
      <c r="C29" s="308"/>
      <c r="D29" s="308"/>
      <c r="E29" s="308"/>
      <c r="F29" s="308"/>
      <c r="G29" s="308"/>
      <c r="H29" s="308"/>
      <c r="I29" s="308"/>
      <c r="J29" s="308"/>
      <c r="K29" s="308"/>
      <c r="L29" s="1673"/>
      <c r="M29" s="1571"/>
      <c r="N29" s="1572"/>
      <c r="O29" s="1572"/>
      <c r="P29" s="1572"/>
      <c r="Q29" s="1572"/>
      <c r="R29" s="1572"/>
      <c r="S29" s="1572"/>
      <c r="T29" s="1572"/>
      <c r="U29" s="1573"/>
    </row>
    <row r="30" spans="1:21" ht="16" customHeight="1">
      <c r="A30" s="1673"/>
      <c r="B30" s="308"/>
      <c r="C30" s="308"/>
      <c r="D30" s="308"/>
      <c r="E30" s="308"/>
      <c r="F30" s="308"/>
      <c r="G30" s="308"/>
      <c r="H30" s="308"/>
      <c r="I30" s="308"/>
      <c r="J30" s="308"/>
      <c r="K30" s="308"/>
      <c r="L30" s="1673"/>
      <c r="M30" s="616"/>
      <c r="N30" s="617"/>
      <c r="O30" s="617"/>
      <c r="P30" s="617"/>
      <c r="Q30" s="617"/>
      <c r="R30" s="617"/>
      <c r="S30" s="617"/>
      <c r="T30" s="617"/>
      <c r="U30" s="618"/>
    </row>
    <row r="31" spans="1:21" ht="16" customHeight="1">
      <c r="A31" s="1673"/>
      <c r="B31" s="308"/>
      <c r="C31" s="308"/>
      <c r="D31" s="308"/>
      <c r="E31" s="308"/>
      <c r="F31" s="308"/>
      <c r="G31" s="308"/>
      <c r="H31" s="308"/>
      <c r="I31" s="308"/>
      <c r="J31" s="308"/>
      <c r="K31" s="308"/>
      <c r="L31" s="1673"/>
      <c r="M31" s="1571"/>
      <c r="N31" s="1572"/>
      <c r="O31" s="1572"/>
      <c r="P31" s="1572"/>
      <c r="Q31" s="1572"/>
      <c r="R31" s="1572"/>
      <c r="S31" s="1572"/>
      <c r="T31" s="1572"/>
      <c r="U31" s="1573"/>
    </row>
    <row r="32" spans="1:21" ht="16" customHeight="1">
      <c r="A32" s="1673"/>
      <c r="B32" s="308"/>
      <c r="C32" s="308"/>
      <c r="D32" s="308"/>
      <c r="E32" s="308"/>
      <c r="F32" s="308"/>
      <c r="G32" s="308"/>
      <c r="H32" s="308"/>
      <c r="I32" s="308"/>
      <c r="J32" s="308"/>
      <c r="K32" s="308"/>
      <c r="L32" s="1673"/>
      <c r="M32" s="1571"/>
      <c r="N32" s="1572"/>
      <c r="O32" s="1572"/>
      <c r="P32" s="1572"/>
      <c r="Q32" s="1572"/>
      <c r="R32" s="1572"/>
      <c r="S32" s="1572"/>
      <c r="T32" s="1572"/>
      <c r="U32" s="1573"/>
    </row>
    <row r="33" spans="1:32" ht="16" customHeight="1">
      <c r="A33" s="1673"/>
      <c r="B33" s="308"/>
      <c r="C33" s="308"/>
      <c r="D33" s="308"/>
      <c r="E33" s="308"/>
      <c r="F33" s="308"/>
      <c r="G33" s="308"/>
      <c r="H33" s="308"/>
      <c r="I33" s="308"/>
      <c r="J33" s="308"/>
      <c r="K33" s="308"/>
      <c r="L33" s="1673"/>
      <c r="M33" s="1571"/>
      <c r="N33" s="1572"/>
      <c r="O33" s="1572"/>
      <c r="P33" s="1572"/>
      <c r="Q33" s="1572"/>
      <c r="R33" s="1572"/>
      <c r="S33" s="1572"/>
      <c r="T33" s="1572"/>
      <c r="U33" s="1573"/>
    </row>
    <row r="34" spans="1:32" ht="16" customHeight="1">
      <c r="A34" s="1673"/>
      <c r="B34" s="308"/>
      <c r="C34" s="308"/>
      <c r="D34" s="308"/>
      <c r="E34" s="308"/>
      <c r="F34" s="308"/>
      <c r="G34" s="308"/>
      <c r="H34" s="308"/>
      <c r="I34" s="308"/>
      <c r="J34" s="308"/>
      <c r="K34" s="308"/>
      <c r="L34" s="1673"/>
      <c r="M34" s="1553"/>
      <c r="N34" s="1554"/>
      <c r="O34" s="1554"/>
      <c r="P34" s="1554"/>
      <c r="Q34" s="1554"/>
      <c r="R34" s="1554"/>
      <c r="S34" s="1554"/>
      <c r="T34" s="1554"/>
      <c r="U34" s="1555"/>
    </row>
    <row r="35" spans="1:32" ht="16" customHeight="1">
      <c r="A35" s="1673"/>
      <c r="B35" s="308"/>
      <c r="C35" s="308"/>
      <c r="D35" s="308"/>
      <c r="E35" s="308"/>
      <c r="F35" s="308"/>
      <c r="G35" s="308"/>
      <c r="H35" s="308"/>
      <c r="I35" s="308"/>
      <c r="J35" s="308"/>
      <c r="K35" s="308"/>
      <c r="L35" s="1673"/>
      <c r="M35" s="1553"/>
      <c r="N35" s="1554"/>
      <c r="O35" s="1554"/>
      <c r="P35" s="1554"/>
      <c r="Q35" s="1554"/>
      <c r="R35" s="1554"/>
      <c r="S35" s="1554"/>
      <c r="T35" s="1554"/>
      <c r="U35" s="1555"/>
    </row>
    <row r="36" spans="1:32" ht="20" customHeight="1">
      <c r="A36" s="1673"/>
      <c r="B36" s="1674" t="s">
        <v>1206</v>
      </c>
      <c r="C36" s="1674"/>
      <c r="D36" s="1674"/>
      <c r="E36" s="1674"/>
      <c r="F36" s="1674"/>
      <c r="G36" s="1674"/>
      <c r="H36" s="1674"/>
      <c r="I36" s="1674"/>
      <c r="J36" s="1674"/>
      <c r="K36" s="1674"/>
      <c r="L36" s="1673"/>
      <c r="M36" s="396" t="str">
        <f>N40</f>
        <v>AR</v>
      </c>
      <c r="N36" s="1675" t="s">
        <v>1208</v>
      </c>
      <c r="O36" s="1675"/>
      <c r="P36" s="1675"/>
      <c r="Q36" s="1675"/>
      <c r="R36" s="1675"/>
      <c r="S36" s="1675"/>
      <c r="T36" s="1675"/>
      <c r="U36" s="396"/>
    </row>
    <row r="37" spans="1:32" ht="18" customHeight="1">
      <c r="A37" s="310"/>
      <c r="B37" s="1672" t="s">
        <v>1066</v>
      </c>
      <c r="C37" s="1672"/>
      <c r="D37" s="1672"/>
      <c r="E37" s="1672"/>
      <c r="F37" s="1672"/>
      <c r="G37" s="1672"/>
      <c r="H37" s="1672"/>
      <c r="I37" s="1672"/>
      <c r="J37" s="1672"/>
      <c r="K37" s="1672"/>
      <c r="L37" s="310"/>
      <c r="M37" s="1676" t="s">
        <v>991</v>
      </c>
      <c r="N37" s="1677"/>
      <c r="O37" s="1677"/>
      <c r="P37" s="1677"/>
      <c r="Q37" s="1677"/>
      <c r="R37" s="1677"/>
      <c r="S37" s="1677"/>
      <c r="T37" s="1677"/>
      <c r="U37" s="1677"/>
    </row>
    <row r="38" spans="1:32" ht="16" customHeight="1">
      <c r="A38" s="447"/>
      <c r="B38" s="447"/>
      <c r="C38" s="447"/>
      <c r="D38" s="447"/>
      <c r="E38" s="447"/>
      <c r="F38" s="447"/>
      <c r="G38" s="447"/>
      <c r="H38" s="447"/>
      <c r="I38" s="447"/>
      <c r="J38" s="447"/>
      <c r="K38" s="447"/>
      <c r="L38" s="309"/>
      <c r="M38" s="493"/>
      <c r="N38" s="493"/>
      <c r="O38" s="493"/>
      <c r="P38" s="493"/>
      <c r="Q38" s="493"/>
      <c r="R38" s="493"/>
      <c r="S38" s="493"/>
      <c r="T38" s="493"/>
      <c r="U38" s="493"/>
    </row>
    <row r="39" spans="1:32" ht="16" customHeight="1">
      <c r="A39" s="447"/>
      <c r="B39" s="447"/>
      <c r="C39" s="447"/>
      <c r="D39" s="447"/>
      <c r="E39" s="447"/>
      <c r="F39" s="447"/>
      <c r="G39" s="447"/>
      <c r="H39" s="447"/>
      <c r="I39" s="447"/>
      <c r="J39" s="447"/>
      <c r="K39" s="447"/>
      <c r="L39" s="309"/>
      <c r="M39" s="493"/>
      <c r="N39" s="493"/>
      <c r="O39" s="493"/>
      <c r="P39" s="493"/>
      <c r="Q39" s="493"/>
      <c r="R39" s="493"/>
      <c r="S39" s="493"/>
      <c r="T39" s="493"/>
      <c r="U39" s="493"/>
      <c r="X39" s="486"/>
      <c r="Y39" s="487"/>
      <c r="Z39" s="485"/>
      <c r="AA39" s="485"/>
      <c r="AB39" s="485"/>
      <c r="AC39" s="485"/>
      <c r="AD39" s="485"/>
      <c r="AE39" s="485"/>
      <c r="AF39" s="485"/>
    </row>
    <row r="40" spans="1:32" ht="16" customHeight="1">
      <c r="A40" s="447"/>
      <c r="B40" s="1548" t="s">
        <v>1007</v>
      </c>
      <c r="C40" s="1548"/>
      <c r="D40" s="1548"/>
      <c r="E40" s="1548"/>
      <c r="F40" s="1548"/>
      <c r="G40" s="1548"/>
      <c r="H40" s="1548"/>
      <c r="I40" s="1548"/>
      <c r="J40" s="1548"/>
      <c r="K40" s="447"/>
      <c r="L40" s="309"/>
      <c r="M40" s="493"/>
      <c r="N40" s="582" t="str">
        <f>'FIG3'!W49</f>
        <v>AR</v>
      </c>
      <c r="O40" s="582"/>
      <c r="P40" s="493"/>
      <c r="Q40" s="493"/>
      <c r="R40" s="493"/>
      <c r="S40" s="493"/>
      <c r="T40" s="493"/>
      <c r="U40" s="493"/>
      <c r="X40" s="488"/>
      <c r="Z40" s="485"/>
      <c r="AA40" s="485"/>
      <c r="AB40" s="485"/>
      <c r="AC40" s="485"/>
      <c r="AD40" s="485"/>
      <c r="AE40" s="485"/>
      <c r="AF40" s="485"/>
    </row>
    <row r="41" spans="1:32" ht="16" customHeight="1">
      <c r="A41" s="447"/>
      <c r="B41" s="1548"/>
      <c r="C41" s="1548"/>
      <c r="D41" s="1548"/>
      <c r="E41" s="1548"/>
      <c r="F41" s="1548"/>
      <c r="G41" s="1548"/>
      <c r="H41" s="1548"/>
      <c r="I41" s="1548"/>
      <c r="J41" s="1548"/>
      <c r="K41" s="447"/>
      <c r="L41" s="309"/>
      <c r="M41" s="493"/>
      <c r="N41" s="592" t="s">
        <v>1079</v>
      </c>
      <c r="O41" s="598">
        <f>'FIG3'!E16+'FIG3'!E18</f>
        <v>1319.3725258331722</v>
      </c>
      <c r="P41" s="48" t="s">
        <v>992</v>
      </c>
      <c r="Q41" s="493"/>
      <c r="R41" s="493"/>
      <c r="S41" s="493"/>
      <c r="T41" s="493"/>
      <c r="U41" s="493"/>
      <c r="X41" s="489"/>
      <c r="Z41" s="485"/>
      <c r="AA41" s="485"/>
      <c r="AB41" s="485"/>
      <c r="AC41" s="485"/>
      <c r="AD41" s="485"/>
      <c r="AE41" s="485"/>
      <c r="AF41" s="485"/>
    </row>
    <row r="42" spans="1:32" ht="16" customHeight="1">
      <c r="A42" s="447"/>
      <c r="B42" s="1548"/>
      <c r="C42" s="1548"/>
      <c r="D42" s="1548"/>
      <c r="E42" s="1548"/>
      <c r="F42" s="1548"/>
      <c r="G42" s="1548"/>
      <c r="H42" s="1548"/>
      <c r="I42" s="1548"/>
      <c r="J42" s="1548"/>
      <c r="K42" s="447"/>
      <c r="L42" s="309"/>
      <c r="M42" s="493"/>
      <c r="N42" s="592" t="s">
        <v>1177</v>
      </c>
      <c r="O42" s="598">
        <f>'FIG3'!E17</f>
        <v>6.7990430946504929</v>
      </c>
      <c r="P42" s="48" t="s">
        <v>993</v>
      </c>
      <c r="Q42" s="493"/>
      <c r="R42" s="493"/>
      <c r="S42" s="493"/>
      <c r="T42" s="493"/>
      <c r="U42" s="493"/>
      <c r="X42" s="490"/>
      <c r="Z42" s="485"/>
      <c r="AA42" s="485"/>
      <c r="AB42" s="485"/>
      <c r="AC42" s="485"/>
      <c r="AD42" s="485"/>
      <c r="AE42" s="485"/>
      <c r="AF42" s="485"/>
    </row>
    <row r="43" spans="1:32" ht="16" customHeight="1">
      <c r="A43" s="447"/>
      <c r="B43" s="1548"/>
      <c r="C43" s="1548"/>
      <c r="D43" s="1548"/>
      <c r="E43" s="1548"/>
      <c r="F43" s="1548"/>
      <c r="G43" s="1548"/>
      <c r="H43" s="1548"/>
      <c r="I43" s="1548"/>
      <c r="J43" s="1548"/>
      <c r="K43" s="447"/>
      <c r="L43" s="309"/>
      <c r="M43" s="493"/>
      <c r="N43" s="592" t="s">
        <v>1343</v>
      </c>
      <c r="O43" s="598">
        <f>'FIG3'!E15</f>
        <v>3140.2022210136538</v>
      </c>
      <c r="P43" s="493"/>
      <c r="Q43" s="493"/>
      <c r="R43" s="493"/>
      <c r="S43" s="493"/>
      <c r="T43" s="493"/>
      <c r="U43" s="493"/>
      <c r="X43" s="490"/>
      <c r="Z43" s="485"/>
      <c r="AA43" s="485"/>
      <c r="AB43" s="485"/>
      <c r="AC43" s="485"/>
      <c r="AD43" s="485"/>
      <c r="AE43" s="485"/>
      <c r="AF43" s="485"/>
    </row>
    <row r="44" spans="1:32" ht="16" customHeight="1">
      <c r="A44" s="447"/>
      <c r="B44" s="1548"/>
      <c r="C44" s="1548"/>
      <c r="D44" s="1548"/>
      <c r="E44" s="1548"/>
      <c r="F44" s="1548"/>
      <c r="G44" s="1548"/>
      <c r="H44" s="1548"/>
      <c r="I44" s="1548"/>
      <c r="J44" s="1548"/>
      <c r="K44" s="447"/>
      <c r="L44" s="309"/>
      <c r="M44" s="493"/>
      <c r="N44" s="592" t="s">
        <v>1344</v>
      </c>
      <c r="O44" s="598">
        <f>'FIG3'!E14</f>
        <v>5140.8759576745479</v>
      </c>
      <c r="P44" s="493"/>
      <c r="Q44" s="493"/>
      <c r="R44" s="493"/>
      <c r="S44" s="493"/>
      <c r="T44" s="493"/>
      <c r="U44" s="493"/>
      <c r="X44" s="490"/>
      <c r="Z44" s="485"/>
      <c r="AA44" s="485"/>
      <c r="AB44" s="485"/>
      <c r="AC44" s="485"/>
      <c r="AD44" s="485"/>
      <c r="AE44" s="485"/>
      <c r="AF44" s="485"/>
    </row>
    <row r="45" spans="1:32" ht="16" customHeight="1">
      <c r="A45" s="447"/>
      <c r="B45" s="1548"/>
      <c r="C45" s="1548"/>
      <c r="D45" s="1548"/>
      <c r="E45" s="1548"/>
      <c r="F45" s="1548"/>
      <c r="G45" s="1548"/>
      <c r="H45" s="1548"/>
      <c r="I45" s="1548"/>
      <c r="J45" s="1548"/>
      <c r="K45" s="447"/>
      <c r="L45" s="309"/>
      <c r="M45" s="493"/>
      <c r="N45" s="592" t="s">
        <v>1345</v>
      </c>
      <c r="O45" s="598">
        <f>'FIG3'!E13</f>
        <v>1766.4904299931325</v>
      </c>
      <c r="P45" s="493"/>
      <c r="Q45" s="493"/>
      <c r="R45" s="493"/>
      <c r="S45" s="493"/>
      <c r="T45" s="493"/>
      <c r="U45" s="493"/>
      <c r="X45" s="485"/>
      <c r="Y45" s="491"/>
      <c r="Z45" s="485"/>
      <c r="AA45" s="485"/>
      <c r="AB45" s="485"/>
      <c r="AC45" s="485"/>
      <c r="AD45" s="485"/>
      <c r="AE45" s="485"/>
      <c r="AF45" s="485"/>
    </row>
    <row r="46" spans="1:32" ht="16" customHeight="1">
      <c r="A46" s="447"/>
      <c r="B46" s="494"/>
      <c r="C46" s="494"/>
      <c r="D46" s="494"/>
      <c r="E46" s="494"/>
      <c r="F46" s="494"/>
      <c r="G46" s="494"/>
      <c r="H46" s="494"/>
      <c r="I46" s="494"/>
      <c r="J46" s="447"/>
      <c r="K46" s="447"/>
      <c r="L46" s="309"/>
      <c r="M46" s="493"/>
      <c r="N46" s="583" t="s">
        <v>1346</v>
      </c>
      <c r="O46" s="584">
        <f>SUM(O41:O45)</f>
        <v>11373.740177609157</v>
      </c>
      <c r="P46" s="493"/>
      <c r="Q46" s="493"/>
      <c r="R46" s="493"/>
      <c r="S46" s="493"/>
      <c r="T46" s="493"/>
      <c r="U46" s="493"/>
      <c r="X46" s="485"/>
      <c r="Y46" s="492"/>
      <c r="Z46" s="485"/>
      <c r="AA46" s="485"/>
      <c r="AB46" s="485"/>
      <c r="AC46" s="485"/>
      <c r="AD46" s="485"/>
      <c r="AE46" s="485"/>
      <c r="AF46" s="485"/>
    </row>
    <row r="47" spans="1:32" ht="16" customHeight="1">
      <c r="A47" s="447"/>
      <c r="B47" s="447"/>
      <c r="C47" s="447"/>
      <c r="D47" s="447"/>
      <c r="E47" s="447"/>
      <c r="F47" s="447"/>
      <c r="G47" s="447"/>
      <c r="H47" s="447"/>
      <c r="I47" s="447"/>
      <c r="J47" s="447"/>
      <c r="K47" s="447"/>
      <c r="L47" s="309"/>
      <c r="M47" s="493"/>
      <c r="N47" s="493"/>
      <c r="O47" s="493"/>
      <c r="P47" s="493"/>
      <c r="Q47" s="493"/>
      <c r="R47" s="493"/>
      <c r="S47" s="493"/>
      <c r="T47" s="493"/>
      <c r="U47" s="493"/>
      <c r="X47" s="485"/>
      <c r="Y47" s="485"/>
      <c r="Z47" s="485"/>
      <c r="AA47" s="485"/>
      <c r="AB47" s="485"/>
      <c r="AC47" s="485"/>
      <c r="AD47" s="485"/>
      <c r="AE47" s="485"/>
      <c r="AF47" s="485"/>
    </row>
    <row r="48" spans="1:32" ht="16" customHeight="1">
      <c r="A48" s="447"/>
      <c r="B48" s="1532" t="s">
        <v>1071</v>
      </c>
      <c r="C48" s="1532"/>
      <c r="D48" s="1532"/>
      <c r="E48" s="1532"/>
      <c r="F48" s="1532"/>
      <c r="G48" s="1532"/>
      <c r="H48" s="1532"/>
      <c r="I48" s="1532"/>
      <c r="J48" s="1532"/>
      <c r="K48" s="447"/>
      <c r="L48" s="309"/>
      <c r="M48" s="493"/>
      <c r="N48" s="1531" t="s">
        <v>1002</v>
      </c>
      <c r="O48" s="1531"/>
      <c r="P48" s="1531"/>
      <c r="Q48" s="1531"/>
      <c r="R48" s="1531"/>
      <c r="S48" s="1531"/>
      <c r="T48" s="1531"/>
      <c r="U48" s="1531"/>
    </row>
    <row r="49" spans="1:23" ht="16" customHeight="1">
      <c r="A49" s="447"/>
      <c r="B49" s="1532"/>
      <c r="C49" s="1532"/>
      <c r="D49" s="1532"/>
      <c r="E49" s="1532"/>
      <c r="F49" s="1532"/>
      <c r="G49" s="1532"/>
      <c r="H49" s="1532"/>
      <c r="I49" s="1532"/>
      <c r="J49" s="1532"/>
      <c r="K49" s="447"/>
      <c r="L49" s="309"/>
      <c r="M49" s="493"/>
      <c r="N49" s="493"/>
      <c r="O49" s="493"/>
      <c r="P49" s="493"/>
      <c r="Q49" s="493"/>
      <c r="R49" s="493"/>
      <c r="S49" s="493"/>
      <c r="T49" s="493"/>
      <c r="U49" s="493"/>
    </row>
    <row r="50" spans="1:23" ht="16" customHeight="1">
      <c r="A50" s="447"/>
      <c r="B50" s="1532"/>
      <c r="C50" s="1532"/>
      <c r="D50" s="1532"/>
      <c r="E50" s="1532"/>
      <c r="F50" s="1532"/>
      <c r="G50" s="1532"/>
      <c r="H50" s="1532"/>
      <c r="I50" s="1532"/>
      <c r="J50" s="1532"/>
      <c r="K50" s="447"/>
      <c r="L50" s="309"/>
      <c r="M50" s="493"/>
      <c r="N50" s="1678" t="s">
        <v>1003</v>
      </c>
      <c r="O50" s="1678"/>
      <c r="P50" s="1678"/>
      <c r="Q50" s="1678"/>
      <c r="R50" s="1678"/>
      <c r="S50" s="1678"/>
      <c r="T50" s="1678"/>
      <c r="U50" s="493"/>
    </row>
    <row r="51" spans="1:23" ht="16" customHeight="1">
      <c r="A51" s="447"/>
      <c r="B51" s="1532"/>
      <c r="C51" s="1532"/>
      <c r="D51" s="1532"/>
      <c r="E51" s="1532"/>
      <c r="F51" s="1532"/>
      <c r="G51" s="1532"/>
      <c r="H51" s="1532"/>
      <c r="I51" s="1532"/>
      <c r="J51" s="1532"/>
      <c r="K51" s="447"/>
      <c r="L51" s="309"/>
      <c r="M51" s="493"/>
      <c r="N51" s="1678"/>
      <c r="O51" s="1678"/>
      <c r="P51" s="1678"/>
      <c r="Q51" s="1678"/>
      <c r="R51" s="1678"/>
      <c r="S51" s="1678"/>
      <c r="T51" s="1678"/>
      <c r="U51" s="493"/>
    </row>
    <row r="52" spans="1:23" ht="16" customHeight="1">
      <c r="A52" s="447"/>
      <c r="B52" s="1532"/>
      <c r="C52" s="1532"/>
      <c r="D52" s="1532"/>
      <c r="E52" s="1532"/>
      <c r="F52" s="1532"/>
      <c r="G52" s="1532"/>
      <c r="H52" s="1532"/>
      <c r="I52" s="1532"/>
      <c r="J52" s="1532"/>
      <c r="K52" s="447"/>
      <c r="L52" s="309"/>
      <c r="M52" s="493"/>
      <c r="N52" s="1678"/>
      <c r="O52" s="1678"/>
      <c r="P52" s="1678"/>
      <c r="Q52" s="1678"/>
      <c r="R52" s="1678"/>
      <c r="S52" s="1678"/>
      <c r="T52" s="1678"/>
      <c r="U52" s="493"/>
    </row>
    <row r="53" spans="1:23" ht="16" customHeight="1">
      <c r="A53" s="447"/>
      <c r="B53" s="1532"/>
      <c r="C53" s="1532"/>
      <c r="D53" s="1532"/>
      <c r="E53" s="1532"/>
      <c r="F53" s="1532"/>
      <c r="G53" s="1532"/>
      <c r="H53" s="1532"/>
      <c r="I53" s="1532"/>
      <c r="J53" s="1532"/>
      <c r="K53" s="447"/>
      <c r="L53" s="309"/>
      <c r="M53" s="493"/>
      <c r="N53" s="493"/>
      <c r="O53" s="493"/>
      <c r="P53" s="493"/>
      <c r="Q53" s="493"/>
      <c r="R53" s="493"/>
      <c r="S53" s="493"/>
      <c r="T53" s="493"/>
      <c r="U53" s="493"/>
    </row>
    <row r="54" spans="1:23" ht="16" customHeight="1">
      <c r="A54" s="447"/>
      <c r="B54" s="418"/>
      <c r="C54" s="418"/>
      <c r="D54" s="418"/>
      <c r="E54" s="418"/>
      <c r="F54" s="418"/>
      <c r="G54" s="418"/>
      <c r="H54" s="418"/>
      <c r="I54" s="418"/>
      <c r="J54" s="447"/>
      <c r="K54" s="447"/>
      <c r="L54" s="309"/>
      <c r="M54" s="493"/>
      <c r="N54" s="493"/>
      <c r="O54" s="493"/>
      <c r="P54" s="493"/>
      <c r="Q54" s="493"/>
      <c r="R54" s="493"/>
      <c r="S54" s="493"/>
      <c r="T54" s="493"/>
      <c r="U54" s="493"/>
    </row>
    <row r="55" spans="1:23" ht="16" customHeight="1">
      <c r="A55" s="447"/>
      <c r="B55" s="447"/>
      <c r="C55" s="447"/>
      <c r="D55" s="447"/>
      <c r="E55" s="447"/>
      <c r="F55" s="447"/>
      <c r="G55" s="447"/>
      <c r="H55" s="447"/>
      <c r="I55" s="447"/>
      <c r="J55" s="447"/>
      <c r="K55" s="447"/>
      <c r="L55" s="309"/>
      <c r="M55" s="493"/>
      <c r="N55" s="493"/>
      <c r="O55" s="493"/>
      <c r="P55" s="493"/>
      <c r="Q55" s="493"/>
      <c r="R55" s="493"/>
      <c r="S55" s="493"/>
      <c r="T55" s="493"/>
      <c r="U55" s="493"/>
    </row>
    <row r="56" spans="1:23" ht="16" customHeight="1">
      <c r="A56" s="447"/>
      <c r="B56" s="447"/>
      <c r="C56" s="447"/>
      <c r="D56" s="447"/>
      <c r="E56" s="447"/>
      <c r="F56" s="447"/>
      <c r="G56" s="447"/>
      <c r="H56" s="447"/>
      <c r="I56" s="447"/>
      <c r="J56" s="447"/>
      <c r="K56" s="447"/>
      <c r="L56" s="309"/>
      <c r="M56" s="493"/>
      <c r="N56" s="493"/>
      <c r="O56" s="493"/>
      <c r="P56" s="493"/>
      <c r="Q56" s="493"/>
      <c r="R56" s="493"/>
      <c r="S56" s="493"/>
      <c r="T56" s="493"/>
      <c r="U56" s="493"/>
    </row>
    <row r="57" spans="1:23" ht="16" customHeight="1">
      <c r="A57" s="447"/>
      <c r="B57" s="447"/>
      <c r="C57" s="447"/>
      <c r="D57" s="447"/>
      <c r="E57" s="447"/>
      <c r="F57" s="447"/>
      <c r="G57" s="447"/>
      <c r="H57" s="447"/>
      <c r="I57" s="447"/>
      <c r="J57" s="447"/>
      <c r="K57" s="447"/>
      <c r="L57" s="309"/>
      <c r="M57" s="493"/>
      <c r="N57" s="493"/>
      <c r="O57" s="493"/>
      <c r="P57" s="493"/>
      <c r="Q57" s="493"/>
      <c r="R57" s="493"/>
      <c r="S57" s="493"/>
      <c r="T57" s="493"/>
      <c r="U57" s="493"/>
    </row>
    <row r="58" spans="1:23" ht="16" customHeight="1">
      <c r="A58" s="447"/>
      <c r="B58" s="447"/>
      <c r="C58" s="447"/>
      <c r="D58" s="447"/>
      <c r="E58" s="447"/>
      <c r="F58" s="447"/>
      <c r="G58" s="447"/>
      <c r="H58" s="447"/>
      <c r="I58" s="447"/>
      <c r="J58" s="447"/>
      <c r="K58" s="447"/>
      <c r="L58" s="309"/>
      <c r="M58" s="493"/>
      <c r="N58" s="493"/>
      <c r="O58" s="493"/>
      <c r="P58" s="493"/>
      <c r="Q58" s="493"/>
      <c r="R58" s="493"/>
      <c r="S58" s="493"/>
      <c r="T58" s="493"/>
      <c r="U58" s="493"/>
    </row>
    <row r="59" spans="1:23" ht="16" customHeight="1">
      <c r="A59" s="447"/>
      <c r="B59" s="447"/>
      <c r="C59" s="447"/>
      <c r="D59" s="447"/>
      <c r="E59" s="447"/>
      <c r="F59" s="447"/>
      <c r="G59" s="447"/>
      <c r="H59" s="447"/>
      <c r="I59" s="447"/>
      <c r="J59" s="447"/>
      <c r="K59" s="447"/>
      <c r="L59" s="309"/>
      <c r="M59" s="493"/>
      <c r="N59" s="493"/>
      <c r="O59" s="493"/>
      <c r="P59" s="493"/>
      <c r="Q59" s="493"/>
      <c r="R59" s="493"/>
      <c r="S59" s="493"/>
      <c r="T59" s="493"/>
      <c r="U59" s="493"/>
    </row>
    <row r="60" spans="1:23" ht="12">
      <c r="M60" s="359"/>
      <c r="N60" s="495"/>
      <c r="O60" s="495"/>
      <c r="P60" s="495"/>
      <c r="Q60" s="495"/>
      <c r="R60" s="495"/>
      <c r="S60" s="495"/>
      <c r="T60" s="495"/>
      <c r="U60" s="495"/>
      <c r="V60" s="359"/>
      <c r="W60" s="359"/>
    </row>
    <row r="61" spans="1:23">
      <c r="M61" s="359"/>
      <c r="N61" s="359"/>
      <c r="O61" s="359"/>
      <c r="P61" s="359"/>
      <c r="Q61" s="359"/>
      <c r="R61" s="359"/>
      <c r="S61" s="359"/>
      <c r="T61" s="359"/>
      <c r="U61" s="359"/>
      <c r="V61" s="359"/>
      <c r="W61" s="359"/>
    </row>
    <row r="62" spans="1:23">
      <c r="M62" s="359"/>
      <c r="N62" s="359"/>
      <c r="O62" s="359"/>
      <c r="P62" s="359"/>
      <c r="Q62" s="359"/>
      <c r="R62" s="359"/>
      <c r="S62" s="359"/>
      <c r="T62" s="359"/>
      <c r="U62" s="359"/>
      <c r="V62" s="359"/>
      <c r="W62" s="359"/>
    </row>
    <row r="63" spans="1:23">
      <c r="M63" s="359"/>
      <c r="N63" s="359"/>
      <c r="O63" s="359"/>
      <c r="P63" s="359"/>
      <c r="Q63" s="359"/>
      <c r="R63" s="359"/>
      <c r="S63" s="359"/>
      <c r="T63" s="359"/>
      <c r="U63" s="359"/>
      <c r="V63" s="359"/>
      <c r="W63" s="359"/>
    </row>
  </sheetData>
  <mergeCells count="22">
    <mergeCell ref="B37:K37"/>
    <mergeCell ref="N48:U48"/>
    <mergeCell ref="M37:U37"/>
    <mergeCell ref="N50:T52"/>
    <mergeCell ref="B40:J45"/>
    <mergeCell ref="B48:J53"/>
    <mergeCell ref="B1:K1"/>
    <mergeCell ref="A2:A36"/>
    <mergeCell ref="B2:K2"/>
    <mergeCell ref="L2:L36"/>
    <mergeCell ref="N2:T2"/>
    <mergeCell ref="M3:U8"/>
    <mergeCell ref="M9:U15"/>
    <mergeCell ref="M16:U28"/>
    <mergeCell ref="M29:U29"/>
    <mergeCell ref="M31:U31"/>
    <mergeCell ref="M32:U32"/>
    <mergeCell ref="M33:U33"/>
    <mergeCell ref="M34:U34"/>
    <mergeCell ref="M35:U35"/>
    <mergeCell ref="B36:K36"/>
    <mergeCell ref="N36:T36"/>
  </mergeCells>
  <phoneticPr fontId="153" type="noConversion"/>
  <pageMargins left="1.25" right="1.25" top="1.25" bottom="1.25" header="0.3" footer="0.3"/>
  <rowBreaks count="1" manualBreakCount="1">
    <brk id="35" max="16383" man="1"/>
  </rowBreaks>
  <colBreaks count="1" manualBreakCount="1">
    <brk id="21" max="1048575" man="1"/>
  </colBreaks>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GB247"/>
  <sheetViews>
    <sheetView workbookViewId="0"/>
  </sheetViews>
  <sheetFormatPr baseColWidth="10" defaultColWidth="8.83203125" defaultRowHeight="12.75" customHeight="1" x14ac:dyDescent="0"/>
  <cols>
    <col min="1" max="1" width="8.5" style="1313" customWidth="1"/>
    <col min="2" max="2" width="25.83203125" style="1313" customWidth="1"/>
    <col min="3" max="3" width="10" style="1313" customWidth="1"/>
    <col min="4" max="4" width="12" style="1313" customWidth="1"/>
    <col min="5" max="5" width="10" style="1313" customWidth="1"/>
    <col min="6" max="6" width="12" style="1313" customWidth="1"/>
    <col min="7" max="7" width="12.33203125" style="1313" customWidth="1"/>
    <col min="8" max="8" width="12" style="1313" customWidth="1"/>
    <col min="9" max="9" width="10" style="1313" customWidth="1"/>
    <col min="10" max="10" width="12" style="1313" customWidth="1"/>
    <col min="11" max="11" width="10" style="1313" customWidth="1"/>
    <col min="12" max="12" width="12" style="1313" customWidth="1"/>
    <col min="13" max="13" width="11.33203125" style="1313" customWidth="1"/>
    <col min="14" max="14" width="12" style="1313" customWidth="1"/>
    <col min="15" max="15" width="10" style="1313" customWidth="1"/>
    <col min="16" max="16" width="12" style="1313" customWidth="1"/>
    <col min="17" max="17" width="10" style="1313" customWidth="1"/>
    <col min="18" max="18" width="12" style="1313" customWidth="1"/>
    <col min="19" max="19" width="10" style="1313" customWidth="1"/>
    <col min="20" max="20" width="12" style="1313" customWidth="1"/>
    <col min="21" max="21" width="10" style="1313" customWidth="1"/>
    <col min="22" max="22" width="12" style="1313" customWidth="1"/>
    <col min="23" max="23" width="10" style="1313" customWidth="1"/>
    <col min="24" max="24" width="12" style="1313" customWidth="1"/>
    <col min="25" max="25" width="10" style="1313" customWidth="1"/>
    <col min="26" max="26" width="12" style="1313" customWidth="1"/>
    <col min="27" max="27" width="12.1640625" style="1313" customWidth="1"/>
    <col min="28" max="28" width="12" style="1313" customWidth="1"/>
    <col min="29" max="29" width="12.1640625" style="1313" customWidth="1"/>
    <col min="30" max="30" width="12" style="1313" customWidth="1"/>
    <col min="31" max="31" width="11.33203125" style="1313" customWidth="1"/>
    <col min="32" max="32" width="12" style="1313" customWidth="1"/>
    <col min="33" max="33" width="10" style="1313" customWidth="1"/>
    <col min="34" max="34" width="12" style="1313" customWidth="1"/>
    <col min="35" max="35" width="11" style="1313" customWidth="1"/>
    <col min="36" max="36" width="12" style="1313" customWidth="1"/>
    <col min="37" max="37" width="10" style="1313" customWidth="1"/>
    <col min="38" max="38" width="12" style="1313" customWidth="1"/>
    <col min="39" max="39" width="10" style="1313" customWidth="1"/>
    <col min="40" max="40" width="12" style="1313" customWidth="1"/>
    <col min="41" max="41" width="10" style="1313" customWidth="1"/>
    <col min="42" max="42" width="12" style="1313" customWidth="1"/>
    <col min="43" max="43" width="10" style="1313" customWidth="1"/>
    <col min="44" max="44" width="12" style="1313" customWidth="1"/>
    <col min="45" max="45" width="10" style="1313" customWidth="1"/>
    <col min="46" max="46" width="12" style="1313" customWidth="1"/>
    <col min="47" max="47" width="10" style="1313" customWidth="1"/>
    <col min="48" max="48" width="12" style="1313" customWidth="1"/>
    <col min="49" max="49" width="10" style="1313" customWidth="1"/>
    <col min="50" max="50" width="12" style="1313" customWidth="1"/>
    <col min="51" max="51" width="12.1640625" style="1313" customWidth="1"/>
    <col min="52" max="52" width="13.5" style="1313" customWidth="1"/>
    <col min="53" max="53" width="10" style="1313" customWidth="1"/>
    <col min="54" max="54" width="12" style="1313" customWidth="1"/>
    <col min="55" max="55" width="10" style="1313" customWidth="1"/>
    <col min="56" max="56" width="12" style="1313" customWidth="1"/>
    <col min="57" max="57" width="10" style="1313" customWidth="1"/>
    <col min="58" max="58" width="12" style="1313" customWidth="1"/>
    <col min="59" max="59" width="10" style="1313" customWidth="1"/>
    <col min="60" max="60" width="12" style="1313" customWidth="1"/>
    <col min="61" max="61" width="10" style="1313" customWidth="1"/>
    <col min="62" max="62" width="12" style="1313" customWidth="1"/>
    <col min="63" max="63" width="10" style="1313" customWidth="1"/>
    <col min="64" max="64" width="12" style="1313" customWidth="1"/>
    <col min="65" max="65" width="10" style="1313" customWidth="1"/>
    <col min="66" max="66" width="12" style="1313" customWidth="1"/>
    <col min="67" max="67" width="11" style="1313" customWidth="1"/>
    <col min="68" max="68" width="12" style="1313" customWidth="1"/>
    <col min="69" max="69" width="11" style="1313" customWidth="1"/>
    <col min="70" max="70" width="12" style="1313" customWidth="1"/>
    <col min="71" max="71" width="10" style="1313" customWidth="1"/>
    <col min="72" max="72" width="12" style="1313" customWidth="1"/>
    <col min="73" max="73" width="10" style="1313" customWidth="1"/>
    <col min="74" max="74" width="12" style="1313" customWidth="1"/>
    <col min="75" max="75" width="11" style="1313" customWidth="1"/>
    <col min="76" max="76" width="12" style="1313" customWidth="1"/>
    <col min="77" max="77" width="11.33203125" style="1313" customWidth="1"/>
    <col min="78" max="78" width="12" style="1313" customWidth="1"/>
    <col min="79" max="79" width="11" style="1313" customWidth="1"/>
    <col min="80" max="80" width="12" style="1313" customWidth="1"/>
    <col min="81" max="81" width="11.33203125" style="1313" customWidth="1"/>
    <col min="82" max="82" width="12" style="1313" customWidth="1"/>
    <col min="83" max="83" width="11.33203125" style="1313" customWidth="1"/>
    <col min="84" max="84" width="12" style="1313" customWidth="1"/>
    <col min="85" max="85" width="11.33203125" style="1313" customWidth="1"/>
    <col min="86" max="86" width="13.5" style="1313" customWidth="1"/>
    <col min="87" max="87" width="10" style="1313" customWidth="1"/>
    <col min="88" max="88" width="12" style="1313" customWidth="1"/>
    <col min="89" max="89" width="10" style="1313" customWidth="1"/>
    <col min="90" max="90" width="12" style="1313" customWidth="1"/>
    <col min="91" max="91" width="10" style="1313" customWidth="1"/>
    <col min="92" max="92" width="12" style="1313" customWidth="1"/>
    <col min="93" max="93" width="10" style="1313" customWidth="1"/>
    <col min="94" max="94" width="12" style="1313" customWidth="1"/>
    <col min="95" max="95" width="10" style="1313" customWidth="1"/>
    <col min="96" max="96" width="12" style="1313" customWidth="1"/>
    <col min="97" max="97" width="11.33203125" style="1313" customWidth="1"/>
    <col min="98" max="98" width="12" style="1313" customWidth="1"/>
    <col min="99" max="99" width="16.83203125" style="1313" customWidth="1"/>
    <col min="100" max="100" width="12" style="1313" customWidth="1"/>
    <col min="101" max="101" width="12.1640625" style="1313" customWidth="1"/>
    <col min="102" max="102" width="12" style="1313" customWidth="1"/>
    <col min="103" max="103" width="11.33203125" style="1313" customWidth="1"/>
    <col min="104" max="104" width="12" style="1313" customWidth="1"/>
    <col min="105" max="105" width="11" style="1313" customWidth="1"/>
    <col min="106" max="106" width="12" style="1313" customWidth="1"/>
    <col min="107" max="107" width="11" style="1313" customWidth="1"/>
    <col min="108" max="108" width="12" style="1313" customWidth="1"/>
    <col min="109" max="109" width="11.33203125" style="1313" customWidth="1"/>
    <col min="110" max="110" width="12" style="1313" customWidth="1"/>
    <col min="111" max="111" width="11.33203125" style="1313" customWidth="1"/>
    <col min="112" max="112" width="12" style="1313" customWidth="1"/>
    <col min="113" max="113" width="12.1640625" style="1313" customWidth="1"/>
    <col min="114" max="114" width="12" style="1313" customWidth="1"/>
    <col min="115" max="115" width="11" style="1313" customWidth="1"/>
    <col min="116" max="116" width="12" style="1313" customWidth="1"/>
    <col min="117" max="117" width="11" style="1313" customWidth="1"/>
    <col min="118" max="118" width="12" style="1313" customWidth="1"/>
    <col min="119" max="119" width="11.33203125" style="1313" customWidth="1"/>
    <col min="120" max="120" width="12" style="1313" customWidth="1"/>
    <col min="121" max="121" width="11.33203125" style="1313" customWidth="1"/>
    <col min="122" max="122" width="12" style="1313" customWidth="1"/>
    <col min="123" max="123" width="11" style="1313" customWidth="1"/>
    <col min="124" max="124" width="13.5" style="1313" customWidth="1"/>
    <col min="125" max="125" width="11.33203125" style="1313" customWidth="1"/>
    <col min="126" max="126" width="13.5" style="1313" customWidth="1"/>
    <col min="127" max="127" width="11.33203125" style="1313" customWidth="1"/>
    <col min="128" max="128" width="13.5" style="1313" customWidth="1"/>
    <col min="129" max="129" width="11.33203125" style="1313" customWidth="1"/>
    <col min="130" max="130" width="13.5" style="1313" customWidth="1"/>
    <col min="131" max="131" width="11.33203125" style="1313" customWidth="1"/>
    <col min="132" max="132" width="13.5" style="1313" customWidth="1"/>
    <col min="133" max="133" width="11.33203125" style="1313" customWidth="1"/>
    <col min="134" max="134" width="13.5" style="1313" customWidth="1"/>
    <col min="135" max="135" width="11.33203125" style="1313" customWidth="1"/>
    <col min="136" max="136" width="13.5" style="1313" customWidth="1"/>
    <col min="137" max="137" width="11" style="1313" customWidth="1"/>
    <col min="138" max="138" width="13.5" style="1313" customWidth="1"/>
    <col min="139" max="139" width="11" style="1313" customWidth="1"/>
    <col min="140" max="140" width="13.5" style="1313" customWidth="1"/>
    <col min="141" max="141" width="11" style="1313" customWidth="1"/>
    <col min="142" max="142" width="13.5" style="1313" customWidth="1"/>
    <col min="143" max="143" width="11.33203125" style="1313" customWidth="1"/>
    <col min="144" max="144" width="13.5" style="1313" customWidth="1"/>
    <col min="145" max="145" width="11.33203125" style="1313" customWidth="1"/>
    <col min="146" max="146" width="12" style="1313" customWidth="1"/>
    <col min="147" max="147" width="11.33203125" style="1313" customWidth="1"/>
    <col min="148" max="148" width="13.5" style="1313" customWidth="1"/>
    <col min="149" max="149" width="11.33203125" style="1313" customWidth="1"/>
    <col min="150" max="150" width="13.5" style="1313" customWidth="1"/>
    <col min="151" max="151" width="12.1640625" style="1313" customWidth="1"/>
    <col min="152" max="152" width="13.5" style="1313" customWidth="1"/>
    <col min="153" max="153" width="11.33203125" style="1313" customWidth="1"/>
    <col min="154" max="154" width="13.5" style="1313" customWidth="1"/>
    <col min="155" max="155" width="11.33203125" style="1313" customWidth="1"/>
    <col min="156" max="156" width="13.5" style="1313" customWidth="1"/>
    <col min="157" max="157" width="12.1640625" style="1313" customWidth="1"/>
    <col min="158" max="158" width="12" style="1313" customWidth="1"/>
    <col min="159" max="159" width="11.33203125" style="1313" customWidth="1"/>
    <col min="160" max="160" width="13.5" style="1313" customWidth="1"/>
    <col min="161" max="161" width="12.1640625" style="1313" customWidth="1"/>
    <col min="162" max="162" width="12" style="1313" customWidth="1"/>
    <col min="163" max="163" width="12.5" style="1313" customWidth="1"/>
    <col min="164" max="164" width="7.5" style="1313" customWidth="1"/>
    <col min="165" max="165" width="11" style="1313" customWidth="1"/>
    <col min="166" max="166" width="12" style="1313" customWidth="1"/>
    <col min="167" max="167" width="12.5" style="1313" customWidth="1"/>
    <col min="168" max="168" width="13.5" style="1313" customWidth="1"/>
    <col min="169" max="169" width="10" style="1313" customWidth="1"/>
    <col min="170" max="170" width="12" style="1313" customWidth="1"/>
    <col min="171" max="171" width="12.5" style="1313" customWidth="1"/>
    <col min="172" max="172" width="12" style="1313" customWidth="1"/>
    <col min="173" max="173" width="11.33203125" style="1313" customWidth="1"/>
    <col min="174" max="174" width="12" style="1313" customWidth="1"/>
    <col min="175" max="175" width="11" style="1313" customWidth="1"/>
    <col min="176" max="176" width="12" style="1313" customWidth="1"/>
    <col min="177" max="177" width="11.33203125" style="1313" customWidth="1"/>
    <col min="178" max="178" width="12" style="1313" customWidth="1"/>
    <col min="179" max="179" width="11.33203125" style="1313" customWidth="1"/>
    <col min="180" max="180" width="12" style="1313" customWidth="1"/>
    <col min="181" max="181" width="11.33203125" style="1313" customWidth="1"/>
    <col min="182" max="182" width="12" style="1313" customWidth="1"/>
    <col min="183" max="183" width="11" style="1313" customWidth="1"/>
    <col min="184" max="184" width="15.83203125" style="1313" customWidth="1"/>
    <col min="185" max="16384" width="8.83203125" style="1313"/>
  </cols>
  <sheetData>
    <row r="1" spans="1:184" ht="18" customHeight="1" thickBot="1">
      <c r="M1" s="2053" t="s">
        <v>797</v>
      </c>
      <c r="N1" s="2054"/>
      <c r="O1" s="2054"/>
      <c r="P1" s="2054"/>
      <c r="Q1" s="2054"/>
      <c r="R1" s="2054"/>
      <c r="S1" s="2054"/>
      <c r="T1" s="2054"/>
      <c r="U1" s="2054"/>
      <c r="V1" s="2054"/>
      <c r="W1" s="2054"/>
      <c r="X1" s="2054"/>
      <c r="Y1" s="2054"/>
      <c r="Z1" s="2054"/>
      <c r="AA1" s="2054"/>
      <c r="AB1" s="2054"/>
      <c r="AC1" s="2054"/>
      <c r="AD1" s="2055"/>
    </row>
    <row r="2" spans="1:184" ht="12.75" customHeight="1" thickBot="1">
      <c r="A2" s="2045" t="s">
        <v>704</v>
      </c>
      <c r="B2" s="2046"/>
      <c r="C2" s="2036" t="s">
        <v>736</v>
      </c>
      <c r="D2" s="2037"/>
      <c r="E2" s="2036" t="s">
        <v>804</v>
      </c>
      <c r="F2" s="2037"/>
      <c r="G2" s="2036" t="s">
        <v>805</v>
      </c>
      <c r="H2" s="2037"/>
      <c r="I2" s="2036" t="s">
        <v>806</v>
      </c>
      <c r="J2" s="2037"/>
      <c r="K2" s="2036" t="s">
        <v>737</v>
      </c>
      <c r="L2" s="2037"/>
      <c r="M2" s="2051" t="s">
        <v>738</v>
      </c>
      <c r="N2" s="2052"/>
      <c r="O2" s="2051" t="s">
        <v>739</v>
      </c>
      <c r="P2" s="2052"/>
      <c r="Q2" s="2051" t="s">
        <v>740</v>
      </c>
      <c r="R2" s="2052"/>
      <c r="S2" s="2051" t="s">
        <v>568</v>
      </c>
      <c r="T2" s="2052"/>
      <c r="U2" s="2051" t="s">
        <v>569</v>
      </c>
      <c r="V2" s="2052"/>
      <c r="W2" s="2051" t="s">
        <v>570</v>
      </c>
      <c r="X2" s="2052"/>
      <c r="Y2" s="2051" t="s">
        <v>571</v>
      </c>
      <c r="Z2" s="2052"/>
      <c r="AA2" s="2051" t="s">
        <v>572</v>
      </c>
      <c r="AB2" s="2052"/>
      <c r="AC2" s="2051" t="s">
        <v>807</v>
      </c>
      <c r="AD2" s="2052"/>
      <c r="AE2" s="2036" t="s">
        <v>840</v>
      </c>
      <c r="AF2" s="2037"/>
      <c r="AG2" s="2036" t="s">
        <v>808</v>
      </c>
      <c r="AH2" s="2037"/>
      <c r="AI2" s="2036" t="s">
        <v>809</v>
      </c>
      <c r="AJ2" s="2037"/>
      <c r="AK2" s="2036" t="s">
        <v>810</v>
      </c>
      <c r="AL2" s="2037"/>
      <c r="AM2" s="2036" t="s">
        <v>811</v>
      </c>
      <c r="AN2" s="2037"/>
      <c r="AO2" s="2036" t="s">
        <v>812</v>
      </c>
      <c r="AP2" s="2037"/>
      <c r="AQ2" s="2036" t="s">
        <v>813</v>
      </c>
      <c r="AR2" s="2037"/>
      <c r="AS2" s="2036" t="s">
        <v>814</v>
      </c>
      <c r="AT2" s="2037"/>
      <c r="AU2" s="2036" t="s">
        <v>815</v>
      </c>
      <c r="AV2" s="2037"/>
      <c r="AW2" s="2036" t="s">
        <v>816</v>
      </c>
      <c r="AX2" s="2037"/>
      <c r="AY2" s="2036" t="s">
        <v>174</v>
      </c>
      <c r="AZ2" s="2037"/>
      <c r="BA2" s="2036" t="s">
        <v>817</v>
      </c>
      <c r="BB2" s="2037"/>
      <c r="BC2" s="2036" t="s">
        <v>818</v>
      </c>
      <c r="BD2" s="2037"/>
      <c r="BE2" s="2036" t="s">
        <v>819</v>
      </c>
      <c r="BF2" s="2037"/>
      <c r="BG2" s="2036" t="s">
        <v>820</v>
      </c>
      <c r="BH2" s="2037"/>
      <c r="BI2" s="2036" t="s">
        <v>821</v>
      </c>
      <c r="BJ2" s="2037"/>
      <c r="BK2" s="2036" t="s">
        <v>822</v>
      </c>
      <c r="BL2" s="2037"/>
      <c r="BM2" s="2036" t="s">
        <v>823</v>
      </c>
      <c r="BN2" s="2037"/>
      <c r="BO2" s="2036" t="s">
        <v>824</v>
      </c>
      <c r="BP2" s="2037"/>
      <c r="BQ2" s="2036" t="s">
        <v>825</v>
      </c>
      <c r="BR2" s="2037"/>
      <c r="BS2" s="2036" t="s">
        <v>826</v>
      </c>
      <c r="BT2" s="2037"/>
      <c r="BU2" s="2036" t="s">
        <v>827</v>
      </c>
      <c r="BV2" s="2037"/>
      <c r="BW2" s="2036" t="s">
        <v>828</v>
      </c>
      <c r="BX2" s="2037"/>
      <c r="BY2" s="2036" t="s">
        <v>829</v>
      </c>
      <c r="BZ2" s="2037"/>
      <c r="CA2" s="2036" t="s">
        <v>830</v>
      </c>
      <c r="CB2" s="2037"/>
      <c r="CC2" s="2036" t="s">
        <v>175</v>
      </c>
      <c r="CD2" s="2037"/>
      <c r="CE2" s="2036" t="s">
        <v>832</v>
      </c>
      <c r="CF2" s="2037"/>
      <c r="CG2" s="2036" t="s">
        <v>833</v>
      </c>
      <c r="CH2" s="2037"/>
      <c r="CI2" s="2036" t="s">
        <v>834</v>
      </c>
      <c r="CJ2" s="2037"/>
      <c r="CK2" s="2036" t="s">
        <v>835</v>
      </c>
      <c r="CL2" s="2037"/>
      <c r="CM2" s="2036" t="s">
        <v>836</v>
      </c>
      <c r="CN2" s="2037"/>
      <c r="CO2" s="2036" t="s">
        <v>837</v>
      </c>
      <c r="CP2" s="2037"/>
      <c r="CQ2" s="2036" t="s">
        <v>838</v>
      </c>
      <c r="CR2" s="2037"/>
      <c r="CS2" s="2036" t="s">
        <v>839</v>
      </c>
      <c r="CT2" s="2037"/>
      <c r="CU2" s="2036" t="s">
        <v>176</v>
      </c>
      <c r="CV2" s="2037"/>
      <c r="CW2" s="2036" t="s">
        <v>177</v>
      </c>
      <c r="CX2" s="2037"/>
      <c r="CY2" s="2036" t="s">
        <v>178</v>
      </c>
      <c r="CZ2" s="2037"/>
      <c r="DA2" s="2036" t="s">
        <v>179</v>
      </c>
      <c r="DB2" s="2037"/>
      <c r="DC2" s="2036" t="s">
        <v>180</v>
      </c>
      <c r="DD2" s="2037"/>
      <c r="DE2" s="2036" t="s">
        <v>181</v>
      </c>
      <c r="DF2" s="2037"/>
      <c r="DG2" s="2036" t="s">
        <v>182</v>
      </c>
      <c r="DH2" s="2037"/>
      <c r="DI2" s="2036" t="s">
        <v>183</v>
      </c>
      <c r="DJ2" s="2037"/>
      <c r="DK2" s="2036" t="s">
        <v>184</v>
      </c>
      <c r="DL2" s="2037"/>
      <c r="DM2" s="2036" t="s">
        <v>185</v>
      </c>
      <c r="DN2" s="2037"/>
      <c r="DO2" s="2036" t="s">
        <v>186</v>
      </c>
      <c r="DP2" s="2037"/>
      <c r="DQ2" s="2036" t="s">
        <v>187</v>
      </c>
      <c r="DR2" s="2037"/>
      <c r="DS2" s="2036" t="s">
        <v>188</v>
      </c>
      <c r="DT2" s="2037"/>
      <c r="DU2" s="2036" t="s">
        <v>189</v>
      </c>
      <c r="DV2" s="2037"/>
      <c r="DW2" s="2036" t="s">
        <v>190</v>
      </c>
      <c r="DX2" s="2037"/>
      <c r="DY2" s="2036" t="s">
        <v>191</v>
      </c>
      <c r="DZ2" s="2037"/>
      <c r="EA2" s="2036" t="s">
        <v>192</v>
      </c>
      <c r="EB2" s="2037"/>
      <c r="EC2" s="2036" t="s">
        <v>193</v>
      </c>
      <c r="ED2" s="2041"/>
      <c r="EE2" s="2036" t="s">
        <v>194</v>
      </c>
      <c r="EF2" s="2037"/>
      <c r="EG2" s="2036" t="s">
        <v>195</v>
      </c>
      <c r="EH2" s="2037"/>
      <c r="EI2" s="2036" t="s">
        <v>196</v>
      </c>
      <c r="EJ2" s="2037"/>
      <c r="EK2" s="2036" t="s">
        <v>197</v>
      </c>
      <c r="EL2" s="2037"/>
      <c r="EM2" s="2036" t="s">
        <v>198</v>
      </c>
      <c r="EN2" s="2037"/>
      <c r="EO2" s="2036" t="s">
        <v>199</v>
      </c>
      <c r="EP2" s="2037"/>
      <c r="EQ2" s="2036" t="s">
        <v>200</v>
      </c>
      <c r="ER2" s="2037"/>
      <c r="ES2" s="2036" t="s">
        <v>201</v>
      </c>
      <c r="ET2" s="2037"/>
      <c r="EU2" s="2036" t="s">
        <v>202</v>
      </c>
      <c r="EV2" s="2037"/>
      <c r="EW2" s="2036" t="s">
        <v>203</v>
      </c>
      <c r="EX2" s="2037"/>
      <c r="EY2" s="2036" t="s">
        <v>204</v>
      </c>
      <c r="EZ2" s="2037"/>
      <c r="FA2" s="2036" t="s">
        <v>205</v>
      </c>
      <c r="FB2" s="2037"/>
      <c r="FC2" s="2036" t="s">
        <v>206</v>
      </c>
      <c r="FD2" s="2037"/>
      <c r="FE2" s="2036" t="s">
        <v>207</v>
      </c>
      <c r="FF2" s="2037"/>
      <c r="FG2" s="2036" t="s">
        <v>573</v>
      </c>
      <c r="FH2" s="2037"/>
      <c r="FI2" s="2036" t="s">
        <v>208</v>
      </c>
      <c r="FJ2" s="2037"/>
      <c r="FK2" s="2036" t="s">
        <v>209</v>
      </c>
      <c r="FL2" s="2041"/>
      <c r="FM2" s="2036" t="s">
        <v>210</v>
      </c>
      <c r="FN2" s="2037"/>
      <c r="FO2" s="2036" t="s">
        <v>211</v>
      </c>
      <c r="FP2" s="2041"/>
      <c r="FQ2" s="2036" t="s">
        <v>212</v>
      </c>
      <c r="FR2" s="2037"/>
      <c r="FS2" s="2036" t="s">
        <v>213</v>
      </c>
      <c r="FT2" s="2037"/>
      <c r="FU2" s="2036" t="s">
        <v>214</v>
      </c>
      <c r="FV2" s="2037"/>
      <c r="FW2" s="2036" t="s">
        <v>215</v>
      </c>
      <c r="FX2" s="2041"/>
      <c r="FY2" s="2036" t="s">
        <v>216</v>
      </c>
      <c r="FZ2" s="2037"/>
      <c r="GA2" s="2036" t="s">
        <v>217</v>
      </c>
      <c r="GB2" s="2041"/>
    </row>
    <row r="3" spans="1:184" ht="12.75" customHeight="1" thickBot="1">
      <c r="A3" s="2047"/>
      <c r="B3" s="2048"/>
      <c r="C3" s="2036" t="s">
        <v>574</v>
      </c>
      <c r="D3" s="2037"/>
      <c r="E3" s="2036" t="s">
        <v>663</v>
      </c>
      <c r="F3" s="2037"/>
      <c r="G3" s="2036" t="s">
        <v>664</v>
      </c>
      <c r="H3" s="2037"/>
      <c r="I3" s="2036" t="s">
        <v>665</v>
      </c>
      <c r="J3" s="2037"/>
      <c r="K3" s="2036" t="s">
        <v>575</v>
      </c>
      <c r="L3" s="2037"/>
      <c r="M3" s="2051" t="s">
        <v>576</v>
      </c>
      <c r="N3" s="2052"/>
      <c r="O3" s="2051" t="s">
        <v>577</v>
      </c>
      <c r="P3" s="2052"/>
      <c r="Q3" s="2051" t="s">
        <v>578</v>
      </c>
      <c r="R3" s="2052"/>
      <c r="S3" s="2051" t="s">
        <v>579</v>
      </c>
      <c r="T3" s="2052"/>
      <c r="U3" s="2051" t="s">
        <v>580</v>
      </c>
      <c r="V3" s="2052"/>
      <c r="W3" s="2051" t="s">
        <v>581</v>
      </c>
      <c r="X3" s="2052"/>
      <c r="Y3" s="2051" t="s">
        <v>582</v>
      </c>
      <c r="Z3" s="2052"/>
      <c r="AA3" s="2051" t="s">
        <v>583</v>
      </c>
      <c r="AB3" s="2052"/>
      <c r="AC3" s="2051" t="s">
        <v>666</v>
      </c>
      <c r="AD3" s="2052"/>
      <c r="AE3" s="2036" t="s">
        <v>697</v>
      </c>
      <c r="AF3" s="2037"/>
      <c r="AG3" s="2036" t="s">
        <v>667</v>
      </c>
      <c r="AH3" s="2037"/>
      <c r="AI3" s="2036" t="s">
        <v>668</v>
      </c>
      <c r="AJ3" s="2037"/>
      <c r="AK3" s="2036" t="s">
        <v>669</v>
      </c>
      <c r="AL3" s="2037"/>
      <c r="AM3" s="2036" t="s">
        <v>670</v>
      </c>
      <c r="AN3" s="2037"/>
      <c r="AO3" s="2036" t="s">
        <v>671</v>
      </c>
      <c r="AP3" s="2037"/>
      <c r="AQ3" s="2036" t="s">
        <v>672</v>
      </c>
      <c r="AR3" s="2037"/>
      <c r="AS3" s="2036" t="s">
        <v>673</v>
      </c>
      <c r="AT3" s="2037"/>
      <c r="AU3" s="2036" t="s">
        <v>674</v>
      </c>
      <c r="AV3" s="2037"/>
      <c r="AW3" s="2036" t="s">
        <v>675</v>
      </c>
      <c r="AX3" s="2037"/>
      <c r="AY3" s="2036" t="s">
        <v>218</v>
      </c>
      <c r="AZ3" s="2037"/>
      <c r="BA3" s="2036" t="s">
        <v>676</v>
      </c>
      <c r="BB3" s="2037"/>
      <c r="BC3" s="2036" t="s">
        <v>677</v>
      </c>
      <c r="BD3" s="2037"/>
      <c r="BE3" s="2036" t="s">
        <v>678</v>
      </c>
      <c r="BF3" s="2037"/>
      <c r="BG3" s="2036" t="s">
        <v>679</v>
      </c>
      <c r="BH3" s="2037"/>
      <c r="BI3" s="2036" t="s">
        <v>680</v>
      </c>
      <c r="BJ3" s="2037"/>
      <c r="BK3" s="2036" t="s">
        <v>681</v>
      </c>
      <c r="BL3" s="2037"/>
      <c r="BM3" s="2036" t="s">
        <v>682</v>
      </c>
      <c r="BN3" s="2037"/>
      <c r="BO3" s="2036" t="s">
        <v>683</v>
      </c>
      <c r="BP3" s="2037"/>
      <c r="BQ3" s="2036" t="s">
        <v>684</v>
      </c>
      <c r="BR3" s="2037"/>
      <c r="BS3" s="2036" t="s">
        <v>685</v>
      </c>
      <c r="BT3" s="2037"/>
      <c r="BU3" s="2036" t="s">
        <v>686</v>
      </c>
      <c r="BV3" s="2037"/>
      <c r="BW3" s="2036" t="s">
        <v>687</v>
      </c>
      <c r="BX3" s="2037"/>
      <c r="BY3" s="2036" t="s">
        <v>688</v>
      </c>
      <c r="BZ3" s="2037"/>
      <c r="CA3" s="2036" t="s">
        <v>689</v>
      </c>
      <c r="CB3" s="2037"/>
      <c r="CC3" s="2036" t="s">
        <v>219</v>
      </c>
      <c r="CD3" s="2037"/>
      <c r="CE3" s="2036" t="s">
        <v>690</v>
      </c>
      <c r="CF3" s="2037"/>
      <c r="CG3" s="2036" t="s">
        <v>691</v>
      </c>
      <c r="CH3" s="2037"/>
      <c r="CI3" s="2036" t="s">
        <v>692</v>
      </c>
      <c r="CJ3" s="2037"/>
      <c r="CK3" s="2036" t="s">
        <v>693</v>
      </c>
      <c r="CL3" s="2037"/>
      <c r="CM3" s="2036" t="s">
        <v>694</v>
      </c>
      <c r="CN3" s="2037"/>
      <c r="CO3" s="2036" t="s">
        <v>695</v>
      </c>
      <c r="CP3" s="2037"/>
      <c r="CQ3" s="2036" t="s">
        <v>1349</v>
      </c>
      <c r="CR3" s="2037"/>
      <c r="CS3" s="2036" t="s">
        <v>696</v>
      </c>
      <c r="CT3" s="2037"/>
      <c r="CU3" s="2036" t="s">
        <v>57</v>
      </c>
      <c r="CV3" s="2037"/>
      <c r="CW3" s="2036" t="s">
        <v>58</v>
      </c>
      <c r="CX3" s="2037"/>
      <c r="CY3" s="2036" t="s">
        <v>1133</v>
      </c>
      <c r="CZ3" s="2037"/>
      <c r="DA3" s="2036" t="s">
        <v>684</v>
      </c>
      <c r="DB3" s="2037"/>
      <c r="DC3" s="2036" t="s">
        <v>676</v>
      </c>
      <c r="DD3" s="2037"/>
      <c r="DE3" s="2036" t="s">
        <v>59</v>
      </c>
      <c r="DF3" s="2037"/>
      <c r="DG3" s="2036" t="s">
        <v>1349</v>
      </c>
      <c r="DH3" s="2037"/>
      <c r="DI3" s="2036" t="s">
        <v>60</v>
      </c>
      <c r="DJ3" s="2037"/>
      <c r="DK3" s="2036" t="s">
        <v>61</v>
      </c>
      <c r="DL3" s="2037"/>
      <c r="DM3" s="2036" t="s">
        <v>62</v>
      </c>
      <c r="DN3" s="2037"/>
      <c r="DO3" s="2036" t="s">
        <v>63</v>
      </c>
      <c r="DP3" s="2037"/>
      <c r="DQ3" s="2036" t="s">
        <v>64</v>
      </c>
      <c r="DR3" s="2037"/>
      <c r="DS3" s="2036" t="s">
        <v>65</v>
      </c>
      <c r="DT3" s="2037"/>
      <c r="DU3" s="2036" t="s">
        <v>66</v>
      </c>
      <c r="DV3" s="2037"/>
      <c r="DW3" s="2036" t="s">
        <v>67</v>
      </c>
      <c r="DX3" s="2037"/>
      <c r="DY3" s="2036" t="s">
        <v>68</v>
      </c>
      <c r="DZ3" s="2037"/>
      <c r="EA3" s="2036" t="s">
        <v>69</v>
      </c>
      <c r="EB3" s="2037"/>
      <c r="EC3" s="2036" t="s">
        <v>66</v>
      </c>
      <c r="ED3" s="2037"/>
      <c r="EE3" s="2036" t="s">
        <v>70</v>
      </c>
      <c r="EF3" s="2037"/>
      <c r="EG3" s="2036" t="s">
        <v>71</v>
      </c>
      <c r="EH3" s="2037"/>
      <c r="EI3" s="2036" t="s">
        <v>72</v>
      </c>
      <c r="EJ3" s="2037"/>
      <c r="EK3" s="2036" t="s">
        <v>73</v>
      </c>
      <c r="EL3" s="2037"/>
      <c r="EM3" s="2036" t="s">
        <v>74</v>
      </c>
      <c r="EN3" s="2037"/>
      <c r="EO3" s="2036" t="s">
        <v>75</v>
      </c>
      <c r="EP3" s="2037"/>
      <c r="EQ3" s="2036" t="s">
        <v>76</v>
      </c>
      <c r="ER3" s="2037"/>
      <c r="ES3" s="2036" t="s">
        <v>77</v>
      </c>
      <c r="ET3" s="2037"/>
      <c r="EU3" s="2036" t="s">
        <v>78</v>
      </c>
      <c r="EV3" s="2037"/>
      <c r="EW3" s="2036" t="s">
        <v>79</v>
      </c>
      <c r="EX3" s="2037"/>
      <c r="EY3" s="2036" t="s">
        <v>80</v>
      </c>
      <c r="EZ3" s="2037"/>
      <c r="FA3" s="2036" t="s">
        <v>81</v>
      </c>
      <c r="FB3" s="2037"/>
      <c r="FC3" s="2036" t="s">
        <v>82</v>
      </c>
      <c r="FD3" s="2037"/>
      <c r="FE3" s="2036" t="s">
        <v>83</v>
      </c>
      <c r="FF3" s="2037"/>
      <c r="FG3" s="2036" t="s">
        <v>584</v>
      </c>
      <c r="FH3" s="2037"/>
      <c r="FI3" s="2036" t="s">
        <v>84</v>
      </c>
      <c r="FJ3" s="2037"/>
      <c r="FK3" s="2036" t="s">
        <v>85</v>
      </c>
      <c r="FL3" s="2037"/>
      <c r="FM3" s="2036" t="s">
        <v>86</v>
      </c>
      <c r="FN3" s="2037"/>
      <c r="FO3" s="2036" t="s">
        <v>87</v>
      </c>
      <c r="FP3" s="2037"/>
      <c r="FQ3" s="2036" t="s">
        <v>88</v>
      </c>
      <c r="FR3" s="2037"/>
      <c r="FS3" s="2036" t="s">
        <v>89</v>
      </c>
      <c r="FT3" s="2037"/>
      <c r="FU3" s="2036" t="s">
        <v>90</v>
      </c>
      <c r="FV3" s="2037"/>
      <c r="FW3" s="2036" t="s">
        <v>91</v>
      </c>
      <c r="FX3" s="2037"/>
      <c r="FY3" s="2036" t="s">
        <v>92</v>
      </c>
      <c r="FZ3" s="2037"/>
      <c r="GA3" s="2036" t="s">
        <v>93</v>
      </c>
      <c r="GB3" s="2037"/>
    </row>
    <row r="4" spans="1:184" ht="12.75" customHeight="1" thickBot="1">
      <c r="A4" s="2049"/>
      <c r="B4" s="2050"/>
      <c r="C4" s="1418" t="s">
        <v>704</v>
      </c>
      <c r="D4" s="1418" t="s">
        <v>94</v>
      </c>
      <c r="E4" s="1418" t="s">
        <v>704</v>
      </c>
      <c r="F4" s="1418" t="s">
        <v>94</v>
      </c>
      <c r="G4" s="1418" t="s">
        <v>704</v>
      </c>
      <c r="H4" s="1418" t="s">
        <v>94</v>
      </c>
      <c r="I4" s="1418" t="s">
        <v>704</v>
      </c>
      <c r="J4" s="1418" t="s">
        <v>94</v>
      </c>
      <c r="K4" s="1418" t="s">
        <v>704</v>
      </c>
      <c r="L4" s="1418" t="s">
        <v>94</v>
      </c>
      <c r="M4" s="1461" t="s">
        <v>704</v>
      </c>
      <c r="N4" s="1461" t="s">
        <v>94</v>
      </c>
      <c r="O4" s="1461" t="s">
        <v>704</v>
      </c>
      <c r="P4" s="1461" t="s">
        <v>94</v>
      </c>
      <c r="Q4" s="1461" t="s">
        <v>704</v>
      </c>
      <c r="R4" s="1461" t="s">
        <v>94</v>
      </c>
      <c r="S4" s="1461" t="s">
        <v>704</v>
      </c>
      <c r="T4" s="1461" t="s">
        <v>94</v>
      </c>
      <c r="U4" s="1461" t="s">
        <v>704</v>
      </c>
      <c r="V4" s="1461" t="s">
        <v>94</v>
      </c>
      <c r="W4" s="1461" t="s">
        <v>704</v>
      </c>
      <c r="X4" s="1461" t="s">
        <v>94</v>
      </c>
      <c r="Y4" s="1461" t="s">
        <v>704</v>
      </c>
      <c r="Z4" s="1461" t="s">
        <v>94</v>
      </c>
      <c r="AA4" s="1461" t="s">
        <v>704</v>
      </c>
      <c r="AB4" s="1461" t="s">
        <v>94</v>
      </c>
      <c r="AC4" s="1461" t="s">
        <v>704</v>
      </c>
      <c r="AD4" s="1461" t="s">
        <v>94</v>
      </c>
      <c r="AE4" s="1418" t="s">
        <v>704</v>
      </c>
      <c r="AF4" s="1418" t="s">
        <v>94</v>
      </c>
      <c r="AG4" s="1418" t="s">
        <v>704</v>
      </c>
      <c r="AH4" s="1418" t="s">
        <v>94</v>
      </c>
      <c r="AI4" s="1418" t="s">
        <v>704</v>
      </c>
      <c r="AJ4" s="1418" t="s">
        <v>94</v>
      </c>
      <c r="AK4" s="1418" t="s">
        <v>704</v>
      </c>
      <c r="AL4" s="1418" t="s">
        <v>94</v>
      </c>
      <c r="AM4" s="1418" t="s">
        <v>704</v>
      </c>
      <c r="AN4" s="1418" t="s">
        <v>94</v>
      </c>
      <c r="AO4" s="1418" t="s">
        <v>704</v>
      </c>
      <c r="AP4" s="1418" t="s">
        <v>94</v>
      </c>
      <c r="AQ4" s="1418" t="s">
        <v>704</v>
      </c>
      <c r="AR4" s="1418" t="s">
        <v>94</v>
      </c>
      <c r="AS4" s="1418" t="s">
        <v>704</v>
      </c>
      <c r="AT4" s="1418" t="s">
        <v>94</v>
      </c>
      <c r="AU4" s="1418" t="s">
        <v>704</v>
      </c>
      <c r="AV4" s="1418" t="s">
        <v>94</v>
      </c>
      <c r="AW4" s="1418" t="s">
        <v>704</v>
      </c>
      <c r="AX4" s="1418" t="s">
        <v>94</v>
      </c>
      <c r="AY4" s="1418" t="s">
        <v>704</v>
      </c>
      <c r="AZ4" s="1418" t="s">
        <v>94</v>
      </c>
      <c r="BA4" s="1418" t="s">
        <v>704</v>
      </c>
      <c r="BB4" s="1418" t="s">
        <v>94</v>
      </c>
      <c r="BC4" s="1418" t="s">
        <v>704</v>
      </c>
      <c r="BD4" s="1418" t="s">
        <v>94</v>
      </c>
      <c r="BE4" s="1418" t="s">
        <v>704</v>
      </c>
      <c r="BF4" s="1418" t="s">
        <v>94</v>
      </c>
      <c r="BG4" s="1418" t="s">
        <v>704</v>
      </c>
      <c r="BH4" s="1418" t="s">
        <v>94</v>
      </c>
      <c r="BI4" s="1418" t="s">
        <v>704</v>
      </c>
      <c r="BJ4" s="1418" t="s">
        <v>94</v>
      </c>
      <c r="BK4" s="1418" t="s">
        <v>704</v>
      </c>
      <c r="BL4" s="1418" t="s">
        <v>94</v>
      </c>
      <c r="BM4" s="1418" t="s">
        <v>704</v>
      </c>
      <c r="BN4" s="1418" t="s">
        <v>94</v>
      </c>
      <c r="BO4" s="1418" t="s">
        <v>704</v>
      </c>
      <c r="BP4" s="1418" t="s">
        <v>94</v>
      </c>
      <c r="BQ4" s="1418" t="s">
        <v>704</v>
      </c>
      <c r="BR4" s="1418" t="s">
        <v>94</v>
      </c>
      <c r="BS4" s="1418" t="s">
        <v>704</v>
      </c>
      <c r="BT4" s="1418" t="s">
        <v>94</v>
      </c>
      <c r="BU4" s="1418" t="s">
        <v>704</v>
      </c>
      <c r="BV4" s="1418" t="s">
        <v>94</v>
      </c>
      <c r="BW4" s="1418" t="s">
        <v>704</v>
      </c>
      <c r="BX4" s="1418" t="s">
        <v>94</v>
      </c>
      <c r="BY4" s="1418" t="s">
        <v>704</v>
      </c>
      <c r="BZ4" s="1418" t="s">
        <v>94</v>
      </c>
      <c r="CA4" s="1418" t="s">
        <v>704</v>
      </c>
      <c r="CB4" s="1418" t="s">
        <v>94</v>
      </c>
      <c r="CC4" s="1418" t="s">
        <v>704</v>
      </c>
      <c r="CD4" s="1418" t="s">
        <v>94</v>
      </c>
      <c r="CE4" s="1418" t="s">
        <v>704</v>
      </c>
      <c r="CF4" s="1418" t="s">
        <v>94</v>
      </c>
      <c r="CG4" s="1418" t="s">
        <v>704</v>
      </c>
      <c r="CH4" s="1418" t="s">
        <v>94</v>
      </c>
      <c r="CI4" s="1418" t="s">
        <v>704</v>
      </c>
      <c r="CJ4" s="1418" t="s">
        <v>94</v>
      </c>
      <c r="CK4" s="1418" t="s">
        <v>704</v>
      </c>
      <c r="CL4" s="1418" t="s">
        <v>94</v>
      </c>
      <c r="CM4" s="1418" t="s">
        <v>704</v>
      </c>
      <c r="CN4" s="1418" t="s">
        <v>94</v>
      </c>
      <c r="CO4" s="1418" t="s">
        <v>704</v>
      </c>
      <c r="CP4" s="1418" t="s">
        <v>94</v>
      </c>
      <c r="CQ4" s="1418" t="s">
        <v>704</v>
      </c>
      <c r="CR4" s="1418" t="s">
        <v>94</v>
      </c>
      <c r="CS4" s="1418" t="s">
        <v>704</v>
      </c>
      <c r="CT4" s="1418" t="s">
        <v>94</v>
      </c>
      <c r="CU4" s="1418" t="s">
        <v>704</v>
      </c>
      <c r="CV4" s="1418" t="s">
        <v>94</v>
      </c>
      <c r="CW4" s="1418" t="s">
        <v>704</v>
      </c>
      <c r="CX4" s="1418" t="s">
        <v>94</v>
      </c>
      <c r="CY4" s="1418" t="s">
        <v>704</v>
      </c>
      <c r="CZ4" s="1418" t="s">
        <v>94</v>
      </c>
      <c r="DA4" s="1418" t="s">
        <v>704</v>
      </c>
      <c r="DB4" s="1418" t="s">
        <v>94</v>
      </c>
      <c r="DC4" s="1418" t="s">
        <v>704</v>
      </c>
      <c r="DD4" s="1418" t="s">
        <v>94</v>
      </c>
      <c r="DE4" s="1418" t="s">
        <v>704</v>
      </c>
      <c r="DF4" s="1418" t="s">
        <v>94</v>
      </c>
      <c r="DG4" s="1418" t="s">
        <v>704</v>
      </c>
      <c r="DH4" s="1418" t="s">
        <v>94</v>
      </c>
      <c r="DI4" s="1418" t="s">
        <v>704</v>
      </c>
      <c r="DJ4" s="1418" t="s">
        <v>94</v>
      </c>
      <c r="DK4" s="1418" t="s">
        <v>704</v>
      </c>
      <c r="DL4" s="1418" t="s">
        <v>94</v>
      </c>
      <c r="DM4" s="1418" t="s">
        <v>704</v>
      </c>
      <c r="DN4" s="1418" t="s">
        <v>94</v>
      </c>
      <c r="DO4" s="1418" t="s">
        <v>704</v>
      </c>
      <c r="DP4" s="1418" t="s">
        <v>94</v>
      </c>
      <c r="DQ4" s="1418" t="s">
        <v>704</v>
      </c>
      <c r="DR4" s="1418" t="s">
        <v>94</v>
      </c>
      <c r="DS4" s="1418" t="s">
        <v>704</v>
      </c>
      <c r="DT4" s="1418" t="s">
        <v>94</v>
      </c>
      <c r="DU4" s="1418" t="s">
        <v>704</v>
      </c>
      <c r="DV4" s="1418" t="s">
        <v>94</v>
      </c>
      <c r="DW4" s="1418" t="s">
        <v>704</v>
      </c>
      <c r="DX4" s="1418" t="s">
        <v>94</v>
      </c>
      <c r="DY4" s="1418" t="s">
        <v>704</v>
      </c>
      <c r="DZ4" s="1418" t="s">
        <v>94</v>
      </c>
      <c r="EA4" s="1418" t="s">
        <v>704</v>
      </c>
      <c r="EB4" s="1418" t="s">
        <v>94</v>
      </c>
      <c r="EC4" s="1418" t="s">
        <v>704</v>
      </c>
      <c r="ED4" s="1418" t="s">
        <v>94</v>
      </c>
      <c r="EE4" s="1418" t="s">
        <v>704</v>
      </c>
      <c r="EF4" s="1418" t="s">
        <v>94</v>
      </c>
      <c r="EG4" s="1418" t="s">
        <v>704</v>
      </c>
      <c r="EH4" s="1418" t="s">
        <v>94</v>
      </c>
      <c r="EI4" s="1418" t="s">
        <v>704</v>
      </c>
      <c r="EJ4" s="1418" t="s">
        <v>94</v>
      </c>
      <c r="EK4" s="1418" t="s">
        <v>704</v>
      </c>
      <c r="EL4" s="1418" t="s">
        <v>94</v>
      </c>
      <c r="EM4" s="1418" t="s">
        <v>704</v>
      </c>
      <c r="EN4" s="1418" t="s">
        <v>94</v>
      </c>
      <c r="EO4" s="1418" t="s">
        <v>704</v>
      </c>
      <c r="EP4" s="1418" t="s">
        <v>94</v>
      </c>
      <c r="EQ4" s="1418" t="s">
        <v>704</v>
      </c>
      <c r="ER4" s="1418" t="s">
        <v>94</v>
      </c>
      <c r="ES4" s="1418" t="s">
        <v>704</v>
      </c>
      <c r="ET4" s="1418" t="s">
        <v>94</v>
      </c>
      <c r="EU4" s="1418" t="s">
        <v>704</v>
      </c>
      <c r="EV4" s="1418" t="s">
        <v>94</v>
      </c>
      <c r="EW4" s="1418" t="s">
        <v>704</v>
      </c>
      <c r="EX4" s="1418" t="s">
        <v>94</v>
      </c>
      <c r="EY4" s="1418" t="s">
        <v>704</v>
      </c>
      <c r="EZ4" s="1418" t="s">
        <v>94</v>
      </c>
      <c r="FA4" s="1418" t="s">
        <v>704</v>
      </c>
      <c r="FB4" s="1418" t="s">
        <v>94</v>
      </c>
      <c r="FC4" s="1418" t="s">
        <v>704</v>
      </c>
      <c r="FD4" s="1418" t="s">
        <v>94</v>
      </c>
      <c r="FE4" s="1418" t="s">
        <v>704</v>
      </c>
      <c r="FF4" s="1418" t="s">
        <v>94</v>
      </c>
      <c r="FG4" s="1418" t="s">
        <v>704</v>
      </c>
      <c r="FH4" s="1418" t="s">
        <v>94</v>
      </c>
      <c r="FI4" s="1418" t="s">
        <v>704</v>
      </c>
      <c r="FJ4" s="1418" t="s">
        <v>94</v>
      </c>
      <c r="FK4" s="1418" t="s">
        <v>704</v>
      </c>
      <c r="FL4" s="1418" t="s">
        <v>94</v>
      </c>
      <c r="FM4" s="1418" t="s">
        <v>704</v>
      </c>
      <c r="FN4" s="1418" t="s">
        <v>94</v>
      </c>
      <c r="FO4" s="1418" t="s">
        <v>704</v>
      </c>
      <c r="FP4" s="1418" t="s">
        <v>94</v>
      </c>
      <c r="FQ4" s="1418" t="s">
        <v>704</v>
      </c>
      <c r="FR4" s="1418" t="s">
        <v>94</v>
      </c>
      <c r="FS4" s="1418" t="s">
        <v>704</v>
      </c>
      <c r="FT4" s="1418" t="s">
        <v>94</v>
      </c>
      <c r="FU4" s="1418" t="s">
        <v>704</v>
      </c>
      <c r="FV4" s="1418" t="s">
        <v>94</v>
      </c>
      <c r="FW4" s="1418" t="s">
        <v>704</v>
      </c>
      <c r="FX4" s="1418" t="s">
        <v>94</v>
      </c>
      <c r="FY4" s="1418" t="s">
        <v>704</v>
      </c>
      <c r="FZ4" s="1418" t="s">
        <v>94</v>
      </c>
      <c r="GA4" s="1418" t="s">
        <v>704</v>
      </c>
      <c r="GB4" s="1418" t="s">
        <v>94</v>
      </c>
    </row>
    <row r="5" spans="1:184" ht="12.75" customHeight="1" thickBot="1">
      <c r="A5" s="1418" t="s">
        <v>585</v>
      </c>
      <c r="B5" s="1418" t="s">
        <v>586</v>
      </c>
      <c r="C5" s="1420">
        <v>921.91</v>
      </c>
      <c r="D5" s="1439"/>
      <c r="E5" s="1420">
        <v>1291.2</v>
      </c>
      <c r="F5" s="1439"/>
      <c r="G5" s="1421">
        <v>-0.12</v>
      </c>
      <c r="H5" s="1439"/>
      <c r="I5" s="1420">
        <v>1326.94</v>
      </c>
      <c r="J5" s="1439"/>
      <c r="K5" s="1420">
        <v>1359.14</v>
      </c>
      <c r="L5" s="1439"/>
      <c r="M5" s="1422">
        <v>125817937</v>
      </c>
      <c r="N5" s="1439"/>
      <c r="O5" s="1422">
        <v>25</v>
      </c>
      <c r="P5" s="1439"/>
      <c r="Q5" s="1422">
        <v>25</v>
      </c>
      <c r="R5" s="1439"/>
      <c r="S5" s="1422">
        <v>0</v>
      </c>
      <c r="T5" s="1439"/>
      <c r="U5" s="1422">
        <v>0</v>
      </c>
      <c r="V5" s="1439"/>
      <c r="W5" s="1420">
        <v>9.5</v>
      </c>
      <c r="X5" s="1439"/>
      <c r="Y5" s="1420">
        <v>34.5</v>
      </c>
      <c r="Z5" s="1439"/>
      <c r="AA5" s="1420">
        <v>7708148.8600000003</v>
      </c>
      <c r="AB5" s="1439"/>
      <c r="AC5" s="1420">
        <v>4088692.19</v>
      </c>
      <c r="AD5" s="1420">
        <v>3623573.09</v>
      </c>
      <c r="AE5" s="1420">
        <v>440094.45</v>
      </c>
      <c r="AF5" s="1422">
        <v>166645</v>
      </c>
      <c r="AG5" s="1422">
        <v>0</v>
      </c>
      <c r="AH5" s="1422">
        <v>0</v>
      </c>
      <c r="AI5" s="1422">
        <v>5114208</v>
      </c>
      <c r="AJ5" s="1422">
        <v>5004029</v>
      </c>
      <c r="AK5" s="1422">
        <v>24076</v>
      </c>
      <c r="AL5" s="1422">
        <v>20000</v>
      </c>
      <c r="AM5" s="1422">
        <v>0</v>
      </c>
      <c r="AN5" s="1422">
        <v>0</v>
      </c>
      <c r="AO5" s="1422">
        <v>217009</v>
      </c>
      <c r="AP5" s="1422">
        <v>75663</v>
      </c>
      <c r="AQ5" s="1422">
        <v>0</v>
      </c>
      <c r="AR5" s="1422">
        <v>0</v>
      </c>
      <c r="AS5" s="1422">
        <v>63300</v>
      </c>
      <c r="AT5" s="1422">
        <v>76000</v>
      </c>
      <c r="AU5" s="1422">
        <v>0</v>
      </c>
      <c r="AV5" s="1422">
        <v>0</v>
      </c>
      <c r="AW5" s="1422">
        <v>0</v>
      </c>
      <c r="AX5" s="1422">
        <v>0</v>
      </c>
      <c r="AY5" s="1420">
        <v>9947379.6400000006</v>
      </c>
      <c r="AZ5" s="1420">
        <v>8965910.0899999999</v>
      </c>
      <c r="BA5" s="1422">
        <v>0</v>
      </c>
      <c r="BB5" s="1422">
        <v>0</v>
      </c>
      <c r="BC5" s="1422">
        <v>56214</v>
      </c>
      <c r="BD5" s="1422">
        <v>56557</v>
      </c>
      <c r="BE5" s="1420">
        <v>15686.15</v>
      </c>
      <c r="BF5" s="1422">
        <v>7000</v>
      </c>
      <c r="BG5" s="1422">
        <v>450</v>
      </c>
      <c r="BH5" s="1422">
        <v>0</v>
      </c>
      <c r="BI5" s="1422">
        <v>59807</v>
      </c>
      <c r="BJ5" s="1422">
        <v>43481</v>
      </c>
      <c r="BK5" s="1422">
        <v>3516</v>
      </c>
      <c r="BL5" s="1422">
        <v>3588</v>
      </c>
      <c r="BM5" s="1422">
        <v>410688</v>
      </c>
      <c r="BN5" s="1422">
        <v>411378</v>
      </c>
      <c r="BO5" s="1420">
        <v>150119.89000000001</v>
      </c>
      <c r="BP5" s="1422">
        <v>144000</v>
      </c>
      <c r="BQ5" s="1420">
        <v>115104.6</v>
      </c>
      <c r="BR5" s="1422">
        <v>121062</v>
      </c>
      <c r="BS5" s="1420">
        <v>4823.6000000000004</v>
      </c>
      <c r="BT5" s="1422">
        <v>4500</v>
      </c>
      <c r="BU5" s="1422">
        <v>0</v>
      </c>
      <c r="BV5" s="1422">
        <v>0</v>
      </c>
      <c r="BW5" s="1422">
        <v>67068</v>
      </c>
      <c r="BX5" s="1422">
        <v>65000</v>
      </c>
      <c r="BY5" s="1422">
        <v>0</v>
      </c>
      <c r="BZ5" s="1422">
        <v>0</v>
      </c>
      <c r="CA5" s="1422">
        <v>60716</v>
      </c>
      <c r="CB5" s="1422">
        <v>51210</v>
      </c>
      <c r="CC5" s="1420">
        <v>944193.24</v>
      </c>
      <c r="CD5" s="1422">
        <v>907776</v>
      </c>
      <c r="CE5" s="1420">
        <v>2300964.2400000002</v>
      </c>
      <c r="CF5" s="1422">
        <v>1279096</v>
      </c>
      <c r="CG5" s="1420">
        <v>15311.34</v>
      </c>
      <c r="CH5" s="1422">
        <v>102628</v>
      </c>
      <c r="CI5" s="1422">
        <v>0</v>
      </c>
      <c r="CJ5" s="1422">
        <v>0</v>
      </c>
      <c r="CK5" s="1420">
        <v>5597.08</v>
      </c>
      <c r="CL5" s="1422">
        <v>5000</v>
      </c>
      <c r="CM5" s="1420">
        <v>117683.6</v>
      </c>
      <c r="CN5" s="1422">
        <v>2500</v>
      </c>
      <c r="CO5" s="1420">
        <v>83834.37</v>
      </c>
      <c r="CP5" s="1422">
        <v>1000</v>
      </c>
      <c r="CQ5" s="1422">
        <v>0</v>
      </c>
      <c r="CR5" s="1422">
        <v>0</v>
      </c>
      <c r="CS5" s="1420">
        <v>222426.39</v>
      </c>
      <c r="CT5" s="1422">
        <v>111128</v>
      </c>
      <c r="CU5" s="1420">
        <v>13414963.51</v>
      </c>
      <c r="CV5" s="1420">
        <v>11263910.09</v>
      </c>
      <c r="CW5" s="1420">
        <v>5097859.01</v>
      </c>
      <c r="CX5" s="1422">
        <v>4200746</v>
      </c>
      <c r="CY5" s="1420">
        <v>968687.01</v>
      </c>
      <c r="CZ5" s="1420">
        <v>943255.44</v>
      </c>
      <c r="DA5" s="1420">
        <v>545957.93000000005</v>
      </c>
      <c r="DB5" s="1422">
        <v>561284</v>
      </c>
      <c r="DC5" s="1422">
        <v>0</v>
      </c>
      <c r="DD5" s="1422">
        <v>0</v>
      </c>
      <c r="DE5" s="1420">
        <v>295324.07</v>
      </c>
      <c r="DF5" s="1422">
        <v>260905</v>
      </c>
      <c r="DG5" s="1420">
        <v>135541.14000000001</v>
      </c>
      <c r="DH5" s="1422">
        <v>159974</v>
      </c>
      <c r="DI5" s="1420">
        <v>7043369.1600000001</v>
      </c>
      <c r="DJ5" s="1420">
        <v>6126164.4400000004</v>
      </c>
      <c r="DK5" s="1420">
        <v>500099.76</v>
      </c>
      <c r="DL5" s="1422">
        <v>437260</v>
      </c>
      <c r="DM5" s="1420">
        <v>134420.20000000001</v>
      </c>
      <c r="DN5" s="1422">
        <v>191676</v>
      </c>
      <c r="DO5" s="1420">
        <v>993015.96</v>
      </c>
      <c r="DP5" s="1422">
        <v>846040</v>
      </c>
      <c r="DQ5" s="1420">
        <v>466543.81</v>
      </c>
      <c r="DR5" s="1422">
        <v>488787</v>
      </c>
      <c r="DS5" s="1420">
        <v>20603.28</v>
      </c>
      <c r="DT5" s="1422">
        <v>7000</v>
      </c>
      <c r="DU5" s="1420">
        <v>2114683.0099999998</v>
      </c>
      <c r="DV5" s="1422">
        <v>1970763</v>
      </c>
      <c r="DW5" s="1420">
        <v>419368.47</v>
      </c>
      <c r="DX5" s="1422">
        <v>415623</v>
      </c>
      <c r="DY5" s="1420">
        <v>1104456.6200000001</v>
      </c>
      <c r="DZ5" s="1422">
        <v>709010</v>
      </c>
      <c r="EA5" s="1420">
        <v>768542.57</v>
      </c>
      <c r="EB5" s="1422">
        <v>670159</v>
      </c>
      <c r="EC5" s="1420">
        <v>2292367.66</v>
      </c>
      <c r="ED5" s="1422">
        <v>1794792</v>
      </c>
      <c r="EE5" s="1420">
        <v>654687.81999999995</v>
      </c>
      <c r="EF5" s="1422">
        <v>556721</v>
      </c>
      <c r="EG5" s="1422">
        <v>0</v>
      </c>
      <c r="EH5" s="1422">
        <v>0</v>
      </c>
      <c r="EI5" s="1422">
        <v>0</v>
      </c>
      <c r="EJ5" s="1422">
        <v>0</v>
      </c>
      <c r="EK5" s="1422">
        <v>0</v>
      </c>
      <c r="EL5" s="1422">
        <v>0</v>
      </c>
      <c r="EM5" s="1420">
        <v>654687.81999999995</v>
      </c>
      <c r="EN5" s="1422">
        <v>556721</v>
      </c>
      <c r="EO5" s="1420">
        <v>601318.78</v>
      </c>
      <c r="EP5" s="1422">
        <v>0</v>
      </c>
      <c r="EQ5" s="1420">
        <v>622864.27</v>
      </c>
      <c r="ER5" s="1422">
        <v>560396</v>
      </c>
      <c r="ES5" s="1422">
        <v>0</v>
      </c>
      <c r="ET5" s="1422">
        <v>0</v>
      </c>
      <c r="EU5" s="1420">
        <v>13329290.699999999</v>
      </c>
      <c r="EV5" s="1420">
        <v>11008836.439999999</v>
      </c>
      <c r="EW5" s="1420">
        <v>621836.68000000005</v>
      </c>
      <c r="EX5" s="1422">
        <v>128500</v>
      </c>
      <c r="EY5" s="1420">
        <v>622864.27</v>
      </c>
      <c r="EZ5" s="1422">
        <v>560396</v>
      </c>
      <c r="FA5" s="1420">
        <v>12084589.75</v>
      </c>
      <c r="FB5" s="1420">
        <v>10319940.439999999</v>
      </c>
      <c r="FC5" s="1420">
        <v>506377.07</v>
      </c>
      <c r="FD5" s="1439"/>
      <c r="FE5" s="1420">
        <v>11578212.68</v>
      </c>
      <c r="FF5" s="1439"/>
      <c r="FG5" s="1422">
        <v>8967</v>
      </c>
      <c r="FH5" s="1439"/>
      <c r="FI5" s="1420">
        <v>100.79</v>
      </c>
      <c r="FJ5" s="1439"/>
      <c r="FK5" s="1422">
        <v>44451</v>
      </c>
      <c r="FL5" s="1439"/>
      <c r="FM5" s="1420">
        <v>112.15</v>
      </c>
      <c r="FN5" s="1439"/>
      <c r="FO5" s="1422">
        <v>46882</v>
      </c>
      <c r="FP5" s="1439"/>
      <c r="FQ5" s="1420">
        <v>1489197.64</v>
      </c>
      <c r="FR5" s="1439"/>
      <c r="FS5" s="1420">
        <v>57760.25</v>
      </c>
      <c r="FT5" s="1439"/>
      <c r="FU5" s="1422">
        <v>0</v>
      </c>
      <c r="FV5" s="1439"/>
      <c r="FW5" s="1420">
        <v>1431437.39</v>
      </c>
      <c r="FX5" s="1439"/>
      <c r="FY5" s="1420">
        <v>34629.46</v>
      </c>
      <c r="FZ5" s="1439"/>
      <c r="GA5" s="1422">
        <v>0</v>
      </c>
      <c r="GB5" s="1439"/>
    </row>
    <row r="6" spans="1:184" ht="12.75" customHeight="1" thickBot="1">
      <c r="A6" s="1418" t="s">
        <v>587</v>
      </c>
      <c r="B6" s="1418" t="s">
        <v>588</v>
      </c>
      <c r="C6" s="1420">
        <v>212.5</v>
      </c>
      <c r="D6" s="1439"/>
      <c r="E6" s="1420">
        <v>1673.21</v>
      </c>
      <c r="F6" s="1439"/>
      <c r="G6" s="1421">
        <v>-0.08</v>
      </c>
      <c r="H6" s="1439"/>
      <c r="I6" s="1420">
        <v>1785.54</v>
      </c>
      <c r="J6" s="1439"/>
      <c r="K6" s="1420">
        <v>1843.58</v>
      </c>
      <c r="L6" s="1439"/>
      <c r="M6" s="1422">
        <v>177909015</v>
      </c>
      <c r="N6" s="1439"/>
      <c r="O6" s="1422">
        <v>25</v>
      </c>
      <c r="P6" s="1439"/>
      <c r="Q6" s="1422">
        <v>25</v>
      </c>
      <c r="R6" s="1439"/>
      <c r="S6" s="1422">
        <v>0</v>
      </c>
      <c r="T6" s="1439"/>
      <c r="U6" s="1422">
        <v>0</v>
      </c>
      <c r="V6" s="1439"/>
      <c r="W6" s="1420">
        <v>6.9</v>
      </c>
      <c r="X6" s="1439"/>
      <c r="Y6" s="1420">
        <v>31.9</v>
      </c>
      <c r="Z6" s="1439"/>
      <c r="AA6" s="1420">
        <v>12091421.83</v>
      </c>
      <c r="AB6" s="1439"/>
      <c r="AC6" s="1420">
        <v>5322715.43</v>
      </c>
      <c r="AD6" s="1422">
        <v>5004000</v>
      </c>
      <c r="AE6" s="1420">
        <v>648656.9</v>
      </c>
      <c r="AF6" s="1422">
        <v>273650</v>
      </c>
      <c r="AG6" s="1422">
        <v>0</v>
      </c>
      <c r="AH6" s="1422">
        <v>0</v>
      </c>
      <c r="AI6" s="1422">
        <v>6890765</v>
      </c>
      <c r="AJ6" s="1422">
        <v>6655242</v>
      </c>
      <c r="AK6" s="1422">
        <v>0</v>
      </c>
      <c r="AL6" s="1422">
        <v>0</v>
      </c>
      <c r="AM6" s="1422">
        <v>0</v>
      </c>
      <c r="AN6" s="1422">
        <v>0</v>
      </c>
      <c r="AO6" s="1422">
        <v>0</v>
      </c>
      <c r="AP6" s="1422">
        <v>0</v>
      </c>
      <c r="AQ6" s="1422">
        <v>0</v>
      </c>
      <c r="AR6" s="1422">
        <v>0</v>
      </c>
      <c r="AS6" s="1422">
        <v>0</v>
      </c>
      <c r="AT6" s="1422">
        <v>0</v>
      </c>
      <c r="AU6" s="1422">
        <v>0</v>
      </c>
      <c r="AV6" s="1422">
        <v>0</v>
      </c>
      <c r="AW6" s="1422">
        <v>0</v>
      </c>
      <c r="AX6" s="1422">
        <v>0</v>
      </c>
      <c r="AY6" s="1420">
        <v>12862137.33</v>
      </c>
      <c r="AZ6" s="1422">
        <v>11932892</v>
      </c>
      <c r="BA6" s="1420">
        <v>228152.61</v>
      </c>
      <c r="BB6" s="1422">
        <v>192159</v>
      </c>
      <c r="BC6" s="1422">
        <v>76250</v>
      </c>
      <c r="BD6" s="1422">
        <v>75980</v>
      </c>
      <c r="BE6" s="1420">
        <v>25806.63</v>
      </c>
      <c r="BF6" s="1422">
        <v>19300</v>
      </c>
      <c r="BG6" s="1422">
        <v>4605</v>
      </c>
      <c r="BH6" s="1422">
        <v>0</v>
      </c>
      <c r="BI6" s="1422">
        <v>89345</v>
      </c>
      <c r="BJ6" s="1422">
        <v>135086</v>
      </c>
      <c r="BK6" s="1422">
        <v>10255</v>
      </c>
      <c r="BL6" s="1422">
        <v>0</v>
      </c>
      <c r="BM6" s="1422">
        <v>574368</v>
      </c>
      <c r="BN6" s="1422">
        <v>562166</v>
      </c>
      <c r="BO6" s="1420">
        <v>50968.49</v>
      </c>
      <c r="BP6" s="1422">
        <v>23200</v>
      </c>
      <c r="BQ6" s="1420">
        <v>76266.41</v>
      </c>
      <c r="BR6" s="1422">
        <v>91500</v>
      </c>
      <c r="BS6" s="1420">
        <v>7658.07</v>
      </c>
      <c r="BT6" s="1422">
        <v>7800</v>
      </c>
      <c r="BU6" s="1422">
        <v>0</v>
      </c>
      <c r="BV6" s="1422">
        <v>0</v>
      </c>
      <c r="BW6" s="1422">
        <v>167224</v>
      </c>
      <c r="BX6" s="1422">
        <v>170100</v>
      </c>
      <c r="BY6" s="1422">
        <v>0</v>
      </c>
      <c r="BZ6" s="1422">
        <v>0</v>
      </c>
      <c r="CA6" s="1422">
        <v>74015</v>
      </c>
      <c r="CB6" s="1422">
        <v>61294</v>
      </c>
      <c r="CC6" s="1420">
        <v>1384914.21</v>
      </c>
      <c r="CD6" s="1422">
        <v>1338585</v>
      </c>
      <c r="CE6" s="1420">
        <v>3459815.65</v>
      </c>
      <c r="CF6" s="1420">
        <v>2715079.64</v>
      </c>
      <c r="CG6" s="1420">
        <v>26024.37</v>
      </c>
      <c r="CH6" s="1422">
        <v>0</v>
      </c>
      <c r="CI6" s="1422">
        <v>0</v>
      </c>
      <c r="CJ6" s="1422">
        <v>0</v>
      </c>
      <c r="CK6" s="1420">
        <v>11348.84</v>
      </c>
      <c r="CL6" s="1422">
        <v>0</v>
      </c>
      <c r="CM6" s="1422">
        <v>0</v>
      </c>
      <c r="CN6" s="1422">
        <v>0</v>
      </c>
      <c r="CO6" s="1420">
        <v>1703.13</v>
      </c>
      <c r="CP6" s="1422">
        <v>0</v>
      </c>
      <c r="CQ6" s="1422">
        <v>0</v>
      </c>
      <c r="CR6" s="1422">
        <v>0</v>
      </c>
      <c r="CS6" s="1420">
        <v>39076.339999999997</v>
      </c>
      <c r="CT6" s="1422">
        <v>0</v>
      </c>
      <c r="CU6" s="1420">
        <v>17745943.530000001</v>
      </c>
      <c r="CV6" s="1420">
        <v>15986556.640000001</v>
      </c>
      <c r="CW6" s="1420">
        <v>6313753.4299999997</v>
      </c>
      <c r="CX6" s="1420">
        <v>5901257.5300000003</v>
      </c>
      <c r="CY6" s="1420">
        <v>674707.57</v>
      </c>
      <c r="CZ6" s="1420">
        <v>791864.22</v>
      </c>
      <c r="DA6" s="1420">
        <v>264229.69</v>
      </c>
      <c r="DB6" s="1420">
        <v>287250.3</v>
      </c>
      <c r="DC6" s="1420">
        <v>251021.95</v>
      </c>
      <c r="DD6" s="1420">
        <v>225296.13</v>
      </c>
      <c r="DE6" s="1420">
        <v>507878.1</v>
      </c>
      <c r="DF6" s="1420">
        <v>600688.77</v>
      </c>
      <c r="DG6" s="1420">
        <v>562739.37</v>
      </c>
      <c r="DH6" s="1420">
        <v>610017.39</v>
      </c>
      <c r="DI6" s="1420">
        <v>8574330.1099999994</v>
      </c>
      <c r="DJ6" s="1420">
        <v>8416374.3399999999</v>
      </c>
      <c r="DK6" s="1420">
        <v>437098.09</v>
      </c>
      <c r="DL6" s="1420">
        <v>492101.3</v>
      </c>
      <c r="DM6" s="1420">
        <v>633581.15</v>
      </c>
      <c r="DN6" s="1420">
        <v>440018.78</v>
      </c>
      <c r="DO6" s="1420">
        <v>1504065.3</v>
      </c>
      <c r="DP6" s="1420">
        <v>1374475.03</v>
      </c>
      <c r="DQ6" s="1420">
        <v>363814.05</v>
      </c>
      <c r="DR6" s="1420">
        <v>448714.93</v>
      </c>
      <c r="DS6" s="1420">
        <v>33986.730000000003</v>
      </c>
      <c r="DT6" s="1422">
        <v>28397</v>
      </c>
      <c r="DU6" s="1420">
        <v>2972545.32</v>
      </c>
      <c r="DV6" s="1420">
        <v>2783707.04</v>
      </c>
      <c r="DW6" s="1420">
        <v>742644.99</v>
      </c>
      <c r="DX6" s="1420">
        <v>692520.52</v>
      </c>
      <c r="DY6" s="1420">
        <v>1493737.11</v>
      </c>
      <c r="DZ6" s="1420">
        <v>1368428.32</v>
      </c>
      <c r="EA6" s="1420">
        <v>863466.72</v>
      </c>
      <c r="EB6" s="1420">
        <v>786358.21</v>
      </c>
      <c r="EC6" s="1420">
        <v>3099848.82</v>
      </c>
      <c r="ED6" s="1420">
        <v>2847307.05</v>
      </c>
      <c r="EE6" s="1420">
        <v>901818.61</v>
      </c>
      <c r="EF6" s="1420">
        <v>787098.21</v>
      </c>
      <c r="EG6" s="1420">
        <v>425.54</v>
      </c>
      <c r="EH6" s="1422">
        <v>0</v>
      </c>
      <c r="EI6" s="1420">
        <v>39088.14</v>
      </c>
      <c r="EJ6" s="1420">
        <v>40164.74</v>
      </c>
      <c r="EK6" s="1422">
        <v>0</v>
      </c>
      <c r="EL6" s="1422">
        <v>0</v>
      </c>
      <c r="EM6" s="1420">
        <v>941332.29</v>
      </c>
      <c r="EN6" s="1420">
        <v>827262.95</v>
      </c>
      <c r="EO6" s="1420">
        <v>351420.31</v>
      </c>
      <c r="EP6" s="1422">
        <v>318509</v>
      </c>
      <c r="EQ6" s="1420">
        <v>305966.21000000002</v>
      </c>
      <c r="ER6" s="1420">
        <v>893786.5</v>
      </c>
      <c r="ES6" s="1420">
        <v>480.57</v>
      </c>
      <c r="ET6" s="1422">
        <v>0</v>
      </c>
      <c r="EU6" s="1420">
        <v>16245923.630000001</v>
      </c>
      <c r="EV6" s="1420">
        <v>16086946.880000001</v>
      </c>
      <c r="EW6" s="1420">
        <v>935500.12</v>
      </c>
      <c r="EX6" s="1420">
        <v>720591.3</v>
      </c>
      <c r="EY6" s="1420">
        <v>305966.21000000002</v>
      </c>
      <c r="EZ6" s="1420">
        <v>893786.5</v>
      </c>
      <c r="FA6" s="1420">
        <v>15004457.300000001</v>
      </c>
      <c r="FB6" s="1420">
        <v>14472569.08</v>
      </c>
      <c r="FC6" s="1420">
        <v>948478.55</v>
      </c>
      <c r="FD6" s="1439"/>
      <c r="FE6" s="1420">
        <v>14055978.75</v>
      </c>
      <c r="FF6" s="1439"/>
      <c r="FG6" s="1422">
        <v>8400</v>
      </c>
      <c r="FH6" s="1439"/>
      <c r="FI6" s="1420">
        <v>120.05</v>
      </c>
      <c r="FJ6" s="1439"/>
      <c r="FK6" s="1422">
        <v>42468</v>
      </c>
      <c r="FL6" s="1439"/>
      <c r="FM6" s="1420">
        <v>133.71</v>
      </c>
      <c r="FN6" s="1439"/>
      <c r="FO6" s="1422">
        <v>45739</v>
      </c>
      <c r="FP6" s="1439"/>
      <c r="FQ6" s="1420">
        <v>4640658.53</v>
      </c>
      <c r="FR6" s="1439"/>
      <c r="FS6" s="1420">
        <v>247511.45</v>
      </c>
      <c r="FT6" s="1439"/>
      <c r="FU6" s="1422">
        <v>0</v>
      </c>
      <c r="FV6" s="1439"/>
      <c r="FW6" s="1420">
        <v>4393147.08</v>
      </c>
      <c r="FX6" s="1439"/>
      <c r="FY6" s="1420">
        <v>54733.760000000002</v>
      </c>
      <c r="FZ6" s="1439"/>
      <c r="GA6" s="1422">
        <v>0</v>
      </c>
      <c r="GB6" s="1439"/>
    </row>
    <row r="7" spans="1:184" ht="12.75" customHeight="1" thickBot="1">
      <c r="A7" s="1418" t="s">
        <v>589</v>
      </c>
      <c r="B7" s="1418" t="s">
        <v>590</v>
      </c>
      <c r="C7" s="1420">
        <v>214.9</v>
      </c>
      <c r="D7" s="1439"/>
      <c r="E7" s="1420">
        <v>1765.83</v>
      </c>
      <c r="F7" s="1439"/>
      <c r="G7" s="1421">
        <v>-0.17</v>
      </c>
      <c r="H7" s="1439"/>
      <c r="I7" s="1420">
        <v>1865.79</v>
      </c>
      <c r="J7" s="1439"/>
      <c r="K7" s="1420">
        <v>1905.16</v>
      </c>
      <c r="L7" s="1439"/>
      <c r="M7" s="1422">
        <v>228029748</v>
      </c>
      <c r="N7" s="1439"/>
      <c r="O7" s="1422">
        <v>25</v>
      </c>
      <c r="P7" s="1439"/>
      <c r="Q7" s="1422">
        <v>25</v>
      </c>
      <c r="R7" s="1439"/>
      <c r="S7" s="1422">
        <v>0</v>
      </c>
      <c r="T7" s="1439"/>
      <c r="U7" s="1420">
        <v>1.27</v>
      </c>
      <c r="V7" s="1439"/>
      <c r="W7" s="1420">
        <v>9.6999999999999993</v>
      </c>
      <c r="X7" s="1439"/>
      <c r="Y7" s="1420">
        <v>35.97</v>
      </c>
      <c r="Z7" s="1439"/>
      <c r="AA7" s="1420">
        <v>12390677.800000001</v>
      </c>
      <c r="AB7" s="1439"/>
      <c r="AC7" s="1420">
        <v>7898686.5199999996</v>
      </c>
      <c r="AD7" s="1422">
        <v>6611800</v>
      </c>
      <c r="AE7" s="1420">
        <v>931364.25</v>
      </c>
      <c r="AF7" s="1422">
        <v>523000</v>
      </c>
      <c r="AG7" s="1420">
        <v>12051.97</v>
      </c>
      <c r="AH7" s="1422">
        <v>12000</v>
      </c>
      <c r="AI7" s="1422">
        <v>5958505</v>
      </c>
      <c r="AJ7" s="1422">
        <v>5843146</v>
      </c>
      <c r="AK7" s="1422">
        <v>43858</v>
      </c>
      <c r="AL7" s="1422">
        <v>45000</v>
      </c>
      <c r="AM7" s="1422">
        <v>0</v>
      </c>
      <c r="AN7" s="1422">
        <v>0</v>
      </c>
      <c r="AO7" s="1422">
        <v>47762</v>
      </c>
      <c r="AP7" s="1422">
        <v>117965</v>
      </c>
      <c r="AQ7" s="1422">
        <v>0</v>
      </c>
      <c r="AR7" s="1422">
        <v>0</v>
      </c>
      <c r="AS7" s="1422">
        <v>0</v>
      </c>
      <c r="AT7" s="1422">
        <v>0</v>
      </c>
      <c r="AU7" s="1422">
        <v>0</v>
      </c>
      <c r="AV7" s="1422">
        <v>0</v>
      </c>
      <c r="AW7" s="1422">
        <v>0</v>
      </c>
      <c r="AX7" s="1422">
        <v>0</v>
      </c>
      <c r="AY7" s="1420">
        <v>14892227.74</v>
      </c>
      <c r="AZ7" s="1422">
        <v>13152911</v>
      </c>
      <c r="BA7" s="1422">
        <v>0</v>
      </c>
      <c r="BB7" s="1422">
        <v>0</v>
      </c>
      <c r="BC7" s="1422">
        <v>78797</v>
      </c>
      <c r="BD7" s="1422">
        <v>79113</v>
      </c>
      <c r="BE7" s="1420">
        <v>25155.62</v>
      </c>
      <c r="BF7" s="1422">
        <v>5000</v>
      </c>
      <c r="BG7" s="1422">
        <v>2562</v>
      </c>
      <c r="BH7" s="1422">
        <v>0</v>
      </c>
      <c r="BI7" s="1422">
        <v>124937</v>
      </c>
      <c r="BJ7" s="1422">
        <v>107646</v>
      </c>
      <c r="BK7" s="1422">
        <v>8204</v>
      </c>
      <c r="BL7" s="1422">
        <v>8000</v>
      </c>
      <c r="BM7" s="1422">
        <v>540640</v>
      </c>
      <c r="BN7" s="1422">
        <v>547998</v>
      </c>
      <c r="BO7" s="1420">
        <v>49446.89</v>
      </c>
      <c r="BP7" s="1422">
        <v>42075</v>
      </c>
      <c r="BQ7" s="1422">
        <v>0</v>
      </c>
      <c r="BR7" s="1422">
        <v>0</v>
      </c>
      <c r="BS7" s="1420">
        <v>6580.37</v>
      </c>
      <c r="BT7" s="1422">
        <v>6000</v>
      </c>
      <c r="BU7" s="1422">
        <v>0</v>
      </c>
      <c r="BV7" s="1422">
        <v>0</v>
      </c>
      <c r="BW7" s="1422">
        <v>391300</v>
      </c>
      <c r="BX7" s="1422">
        <v>389800</v>
      </c>
      <c r="BY7" s="1422">
        <v>0</v>
      </c>
      <c r="BZ7" s="1422">
        <v>0</v>
      </c>
      <c r="CA7" s="1422">
        <v>23643</v>
      </c>
      <c r="CB7" s="1422">
        <v>16370</v>
      </c>
      <c r="CC7" s="1420">
        <v>1251265.8799999999</v>
      </c>
      <c r="CD7" s="1422">
        <v>1202002</v>
      </c>
      <c r="CE7" s="1420">
        <v>3399485.53</v>
      </c>
      <c r="CF7" s="1420">
        <v>2596687.92</v>
      </c>
      <c r="CG7" s="1422">
        <v>0</v>
      </c>
      <c r="CH7" s="1422">
        <v>0</v>
      </c>
      <c r="CI7" s="1422">
        <v>0</v>
      </c>
      <c r="CJ7" s="1422">
        <v>0</v>
      </c>
      <c r="CK7" s="1422">
        <v>0</v>
      </c>
      <c r="CL7" s="1422">
        <v>0</v>
      </c>
      <c r="CM7" s="1422">
        <v>0</v>
      </c>
      <c r="CN7" s="1422">
        <v>0</v>
      </c>
      <c r="CO7" s="1420">
        <v>10985.93</v>
      </c>
      <c r="CP7" s="1422">
        <v>0</v>
      </c>
      <c r="CQ7" s="1422">
        <v>0</v>
      </c>
      <c r="CR7" s="1422">
        <v>0</v>
      </c>
      <c r="CS7" s="1420">
        <v>10985.93</v>
      </c>
      <c r="CT7" s="1422">
        <v>0</v>
      </c>
      <c r="CU7" s="1420">
        <v>19553965.079999998</v>
      </c>
      <c r="CV7" s="1420">
        <v>16951600.920000002</v>
      </c>
      <c r="CW7" s="1420">
        <v>7920677.7599999998</v>
      </c>
      <c r="CX7" s="1420">
        <v>7268119.79</v>
      </c>
      <c r="CY7" s="1420">
        <v>823300.02</v>
      </c>
      <c r="CZ7" s="1420">
        <v>896807.57</v>
      </c>
      <c r="DA7" s="1420">
        <v>545971.93999999994</v>
      </c>
      <c r="DB7" s="1420">
        <v>549408.82999999996</v>
      </c>
      <c r="DC7" s="1422">
        <v>0</v>
      </c>
      <c r="DD7" s="1422">
        <v>0</v>
      </c>
      <c r="DE7" s="1420">
        <v>686796.22</v>
      </c>
      <c r="DF7" s="1420">
        <v>629477.39</v>
      </c>
      <c r="DG7" s="1420">
        <v>701856.39</v>
      </c>
      <c r="DH7" s="1420">
        <v>774154.67</v>
      </c>
      <c r="DI7" s="1420">
        <v>10678602.33</v>
      </c>
      <c r="DJ7" s="1420">
        <v>10117968.25</v>
      </c>
      <c r="DK7" s="1420">
        <v>538819.43000000005</v>
      </c>
      <c r="DL7" s="1420">
        <v>474902.72</v>
      </c>
      <c r="DM7" s="1420">
        <v>378317.88</v>
      </c>
      <c r="DN7" s="1420">
        <v>324022.76</v>
      </c>
      <c r="DO7" s="1420">
        <v>1978872.01</v>
      </c>
      <c r="DP7" s="1420">
        <v>2076544.5</v>
      </c>
      <c r="DQ7" s="1420">
        <v>637717.03</v>
      </c>
      <c r="DR7" s="1420">
        <v>825383.06</v>
      </c>
      <c r="DS7" s="1420">
        <v>16696.740000000002</v>
      </c>
      <c r="DT7" s="1422">
        <v>17000</v>
      </c>
      <c r="DU7" s="1420">
        <v>3550423.09</v>
      </c>
      <c r="DV7" s="1420">
        <v>3717853.04</v>
      </c>
      <c r="DW7" s="1420">
        <v>907616.49</v>
      </c>
      <c r="DX7" s="1420">
        <v>985681.98</v>
      </c>
      <c r="DY7" s="1420">
        <v>1787961.91</v>
      </c>
      <c r="DZ7" s="1420">
        <v>1462861.34</v>
      </c>
      <c r="EA7" s="1420">
        <v>952548.04</v>
      </c>
      <c r="EB7" s="1420">
        <v>982887.01</v>
      </c>
      <c r="EC7" s="1420">
        <v>3648126.44</v>
      </c>
      <c r="ED7" s="1420">
        <v>3431430.33</v>
      </c>
      <c r="EE7" s="1420">
        <v>990047.83</v>
      </c>
      <c r="EF7" s="1420">
        <v>1006343.42</v>
      </c>
      <c r="EG7" s="1422">
        <v>0</v>
      </c>
      <c r="EH7" s="1422">
        <v>0</v>
      </c>
      <c r="EI7" s="1420">
        <v>2527.56</v>
      </c>
      <c r="EJ7" s="1422">
        <v>1200</v>
      </c>
      <c r="EK7" s="1422">
        <v>0</v>
      </c>
      <c r="EL7" s="1422">
        <v>0</v>
      </c>
      <c r="EM7" s="1420">
        <v>992575.39</v>
      </c>
      <c r="EN7" s="1420">
        <v>1007543.42</v>
      </c>
      <c r="EO7" s="1420">
        <v>1692090.49</v>
      </c>
      <c r="EP7" s="1422">
        <v>229368</v>
      </c>
      <c r="EQ7" s="1420">
        <v>559315.93999999994</v>
      </c>
      <c r="ER7" s="1422">
        <v>700000</v>
      </c>
      <c r="ES7" s="1422">
        <v>0</v>
      </c>
      <c r="ET7" s="1422">
        <v>0</v>
      </c>
      <c r="EU7" s="1420">
        <v>21121133.68</v>
      </c>
      <c r="EV7" s="1420">
        <v>19204163.039999999</v>
      </c>
      <c r="EW7" s="1420">
        <v>1948138.27</v>
      </c>
      <c r="EX7" s="1420">
        <v>463941.4</v>
      </c>
      <c r="EY7" s="1420">
        <v>559315.93999999994</v>
      </c>
      <c r="EZ7" s="1422">
        <v>700000</v>
      </c>
      <c r="FA7" s="1420">
        <v>18613679.469999999</v>
      </c>
      <c r="FB7" s="1420">
        <v>18040221.640000001</v>
      </c>
      <c r="FC7" s="1420">
        <v>1039048.73</v>
      </c>
      <c r="FD7" s="1439"/>
      <c r="FE7" s="1420">
        <v>17574630.739999998</v>
      </c>
      <c r="FF7" s="1439"/>
      <c r="FG7" s="1422">
        <v>9952</v>
      </c>
      <c r="FH7" s="1439"/>
      <c r="FI7" s="1420">
        <v>103.74</v>
      </c>
      <c r="FJ7" s="1439"/>
      <c r="FK7" s="1422">
        <v>54728</v>
      </c>
      <c r="FL7" s="1439"/>
      <c r="FM7" s="1420">
        <v>114.45</v>
      </c>
      <c r="FN7" s="1439"/>
      <c r="FO7" s="1422">
        <v>57199</v>
      </c>
      <c r="FP7" s="1439"/>
      <c r="FQ7" s="1420">
        <v>5063048.79</v>
      </c>
      <c r="FR7" s="1439"/>
      <c r="FS7" s="1420">
        <v>4756.67</v>
      </c>
      <c r="FT7" s="1439"/>
      <c r="FU7" s="1422">
        <v>0</v>
      </c>
      <c r="FV7" s="1439"/>
      <c r="FW7" s="1420">
        <v>5058292.12</v>
      </c>
      <c r="FX7" s="1439"/>
      <c r="FY7" s="1420">
        <v>129267.23</v>
      </c>
      <c r="FZ7" s="1439"/>
      <c r="GA7" s="1420">
        <v>588063.05000000005</v>
      </c>
      <c r="GB7" s="1439"/>
    </row>
    <row r="8" spans="1:184" ht="12.75" customHeight="1" thickBot="1">
      <c r="A8" s="1418" t="s">
        <v>591</v>
      </c>
      <c r="B8" s="1418" t="s">
        <v>592</v>
      </c>
      <c r="C8" s="1420">
        <v>731.93</v>
      </c>
      <c r="D8" s="1439"/>
      <c r="E8" s="1420">
        <v>1803.23</v>
      </c>
      <c r="F8" s="1439"/>
      <c r="G8" s="1421">
        <v>0.04</v>
      </c>
      <c r="H8" s="1439"/>
      <c r="I8" s="1420">
        <v>1887.1</v>
      </c>
      <c r="J8" s="1439"/>
      <c r="K8" s="1420">
        <v>1939.73</v>
      </c>
      <c r="L8" s="1439"/>
      <c r="M8" s="1422">
        <v>96021915</v>
      </c>
      <c r="N8" s="1439"/>
      <c r="O8" s="1422">
        <v>25</v>
      </c>
      <c r="P8" s="1439"/>
      <c r="Q8" s="1422">
        <v>25</v>
      </c>
      <c r="R8" s="1439"/>
      <c r="S8" s="1422">
        <v>0</v>
      </c>
      <c r="T8" s="1439"/>
      <c r="U8" s="1422">
        <v>0</v>
      </c>
      <c r="V8" s="1439"/>
      <c r="W8" s="1420">
        <v>10.5</v>
      </c>
      <c r="X8" s="1439"/>
      <c r="Y8" s="1420">
        <v>35.5</v>
      </c>
      <c r="Z8" s="1439"/>
      <c r="AA8" s="1420">
        <v>11507750.140000001</v>
      </c>
      <c r="AB8" s="1439"/>
      <c r="AC8" s="1420">
        <v>3232786.99</v>
      </c>
      <c r="AD8" s="1422">
        <v>3320219</v>
      </c>
      <c r="AE8" s="1420">
        <v>1102660.1599999999</v>
      </c>
      <c r="AF8" s="1422">
        <v>558000</v>
      </c>
      <c r="AG8" s="1422">
        <v>0</v>
      </c>
      <c r="AH8" s="1422">
        <v>0</v>
      </c>
      <c r="AI8" s="1422">
        <v>9370050</v>
      </c>
      <c r="AJ8" s="1422">
        <v>9285310</v>
      </c>
      <c r="AK8" s="1422">
        <v>19738</v>
      </c>
      <c r="AL8" s="1422">
        <v>25000</v>
      </c>
      <c r="AM8" s="1422">
        <v>0</v>
      </c>
      <c r="AN8" s="1422">
        <v>0</v>
      </c>
      <c r="AO8" s="1422">
        <v>0</v>
      </c>
      <c r="AP8" s="1422">
        <v>133693</v>
      </c>
      <c r="AQ8" s="1422">
        <v>0</v>
      </c>
      <c r="AR8" s="1422">
        <v>0</v>
      </c>
      <c r="AS8" s="1422">
        <v>11357</v>
      </c>
      <c r="AT8" s="1422">
        <v>8000</v>
      </c>
      <c r="AU8" s="1422">
        <v>6886</v>
      </c>
      <c r="AV8" s="1422">
        <v>5509</v>
      </c>
      <c r="AW8" s="1422">
        <v>20032</v>
      </c>
      <c r="AX8" s="1422">
        <v>0</v>
      </c>
      <c r="AY8" s="1420">
        <v>13763510.15</v>
      </c>
      <c r="AZ8" s="1422">
        <v>13335731</v>
      </c>
      <c r="BA8" s="1422">
        <v>0</v>
      </c>
      <c r="BB8" s="1422">
        <v>0</v>
      </c>
      <c r="BC8" s="1422">
        <v>80227</v>
      </c>
      <c r="BD8" s="1422">
        <v>80361</v>
      </c>
      <c r="BE8" s="1420">
        <v>31670.58</v>
      </c>
      <c r="BF8" s="1422">
        <v>0</v>
      </c>
      <c r="BG8" s="1422">
        <v>5353</v>
      </c>
      <c r="BH8" s="1422">
        <v>0</v>
      </c>
      <c r="BI8" s="1422">
        <v>109417</v>
      </c>
      <c r="BJ8" s="1422">
        <v>72869</v>
      </c>
      <c r="BK8" s="1422">
        <v>47466</v>
      </c>
      <c r="BL8" s="1422">
        <v>40000</v>
      </c>
      <c r="BM8" s="1422">
        <v>1454272</v>
      </c>
      <c r="BN8" s="1422">
        <v>1447160</v>
      </c>
      <c r="BO8" s="1420">
        <v>275593.90000000002</v>
      </c>
      <c r="BP8" s="1422">
        <v>0</v>
      </c>
      <c r="BQ8" s="1422">
        <v>0</v>
      </c>
      <c r="BR8" s="1422">
        <v>0</v>
      </c>
      <c r="BS8" s="1420">
        <v>9732.43</v>
      </c>
      <c r="BT8" s="1422">
        <v>10500</v>
      </c>
      <c r="BU8" s="1422">
        <v>0</v>
      </c>
      <c r="BV8" s="1422">
        <v>0</v>
      </c>
      <c r="BW8" s="1422">
        <v>685400</v>
      </c>
      <c r="BX8" s="1422">
        <v>680400</v>
      </c>
      <c r="BY8" s="1422">
        <v>0</v>
      </c>
      <c r="BZ8" s="1422">
        <v>0</v>
      </c>
      <c r="CA8" s="1420">
        <v>1442953.29</v>
      </c>
      <c r="CB8" s="1422">
        <v>1463902</v>
      </c>
      <c r="CC8" s="1420">
        <v>4142085.2</v>
      </c>
      <c r="CD8" s="1422">
        <v>3795192</v>
      </c>
      <c r="CE8" s="1420">
        <v>4298343.53</v>
      </c>
      <c r="CF8" s="1420">
        <v>3412333.49</v>
      </c>
      <c r="CG8" s="1420">
        <v>606625.51</v>
      </c>
      <c r="CH8" s="1422">
        <v>0</v>
      </c>
      <c r="CI8" s="1422">
        <v>0</v>
      </c>
      <c r="CJ8" s="1422">
        <v>0</v>
      </c>
      <c r="CK8" s="1420">
        <v>75489.119999999995</v>
      </c>
      <c r="CL8" s="1420">
        <v>70363.25</v>
      </c>
      <c r="CM8" s="1422">
        <v>0</v>
      </c>
      <c r="CN8" s="1422">
        <v>0</v>
      </c>
      <c r="CO8" s="1422">
        <v>0</v>
      </c>
      <c r="CP8" s="1422">
        <v>0</v>
      </c>
      <c r="CQ8" s="1422">
        <v>7439</v>
      </c>
      <c r="CR8" s="1422">
        <v>0</v>
      </c>
      <c r="CS8" s="1420">
        <v>689553.63</v>
      </c>
      <c r="CT8" s="1420">
        <v>70363.25</v>
      </c>
      <c r="CU8" s="1420">
        <v>22893492.510000002</v>
      </c>
      <c r="CV8" s="1420">
        <v>20613619.739999998</v>
      </c>
      <c r="CW8" s="1420">
        <v>7249033.29</v>
      </c>
      <c r="CX8" s="1420">
        <v>6776247.0199999996</v>
      </c>
      <c r="CY8" s="1420">
        <v>1092117.02</v>
      </c>
      <c r="CZ8" s="1420">
        <v>799652.84</v>
      </c>
      <c r="DA8" s="1420">
        <v>681785.58</v>
      </c>
      <c r="DB8" s="1422">
        <v>659323</v>
      </c>
      <c r="DC8" s="1422">
        <v>0</v>
      </c>
      <c r="DD8" s="1422">
        <v>0</v>
      </c>
      <c r="DE8" s="1420">
        <v>619354.09</v>
      </c>
      <c r="DF8" s="1420">
        <v>762669.06</v>
      </c>
      <c r="DG8" s="1420">
        <v>1109334.1200000001</v>
      </c>
      <c r="DH8" s="1420">
        <v>1086593.07</v>
      </c>
      <c r="DI8" s="1420">
        <v>10751624.1</v>
      </c>
      <c r="DJ8" s="1420">
        <v>10084484.99</v>
      </c>
      <c r="DK8" s="1420">
        <v>455152.45</v>
      </c>
      <c r="DL8" s="1420">
        <v>417492.43</v>
      </c>
      <c r="DM8" s="1420">
        <v>356403.67</v>
      </c>
      <c r="DN8" s="1420">
        <v>442844.62</v>
      </c>
      <c r="DO8" s="1420">
        <v>1535913.6</v>
      </c>
      <c r="DP8" s="1420">
        <v>1524076.68</v>
      </c>
      <c r="DQ8" s="1420">
        <v>717522.13</v>
      </c>
      <c r="DR8" s="1420">
        <v>799310.01</v>
      </c>
      <c r="DS8" s="1420">
        <v>84973.29</v>
      </c>
      <c r="DT8" s="1420">
        <v>80363.25</v>
      </c>
      <c r="DU8" s="1420">
        <v>3149965.14</v>
      </c>
      <c r="DV8" s="1420">
        <v>3264086.99</v>
      </c>
      <c r="DW8" s="1420">
        <v>922415.22</v>
      </c>
      <c r="DX8" s="1420">
        <v>833426.05</v>
      </c>
      <c r="DY8" s="1420">
        <v>1985279.55</v>
      </c>
      <c r="DZ8" s="1420">
        <v>1569176.81</v>
      </c>
      <c r="EA8" s="1420">
        <v>935825.36</v>
      </c>
      <c r="EB8" s="1420">
        <v>1003078.19</v>
      </c>
      <c r="EC8" s="1420">
        <v>3843520.13</v>
      </c>
      <c r="ED8" s="1420">
        <v>3405681.05</v>
      </c>
      <c r="EE8" s="1420">
        <v>1416024.03</v>
      </c>
      <c r="EF8" s="1420">
        <v>1426899.67</v>
      </c>
      <c r="EG8" s="1420">
        <v>18210.97</v>
      </c>
      <c r="EH8" s="1422">
        <v>0</v>
      </c>
      <c r="EI8" s="1420">
        <v>12370.3</v>
      </c>
      <c r="EJ8" s="1422">
        <v>29000</v>
      </c>
      <c r="EK8" s="1422">
        <v>0</v>
      </c>
      <c r="EL8" s="1422">
        <v>0</v>
      </c>
      <c r="EM8" s="1420">
        <v>1446605.3</v>
      </c>
      <c r="EN8" s="1420">
        <v>1455899.67</v>
      </c>
      <c r="EO8" s="1420">
        <v>3575953.18</v>
      </c>
      <c r="EP8" s="1422">
        <v>2730886</v>
      </c>
      <c r="EQ8" s="1420">
        <v>1105608.0900000001</v>
      </c>
      <c r="ER8" s="1420">
        <v>875323.79</v>
      </c>
      <c r="ES8" s="1420">
        <v>7079.48</v>
      </c>
      <c r="ET8" s="1422">
        <v>0</v>
      </c>
      <c r="EU8" s="1420">
        <v>23880355.420000002</v>
      </c>
      <c r="EV8" s="1420">
        <v>21816362.489999998</v>
      </c>
      <c r="EW8" s="1420">
        <v>3861654.47</v>
      </c>
      <c r="EX8" s="1420">
        <v>2873685.53</v>
      </c>
      <c r="EY8" s="1420">
        <v>1105608.0900000001</v>
      </c>
      <c r="EZ8" s="1420">
        <v>875323.79</v>
      </c>
      <c r="FA8" s="1420">
        <v>18913092.859999999</v>
      </c>
      <c r="FB8" s="1420">
        <v>18067353.170000002</v>
      </c>
      <c r="FC8" s="1420">
        <v>1622291.46</v>
      </c>
      <c r="FD8" s="1439"/>
      <c r="FE8" s="1420">
        <v>17290801.399999999</v>
      </c>
      <c r="FF8" s="1439"/>
      <c r="FG8" s="1422">
        <v>9588</v>
      </c>
      <c r="FH8" s="1439"/>
      <c r="FI8" s="1420">
        <v>145.41999999999999</v>
      </c>
      <c r="FJ8" s="1439"/>
      <c r="FK8" s="1422">
        <v>40472</v>
      </c>
      <c r="FL8" s="1439"/>
      <c r="FM8" s="1420">
        <v>162.18</v>
      </c>
      <c r="FN8" s="1439"/>
      <c r="FO8" s="1422">
        <v>42531</v>
      </c>
      <c r="FP8" s="1439"/>
      <c r="FQ8" s="1420">
        <v>2042727.07</v>
      </c>
      <c r="FR8" s="1439"/>
      <c r="FS8" s="1420">
        <v>40097.08</v>
      </c>
      <c r="FT8" s="1439"/>
      <c r="FU8" s="1422">
        <v>0</v>
      </c>
      <c r="FV8" s="1439"/>
      <c r="FW8" s="1420">
        <v>2002629.99</v>
      </c>
      <c r="FX8" s="1439"/>
      <c r="FY8" s="1420">
        <v>1325532.57</v>
      </c>
      <c r="FZ8" s="1439"/>
      <c r="GA8" s="1422">
        <v>0</v>
      </c>
      <c r="GB8" s="1439"/>
    </row>
    <row r="9" spans="1:184" ht="12.75" customHeight="1" thickBot="1">
      <c r="A9" s="1418" t="s">
        <v>593</v>
      </c>
      <c r="B9" s="1418" t="s">
        <v>594</v>
      </c>
      <c r="C9" s="1420">
        <v>34.22</v>
      </c>
      <c r="D9" s="1439"/>
      <c r="E9" s="1420">
        <v>627.51</v>
      </c>
      <c r="F9" s="1439"/>
      <c r="G9" s="1421">
        <v>0.06</v>
      </c>
      <c r="H9" s="1439"/>
      <c r="I9" s="1420">
        <v>660.57</v>
      </c>
      <c r="J9" s="1439"/>
      <c r="K9" s="1420">
        <v>651.25</v>
      </c>
      <c r="L9" s="1439"/>
      <c r="M9" s="1422">
        <v>51056755</v>
      </c>
      <c r="N9" s="1439"/>
      <c r="O9" s="1422">
        <v>25</v>
      </c>
      <c r="P9" s="1439"/>
      <c r="Q9" s="1422">
        <v>25</v>
      </c>
      <c r="R9" s="1439"/>
      <c r="S9" s="1422">
        <v>0</v>
      </c>
      <c r="T9" s="1439"/>
      <c r="U9" s="1422">
        <v>0</v>
      </c>
      <c r="V9" s="1439"/>
      <c r="W9" s="1420">
        <v>7.67</v>
      </c>
      <c r="X9" s="1439"/>
      <c r="Y9" s="1420">
        <v>32.67</v>
      </c>
      <c r="Z9" s="1439"/>
      <c r="AA9" s="1420">
        <v>3067840.26</v>
      </c>
      <c r="AB9" s="1439"/>
      <c r="AC9" s="1420">
        <v>1441718.04</v>
      </c>
      <c r="AD9" s="1422">
        <v>1612318</v>
      </c>
      <c r="AE9" s="1420">
        <v>299601.7</v>
      </c>
      <c r="AF9" s="1422">
        <v>96000</v>
      </c>
      <c r="AG9" s="1422">
        <v>0</v>
      </c>
      <c r="AH9" s="1422">
        <v>0</v>
      </c>
      <c r="AI9" s="1422">
        <v>2714869</v>
      </c>
      <c r="AJ9" s="1422">
        <v>2812874</v>
      </c>
      <c r="AK9" s="1422">
        <v>43847</v>
      </c>
      <c r="AL9" s="1422">
        <v>0</v>
      </c>
      <c r="AM9" s="1422">
        <v>56511</v>
      </c>
      <c r="AN9" s="1422">
        <v>0</v>
      </c>
      <c r="AO9" s="1422">
        <v>0</v>
      </c>
      <c r="AP9" s="1422">
        <v>0</v>
      </c>
      <c r="AQ9" s="1422">
        <v>0</v>
      </c>
      <c r="AR9" s="1422">
        <v>0</v>
      </c>
      <c r="AS9" s="1422">
        <v>0</v>
      </c>
      <c r="AT9" s="1422">
        <v>0</v>
      </c>
      <c r="AU9" s="1422">
        <v>0</v>
      </c>
      <c r="AV9" s="1422">
        <v>0</v>
      </c>
      <c r="AW9" s="1422">
        <v>11873</v>
      </c>
      <c r="AX9" s="1422">
        <v>11873</v>
      </c>
      <c r="AY9" s="1420">
        <v>4568419.74</v>
      </c>
      <c r="AZ9" s="1422">
        <v>4533065</v>
      </c>
      <c r="BA9" s="1422">
        <v>0</v>
      </c>
      <c r="BB9" s="1422">
        <v>0</v>
      </c>
      <c r="BC9" s="1422">
        <v>26936</v>
      </c>
      <c r="BD9" s="1422">
        <v>28031</v>
      </c>
      <c r="BE9" s="1420">
        <v>820.49</v>
      </c>
      <c r="BF9" s="1422">
        <v>1800</v>
      </c>
      <c r="BG9" s="1422">
        <v>1300</v>
      </c>
      <c r="BH9" s="1422">
        <v>0</v>
      </c>
      <c r="BI9" s="1422">
        <v>11214</v>
      </c>
      <c r="BJ9" s="1422">
        <v>16704</v>
      </c>
      <c r="BK9" s="1422">
        <v>0</v>
      </c>
      <c r="BL9" s="1422">
        <v>0</v>
      </c>
      <c r="BM9" s="1422">
        <v>211792</v>
      </c>
      <c r="BN9" s="1422">
        <v>231748</v>
      </c>
      <c r="BO9" s="1420">
        <v>59189.95</v>
      </c>
      <c r="BP9" s="1422">
        <v>3500</v>
      </c>
      <c r="BQ9" s="1422">
        <v>3250</v>
      </c>
      <c r="BR9" s="1422">
        <v>0</v>
      </c>
      <c r="BS9" s="1420">
        <v>2297.85</v>
      </c>
      <c r="BT9" s="1422">
        <v>2300</v>
      </c>
      <c r="BU9" s="1422">
        <v>0</v>
      </c>
      <c r="BV9" s="1422">
        <v>0</v>
      </c>
      <c r="BW9" s="1422">
        <v>0</v>
      </c>
      <c r="BX9" s="1422">
        <v>0</v>
      </c>
      <c r="BY9" s="1422">
        <v>0</v>
      </c>
      <c r="BZ9" s="1422">
        <v>0</v>
      </c>
      <c r="CA9" s="1420">
        <v>34400.78</v>
      </c>
      <c r="CB9" s="1422">
        <v>28041</v>
      </c>
      <c r="CC9" s="1420">
        <v>351201.07</v>
      </c>
      <c r="CD9" s="1422">
        <v>312124</v>
      </c>
      <c r="CE9" s="1420">
        <v>1460515.3</v>
      </c>
      <c r="CF9" s="1420">
        <v>960956.39</v>
      </c>
      <c r="CG9" s="1422">
        <v>431400</v>
      </c>
      <c r="CH9" s="1422">
        <v>0</v>
      </c>
      <c r="CI9" s="1422">
        <v>0</v>
      </c>
      <c r="CJ9" s="1422">
        <v>0</v>
      </c>
      <c r="CK9" s="1422">
        <v>7400</v>
      </c>
      <c r="CL9" s="1422">
        <v>7400</v>
      </c>
      <c r="CM9" s="1422">
        <v>0</v>
      </c>
      <c r="CN9" s="1422">
        <v>0</v>
      </c>
      <c r="CO9" s="1422">
        <v>0</v>
      </c>
      <c r="CP9" s="1422">
        <v>0</v>
      </c>
      <c r="CQ9" s="1422">
        <v>0</v>
      </c>
      <c r="CR9" s="1422">
        <v>0</v>
      </c>
      <c r="CS9" s="1422">
        <v>438800</v>
      </c>
      <c r="CT9" s="1422">
        <v>7400</v>
      </c>
      <c r="CU9" s="1420">
        <v>6818936.1100000003</v>
      </c>
      <c r="CV9" s="1420">
        <v>5813545.3899999997</v>
      </c>
      <c r="CW9" s="1420">
        <v>2482124.63</v>
      </c>
      <c r="CX9" s="1420">
        <v>2100524.0699999998</v>
      </c>
      <c r="CY9" s="1420">
        <v>431129.05</v>
      </c>
      <c r="CZ9" s="1420">
        <v>374619.9</v>
      </c>
      <c r="DA9" s="1420">
        <v>163461.4</v>
      </c>
      <c r="DB9" s="1420">
        <v>217678.53</v>
      </c>
      <c r="DC9" s="1422">
        <v>0</v>
      </c>
      <c r="DD9" s="1422">
        <v>0</v>
      </c>
      <c r="DE9" s="1420">
        <v>382511.93</v>
      </c>
      <c r="DF9" s="1420">
        <v>573731.68000000005</v>
      </c>
      <c r="DG9" s="1420">
        <v>284037.02</v>
      </c>
      <c r="DH9" s="1420">
        <v>260264.71</v>
      </c>
      <c r="DI9" s="1420">
        <v>3743264.03</v>
      </c>
      <c r="DJ9" s="1420">
        <v>3526818.89</v>
      </c>
      <c r="DK9" s="1420">
        <v>201933.67</v>
      </c>
      <c r="DL9" s="1420">
        <v>195112.23</v>
      </c>
      <c r="DM9" s="1420">
        <v>149676.96</v>
      </c>
      <c r="DN9" s="1420">
        <v>118732.39</v>
      </c>
      <c r="DO9" s="1420">
        <v>593663.13</v>
      </c>
      <c r="DP9" s="1420">
        <v>519288.75</v>
      </c>
      <c r="DQ9" s="1420">
        <v>193720.74</v>
      </c>
      <c r="DR9" s="1420">
        <v>124895.99</v>
      </c>
      <c r="DS9" s="1420">
        <v>11441.64</v>
      </c>
      <c r="DT9" s="1420">
        <v>12257.93</v>
      </c>
      <c r="DU9" s="1420">
        <v>1150436.1399999999</v>
      </c>
      <c r="DV9" s="1420">
        <v>970287.29</v>
      </c>
      <c r="DW9" s="1420">
        <v>201282.81</v>
      </c>
      <c r="DX9" s="1420">
        <v>264165.25</v>
      </c>
      <c r="DY9" s="1420">
        <v>234039.13</v>
      </c>
      <c r="DZ9" s="1420">
        <v>214191.55</v>
      </c>
      <c r="EA9" s="1420">
        <v>292362.17</v>
      </c>
      <c r="EB9" s="1420">
        <v>275922.55</v>
      </c>
      <c r="EC9" s="1420">
        <v>727684.11</v>
      </c>
      <c r="ED9" s="1420">
        <v>754279.35</v>
      </c>
      <c r="EE9" s="1420">
        <v>337487.44</v>
      </c>
      <c r="EF9" s="1420">
        <v>295919.84999999998</v>
      </c>
      <c r="EG9" s="1422">
        <v>0</v>
      </c>
      <c r="EH9" s="1422">
        <v>0</v>
      </c>
      <c r="EI9" s="1422">
        <v>0</v>
      </c>
      <c r="EJ9" s="1422">
        <v>6900</v>
      </c>
      <c r="EK9" s="1422">
        <v>0</v>
      </c>
      <c r="EL9" s="1422">
        <v>0</v>
      </c>
      <c r="EM9" s="1420">
        <v>337487.44</v>
      </c>
      <c r="EN9" s="1420">
        <v>302819.84999999998</v>
      </c>
      <c r="EO9" s="1420">
        <v>765773.24</v>
      </c>
      <c r="EP9" s="1420">
        <v>14252.05</v>
      </c>
      <c r="EQ9" s="1420">
        <v>296646.27</v>
      </c>
      <c r="ER9" s="1422">
        <v>294546</v>
      </c>
      <c r="ES9" s="1422">
        <v>29285</v>
      </c>
      <c r="ET9" s="1422">
        <v>0</v>
      </c>
      <c r="EU9" s="1420">
        <v>7050576.2300000004</v>
      </c>
      <c r="EV9" s="1420">
        <v>5863003.4299999997</v>
      </c>
      <c r="EW9" s="1420">
        <v>991053.27</v>
      </c>
      <c r="EX9" s="1420">
        <v>80152.05</v>
      </c>
      <c r="EY9" s="1420">
        <v>296646.27</v>
      </c>
      <c r="EZ9" s="1422">
        <v>294546</v>
      </c>
      <c r="FA9" s="1420">
        <v>5762876.6900000004</v>
      </c>
      <c r="FB9" s="1420">
        <v>5488305.3799999999</v>
      </c>
      <c r="FC9" s="1420">
        <v>297557.40000000002</v>
      </c>
      <c r="FD9" s="1439"/>
      <c r="FE9" s="1420">
        <v>5465319.29</v>
      </c>
      <c r="FF9" s="1439"/>
      <c r="FG9" s="1422">
        <v>8709</v>
      </c>
      <c r="FH9" s="1439"/>
      <c r="FI9" s="1420">
        <v>51.79</v>
      </c>
      <c r="FJ9" s="1439"/>
      <c r="FK9" s="1422">
        <v>39891</v>
      </c>
      <c r="FL9" s="1439"/>
      <c r="FM9" s="1420">
        <v>55.44</v>
      </c>
      <c r="FN9" s="1439"/>
      <c r="FO9" s="1422">
        <v>42344</v>
      </c>
      <c r="FP9" s="1439"/>
      <c r="FQ9" s="1420">
        <v>782941.66</v>
      </c>
      <c r="FR9" s="1439"/>
      <c r="FS9" s="1420">
        <v>36373.019999999997</v>
      </c>
      <c r="FT9" s="1439"/>
      <c r="FU9" s="1422">
        <v>0</v>
      </c>
      <c r="FV9" s="1439"/>
      <c r="FW9" s="1420">
        <v>746568.64</v>
      </c>
      <c r="FX9" s="1439"/>
      <c r="FY9" s="1420">
        <v>124013.45</v>
      </c>
      <c r="FZ9" s="1439"/>
      <c r="GA9" s="1422">
        <v>0</v>
      </c>
      <c r="GB9" s="1439"/>
    </row>
    <row r="10" spans="1:184" ht="12.75" customHeight="1" thickBot="1">
      <c r="A10" s="1418" t="s">
        <v>595</v>
      </c>
      <c r="B10" s="1418" t="s">
        <v>596</v>
      </c>
      <c r="C10" s="1420">
        <v>349.65</v>
      </c>
      <c r="D10" s="1439"/>
      <c r="E10" s="1420">
        <v>3761.99</v>
      </c>
      <c r="F10" s="1439"/>
      <c r="G10" s="1421">
        <v>0.01</v>
      </c>
      <c r="H10" s="1439"/>
      <c r="I10" s="1420">
        <v>3976.86</v>
      </c>
      <c r="J10" s="1439"/>
      <c r="K10" s="1420">
        <v>3971.78</v>
      </c>
      <c r="L10" s="1439"/>
      <c r="M10" s="1422">
        <v>552953863</v>
      </c>
      <c r="N10" s="1439"/>
      <c r="O10" s="1420">
        <v>25.29</v>
      </c>
      <c r="P10" s="1439"/>
      <c r="Q10" s="1422">
        <v>25</v>
      </c>
      <c r="R10" s="1439"/>
      <c r="S10" s="1420">
        <v>0.28999999999999998</v>
      </c>
      <c r="T10" s="1439"/>
      <c r="U10" s="1422">
        <v>0</v>
      </c>
      <c r="V10" s="1439"/>
      <c r="W10" s="1420">
        <v>6.87</v>
      </c>
      <c r="X10" s="1439"/>
      <c r="Y10" s="1420">
        <v>32.159999999999997</v>
      </c>
      <c r="Z10" s="1439"/>
      <c r="AA10" s="1422">
        <v>41458550</v>
      </c>
      <c r="AB10" s="1439"/>
      <c r="AC10" s="1420">
        <v>16775786.27</v>
      </c>
      <c r="AD10" s="1420">
        <v>17227257.670000002</v>
      </c>
      <c r="AE10" s="1420">
        <v>1228818.8700000001</v>
      </c>
      <c r="AF10" s="1422">
        <v>755650</v>
      </c>
      <c r="AG10" s="1422">
        <v>0</v>
      </c>
      <c r="AH10" s="1422">
        <v>0</v>
      </c>
      <c r="AI10" s="1422">
        <v>10621218</v>
      </c>
      <c r="AJ10" s="1422">
        <v>10879360</v>
      </c>
      <c r="AK10" s="1422">
        <v>333404</v>
      </c>
      <c r="AL10" s="1422">
        <v>0</v>
      </c>
      <c r="AM10" s="1422">
        <v>65334</v>
      </c>
      <c r="AN10" s="1422">
        <v>0</v>
      </c>
      <c r="AO10" s="1422">
        <v>0</v>
      </c>
      <c r="AP10" s="1422">
        <v>0</v>
      </c>
      <c r="AQ10" s="1422">
        <v>0</v>
      </c>
      <c r="AR10" s="1422">
        <v>0</v>
      </c>
      <c r="AS10" s="1422">
        <v>0</v>
      </c>
      <c r="AT10" s="1422">
        <v>0</v>
      </c>
      <c r="AU10" s="1422">
        <v>0</v>
      </c>
      <c r="AV10" s="1422">
        <v>0</v>
      </c>
      <c r="AW10" s="1422">
        <v>66599</v>
      </c>
      <c r="AX10" s="1422">
        <v>0</v>
      </c>
      <c r="AY10" s="1420">
        <v>29091160.140000001</v>
      </c>
      <c r="AZ10" s="1420">
        <v>28862267.670000002</v>
      </c>
      <c r="BA10" s="1420">
        <v>4738.3599999999997</v>
      </c>
      <c r="BB10" s="1422">
        <v>0</v>
      </c>
      <c r="BC10" s="1422">
        <v>164273</v>
      </c>
      <c r="BD10" s="1422">
        <v>168886</v>
      </c>
      <c r="BE10" s="1420">
        <v>44248.3</v>
      </c>
      <c r="BF10" s="1422">
        <v>0</v>
      </c>
      <c r="BG10" s="1422">
        <v>2950</v>
      </c>
      <c r="BH10" s="1422">
        <v>0</v>
      </c>
      <c r="BI10" s="1422">
        <v>328169</v>
      </c>
      <c r="BJ10" s="1422">
        <v>431743</v>
      </c>
      <c r="BK10" s="1422">
        <v>7032</v>
      </c>
      <c r="BL10" s="1422">
        <v>7000</v>
      </c>
      <c r="BM10" s="1422">
        <v>1056480</v>
      </c>
      <c r="BN10" s="1422">
        <v>1086382</v>
      </c>
      <c r="BO10" s="1420">
        <v>59125.58</v>
      </c>
      <c r="BP10" s="1422">
        <v>0</v>
      </c>
      <c r="BQ10" s="1420">
        <v>2098.9699999999998</v>
      </c>
      <c r="BR10" s="1422">
        <v>0</v>
      </c>
      <c r="BS10" s="1420">
        <v>13308.62</v>
      </c>
      <c r="BT10" s="1422">
        <v>14000</v>
      </c>
      <c r="BU10" s="1422">
        <v>0</v>
      </c>
      <c r="BV10" s="1422">
        <v>0</v>
      </c>
      <c r="BW10" s="1422">
        <v>0</v>
      </c>
      <c r="BX10" s="1422">
        <v>0</v>
      </c>
      <c r="BY10" s="1422">
        <v>0</v>
      </c>
      <c r="BZ10" s="1422">
        <v>0</v>
      </c>
      <c r="CA10" s="1420">
        <v>337559.08</v>
      </c>
      <c r="CB10" s="1422">
        <v>6981</v>
      </c>
      <c r="CC10" s="1420">
        <v>2019982.91</v>
      </c>
      <c r="CD10" s="1422">
        <v>1714992</v>
      </c>
      <c r="CE10" s="1420">
        <v>5439441.4699999997</v>
      </c>
      <c r="CF10" s="1420">
        <v>5874474.3899999997</v>
      </c>
      <c r="CG10" s="1422">
        <v>18500</v>
      </c>
      <c r="CH10" s="1422">
        <v>1091956</v>
      </c>
      <c r="CI10" s="1422">
        <v>0</v>
      </c>
      <c r="CJ10" s="1422">
        <v>0</v>
      </c>
      <c r="CK10" s="1422">
        <v>19380</v>
      </c>
      <c r="CL10" s="1422">
        <v>0</v>
      </c>
      <c r="CM10" s="1420">
        <v>2512.75</v>
      </c>
      <c r="CN10" s="1422">
        <v>4200</v>
      </c>
      <c r="CO10" s="1420">
        <v>103971.58</v>
      </c>
      <c r="CP10" s="1422">
        <v>0</v>
      </c>
      <c r="CQ10" s="1422">
        <v>0</v>
      </c>
      <c r="CR10" s="1422">
        <v>0</v>
      </c>
      <c r="CS10" s="1420">
        <v>144364.32999999999</v>
      </c>
      <c r="CT10" s="1422">
        <v>1096156</v>
      </c>
      <c r="CU10" s="1420">
        <v>36694948.850000001</v>
      </c>
      <c r="CV10" s="1420">
        <v>37547890.060000002</v>
      </c>
      <c r="CW10" s="1420">
        <v>13034092.5</v>
      </c>
      <c r="CX10" s="1420">
        <v>12491188.880000001</v>
      </c>
      <c r="CY10" s="1420">
        <v>1937394.76</v>
      </c>
      <c r="CZ10" s="1420">
        <v>2113463.71</v>
      </c>
      <c r="DA10" s="1420">
        <v>1238962.95</v>
      </c>
      <c r="DB10" s="1420">
        <v>1230753.77</v>
      </c>
      <c r="DC10" s="1420">
        <v>4738.3599999999997</v>
      </c>
      <c r="DD10" s="1422">
        <v>0</v>
      </c>
      <c r="DE10" s="1420">
        <v>1069517.8799999999</v>
      </c>
      <c r="DF10" s="1420">
        <v>1080658.47</v>
      </c>
      <c r="DG10" s="1420">
        <v>2317611.9300000002</v>
      </c>
      <c r="DH10" s="1420">
        <v>2496760.62</v>
      </c>
      <c r="DI10" s="1420">
        <v>19602318.379999999</v>
      </c>
      <c r="DJ10" s="1420">
        <v>19412825.449999999</v>
      </c>
      <c r="DK10" s="1420">
        <v>587070.74</v>
      </c>
      <c r="DL10" s="1420">
        <v>599953.5</v>
      </c>
      <c r="DM10" s="1420">
        <v>437490.17</v>
      </c>
      <c r="DN10" s="1422">
        <v>452523</v>
      </c>
      <c r="DO10" s="1420">
        <v>3434948.54</v>
      </c>
      <c r="DP10" s="1420">
        <v>4560171.3099999996</v>
      </c>
      <c r="DQ10" s="1420">
        <v>1604166.76</v>
      </c>
      <c r="DR10" s="1420">
        <v>1699893.24</v>
      </c>
      <c r="DS10" s="1422">
        <v>55714</v>
      </c>
      <c r="DT10" s="1422">
        <v>35000</v>
      </c>
      <c r="DU10" s="1420">
        <v>6119390.21</v>
      </c>
      <c r="DV10" s="1420">
        <v>7347541.0499999998</v>
      </c>
      <c r="DW10" s="1420">
        <v>1471626.24</v>
      </c>
      <c r="DX10" s="1420">
        <v>1667676.9</v>
      </c>
      <c r="DY10" s="1420">
        <v>2302080.19</v>
      </c>
      <c r="DZ10" s="1420">
        <v>2378105.44</v>
      </c>
      <c r="EA10" s="1420">
        <v>1747983.28</v>
      </c>
      <c r="EB10" s="1420">
        <v>1819153.09</v>
      </c>
      <c r="EC10" s="1420">
        <v>5521689.71</v>
      </c>
      <c r="ED10" s="1420">
        <v>5864935.4299999997</v>
      </c>
      <c r="EE10" s="1420">
        <v>1665327.13</v>
      </c>
      <c r="EF10" s="1420">
        <v>1578721.04</v>
      </c>
      <c r="EG10" s="1422">
        <v>0</v>
      </c>
      <c r="EH10" s="1422">
        <v>0</v>
      </c>
      <c r="EI10" s="1420">
        <v>383.16</v>
      </c>
      <c r="EJ10" s="1422">
        <v>5000</v>
      </c>
      <c r="EK10" s="1422">
        <v>0</v>
      </c>
      <c r="EL10" s="1422">
        <v>0</v>
      </c>
      <c r="EM10" s="1420">
        <v>1665710.29</v>
      </c>
      <c r="EN10" s="1420">
        <v>1583721.04</v>
      </c>
      <c r="EO10" s="1420">
        <v>10432541.039999999</v>
      </c>
      <c r="EP10" s="1420">
        <v>4006115.62</v>
      </c>
      <c r="EQ10" s="1420">
        <v>2731897.68</v>
      </c>
      <c r="ER10" s="1420">
        <v>2901044.88</v>
      </c>
      <c r="ES10" s="1420">
        <v>78890.92</v>
      </c>
      <c r="ET10" s="1422">
        <v>0</v>
      </c>
      <c r="EU10" s="1420">
        <v>46152438.229999997</v>
      </c>
      <c r="EV10" s="1420">
        <v>41116183.469999999</v>
      </c>
      <c r="EW10" s="1420">
        <v>10872727.32</v>
      </c>
      <c r="EX10" s="1420">
        <v>4443244.5999999996</v>
      </c>
      <c r="EY10" s="1420">
        <v>2731897.68</v>
      </c>
      <c r="EZ10" s="1420">
        <v>2901044.88</v>
      </c>
      <c r="FA10" s="1420">
        <v>32547813.23</v>
      </c>
      <c r="FB10" s="1420">
        <v>33771893.990000002</v>
      </c>
      <c r="FC10" s="1420">
        <v>1105452.9099999999</v>
      </c>
      <c r="FD10" s="1439"/>
      <c r="FE10" s="1420">
        <v>31442360.32</v>
      </c>
      <c r="FF10" s="1439"/>
      <c r="FG10" s="1422">
        <v>8357</v>
      </c>
      <c r="FH10" s="1439"/>
      <c r="FI10" s="1420">
        <v>264.35000000000002</v>
      </c>
      <c r="FJ10" s="1439"/>
      <c r="FK10" s="1422">
        <v>45044</v>
      </c>
      <c r="FL10" s="1439"/>
      <c r="FM10" s="1420">
        <v>283.83</v>
      </c>
      <c r="FN10" s="1439"/>
      <c r="FO10" s="1422">
        <v>47040</v>
      </c>
      <c r="FP10" s="1439"/>
      <c r="FQ10" s="1420">
        <v>2981424.19</v>
      </c>
      <c r="FR10" s="1439"/>
      <c r="FS10" s="1420">
        <v>132965.25</v>
      </c>
      <c r="FT10" s="1439"/>
      <c r="FU10" s="1420">
        <v>114232.59</v>
      </c>
      <c r="FV10" s="1439"/>
      <c r="FW10" s="1420">
        <v>2734226.35</v>
      </c>
      <c r="FX10" s="1439"/>
      <c r="FY10" s="1420">
        <v>5043770.51</v>
      </c>
      <c r="FZ10" s="1439"/>
      <c r="GA10" s="1420">
        <v>104827.5</v>
      </c>
      <c r="GB10" s="1439"/>
    </row>
    <row r="11" spans="1:184" ht="12.75" customHeight="1" thickBot="1">
      <c r="A11" s="1418" t="s">
        <v>597</v>
      </c>
      <c r="B11" s="1418" t="s">
        <v>598</v>
      </c>
      <c r="C11" s="1420">
        <v>169.43</v>
      </c>
      <c r="D11" s="1439"/>
      <c r="E11" s="1420">
        <v>439.01</v>
      </c>
      <c r="F11" s="1439"/>
      <c r="G11" s="1421">
        <v>0.02</v>
      </c>
      <c r="H11" s="1439"/>
      <c r="I11" s="1420">
        <v>465.34</v>
      </c>
      <c r="J11" s="1439"/>
      <c r="K11" s="1420">
        <v>467.25</v>
      </c>
      <c r="L11" s="1439"/>
      <c r="M11" s="1422">
        <v>58942722</v>
      </c>
      <c r="N11" s="1439"/>
      <c r="O11" s="1422">
        <v>27</v>
      </c>
      <c r="P11" s="1439"/>
      <c r="Q11" s="1422">
        <v>25</v>
      </c>
      <c r="R11" s="1439"/>
      <c r="S11" s="1422">
        <v>2</v>
      </c>
      <c r="T11" s="1439"/>
      <c r="U11" s="1422">
        <v>0</v>
      </c>
      <c r="V11" s="1439"/>
      <c r="W11" s="1420">
        <v>7.39</v>
      </c>
      <c r="X11" s="1439"/>
      <c r="Y11" s="1420">
        <v>34.39</v>
      </c>
      <c r="Z11" s="1439"/>
      <c r="AA11" s="1422">
        <v>2640500</v>
      </c>
      <c r="AB11" s="1439"/>
      <c r="AC11" s="1420">
        <v>1779574.75</v>
      </c>
      <c r="AD11" s="1420">
        <v>1957635.97</v>
      </c>
      <c r="AE11" s="1420">
        <v>341494.51</v>
      </c>
      <c r="AF11" s="1422">
        <v>111908</v>
      </c>
      <c r="AG11" s="1422">
        <v>0</v>
      </c>
      <c r="AH11" s="1422">
        <v>0</v>
      </c>
      <c r="AI11" s="1422">
        <v>1339381</v>
      </c>
      <c r="AJ11" s="1422">
        <v>1330015</v>
      </c>
      <c r="AK11" s="1422">
        <v>47015</v>
      </c>
      <c r="AL11" s="1422">
        <v>0</v>
      </c>
      <c r="AM11" s="1422">
        <v>24865</v>
      </c>
      <c r="AN11" s="1422">
        <v>0</v>
      </c>
      <c r="AO11" s="1422">
        <v>0</v>
      </c>
      <c r="AP11" s="1422">
        <v>1782</v>
      </c>
      <c r="AQ11" s="1422">
        <v>0</v>
      </c>
      <c r="AR11" s="1422">
        <v>0</v>
      </c>
      <c r="AS11" s="1422">
        <v>0</v>
      </c>
      <c r="AT11" s="1422">
        <v>0</v>
      </c>
      <c r="AU11" s="1422">
        <v>0</v>
      </c>
      <c r="AV11" s="1422">
        <v>0</v>
      </c>
      <c r="AW11" s="1422">
        <v>0</v>
      </c>
      <c r="AX11" s="1422">
        <v>0</v>
      </c>
      <c r="AY11" s="1420">
        <v>3532330.26</v>
      </c>
      <c r="AZ11" s="1420">
        <v>3401340.97</v>
      </c>
      <c r="BA11" s="1422">
        <v>0</v>
      </c>
      <c r="BB11" s="1422">
        <v>0</v>
      </c>
      <c r="BC11" s="1422">
        <v>19325</v>
      </c>
      <c r="BD11" s="1422">
        <v>19777</v>
      </c>
      <c r="BE11" s="1420">
        <v>104639.03999999999</v>
      </c>
      <c r="BF11" s="1422">
        <v>108900</v>
      </c>
      <c r="BG11" s="1422">
        <v>250</v>
      </c>
      <c r="BH11" s="1422">
        <v>250</v>
      </c>
      <c r="BI11" s="1422">
        <v>5566</v>
      </c>
      <c r="BJ11" s="1422">
        <v>16083</v>
      </c>
      <c r="BK11" s="1422">
        <v>0</v>
      </c>
      <c r="BL11" s="1422">
        <v>0</v>
      </c>
      <c r="BM11" s="1422">
        <v>371008</v>
      </c>
      <c r="BN11" s="1422">
        <v>382536</v>
      </c>
      <c r="BO11" s="1420">
        <v>56432.480000000003</v>
      </c>
      <c r="BP11" s="1422">
        <v>56400</v>
      </c>
      <c r="BQ11" s="1422">
        <v>0</v>
      </c>
      <c r="BR11" s="1422">
        <v>0</v>
      </c>
      <c r="BS11" s="1420">
        <v>2076.61</v>
      </c>
      <c r="BT11" s="1422">
        <v>2000</v>
      </c>
      <c r="BU11" s="1422">
        <v>0</v>
      </c>
      <c r="BV11" s="1422">
        <v>0</v>
      </c>
      <c r="BW11" s="1422">
        <v>0</v>
      </c>
      <c r="BX11" s="1422">
        <v>0</v>
      </c>
      <c r="BY11" s="1422">
        <v>0</v>
      </c>
      <c r="BZ11" s="1422">
        <v>0</v>
      </c>
      <c r="CA11" s="1420">
        <v>5684.37</v>
      </c>
      <c r="CB11" s="1422">
        <v>2224</v>
      </c>
      <c r="CC11" s="1420">
        <v>564981.5</v>
      </c>
      <c r="CD11" s="1422">
        <v>588170</v>
      </c>
      <c r="CE11" s="1420">
        <v>778605.11</v>
      </c>
      <c r="CF11" s="1420">
        <v>975509.47</v>
      </c>
      <c r="CG11" s="1422">
        <v>50500</v>
      </c>
      <c r="CH11" s="1422">
        <v>0</v>
      </c>
      <c r="CI11" s="1422">
        <v>0</v>
      </c>
      <c r="CJ11" s="1422">
        <v>0</v>
      </c>
      <c r="CK11" s="1422">
        <v>0</v>
      </c>
      <c r="CL11" s="1422">
        <v>0</v>
      </c>
      <c r="CM11" s="1422">
        <v>0</v>
      </c>
      <c r="CN11" s="1422">
        <v>0</v>
      </c>
      <c r="CO11" s="1420">
        <v>4717.1000000000004</v>
      </c>
      <c r="CP11" s="1422">
        <v>0</v>
      </c>
      <c r="CQ11" s="1422">
        <v>0</v>
      </c>
      <c r="CR11" s="1422">
        <v>0</v>
      </c>
      <c r="CS11" s="1420">
        <v>55217.1</v>
      </c>
      <c r="CT11" s="1422">
        <v>0</v>
      </c>
      <c r="CU11" s="1420">
        <v>4931133.97</v>
      </c>
      <c r="CV11" s="1420">
        <v>4965020.4400000004</v>
      </c>
      <c r="CW11" s="1420">
        <v>1851326.71</v>
      </c>
      <c r="CX11" s="1420">
        <v>1727515.57</v>
      </c>
      <c r="CY11" s="1420">
        <v>324421.38</v>
      </c>
      <c r="CZ11" s="1420">
        <v>346768.16</v>
      </c>
      <c r="DA11" s="1420">
        <v>161333.75</v>
      </c>
      <c r="DB11" s="1420">
        <v>157626.35999999999</v>
      </c>
      <c r="DC11" s="1422">
        <v>0</v>
      </c>
      <c r="DD11" s="1422">
        <v>0</v>
      </c>
      <c r="DE11" s="1420">
        <v>163411.26999999999</v>
      </c>
      <c r="DF11" s="1420">
        <v>170952.17</v>
      </c>
      <c r="DG11" s="1420">
        <v>219025.5</v>
      </c>
      <c r="DH11" s="1420">
        <v>225241.98</v>
      </c>
      <c r="DI11" s="1420">
        <v>2719518.61</v>
      </c>
      <c r="DJ11" s="1420">
        <v>2628104.2400000002</v>
      </c>
      <c r="DK11" s="1420">
        <v>138739.56</v>
      </c>
      <c r="DL11" s="1420">
        <v>138113.68</v>
      </c>
      <c r="DM11" s="1420">
        <v>95378.38</v>
      </c>
      <c r="DN11" s="1420">
        <v>96679.45</v>
      </c>
      <c r="DO11" s="1420">
        <v>442262.4</v>
      </c>
      <c r="DP11" s="1420">
        <v>443906.77</v>
      </c>
      <c r="DQ11" s="1420">
        <v>268380.44</v>
      </c>
      <c r="DR11" s="1420">
        <v>304372.65000000002</v>
      </c>
      <c r="DS11" s="1420">
        <v>13752.33</v>
      </c>
      <c r="DT11" s="1422">
        <v>0</v>
      </c>
      <c r="DU11" s="1420">
        <v>958513.11</v>
      </c>
      <c r="DV11" s="1420">
        <v>983072.55</v>
      </c>
      <c r="DW11" s="1420">
        <v>173602.45</v>
      </c>
      <c r="DX11" s="1420">
        <v>153920.19</v>
      </c>
      <c r="DY11" s="1420">
        <v>306700.46000000002</v>
      </c>
      <c r="DZ11" s="1420">
        <v>327898.5</v>
      </c>
      <c r="EA11" s="1420">
        <v>206475.63</v>
      </c>
      <c r="EB11" s="1420">
        <v>200705.66</v>
      </c>
      <c r="EC11" s="1420">
        <v>686778.54</v>
      </c>
      <c r="ED11" s="1420">
        <v>682524.35</v>
      </c>
      <c r="EE11" s="1420">
        <v>339627.13</v>
      </c>
      <c r="EF11" s="1420">
        <v>330794.96000000002</v>
      </c>
      <c r="EG11" s="1422">
        <v>0</v>
      </c>
      <c r="EH11" s="1422">
        <v>0</v>
      </c>
      <c r="EI11" s="1420">
        <v>694.33</v>
      </c>
      <c r="EJ11" s="1422">
        <v>1500</v>
      </c>
      <c r="EK11" s="1422">
        <v>0</v>
      </c>
      <c r="EL11" s="1422">
        <v>0</v>
      </c>
      <c r="EM11" s="1420">
        <v>340321.46</v>
      </c>
      <c r="EN11" s="1420">
        <v>332294.96000000002</v>
      </c>
      <c r="EO11" s="1420">
        <v>6806.04</v>
      </c>
      <c r="EP11" s="1420">
        <v>122918.22</v>
      </c>
      <c r="EQ11" s="1420">
        <v>236396.04</v>
      </c>
      <c r="ER11" s="1422">
        <v>255300</v>
      </c>
      <c r="ES11" s="1422">
        <v>0</v>
      </c>
      <c r="ET11" s="1422">
        <v>0</v>
      </c>
      <c r="EU11" s="1420">
        <v>4948333.8</v>
      </c>
      <c r="EV11" s="1420">
        <v>5004214.32</v>
      </c>
      <c r="EW11" s="1420">
        <v>96280.08</v>
      </c>
      <c r="EX11" s="1420">
        <v>225918.22</v>
      </c>
      <c r="EY11" s="1420">
        <v>236396.04</v>
      </c>
      <c r="EZ11" s="1422">
        <v>255300</v>
      </c>
      <c r="FA11" s="1420">
        <v>4615657.68</v>
      </c>
      <c r="FB11" s="1420">
        <v>4522996.0999999996</v>
      </c>
      <c r="FC11" s="1420">
        <v>298275.28000000003</v>
      </c>
      <c r="FD11" s="1439"/>
      <c r="FE11" s="1420">
        <v>4317382.4000000004</v>
      </c>
      <c r="FF11" s="1439"/>
      <c r="FG11" s="1422">
        <v>9834</v>
      </c>
      <c r="FH11" s="1439"/>
      <c r="FI11" s="1420">
        <v>37.979999999999997</v>
      </c>
      <c r="FJ11" s="1439"/>
      <c r="FK11" s="1422">
        <v>41986</v>
      </c>
      <c r="FL11" s="1439"/>
      <c r="FM11" s="1420">
        <v>42.06</v>
      </c>
      <c r="FN11" s="1439"/>
      <c r="FO11" s="1422">
        <v>44874</v>
      </c>
      <c r="FP11" s="1439"/>
      <c r="FQ11" s="1420">
        <v>609655.6</v>
      </c>
      <c r="FR11" s="1439"/>
      <c r="FS11" s="1420">
        <v>93555.28</v>
      </c>
      <c r="FT11" s="1439"/>
      <c r="FU11" s="1422">
        <v>0</v>
      </c>
      <c r="FV11" s="1439"/>
      <c r="FW11" s="1420">
        <v>516100.32</v>
      </c>
      <c r="FX11" s="1439"/>
      <c r="FY11" s="1420">
        <v>60313.69</v>
      </c>
      <c r="FZ11" s="1439"/>
      <c r="GA11" s="1422">
        <v>0</v>
      </c>
      <c r="GB11" s="1439"/>
    </row>
    <row r="12" spans="1:184" ht="12.75" customHeight="1" thickBot="1">
      <c r="A12" s="1418" t="s">
        <v>599</v>
      </c>
      <c r="B12" s="1418" t="s">
        <v>600</v>
      </c>
      <c r="C12" s="1420">
        <v>142.68</v>
      </c>
      <c r="D12" s="1439"/>
      <c r="E12" s="1420">
        <v>12792.58</v>
      </c>
      <c r="F12" s="1439"/>
      <c r="G12" s="1421">
        <v>0.33</v>
      </c>
      <c r="H12" s="1439"/>
      <c r="I12" s="1420">
        <v>13536.35</v>
      </c>
      <c r="J12" s="1439"/>
      <c r="K12" s="1420">
        <v>13036.47</v>
      </c>
      <c r="L12" s="1439"/>
      <c r="M12" s="1422">
        <v>1612132510</v>
      </c>
      <c r="N12" s="1439"/>
      <c r="O12" s="1422">
        <v>25</v>
      </c>
      <c r="P12" s="1439"/>
      <c r="Q12" s="1422">
        <v>25</v>
      </c>
      <c r="R12" s="1439"/>
      <c r="S12" s="1422">
        <v>0</v>
      </c>
      <c r="T12" s="1439"/>
      <c r="U12" s="1422">
        <v>2</v>
      </c>
      <c r="V12" s="1439"/>
      <c r="W12" s="1420">
        <v>16.7</v>
      </c>
      <c r="X12" s="1439"/>
      <c r="Y12" s="1420">
        <v>43.7</v>
      </c>
      <c r="Z12" s="1439"/>
      <c r="AA12" s="1422">
        <v>173660000</v>
      </c>
      <c r="AB12" s="1439"/>
      <c r="AC12" s="1420">
        <v>63482496.689999998</v>
      </c>
      <c r="AD12" s="1422">
        <v>67275282</v>
      </c>
      <c r="AE12" s="1420">
        <v>8365632.6799999997</v>
      </c>
      <c r="AF12" s="1422">
        <v>6390981</v>
      </c>
      <c r="AG12" s="1420">
        <v>95939.01</v>
      </c>
      <c r="AH12" s="1422">
        <v>0</v>
      </c>
      <c r="AI12" s="1422">
        <v>38640267</v>
      </c>
      <c r="AJ12" s="1422">
        <v>43683017</v>
      </c>
      <c r="AK12" s="1422">
        <v>355772</v>
      </c>
      <c r="AL12" s="1422">
        <v>0</v>
      </c>
      <c r="AM12" s="1422">
        <v>3008398</v>
      </c>
      <c r="AN12" s="1422">
        <v>552960</v>
      </c>
      <c r="AO12" s="1422">
        <v>0</v>
      </c>
      <c r="AP12" s="1422">
        <v>0</v>
      </c>
      <c r="AQ12" s="1422">
        <v>0</v>
      </c>
      <c r="AR12" s="1422">
        <v>0</v>
      </c>
      <c r="AS12" s="1422">
        <v>0</v>
      </c>
      <c r="AT12" s="1422">
        <v>0</v>
      </c>
      <c r="AU12" s="1422">
        <v>0</v>
      </c>
      <c r="AV12" s="1422">
        <v>0</v>
      </c>
      <c r="AW12" s="1422">
        <v>0</v>
      </c>
      <c r="AX12" s="1422">
        <v>0</v>
      </c>
      <c r="AY12" s="1420">
        <v>113948505.38</v>
      </c>
      <c r="AZ12" s="1422">
        <v>117902240</v>
      </c>
      <c r="BA12" s="1422">
        <v>0</v>
      </c>
      <c r="BB12" s="1422">
        <v>0</v>
      </c>
      <c r="BC12" s="1422">
        <v>539188</v>
      </c>
      <c r="BD12" s="1422">
        <v>573877</v>
      </c>
      <c r="BE12" s="1420">
        <v>45027.16</v>
      </c>
      <c r="BF12" s="1422">
        <v>0</v>
      </c>
      <c r="BG12" s="1422">
        <v>40050</v>
      </c>
      <c r="BH12" s="1422">
        <v>40050</v>
      </c>
      <c r="BI12" s="1422">
        <v>301475</v>
      </c>
      <c r="BJ12" s="1422">
        <v>301475</v>
      </c>
      <c r="BK12" s="1422">
        <v>202756</v>
      </c>
      <c r="BL12" s="1422">
        <v>202756</v>
      </c>
      <c r="BM12" s="1422">
        <v>1871534</v>
      </c>
      <c r="BN12" s="1422">
        <v>1960055</v>
      </c>
      <c r="BO12" s="1420">
        <v>617991.98</v>
      </c>
      <c r="BP12" s="1422">
        <v>551064</v>
      </c>
      <c r="BQ12" s="1420">
        <v>145602.82</v>
      </c>
      <c r="BR12" s="1420">
        <v>282283.5</v>
      </c>
      <c r="BS12" s="1420">
        <v>33852.74</v>
      </c>
      <c r="BT12" s="1422">
        <v>33853</v>
      </c>
      <c r="BU12" s="1422">
        <v>0</v>
      </c>
      <c r="BV12" s="1422">
        <v>0</v>
      </c>
      <c r="BW12" s="1422">
        <v>1208987</v>
      </c>
      <c r="BX12" s="1422">
        <v>1264868</v>
      </c>
      <c r="BY12" s="1422">
        <v>0</v>
      </c>
      <c r="BZ12" s="1422">
        <v>0</v>
      </c>
      <c r="CA12" s="1420">
        <v>36278.480000000003</v>
      </c>
      <c r="CB12" s="1422">
        <v>25582</v>
      </c>
      <c r="CC12" s="1420">
        <v>5042743.18</v>
      </c>
      <c r="CD12" s="1420">
        <v>5235863.5</v>
      </c>
      <c r="CE12" s="1420">
        <v>10734538.380000001</v>
      </c>
      <c r="CF12" s="1420">
        <v>7081252.7300000004</v>
      </c>
      <c r="CG12" s="1420">
        <v>33471409.899999999</v>
      </c>
      <c r="CH12" s="1422">
        <v>27000000</v>
      </c>
      <c r="CI12" s="1422">
        <v>0</v>
      </c>
      <c r="CJ12" s="1422">
        <v>0</v>
      </c>
      <c r="CK12" s="1422">
        <v>0</v>
      </c>
      <c r="CL12" s="1422">
        <v>0</v>
      </c>
      <c r="CM12" s="1420">
        <v>9032.1299999999992</v>
      </c>
      <c r="CN12" s="1422">
        <v>0</v>
      </c>
      <c r="CO12" s="1422">
        <v>0</v>
      </c>
      <c r="CP12" s="1422">
        <v>0</v>
      </c>
      <c r="CQ12" s="1422">
        <v>0</v>
      </c>
      <c r="CR12" s="1422">
        <v>0</v>
      </c>
      <c r="CS12" s="1420">
        <v>33480442.030000001</v>
      </c>
      <c r="CT12" s="1422">
        <v>27000000</v>
      </c>
      <c r="CU12" s="1420">
        <v>163206228.97</v>
      </c>
      <c r="CV12" s="1420">
        <v>157219356.22999999</v>
      </c>
      <c r="CW12" s="1420">
        <v>50863495.82</v>
      </c>
      <c r="CX12" s="1420">
        <v>51294119.439999998</v>
      </c>
      <c r="CY12" s="1420">
        <v>8660224.5299999993</v>
      </c>
      <c r="CZ12" s="1420">
        <v>7904184.7400000002</v>
      </c>
      <c r="DA12" s="1420">
        <v>1912211.94</v>
      </c>
      <c r="DB12" s="1420">
        <v>1833342.31</v>
      </c>
      <c r="DC12" s="1422">
        <v>0</v>
      </c>
      <c r="DD12" s="1422">
        <v>0</v>
      </c>
      <c r="DE12" s="1420">
        <v>2861359.05</v>
      </c>
      <c r="DF12" s="1420">
        <v>2560901.2999999998</v>
      </c>
      <c r="DG12" s="1420">
        <v>4978868.41</v>
      </c>
      <c r="DH12" s="1420">
        <v>4602339.57</v>
      </c>
      <c r="DI12" s="1420">
        <v>69276159.75</v>
      </c>
      <c r="DJ12" s="1420">
        <v>68194887.359999999</v>
      </c>
      <c r="DK12" s="1420">
        <v>1857290.22</v>
      </c>
      <c r="DL12" s="1420">
        <v>1404843.86</v>
      </c>
      <c r="DM12" s="1420">
        <v>4546387.26</v>
      </c>
      <c r="DN12" s="1420">
        <v>5554978.5599999996</v>
      </c>
      <c r="DO12" s="1420">
        <v>9918873.1400000006</v>
      </c>
      <c r="DP12" s="1420">
        <v>9715596.7699999996</v>
      </c>
      <c r="DQ12" s="1420">
        <v>5634125.0999999996</v>
      </c>
      <c r="DR12" s="1420">
        <v>5829362.0800000001</v>
      </c>
      <c r="DS12" s="1422">
        <v>0</v>
      </c>
      <c r="DT12" s="1422">
        <v>0</v>
      </c>
      <c r="DU12" s="1420">
        <v>21956675.719999999</v>
      </c>
      <c r="DV12" s="1420">
        <v>22504781.27</v>
      </c>
      <c r="DW12" s="1420">
        <v>7430980.4299999997</v>
      </c>
      <c r="DX12" s="1420">
        <v>7485235.46</v>
      </c>
      <c r="DY12" s="1420">
        <v>4958819.42</v>
      </c>
      <c r="DZ12" s="1420">
        <v>5039621.8099999996</v>
      </c>
      <c r="EA12" s="1420">
        <v>6464571.4100000001</v>
      </c>
      <c r="EB12" s="1420">
        <v>6360401.8899999997</v>
      </c>
      <c r="EC12" s="1420">
        <v>18854371.260000002</v>
      </c>
      <c r="ED12" s="1420">
        <v>18885259.16</v>
      </c>
      <c r="EE12" s="1420">
        <v>5014513.3899999997</v>
      </c>
      <c r="EF12" s="1420">
        <v>5415090.1399999997</v>
      </c>
      <c r="EG12" s="1422">
        <v>0</v>
      </c>
      <c r="EH12" s="1422">
        <v>0</v>
      </c>
      <c r="EI12" s="1420">
        <v>2308655.9700000002</v>
      </c>
      <c r="EJ12" s="1420">
        <v>2539030.0699999998</v>
      </c>
      <c r="EK12" s="1422">
        <v>0</v>
      </c>
      <c r="EL12" s="1422">
        <v>0</v>
      </c>
      <c r="EM12" s="1420">
        <v>7323169.3600000003</v>
      </c>
      <c r="EN12" s="1420">
        <v>7954120.21</v>
      </c>
      <c r="EO12" s="1420">
        <v>4690159.72</v>
      </c>
      <c r="EP12" s="1422">
        <v>27492761</v>
      </c>
      <c r="EQ12" s="1420">
        <v>9818498.0600000005</v>
      </c>
      <c r="ER12" s="1420">
        <v>14637111.26</v>
      </c>
      <c r="ES12" s="1420">
        <v>39978.44</v>
      </c>
      <c r="ET12" s="1422">
        <v>0</v>
      </c>
      <c r="EU12" s="1420">
        <v>131959012.31</v>
      </c>
      <c r="EV12" s="1420">
        <v>159668920.25999999</v>
      </c>
      <c r="EW12" s="1420">
        <v>5990653.1299999999</v>
      </c>
      <c r="EX12" s="1420">
        <v>28294899.539999999</v>
      </c>
      <c r="EY12" s="1420">
        <v>9818498.0600000005</v>
      </c>
      <c r="EZ12" s="1420">
        <v>14637111.26</v>
      </c>
      <c r="FA12" s="1420">
        <v>116149861.12</v>
      </c>
      <c r="FB12" s="1420">
        <v>116736909.45999999</v>
      </c>
      <c r="FC12" s="1420">
        <v>8342091.5899999999</v>
      </c>
      <c r="FD12" s="1439"/>
      <c r="FE12" s="1420">
        <v>107807769.53</v>
      </c>
      <c r="FF12" s="1439"/>
      <c r="FG12" s="1422">
        <v>8427</v>
      </c>
      <c r="FH12" s="1439"/>
      <c r="FI12" s="1420">
        <v>894.33</v>
      </c>
      <c r="FJ12" s="1439"/>
      <c r="FK12" s="1422">
        <v>53594</v>
      </c>
      <c r="FL12" s="1439"/>
      <c r="FM12" s="1420">
        <v>944.02</v>
      </c>
      <c r="FN12" s="1439"/>
      <c r="FO12" s="1422">
        <v>55499</v>
      </c>
      <c r="FP12" s="1439"/>
      <c r="FQ12" s="1420">
        <v>17567996.859999999</v>
      </c>
      <c r="FR12" s="1439"/>
      <c r="FS12" s="1420">
        <v>914478.3</v>
      </c>
      <c r="FT12" s="1439"/>
      <c r="FU12" s="1422">
        <v>0</v>
      </c>
      <c r="FV12" s="1439"/>
      <c r="FW12" s="1420">
        <v>16653518.560000001</v>
      </c>
      <c r="FX12" s="1439"/>
      <c r="FY12" s="1420">
        <v>35614731.380000003</v>
      </c>
      <c r="FZ12" s="1439"/>
      <c r="GA12" s="1420">
        <v>886461.43999999994</v>
      </c>
      <c r="GB12" s="1439"/>
    </row>
    <row r="13" spans="1:184" ht="12.75" customHeight="1" thickBot="1">
      <c r="A13" s="1418" t="s">
        <v>601</v>
      </c>
      <c r="B13" s="1418" t="s">
        <v>602</v>
      </c>
      <c r="C13" s="1420">
        <v>49.71</v>
      </c>
      <c r="D13" s="1439"/>
      <c r="E13" s="1420">
        <v>471.72</v>
      </c>
      <c r="F13" s="1439"/>
      <c r="G13" s="1421">
        <v>-0.12</v>
      </c>
      <c r="H13" s="1439"/>
      <c r="I13" s="1420">
        <v>485.92</v>
      </c>
      <c r="J13" s="1439"/>
      <c r="K13" s="1420">
        <v>483.88</v>
      </c>
      <c r="L13" s="1439"/>
      <c r="M13" s="1422">
        <v>46396370</v>
      </c>
      <c r="N13" s="1439"/>
      <c r="O13" s="1422">
        <v>25</v>
      </c>
      <c r="P13" s="1439"/>
      <c r="Q13" s="1422">
        <v>25</v>
      </c>
      <c r="R13" s="1439"/>
      <c r="S13" s="1422">
        <v>0</v>
      </c>
      <c r="T13" s="1439"/>
      <c r="U13" s="1422">
        <v>0</v>
      </c>
      <c r="V13" s="1439"/>
      <c r="W13" s="1420">
        <v>14.9</v>
      </c>
      <c r="X13" s="1439"/>
      <c r="Y13" s="1420">
        <v>39.9</v>
      </c>
      <c r="Z13" s="1439"/>
      <c r="AA13" s="1420">
        <v>5580662.6600000001</v>
      </c>
      <c r="AB13" s="1439"/>
      <c r="AC13" s="1420">
        <v>1722893.07</v>
      </c>
      <c r="AD13" s="1422">
        <v>1783382</v>
      </c>
      <c r="AE13" s="1420">
        <v>249297.95</v>
      </c>
      <c r="AF13" s="1422">
        <v>207780</v>
      </c>
      <c r="AG13" s="1422">
        <v>0</v>
      </c>
      <c r="AH13" s="1422">
        <v>0</v>
      </c>
      <c r="AI13" s="1422">
        <v>1840963</v>
      </c>
      <c r="AJ13" s="1422">
        <v>1872682</v>
      </c>
      <c r="AK13" s="1422">
        <v>0</v>
      </c>
      <c r="AL13" s="1422">
        <v>0</v>
      </c>
      <c r="AM13" s="1422">
        <v>0</v>
      </c>
      <c r="AN13" s="1422">
        <v>0</v>
      </c>
      <c r="AO13" s="1422">
        <v>81551</v>
      </c>
      <c r="AP13" s="1422">
        <v>0</v>
      </c>
      <c r="AQ13" s="1422">
        <v>0</v>
      </c>
      <c r="AR13" s="1422">
        <v>0</v>
      </c>
      <c r="AS13" s="1422">
        <v>0</v>
      </c>
      <c r="AT13" s="1422">
        <v>0</v>
      </c>
      <c r="AU13" s="1422">
        <v>0</v>
      </c>
      <c r="AV13" s="1422">
        <v>0</v>
      </c>
      <c r="AW13" s="1422">
        <v>0</v>
      </c>
      <c r="AX13" s="1422">
        <v>0</v>
      </c>
      <c r="AY13" s="1420">
        <v>3894705.02</v>
      </c>
      <c r="AZ13" s="1422">
        <v>3863844</v>
      </c>
      <c r="BA13" s="1422">
        <v>0</v>
      </c>
      <c r="BB13" s="1422">
        <v>0</v>
      </c>
      <c r="BC13" s="1422">
        <v>20013</v>
      </c>
      <c r="BD13" s="1422">
        <v>20758</v>
      </c>
      <c r="BE13" s="1420">
        <v>1634.58</v>
      </c>
      <c r="BF13" s="1422">
        <v>10800</v>
      </c>
      <c r="BG13" s="1422">
        <v>50</v>
      </c>
      <c r="BH13" s="1422">
        <v>0</v>
      </c>
      <c r="BI13" s="1422">
        <v>22712</v>
      </c>
      <c r="BJ13" s="1422">
        <v>41450</v>
      </c>
      <c r="BK13" s="1422">
        <v>44243</v>
      </c>
      <c r="BL13" s="1422">
        <v>45149</v>
      </c>
      <c r="BM13" s="1422">
        <v>371008</v>
      </c>
      <c r="BN13" s="1422">
        <v>392656</v>
      </c>
      <c r="BO13" s="1420">
        <v>70152.259999999995</v>
      </c>
      <c r="BP13" s="1420">
        <v>86686.67</v>
      </c>
      <c r="BQ13" s="1420">
        <v>3791.76</v>
      </c>
      <c r="BR13" s="1422">
        <v>0</v>
      </c>
      <c r="BS13" s="1420">
        <v>2079.75</v>
      </c>
      <c r="BT13" s="1422">
        <v>2080</v>
      </c>
      <c r="BU13" s="1422">
        <v>0</v>
      </c>
      <c r="BV13" s="1422">
        <v>0</v>
      </c>
      <c r="BW13" s="1422">
        <v>158342</v>
      </c>
      <c r="BX13" s="1420">
        <v>154478.32</v>
      </c>
      <c r="BY13" s="1422">
        <v>0</v>
      </c>
      <c r="BZ13" s="1422">
        <v>0</v>
      </c>
      <c r="CA13" s="1422">
        <v>10825</v>
      </c>
      <c r="CB13" s="1422">
        <v>9516</v>
      </c>
      <c r="CC13" s="1420">
        <v>704851.35</v>
      </c>
      <c r="CD13" s="1420">
        <v>763573.99</v>
      </c>
      <c r="CE13" s="1420">
        <v>810364.51</v>
      </c>
      <c r="CF13" s="1420">
        <v>686730.49</v>
      </c>
      <c r="CG13" s="1420">
        <v>15352.57</v>
      </c>
      <c r="CH13" s="1422">
        <v>0</v>
      </c>
      <c r="CI13" s="1422">
        <v>0</v>
      </c>
      <c r="CJ13" s="1422">
        <v>0</v>
      </c>
      <c r="CK13" s="1422">
        <v>0</v>
      </c>
      <c r="CL13" s="1422">
        <v>0</v>
      </c>
      <c r="CM13" s="1422">
        <v>0</v>
      </c>
      <c r="CN13" s="1422">
        <v>0</v>
      </c>
      <c r="CO13" s="1422">
        <v>0</v>
      </c>
      <c r="CP13" s="1422">
        <v>0</v>
      </c>
      <c r="CQ13" s="1422">
        <v>0</v>
      </c>
      <c r="CR13" s="1422">
        <v>0</v>
      </c>
      <c r="CS13" s="1420">
        <v>15352.57</v>
      </c>
      <c r="CT13" s="1422">
        <v>0</v>
      </c>
      <c r="CU13" s="1420">
        <v>5425273.4500000002</v>
      </c>
      <c r="CV13" s="1420">
        <v>5314148.4800000004</v>
      </c>
      <c r="CW13" s="1420">
        <v>1744170.65</v>
      </c>
      <c r="CX13" s="1420">
        <v>1843578.81</v>
      </c>
      <c r="CY13" s="1420">
        <v>268975.15999999997</v>
      </c>
      <c r="CZ13" s="1420">
        <v>310088.13</v>
      </c>
      <c r="DA13" s="1420">
        <v>166401.97</v>
      </c>
      <c r="DB13" s="1420">
        <v>169571.5</v>
      </c>
      <c r="DC13" s="1422">
        <v>0</v>
      </c>
      <c r="DD13" s="1422">
        <v>0</v>
      </c>
      <c r="DE13" s="1420">
        <v>105986.04</v>
      </c>
      <c r="DF13" s="1420">
        <v>86685.96</v>
      </c>
      <c r="DG13" s="1420">
        <v>307636.89</v>
      </c>
      <c r="DH13" s="1420">
        <v>305308.76</v>
      </c>
      <c r="DI13" s="1420">
        <v>2593170.71</v>
      </c>
      <c r="DJ13" s="1420">
        <v>2715233.16</v>
      </c>
      <c r="DK13" s="1420">
        <v>176020.99</v>
      </c>
      <c r="DL13" s="1420">
        <v>193531.4</v>
      </c>
      <c r="DM13" s="1420">
        <v>127923.53</v>
      </c>
      <c r="DN13" s="1420">
        <v>100085.26</v>
      </c>
      <c r="DO13" s="1420">
        <v>569898.78</v>
      </c>
      <c r="DP13" s="1420">
        <v>499486.36</v>
      </c>
      <c r="DQ13" s="1420">
        <v>197036.86</v>
      </c>
      <c r="DR13" s="1420">
        <v>184807.83</v>
      </c>
      <c r="DS13" s="1420">
        <v>5046.6000000000004</v>
      </c>
      <c r="DT13" s="1422">
        <v>2600</v>
      </c>
      <c r="DU13" s="1420">
        <v>1075926.76</v>
      </c>
      <c r="DV13" s="1420">
        <v>980510.85</v>
      </c>
      <c r="DW13" s="1420">
        <v>256633.15</v>
      </c>
      <c r="DX13" s="1420">
        <v>271192.23</v>
      </c>
      <c r="DY13" s="1420">
        <v>384903.83</v>
      </c>
      <c r="DZ13" s="1420">
        <v>459012.01</v>
      </c>
      <c r="EA13" s="1420">
        <v>238976.33</v>
      </c>
      <c r="EB13" s="1420">
        <v>237241.21</v>
      </c>
      <c r="EC13" s="1420">
        <v>880513.31</v>
      </c>
      <c r="ED13" s="1420">
        <v>967445.45</v>
      </c>
      <c r="EE13" s="1420">
        <v>334384.57</v>
      </c>
      <c r="EF13" s="1420">
        <v>294470.02</v>
      </c>
      <c r="EG13" s="1422">
        <v>0</v>
      </c>
      <c r="EH13" s="1422">
        <v>0</v>
      </c>
      <c r="EI13" s="1420">
        <v>56.97</v>
      </c>
      <c r="EJ13" s="1422">
        <v>0</v>
      </c>
      <c r="EK13" s="1422">
        <v>0</v>
      </c>
      <c r="EL13" s="1422">
        <v>0</v>
      </c>
      <c r="EM13" s="1420">
        <v>334441.53999999998</v>
      </c>
      <c r="EN13" s="1420">
        <v>294470.02</v>
      </c>
      <c r="EO13" s="1422">
        <v>0</v>
      </c>
      <c r="EP13" s="1422">
        <v>0</v>
      </c>
      <c r="EQ13" s="1420">
        <v>445383.73</v>
      </c>
      <c r="ER13" s="1422">
        <v>488352</v>
      </c>
      <c r="ES13" s="1422">
        <v>0</v>
      </c>
      <c r="ET13" s="1422">
        <v>0</v>
      </c>
      <c r="EU13" s="1420">
        <v>5329436.05</v>
      </c>
      <c r="EV13" s="1420">
        <v>5446011.4800000004</v>
      </c>
      <c r="EW13" s="1422">
        <v>34070</v>
      </c>
      <c r="EX13" s="1420">
        <v>20886.689999999999</v>
      </c>
      <c r="EY13" s="1420">
        <v>445383.73</v>
      </c>
      <c r="EZ13" s="1422">
        <v>488352</v>
      </c>
      <c r="FA13" s="1420">
        <v>4849982.32</v>
      </c>
      <c r="FB13" s="1420">
        <v>4936772.79</v>
      </c>
      <c r="FC13" s="1420">
        <v>282742.81</v>
      </c>
      <c r="FD13" s="1439"/>
      <c r="FE13" s="1420">
        <v>4567239.51</v>
      </c>
      <c r="FF13" s="1439"/>
      <c r="FG13" s="1422">
        <v>9682</v>
      </c>
      <c r="FH13" s="1439"/>
      <c r="FI13" s="1420">
        <v>39.25</v>
      </c>
      <c r="FJ13" s="1439"/>
      <c r="FK13" s="1422">
        <v>38746</v>
      </c>
      <c r="FL13" s="1439"/>
      <c r="FM13" s="1420">
        <v>43.36</v>
      </c>
      <c r="FN13" s="1439"/>
      <c r="FO13" s="1422">
        <v>40900</v>
      </c>
      <c r="FP13" s="1439"/>
      <c r="FQ13" s="1420">
        <v>846553.82</v>
      </c>
      <c r="FR13" s="1439"/>
      <c r="FS13" s="1420">
        <v>96776.82</v>
      </c>
      <c r="FT13" s="1439"/>
      <c r="FU13" s="1422">
        <v>0</v>
      </c>
      <c r="FV13" s="1439"/>
      <c r="FW13" s="1422">
        <v>749777</v>
      </c>
      <c r="FX13" s="1439"/>
      <c r="FY13" s="1420">
        <v>111028.29</v>
      </c>
      <c r="FZ13" s="1439"/>
      <c r="GA13" s="1422">
        <v>0</v>
      </c>
      <c r="GB13" s="1439"/>
    </row>
    <row r="14" spans="1:184" ht="12.75" customHeight="1" thickBot="1">
      <c r="A14" s="1418" t="s">
        <v>603</v>
      </c>
      <c r="B14" s="1418" t="s">
        <v>604</v>
      </c>
      <c r="C14" s="1420">
        <v>86.69</v>
      </c>
      <c r="D14" s="1439"/>
      <c r="E14" s="1420">
        <v>1344.4</v>
      </c>
      <c r="F14" s="1439"/>
      <c r="G14" s="1421">
        <v>-0.03</v>
      </c>
      <c r="H14" s="1439"/>
      <c r="I14" s="1420">
        <v>1418.06</v>
      </c>
      <c r="J14" s="1439"/>
      <c r="K14" s="1420">
        <v>1437.15</v>
      </c>
      <c r="L14" s="1439"/>
      <c r="M14" s="1422">
        <v>146063950</v>
      </c>
      <c r="N14" s="1439"/>
      <c r="O14" s="1422">
        <v>28</v>
      </c>
      <c r="P14" s="1439"/>
      <c r="Q14" s="1422">
        <v>25</v>
      </c>
      <c r="R14" s="1439"/>
      <c r="S14" s="1422">
        <v>3</v>
      </c>
      <c r="T14" s="1439"/>
      <c r="U14" s="1422">
        <v>0</v>
      </c>
      <c r="V14" s="1439"/>
      <c r="W14" s="1420">
        <v>14.9</v>
      </c>
      <c r="X14" s="1439"/>
      <c r="Y14" s="1420">
        <v>42.9</v>
      </c>
      <c r="Z14" s="1439"/>
      <c r="AA14" s="1422">
        <v>11895000</v>
      </c>
      <c r="AB14" s="1439"/>
      <c r="AC14" s="1420">
        <v>6035564.9800000004</v>
      </c>
      <c r="AD14" s="1422">
        <v>6012916</v>
      </c>
      <c r="AE14" s="1420">
        <v>919417.87</v>
      </c>
      <c r="AF14" s="1422">
        <v>866211</v>
      </c>
      <c r="AG14" s="1422">
        <v>0</v>
      </c>
      <c r="AH14" s="1422">
        <v>0</v>
      </c>
      <c r="AI14" s="1422">
        <v>5129371</v>
      </c>
      <c r="AJ14" s="1422">
        <v>5161580</v>
      </c>
      <c r="AK14" s="1422">
        <v>62387</v>
      </c>
      <c r="AL14" s="1422">
        <v>0</v>
      </c>
      <c r="AM14" s="1422">
        <v>72011</v>
      </c>
      <c r="AN14" s="1422">
        <v>0</v>
      </c>
      <c r="AO14" s="1422">
        <v>0</v>
      </c>
      <c r="AP14" s="1422">
        <v>0</v>
      </c>
      <c r="AQ14" s="1422">
        <v>0</v>
      </c>
      <c r="AR14" s="1422">
        <v>0</v>
      </c>
      <c r="AS14" s="1422">
        <v>0</v>
      </c>
      <c r="AT14" s="1422">
        <v>0</v>
      </c>
      <c r="AU14" s="1422">
        <v>0</v>
      </c>
      <c r="AV14" s="1422">
        <v>0</v>
      </c>
      <c r="AW14" s="1422">
        <v>0</v>
      </c>
      <c r="AX14" s="1422">
        <v>0</v>
      </c>
      <c r="AY14" s="1420">
        <v>12218751.85</v>
      </c>
      <c r="AZ14" s="1422">
        <v>12040707</v>
      </c>
      <c r="BA14" s="1420">
        <v>4408.45</v>
      </c>
      <c r="BB14" s="1422">
        <v>0</v>
      </c>
      <c r="BC14" s="1422">
        <v>59441</v>
      </c>
      <c r="BD14" s="1420">
        <v>94232.92</v>
      </c>
      <c r="BE14" s="1420">
        <v>6447.3</v>
      </c>
      <c r="BF14" s="1422">
        <v>0</v>
      </c>
      <c r="BG14" s="1422">
        <v>1050</v>
      </c>
      <c r="BH14" s="1422">
        <v>0</v>
      </c>
      <c r="BI14" s="1422">
        <v>52982</v>
      </c>
      <c r="BJ14" s="1420">
        <v>63572.3</v>
      </c>
      <c r="BK14" s="1422">
        <v>45415</v>
      </c>
      <c r="BL14" s="1422">
        <v>45415</v>
      </c>
      <c r="BM14" s="1422">
        <v>434992</v>
      </c>
      <c r="BN14" s="1420">
        <v>494042.81</v>
      </c>
      <c r="BO14" s="1420">
        <v>107310.86</v>
      </c>
      <c r="BP14" s="1422">
        <v>50854</v>
      </c>
      <c r="BQ14" s="1422">
        <v>0</v>
      </c>
      <c r="BR14" s="1422">
        <v>0</v>
      </c>
      <c r="BS14" s="1420">
        <v>4695.5600000000004</v>
      </c>
      <c r="BT14" s="1422">
        <v>5000</v>
      </c>
      <c r="BU14" s="1422">
        <v>0</v>
      </c>
      <c r="BV14" s="1422">
        <v>0</v>
      </c>
      <c r="BW14" s="1422">
        <v>0</v>
      </c>
      <c r="BX14" s="1422">
        <v>0</v>
      </c>
      <c r="BY14" s="1422">
        <v>0</v>
      </c>
      <c r="BZ14" s="1422">
        <v>0</v>
      </c>
      <c r="CA14" s="1420">
        <v>155244.79999999999</v>
      </c>
      <c r="CB14" s="1422">
        <v>62726</v>
      </c>
      <c r="CC14" s="1420">
        <v>871986.97</v>
      </c>
      <c r="CD14" s="1420">
        <v>815843.03</v>
      </c>
      <c r="CE14" s="1420">
        <v>1922784.55</v>
      </c>
      <c r="CF14" s="1420">
        <v>1428325.21</v>
      </c>
      <c r="CG14" s="1422">
        <v>1470000</v>
      </c>
      <c r="CH14" s="1422">
        <v>0</v>
      </c>
      <c r="CI14" s="1422">
        <v>0</v>
      </c>
      <c r="CJ14" s="1422">
        <v>0</v>
      </c>
      <c r="CK14" s="1422">
        <v>0</v>
      </c>
      <c r="CL14" s="1422">
        <v>0</v>
      </c>
      <c r="CM14" s="1422">
        <v>0</v>
      </c>
      <c r="CN14" s="1422">
        <v>0</v>
      </c>
      <c r="CO14" s="1422">
        <v>0</v>
      </c>
      <c r="CP14" s="1422">
        <v>0</v>
      </c>
      <c r="CQ14" s="1422">
        <v>0</v>
      </c>
      <c r="CR14" s="1422">
        <v>0</v>
      </c>
      <c r="CS14" s="1422">
        <v>1470000</v>
      </c>
      <c r="CT14" s="1422">
        <v>0</v>
      </c>
      <c r="CU14" s="1420">
        <v>16483523.369999999</v>
      </c>
      <c r="CV14" s="1420">
        <v>14284875.24</v>
      </c>
      <c r="CW14" s="1420">
        <v>5396537.9400000004</v>
      </c>
      <c r="CX14" s="1420">
        <v>5459329.0700000003</v>
      </c>
      <c r="CY14" s="1420">
        <v>1080444.8700000001</v>
      </c>
      <c r="CZ14" s="1420">
        <v>1068092.02</v>
      </c>
      <c r="DA14" s="1420">
        <v>400029.11</v>
      </c>
      <c r="DB14" s="1420">
        <v>389751.15</v>
      </c>
      <c r="DC14" s="1422">
        <v>0</v>
      </c>
      <c r="DD14" s="1422">
        <v>0</v>
      </c>
      <c r="DE14" s="1420">
        <v>258525.71</v>
      </c>
      <c r="DF14" s="1420">
        <v>249845.65</v>
      </c>
      <c r="DG14" s="1420">
        <v>241894.49</v>
      </c>
      <c r="DH14" s="1420">
        <v>245210.2</v>
      </c>
      <c r="DI14" s="1420">
        <v>7377432.1200000001</v>
      </c>
      <c r="DJ14" s="1420">
        <v>7412228.0899999999</v>
      </c>
      <c r="DK14" s="1420">
        <v>159521.60000000001</v>
      </c>
      <c r="DL14" s="1420">
        <v>199137.88</v>
      </c>
      <c r="DM14" s="1420">
        <v>514170.81</v>
      </c>
      <c r="DN14" s="1420">
        <v>530204.69999999995</v>
      </c>
      <c r="DO14" s="1420">
        <v>1328820.19</v>
      </c>
      <c r="DP14" s="1420">
        <v>1434125.03</v>
      </c>
      <c r="DQ14" s="1420">
        <v>821006.12</v>
      </c>
      <c r="DR14" s="1420">
        <v>684383.82</v>
      </c>
      <c r="DS14" s="1420">
        <v>50806.58</v>
      </c>
      <c r="DT14" s="1422">
        <v>15000</v>
      </c>
      <c r="DU14" s="1420">
        <v>2874325.3</v>
      </c>
      <c r="DV14" s="1420">
        <v>2862851.43</v>
      </c>
      <c r="DW14" s="1420">
        <v>611473.06999999995</v>
      </c>
      <c r="DX14" s="1420">
        <v>637438.03</v>
      </c>
      <c r="DY14" s="1420">
        <v>743977.68</v>
      </c>
      <c r="DZ14" s="1420">
        <v>851390.26</v>
      </c>
      <c r="EA14" s="1420">
        <v>633534.18000000005</v>
      </c>
      <c r="EB14" s="1420">
        <v>655789.71</v>
      </c>
      <c r="EC14" s="1420">
        <v>1988984.93</v>
      </c>
      <c r="ED14" s="1422">
        <v>2144618</v>
      </c>
      <c r="EE14" s="1420">
        <v>680531.12</v>
      </c>
      <c r="EF14" s="1420">
        <v>690493.37</v>
      </c>
      <c r="EG14" s="1422">
        <v>0</v>
      </c>
      <c r="EH14" s="1422">
        <v>0</v>
      </c>
      <c r="EI14" s="1420">
        <v>644.17999999999995</v>
      </c>
      <c r="EJ14" s="1420">
        <v>2999.84</v>
      </c>
      <c r="EK14" s="1422">
        <v>0</v>
      </c>
      <c r="EL14" s="1422">
        <v>0</v>
      </c>
      <c r="EM14" s="1420">
        <v>681175.3</v>
      </c>
      <c r="EN14" s="1420">
        <v>693493.21</v>
      </c>
      <c r="EO14" s="1420">
        <v>486841.18</v>
      </c>
      <c r="EP14" s="1422">
        <v>1049766</v>
      </c>
      <c r="EQ14" s="1420">
        <v>884769.57</v>
      </c>
      <c r="ER14" s="1422">
        <v>980000</v>
      </c>
      <c r="ES14" s="1422">
        <v>54916</v>
      </c>
      <c r="ET14" s="1422">
        <v>0</v>
      </c>
      <c r="EU14" s="1420">
        <v>14348444.4</v>
      </c>
      <c r="EV14" s="1420">
        <v>15142956.73</v>
      </c>
      <c r="EW14" s="1420">
        <v>822593.45</v>
      </c>
      <c r="EX14" s="1420">
        <v>1192637.4099999999</v>
      </c>
      <c r="EY14" s="1420">
        <v>884769.57</v>
      </c>
      <c r="EZ14" s="1422">
        <v>980000</v>
      </c>
      <c r="FA14" s="1420">
        <v>12641081.380000001</v>
      </c>
      <c r="FB14" s="1420">
        <v>12970319.32</v>
      </c>
      <c r="FC14" s="1420">
        <v>806879.8</v>
      </c>
      <c r="FD14" s="1439"/>
      <c r="FE14" s="1420">
        <v>11834201.58</v>
      </c>
      <c r="FF14" s="1439"/>
      <c r="FG14" s="1422">
        <v>8802</v>
      </c>
      <c r="FH14" s="1439"/>
      <c r="FI14" s="1420">
        <v>103.63</v>
      </c>
      <c r="FJ14" s="1439"/>
      <c r="FK14" s="1422">
        <v>46280</v>
      </c>
      <c r="FL14" s="1439"/>
      <c r="FM14" s="1420">
        <v>113.14</v>
      </c>
      <c r="FN14" s="1439"/>
      <c r="FO14" s="1422">
        <v>48856</v>
      </c>
      <c r="FP14" s="1439"/>
      <c r="FQ14" s="1420">
        <v>1609278.69</v>
      </c>
      <c r="FR14" s="1439"/>
      <c r="FS14" s="1420">
        <v>77612.03</v>
      </c>
      <c r="FT14" s="1439"/>
      <c r="FU14" s="1422">
        <v>0</v>
      </c>
      <c r="FV14" s="1439"/>
      <c r="FW14" s="1420">
        <v>1531666.66</v>
      </c>
      <c r="FX14" s="1439"/>
      <c r="FY14" s="1420">
        <v>3612282.24</v>
      </c>
      <c r="FZ14" s="1439"/>
      <c r="GA14" s="1422">
        <v>0</v>
      </c>
      <c r="GB14" s="1439"/>
    </row>
    <row r="15" spans="1:184" ht="12.75" customHeight="1" thickBot="1">
      <c r="A15" s="1418" t="s">
        <v>605</v>
      </c>
      <c r="B15" s="1418" t="s">
        <v>606</v>
      </c>
      <c r="C15" s="1420">
        <v>150.77000000000001</v>
      </c>
      <c r="D15" s="1439"/>
      <c r="E15" s="1420">
        <v>1674.96</v>
      </c>
      <c r="F15" s="1439"/>
      <c r="G15" s="1421">
        <v>0.09</v>
      </c>
      <c r="H15" s="1439"/>
      <c r="I15" s="1420">
        <v>1761.54</v>
      </c>
      <c r="J15" s="1439"/>
      <c r="K15" s="1420">
        <v>1749.81</v>
      </c>
      <c r="L15" s="1439"/>
      <c r="M15" s="1422">
        <v>267875810</v>
      </c>
      <c r="N15" s="1439"/>
      <c r="O15" s="1420">
        <v>25.8</v>
      </c>
      <c r="P15" s="1439"/>
      <c r="Q15" s="1422">
        <v>25</v>
      </c>
      <c r="R15" s="1439"/>
      <c r="S15" s="1420">
        <v>0.8</v>
      </c>
      <c r="T15" s="1439"/>
      <c r="U15" s="1422">
        <v>0</v>
      </c>
      <c r="V15" s="1439"/>
      <c r="W15" s="1420">
        <v>11.4</v>
      </c>
      <c r="X15" s="1439"/>
      <c r="Y15" s="1420">
        <v>37.200000000000003</v>
      </c>
      <c r="Z15" s="1439"/>
      <c r="AA15" s="1422">
        <v>30415000</v>
      </c>
      <c r="AB15" s="1439"/>
      <c r="AC15" s="1420">
        <v>9458983.1300000008</v>
      </c>
      <c r="AD15" s="1422">
        <v>9688365</v>
      </c>
      <c r="AE15" s="1420">
        <v>862182.64</v>
      </c>
      <c r="AF15" s="1422">
        <v>178865</v>
      </c>
      <c r="AG15" s="1420">
        <v>12788.21</v>
      </c>
      <c r="AH15" s="1422">
        <v>0</v>
      </c>
      <c r="AI15" s="1422">
        <v>4128306</v>
      </c>
      <c r="AJ15" s="1422">
        <v>4313274</v>
      </c>
      <c r="AK15" s="1422">
        <v>8638</v>
      </c>
      <c r="AL15" s="1422">
        <v>0</v>
      </c>
      <c r="AM15" s="1422">
        <v>95361</v>
      </c>
      <c r="AN15" s="1422">
        <v>0</v>
      </c>
      <c r="AO15" s="1422">
        <v>0</v>
      </c>
      <c r="AP15" s="1422">
        <v>0</v>
      </c>
      <c r="AQ15" s="1422">
        <v>0</v>
      </c>
      <c r="AR15" s="1422">
        <v>0</v>
      </c>
      <c r="AS15" s="1422">
        <v>0</v>
      </c>
      <c r="AT15" s="1422">
        <v>0</v>
      </c>
      <c r="AU15" s="1422">
        <v>0</v>
      </c>
      <c r="AV15" s="1422">
        <v>0</v>
      </c>
      <c r="AW15" s="1420">
        <v>15149.51</v>
      </c>
      <c r="AX15" s="1422">
        <v>5000</v>
      </c>
      <c r="AY15" s="1420">
        <v>14581408.49</v>
      </c>
      <c r="AZ15" s="1422">
        <v>14185504</v>
      </c>
      <c r="BA15" s="1422">
        <v>0</v>
      </c>
      <c r="BB15" s="1422">
        <v>0</v>
      </c>
      <c r="BC15" s="1422">
        <v>72372</v>
      </c>
      <c r="BD15" s="1422">
        <v>75022</v>
      </c>
      <c r="BE15" s="1422">
        <v>9800</v>
      </c>
      <c r="BF15" s="1422">
        <v>7200</v>
      </c>
      <c r="BG15" s="1422">
        <v>1400</v>
      </c>
      <c r="BH15" s="1422">
        <v>1200</v>
      </c>
      <c r="BI15" s="1422">
        <v>61879</v>
      </c>
      <c r="BJ15" s="1422">
        <v>90619</v>
      </c>
      <c r="BK15" s="1422">
        <v>15236</v>
      </c>
      <c r="BL15" s="1422">
        <v>15000</v>
      </c>
      <c r="BM15" s="1422">
        <v>414656</v>
      </c>
      <c r="BN15" s="1422">
        <v>449328</v>
      </c>
      <c r="BO15" s="1420">
        <v>49977.61</v>
      </c>
      <c r="BP15" s="1422">
        <v>40000</v>
      </c>
      <c r="BQ15" s="1420">
        <v>415.56</v>
      </c>
      <c r="BR15" s="1422">
        <v>0</v>
      </c>
      <c r="BS15" s="1420">
        <v>6339.3</v>
      </c>
      <c r="BT15" s="1422">
        <v>0</v>
      </c>
      <c r="BU15" s="1422">
        <v>0</v>
      </c>
      <c r="BV15" s="1422">
        <v>0</v>
      </c>
      <c r="BW15" s="1422">
        <v>194400</v>
      </c>
      <c r="BX15" s="1422">
        <v>194400</v>
      </c>
      <c r="BY15" s="1422">
        <v>0</v>
      </c>
      <c r="BZ15" s="1422">
        <v>0</v>
      </c>
      <c r="CA15" s="1422">
        <v>2527</v>
      </c>
      <c r="CB15" s="1422">
        <v>2021</v>
      </c>
      <c r="CC15" s="1420">
        <v>829002.47</v>
      </c>
      <c r="CD15" s="1422">
        <v>874790</v>
      </c>
      <c r="CE15" s="1420">
        <v>2133235.4700000002</v>
      </c>
      <c r="CF15" s="1420">
        <v>1068113.8</v>
      </c>
      <c r="CG15" s="1422">
        <v>0</v>
      </c>
      <c r="CH15" s="1422">
        <v>0</v>
      </c>
      <c r="CI15" s="1422">
        <v>0</v>
      </c>
      <c r="CJ15" s="1422">
        <v>0</v>
      </c>
      <c r="CK15" s="1422">
        <v>0</v>
      </c>
      <c r="CL15" s="1422">
        <v>0</v>
      </c>
      <c r="CM15" s="1422">
        <v>0</v>
      </c>
      <c r="CN15" s="1422">
        <v>0</v>
      </c>
      <c r="CO15" s="1422">
        <v>0</v>
      </c>
      <c r="CP15" s="1422">
        <v>0</v>
      </c>
      <c r="CQ15" s="1422">
        <v>0</v>
      </c>
      <c r="CR15" s="1422">
        <v>0</v>
      </c>
      <c r="CS15" s="1422">
        <v>0</v>
      </c>
      <c r="CT15" s="1422">
        <v>0</v>
      </c>
      <c r="CU15" s="1420">
        <v>17543646.43</v>
      </c>
      <c r="CV15" s="1420">
        <v>16128407.800000001</v>
      </c>
      <c r="CW15" s="1420">
        <v>5813138.1100000003</v>
      </c>
      <c r="CX15" s="1420">
        <v>5494341.7599999998</v>
      </c>
      <c r="CY15" s="1420">
        <v>959705.99</v>
      </c>
      <c r="CZ15" s="1420">
        <v>1030906.98</v>
      </c>
      <c r="DA15" s="1420">
        <v>658297.48</v>
      </c>
      <c r="DB15" s="1422">
        <v>645425</v>
      </c>
      <c r="DC15" s="1422">
        <v>0</v>
      </c>
      <c r="DD15" s="1422">
        <v>0</v>
      </c>
      <c r="DE15" s="1420">
        <v>504622.47</v>
      </c>
      <c r="DF15" s="1420">
        <v>295943.31</v>
      </c>
      <c r="DG15" s="1420">
        <v>847783.88</v>
      </c>
      <c r="DH15" s="1420">
        <v>858788.95</v>
      </c>
      <c r="DI15" s="1420">
        <v>8783547.9299999997</v>
      </c>
      <c r="DJ15" s="1422">
        <v>8325406</v>
      </c>
      <c r="DK15" s="1420">
        <v>287332.93</v>
      </c>
      <c r="DL15" s="1420">
        <v>297765.24</v>
      </c>
      <c r="DM15" s="1420">
        <v>494864.39</v>
      </c>
      <c r="DN15" s="1420">
        <v>536380.80000000005</v>
      </c>
      <c r="DO15" s="1420">
        <v>1465993.61</v>
      </c>
      <c r="DP15" s="1420">
        <v>1575204.63</v>
      </c>
      <c r="DQ15" s="1420">
        <v>731621.4</v>
      </c>
      <c r="DR15" s="1420">
        <v>1040335.25</v>
      </c>
      <c r="DS15" s="1420">
        <v>23091.38</v>
      </c>
      <c r="DT15" s="1422">
        <v>22000</v>
      </c>
      <c r="DU15" s="1420">
        <v>3002903.71</v>
      </c>
      <c r="DV15" s="1420">
        <v>3471685.92</v>
      </c>
      <c r="DW15" s="1420">
        <v>542821.74</v>
      </c>
      <c r="DX15" s="1422">
        <v>525649</v>
      </c>
      <c r="DY15" s="1420">
        <v>1004970.73</v>
      </c>
      <c r="DZ15" s="1420">
        <v>1258907.47</v>
      </c>
      <c r="EA15" s="1420">
        <v>651564.89</v>
      </c>
      <c r="EB15" s="1422">
        <v>706023</v>
      </c>
      <c r="EC15" s="1420">
        <v>2199357.36</v>
      </c>
      <c r="ED15" s="1420">
        <v>2490579.4700000002</v>
      </c>
      <c r="EE15" s="1420">
        <v>814151.34</v>
      </c>
      <c r="EF15" s="1422">
        <v>2700</v>
      </c>
      <c r="EG15" s="1422">
        <v>0</v>
      </c>
      <c r="EH15" s="1422">
        <v>0</v>
      </c>
      <c r="EI15" s="1420">
        <v>955.1</v>
      </c>
      <c r="EJ15" s="1422">
        <v>8000</v>
      </c>
      <c r="EK15" s="1422">
        <v>0</v>
      </c>
      <c r="EL15" s="1422">
        <v>0</v>
      </c>
      <c r="EM15" s="1420">
        <v>815106.44</v>
      </c>
      <c r="EN15" s="1422">
        <v>10700</v>
      </c>
      <c r="EO15" s="1420">
        <v>1899177.46</v>
      </c>
      <c r="EP15" s="1422">
        <v>0</v>
      </c>
      <c r="EQ15" s="1420">
        <v>1983114.9</v>
      </c>
      <c r="ER15" s="1422">
        <v>1983765</v>
      </c>
      <c r="ES15" s="1422">
        <v>0</v>
      </c>
      <c r="ET15" s="1422">
        <v>0</v>
      </c>
      <c r="EU15" s="1420">
        <v>18683207.800000001</v>
      </c>
      <c r="EV15" s="1420">
        <v>16282136.390000001</v>
      </c>
      <c r="EW15" s="1420">
        <v>2138785.5699999998</v>
      </c>
      <c r="EX15" s="1420">
        <v>344137.29</v>
      </c>
      <c r="EY15" s="1420">
        <v>1983114.9</v>
      </c>
      <c r="EZ15" s="1422">
        <v>1983765</v>
      </c>
      <c r="FA15" s="1420">
        <v>14561307.33</v>
      </c>
      <c r="FB15" s="1420">
        <v>13954234.1</v>
      </c>
      <c r="FC15" s="1420">
        <v>875238.39</v>
      </c>
      <c r="FD15" s="1439"/>
      <c r="FE15" s="1420">
        <v>13686068.939999999</v>
      </c>
      <c r="FF15" s="1439"/>
      <c r="FG15" s="1422">
        <v>8170</v>
      </c>
      <c r="FH15" s="1439"/>
      <c r="FI15" s="1420">
        <v>117.65</v>
      </c>
      <c r="FJ15" s="1439"/>
      <c r="FK15" s="1422">
        <v>48572</v>
      </c>
      <c r="FL15" s="1439"/>
      <c r="FM15" s="1420">
        <v>125.62</v>
      </c>
      <c r="FN15" s="1439"/>
      <c r="FO15" s="1422">
        <v>50153</v>
      </c>
      <c r="FP15" s="1439"/>
      <c r="FQ15" s="1420">
        <v>2315617.9300000002</v>
      </c>
      <c r="FR15" s="1439"/>
      <c r="FS15" s="1420">
        <v>270551.05</v>
      </c>
      <c r="FT15" s="1439"/>
      <c r="FU15" s="1422">
        <v>0</v>
      </c>
      <c r="FV15" s="1439"/>
      <c r="FW15" s="1420">
        <v>2045066.88</v>
      </c>
      <c r="FX15" s="1439"/>
      <c r="FY15" s="1420">
        <v>1704988.94</v>
      </c>
      <c r="FZ15" s="1439"/>
      <c r="GA15" s="1422">
        <v>0</v>
      </c>
      <c r="GB15" s="1439"/>
    </row>
    <row r="16" spans="1:184" ht="12.75" customHeight="1" thickBot="1">
      <c r="A16" s="1418" t="s">
        <v>607</v>
      </c>
      <c r="B16" s="1418" t="s">
        <v>608</v>
      </c>
      <c r="C16" s="1420">
        <v>259.52999999999997</v>
      </c>
      <c r="D16" s="1439"/>
      <c r="E16" s="1420">
        <v>13236.23</v>
      </c>
      <c r="F16" s="1439"/>
      <c r="G16" s="1421">
        <v>0.08</v>
      </c>
      <c r="H16" s="1439"/>
      <c r="I16" s="1420">
        <v>13860.57</v>
      </c>
      <c r="J16" s="1439"/>
      <c r="K16" s="1420">
        <v>13696.01</v>
      </c>
      <c r="L16" s="1439"/>
      <c r="M16" s="1422">
        <v>1732144990</v>
      </c>
      <c r="N16" s="1439"/>
      <c r="O16" s="1422">
        <v>25</v>
      </c>
      <c r="P16" s="1439"/>
      <c r="Q16" s="1422">
        <v>25</v>
      </c>
      <c r="R16" s="1439"/>
      <c r="S16" s="1422">
        <v>0</v>
      </c>
      <c r="T16" s="1439"/>
      <c r="U16" s="1420">
        <v>2.5</v>
      </c>
      <c r="V16" s="1439"/>
      <c r="W16" s="1420">
        <v>10.9</v>
      </c>
      <c r="X16" s="1439"/>
      <c r="Y16" s="1420">
        <v>38.4</v>
      </c>
      <c r="Z16" s="1439"/>
      <c r="AA16" s="1422">
        <v>158025000</v>
      </c>
      <c r="AB16" s="1439"/>
      <c r="AC16" s="1420">
        <v>64959961.200000003</v>
      </c>
      <c r="AD16" s="1422">
        <v>64065746</v>
      </c>
      <c r="AE16" s="1420">
        <v>5665848.71</v>
      </c>
      <c r="AF16" s="1422">
        <v>5365500</v>
      </c>
      <c r="AG16" s="1420">
        <v>100157.01</v>
      </c>
      <c r="AH16" s="1422">
        <v>0</v>
      </c>
      <c r="AI16" s="1422">
        <v>40430117</v>
      </c>
      <c r="AJ16" s="1422">
        <v>42854122</v>
      </c>
      <c r="AK16" s="1422">
        <v>688995</v>
      </c>
      <c r="AL16" s="1422">
        <v>0</v>
      </c>
      <c r="AM16" s="1422">
        <v>1173580</v>
      </c>
      <c r="AN16" s="1422">
        <v>307200</v>
      </c>
      <c r="AO16" s="1422">
        <v>0</v>
      </c>
      <c r="AP16" s="1422">
        <v>0</v>
      </c>
      <c r="AQ16" s="1422">
        <v>0</v>
      </c>
      <c r="AR16" s="1422">
        <v>0</v>
      </c>
      <c r="AS16" s="1422">
        <v>0</v>
      </c>
      <c r="AT16" s="1422">
        <v>0</v>
      </c>
      <c r="AU16" s="1422">
        <v>0</v>
      </c>
      <c r="AV16" s="1422">
        <v>0</v>
      </c>
      <c r="AW16" s="1422">
        <v>0</v>
      </c>
      <c r="AX16" s="1422">
        <v>488000</v>
      </c>
      <c r="AY16" s="1420">
        <v>113018658.92</v>
      </c>
      <c r="AZ16" s="1422">
        <v>113080568</v>
      </c>
      <c r="BA16" s="1422">
        <v>0</v>
      </c>
      <c r="BB16" s="1422">
        <v>0</v>
      </c>
      <c r="BC16" s="1422">
        <v>566467</v>
      </c>
      <c r="BD16" s="1422">
        <v>588856</v>
      </c>
      <c r="BE16" s="1420">
        <v>30922.18</v>
      </c>
      <c r="BF16" s="1422">
        <v>0</v>
      </c>
      <c r="BG16" s="1422">
        <v>39850</v>
      </c>
      <c r="BH16" s="1422">
        <v>0</v>
      </c>
      <c r="BI16" s="1422">
        <v>593645</v>
      </c>
      <c r="BJ16" s="1422">
        <v>744193</v>
      </c>
      <c r="BK16" s="1422">
        <v>1368896</v>
      </c>
      <c r="BL16" s="1420">
        <v>1384569.62</v>
      </c>
      <c r="BM16" s="1422">
        <v>3943696</v>
      </c>
      <c r="BN16" s="1422">
        <v>4154766</v>
      </c>
      <c r="BO16" s="1420">
        <v>775180.77</v>
      </c>
      <c r="BP16" s="1422">
        <v>300000</v>
      </c>
      <c r="BQ16" s="1420">
        <v>205081.49</v>
      </c>
      <c r="BR16" s="1422">
        <v>0</v>
      </c>
      <c r="BS16" s="1420">
        <v>52255.8</v>
      </c>
      <c r="BT16" s="1422">
        <v>40000</v>
      </c>
      <c r="BU16" s="1422">
        <v>0</v>
      </c>
      <c r="BV16" s="1422">
        <v>0</v>
      </c>
      <c r="BW16" s="1422">
        <v>1507625</v>
      </c>
      <c r="BX16" s="1422">
        <v>1507800</v>
      </c>
      <c r="BY16" s="1422">
        <v>0</v>
      </c>
      <c r="BZ16" s="1422">
        <v>0</v>
      </c>
      <c r="CA16" s="1422">
        <v>86411</v>
      </c>
      <c r="CB16" s="1422">
        <v>69129</v>
      </c>
      <c r="CC16" s="1420">
        <v>9170030.2400000002</v>
      </c>
      <c r="CD16" s="1420">
        <v>8789313.6199999992</v>
      </c>
      <c r="CE16" s="1420">
        <v>17341362.329999998</v>
      </c>
      <c r="CF16" s="1422">
        <v>17677174</v>
      </c>
      <c r="CG16" s="1420">
        <v>10385166.689999999</v>
      </c>
      <c r="CH16" s="1422">
        <v>0</v>
      </c>
      <c r="CI16" s="1422">
        <v>0</v>
      </c>
      <c r="CJ16" s="1422">
        <v>0</v>
      </c>
      <c r="CK16" s="1422">
        <v>0</v>
      </c>
      <c r="CL16" s="1422">
        <v>0</v>
      </c>
      <c r="CM16" s="1420">
        <v>10287.68</v>
      </c>
      <c r="CN16" s="1422">
        <v>0</v>
      </c>
      <c r="CO16" s="1420">
        <v>1286.9000000000001</v>
      </c>
      <c r="CP16" s="1422">
        <v>0</v>
      </c>
      <c r="CQ16" s="1422">
        <v>0</v>
      </c>
      <c r="CR16" s="1422">
        <v>0</v>
      </c>
      <c r="CS16" s="1420">
        <v>10396741.27</v>
      </c>
      <c r="CT16" s="1422">
        <v>0</v>
      </c>
      <c r="CU16" s="1420">
        <v>149926792.75999999</v>
      </c>
      <c r="CV16" s="1420">
        <v>139547055.62</v>
      </c>
      <c r="CW16" s="1420">
        <v>51200697.859999999</v>
      </c>
      <c r="CX16" s="1420">
        <v>52107440.399999999</v>
      </c>
      <c r="CY16" s="1420">
        <v>9492963.5800000001</v>
      </c>
      <c r="CZ16" s="1420">
        <v>10012111.93</v>
      </c>
      <c r="DA16" s="1420">
        <v>2574130.2200000002</v>
      </c>
      <c r="DB16" s="1420">
        <v>2243402.54</v>
      </c>
      <c r="DC16" s="1422">
        <v>0</v>
      </c>
      <c r="DD16" s="1422">
        <v>0</v>
      </c>
      <c r="DE16" s="1420">
        <v>3145384.72</v>
      </c>
      <c r="DF16" s="1420">
        <v>2874597.34</v>
      </c>
      <c r="DG16" s="1420">
        <v>7370689.96</v>
      </c>
      <c r="DH16" s="1420">
        <v>7704402.0700000003</v>
      </c>
      <c r="DI16" s="1420">
        <v>73783866.340000004</v>
      </c>
      <c r="DJ16" s="1420">
        <v>74941954.280000001</v>
      </c>
      <c r="DK16" s="1420">
        <v>912932.46</v>
      </c>
      <c r="DL16" s="1420">
        <v>1074469.95</v>
      </c>
      <c r="DM16" s="1420">
        <v>1893494.43</v>
      </c>
      <c r="DN16" s="1420">
        <v>3976274.15</v>
      </c>
      <c r="DO16" s="1420">
        <v>10147490.52</v>
      </c>
      <c r="DP16" s="1420">
        <v>12956011.630000001</v>
      </c>
      <c r="DQ16" s="1420">
        <v>3318187.72</v>
      </c>
      <c r="DR16" s="1420">
        <v>3546795.87</v>
      </c>
      <c r="DS16" s="1420">
        <v>16119.56</v>
      </c>
      <c r="DT16" s="1422">
        <v>20000</v>
      </c>
      <c r="DU16" s="1420">
        <v>16288224.689999999</v>
      </c>
      <c r="DV16" s="1420">
        <v>21573551.600000001</v>
      </c>
      <c r="DW16" s="1420">
        <v>5971189.79</v>
      </c>
      <c r="DX16" s="1420">
        <v>6357465.7199999997</v>
      </c>
      <c r="DY16" s="1420">
        <v>9354026.8000000007</v>
      </c>
      <c r="DZ16" s="1420">
        <v>10522473.300000001</v>
      </c>
      <c r="EA16" s="1420">
        <v>6634528.25</v>
      </c>
      <c r="EB16" s="1420">
        <v>6554986.1900000004</v>
      </c>
      <c r="EC16" s="1420">
        <v>21959744.84</v>
      </c>
      <c r="ED16" s="1420">
        <v>23434925.210000001</v>
      </c>
      <c r="EE16" s="1420">
        <v>6852194.8899999997</v>
      </c>
      <c r="EF16" s="1422">
        <v>7605000</v>
      </c>
      <c r="EG16" s="1422">
        <v>0</v>
      </c>
      <c r="EH16" s="1422">
        <v>0</v>
      </c>
      <c r="EI16" s="1420">
        <v>976501.99</v>
      </c>
      <c r="EJ16" s="1420">
        <v>4220616.16</v>
      </c>
      <c r="EK16" s="1422">
        <v>0</v>
      </c>
      <c r="EL16" s="1422">
        <v>0</v>
      </c>
      <c r="EM16" s="1420">
        <v>7828696.8799999999</v>
      </c>
      <c r="EN16" s="1420">
        <v>11825616.16</v>
      </c>
      <c r="EO16" s="1420">
        <v>2669365.7400000002</v>
      </c>
      <c r="EP16" s="1422">
        <v>5600000</v>
      </c>
      <c r="EQ16" s="1420">
        <v>11697508.75</v>
      </c>
      <c r="ER16" s="1422">
        <v>11443239</v>
      </c>
      <c r="ES16" s="1420">
        <v>116526.78</v>
      </c>
      <c r="ET16" s="1422">
        <v>0</v>
      </c>
      <c r="EU16" s="1420">
        <v>134343934.02000001</v>
      </c>
      <c r="EV16" s="1420">
        <v>148819286.25</v>
      </c>
      <c r="EW16" s="1420">
        <v>4444544.95</v>
      </c>
      <c r="EX16" s="1422">
        <v>7357270</v>
      </c>
      <c r="EY16" s="1420">
        <v>11697508.75</v>
      </c>
      <c r="EZ16" s="1422">
        <v>11443239</v>
      </c>
      <c r="FA16" s="1420">
        <v>118201880.31999999</v>
      </c>
      <c r="FB16" s="1420">
        <v>130018777.25</v>
      </c>
      <c r="FC16" s="1420">
        <v>8606940.25</v>
      </c>
      <c r="FD16" s="1439"/>
      <c r="FE16" s="1420">
        <v>109594940.06999999</v>
      </c>
      <c r="FF16" s="1439"/>
      <c r="FG16" s="1422">
        <v>8279</v>
      </c>
      <c r="FH16" s="1439"/>
      <c r="FI16" s="1420">
        <v>879.26</v>
      </c>
      <c r="FJ16" s="1439"/>
      <c r="FK16" s="1422">
        <v>55836</v>
      </c>
      <c r="FL16" s="1439"/>
      <c r="FM16" s="1420">
        <v>950.92</v>
      </c>
      <c r="FN16" s="1439"/>
      <c r="FO16" s="1422">
        <v>58049</v>
      </c>
      <c r="FP16" s="1439"/>
      <c r="FQ16" s="1420">
        <v>9513764.5399999991</v>
      </c>
      <c r="FR16" s="1439"/>
      <c r="FS16" s="1420">
        <v>152978.79999999999</v>
      </c>
      <c r="FT16" s="1439"/>
      <c r="FU16" s="1422">
        <v>0</v>
      </c>
      <c r="FV16" s="1439"/>
      <c r="FW16" s="1420">
        <v>9360785.7400000002</v>
      </c>
      <c r="FX16" s="1439"/>
      <c r="FY16" s="1420">
        <v>18329423.02</v>
      </c>
      <c r="FZ16" s="1439"/>
      <c r="GA16" s="1420">
        <v>2761164.34</v>
      </c>
      <c r="GB16" s="1439"/>
    </row>
    <row r="17" spans="1:184" ht="12.75" customHeight="1" thickBot="1">
      <c r="A17" s="1418" t="s">
        <v>609</v>
      </c>
      <c r="B17" s="1418" t="s">
        <v>610</v>
      </c>
      <c r="C17" s="1420">
        <v>144.13</v>
      </c>
      <c r="D17" s="1439"/>
      <c r="E17" s="1420">
        <v>3600.02</v>
      </c>
      <c r="F17" s="1439"/>
      <c r="G17" s="1421">
        <v>0.11</v>
      </c>
      <c r="H17" s="1439"/>
      <c r="I17" s="1420">
        <v>3834.57</v>
      </c>
      <c r="J17" s="1439"/>
      <c r="K17" s="1420">
        <v>3809.7</v>
      </c>
      <c r="L17" s="1439"/>
      <c r="M17" s="1422">
        <v>306811031</v>
      </c>
      <c r="N17" s="1439"/>
      <c r="O17" s="1422">
        <v>25</v>
      </c>
      <c r="P17" s="1439"/>
      <c r="Q17" s="1422">
        <v>25</v>
      </c>
      <c r="R17" s="1439"/>
      <c r="S17" s="1422">
        <v>0</v>
      </c>
      <c r="T17" s="1439"/>
      <c r="U17" s="1422">
        <v>0</v>
      </c>
      <c r="V17" s="1439"/>
      <c r="W17" s="1422">
        <v>20</v>
      </c>
      <c r="X17" s="1439"/>
      <c r="Y17" s="1422">
        <v>45</v>
      </c>
      <c r="Z17" s="1439"/>
      <c r="AA17" s="1422">
        <v>54840000</v>
      </c>
      <c r="AB17" s="1439"/>
      <c r="AC17" s="1420">
        <v>13574928.949999999</v>
      </c>
      <c r="AD17" s="1422">
        <v>13957401</v>
      </c>
      <c r="AE17" s="1420">
        <v>2672253.65</v>
      </c>
      <c r="AF17" s="1420">
        <v>1088154.8</v>
      </c>
      <c r="AG17" s="1420">
        <v>27861.99</v>
      </c>
      <c r="AH17" s="1422">
        <v>20000</v>
      </c>
      <c r="AI17" s="1422">
        <v>15324489</v>
      </c>
      <c r="AJ17" s="1422">
        <v>16117387</v>
      </c>
      <c r="AK17" s="1422">
        <v>66308</v>
      </c>
      <c r="AL17" s="1422">
        <v>0</v>
      </c>
      <c r="AM17" s="1422">
        <v>226254</v>
      </c>
      <c r="AN17" s="1422">
        <v>0</v>
      </c>
      <c r="AO17" s="1422">
        <v>0</v>
      </c>
      <c r="AP17" s="1422">
        <v>0</v>
      </c>
      <c r="AQ17" s="1422">
        <v>0</v>
      </c>
      <c r="AR17" s="1422">
        <v>0</v>
      </c>
      <c r="AS17" s="1422">
        <v>0</v>
      </c>
      <c r="AT17" s="1422">
        <v>0</v>
      </c>
      <c r="AU17" s="1422">
        <v>0</v>
      </c>
      <c r="AV17" s="1422">
        <v>0</v>
      </c>
      <c r="AW17" s="1420">
        <v>684.58</v>
      </c>
      <c r="AX17" s="1422">
        <v>0</v>
      </c>
      <c r="AY17" s="1420">
        <v>31892780.170000002</v>
      </c>
      <c r="AZ17" s="1420">
        <v>31182942.800000001</v>
      </c>
      <c r="BA17" s="1422">
        <v>0</v>
      </c>
      <c r="BB17" s="1422">
        <v>0</v>
      </c>
      <c r="BC17" s="1422">
        <v>157569</v>
      </c>
      <c r="BD17" s="1422">
        <v>163538</v>
      </c>
      <c r="BE17" s="1420">
        <v>24305.52</v>
      </c>
      <c r="BF17" s="1422">
        <v>21600</v>
      </c>
      <c r="BG17" s="1422">
        <v>3650</v>
      </c>
      <c r="BH17" s="1422">
        <v>0</v>
      </c>
      <c r="BI17" s="1422">
        <v>261901</v>
      </c>
      <c r="BJ17" s="1422">
        <v>298316</v>
      </c>
      <c r="BK17" s="1422">
        <v>200119</v>
      </c>
      <c r="BL17" s="1422">
        <v>200119</v>
      </c>
      <c r="BM17" s="1422">
        <v>1023856</v>
      </c>
      <c r="BN17" s="1422">
        <v>1082729</v>
      </c>
      <c r="BO17" s="1420">
        <v>213591.27</v>
      </c>
      <c r="BP17" s="1422">
        <v>133998</v>
      </c>
      <c r="BQ17" s="1420">
        <v>103588.98</v>
      </c>
      <c r="BR17" s="1422">
        <v>56875</v>
      </c>
      <c r="BS17" s="1420">
        <v>12235.79</v>
      </c>
      <c r="BT17" s="1422">
        <v>12200</v>
      </c>
      <c r="BU17" s="1422">
        <v>0</v>
      </c>
      <c r="BV17" s="1422">
        <v>0</v>
      </c>
      <c r="BW17" s="1422">
        <v>580770</v>
      </c>
      <c r="BX17" s="1420">
        <v>756520.76</v>
      </c>
      <c r="BY17" s="1422">
        <v>0</v>
      </c>
      <c r="BZ17" s="1422">
        <v>0</v>
      </c>
      <c r="CA17" s="1420">
        <v>6667247.0300000003</v>
      </c>
      <c r="CB17" s="1422">
        <v>3242475</v>
      </c>
      <c r="CC17" s="1420">
        <v>9248833.5899999999</v>
      </c>
      <c r="CD17" s="1420">
        <v>5968370.7599999998</v>
      </c>
      <c r="CE17" s="1420">
        <v>4650240.49</v>
      </c>
      <c r="CF17" s="1420">
        <v>3237539.64</v>
      </c>
      <c r="CG17" s="1422">
        <v>0</v>
      </c>
      <c r="CH17" s="1422">
        <v>0</v>
      </c>
      <c r="CI17" s="1422">
        <v>0</v>
      </c>
      <c r="CJ17" s="1422">
        <v>0</v>
      </c>
      <c r="CK17" s="1422">
        <v>0</v>
      </c>
      <c r="CL17" s="1422">
        <v>0</v>
      </c>
      <c r="CM17" s="1422">
        <v>0</v>
      </c>
      <c r="CN17" s="1422">
        <v>0</v>
      </c>
      <c r="CO17" s="1422">
        <v>0</v>
      </c>
      <c r="CP17" s="1422">
        <v>0</v>
      </c>
      <c r="CQ17" s="1422">
        <v>0</v>
      </c>
      <c r="CR17" s="1422">
        <v>0</v>
      </c>
      <c r="CS17" s="1422">
        <v>0</v>
      </c>
      <c r="CT17" s="1422">
        <v>0</v>
      </c>
      <c r="CU17" s="1420">
        <v>45791854.25</v>
      </c>
      <c r="CV17" s="1420">
        <v>40388853.200000003</v>
      </c>
      <c r="CW17" s="1420">
        <v>12744647.560000001</v>
      </c>
      <c r="CX17" s="1420">
        <v>11869394.619999999</v>
      </c>
      <c r="CY17" s="1420">
        <v>2078016.59</v>
      </c>
      <c r="CZ17" s="1420">
        <v>2159041.69</v>
      </c>
      <c r="DA17" s="1420">
        <v>1091918.67</v>
      </c>
      <c r="DB17" s="1420">
        <v>1073176.31</v>
      </c>
      <c r="DC17" s="1422">
        <v>0</v>
      </c>
      <c r="DD17" s="1422">
        <v>0</v>
      </c>
      <c r="DE17" s="1420">
        <v>874274.67</v>
      </c>
      <c r="DF17" s="1420">
        <v>989593.36</v>
      </c>
      <c r="DG17" s="1420">
        <v>2671320.0299999998</v>
      </c>
      <c r="DH17" s="1420">
        <v>2507391.42</v>
      </c>
      <c r="DI17" s="1420">
        <v>19460177.52</v>
      </c>
      <c r="DJ17" s="1420">
        <v>18598597.399999999</v>
      </c>
      <c r="DK17" s="1420">
        <v>489886.75</v>
      </c>
      <c r="DL17" s="1420">
        <v>558615.04000000004</v>
      </c>
      <c r="DM17" s="1420">
        <v>302491.31</v>
      </c>
      <c r="DN17" s="1422">
        <v>364392</v>
      </c>
      <c r="DO17" s="1420">
        <v>2880237.43</v>
      </c>
      <c r="DP17" s="1420">
        <v>3550365.15</v>
      </c>
      <c r="DQ17" s="1420">
        <v>1353483.46</v>
      </c>
      <c r="DR17" s="1420">
        <v>1315546.97</v>
      </c>
      <c r="DS17" s="1420">
        <v>59103.12</v>
      </c>
      <c r="DT17" s="1420">
        <v>58041.67</v>
      </c>
      <c r="DU17" s="1420">
        <v>5085202.07</v>
      </c>
      <c r="DV17" s="1420">
        <v>5846960.8300000001</v>
      </c>
      <c r="DW17" s="1420">
        <v>1472888.39</v>
      </c>
      <c r="DX17" s="1420">
        <v>1573973.45</v>
      </c>
      <c r="DY17" s="1420">
        <v>3408818.24</v>
      </c>
      <c r="DZ17" s="1420">
        <v>3569884.72</v>
      </c>
      <c r="EA17" s="1420">
        <v>1901453.93</v>
      </c>
      <c r="EB17" s="1420">
        <v>1910776.18</v>
      </c>
      <c r="EC17" s="1420">
        <v>6783160.5599999996</v>
      </c>
      <c r="ED17" s="1420">
        <v>7054634.3499999996</v>
      </c>
      <c r="EE17" s="1420">
        <v>1883334.25</v>
      </c>
      <c r="EF17" s="1420">
        <v>1789232.6</v>
      </c>
      <c r="EG17" s="1422">
        <v>0</v>
      </c>
      <c r="EH17" s="1422">
        <v>0</v>
      </c>
      <c r="EI17" s="1420">
        <v>1077.96</v>
      </c>
      <c r="EJ17" s="1422">
        <v>10000</v>
      </c>
      <c r="EK17" s="1422">
        <v>0</v>
      </c>
      <c r="EL17" s="1422">
        <v>0</v>
      </c>
      <c r="EM17" s="1420">
        <v>1884412.21</v>
      </c>
      <c r="EN17" s="1420">
        <v>1799232.6</v>
      </c>
      <c r="EO17" s="1420">
        <v>16233175.279999999</v>
      </c>
      <c r="EP17" s="1420">
        <v>19781099.609999999</v>
      </c>
      <c r="EQ17" s="1420">
        <v>3333703.76</v>
      </c>
      <c r="ER17" s="1422">
        <v>3495944</v>
      </c>
      <c r="ES17" s="1422">
        <v>0</v>
      </c>
      <c r="ET17" s="1420">
        <v>33.92</v>
      </c>
      <c r="EU17" s="1420">
        <v>52779831.399999999</v>
      </c>
      <c r="EV17" s="1420">
        <v>56576502.710000001</v>
      </c>
      <c r="EW17" s="1420">
        <v>16710682.48</v>
      </c>
      <c r="EX17" s="1420">
        <v>20234986.859999999</v>
      </c>
      <c r="EY17" s="1420">
        <v>3333703.76</v>
      </c>
      <c r="EZ17" s="1422">
        <v>3495944</v>
      </c>
      <c r="FA17" s="1420">
        <v>32735445.16</v>
      </c>
      <c r="FB17" s="1420">
        <v>32845571.850000001</v>
      </c>
      <c r="FC17" s="1420">
        <v>2148422.3199999998</v>
      </c>
      <c r="FD17" s="1439"/>
      <c r="FE17" s="1420">
        <v>30587022.84</v>
      </c>
      <c r="FF17" s="1439"/>
      <c r="FG17" s="1422">
        <v>8496</v>
      </c>
      <c r="FH17" s="1439"/>
      <c r="FI17" s="1420">
        <v>249.21</v>
      </c>
      <c r="FJ17" s="1439"/>
      <c r="FK17" s="1422">
        <v>46553</v>
      </c>
      <c r="FL17" s="1439"/>
      <c r="FM17" s="1420">
        <v>274.45999999999998</v>
      </c>
      <c r="FN17" s="1439"/>
      <c r="FO17" s="1422">
        <v>49203</v>
      </c>
      <c r="FP17" s="1439"/>
      <c r="FQ17" s="1420">
        <v>7404111.9900000002</v>
      </c>
      <c r="FR17" s="1439"/>
      <c r="FS17" s="1420">
        <v>123074.08</v>
      </c>
      <c r="FT17" s="1439"/>
      <c r="FU17" s="1422">
        <v>0</v>
      </c>
      <c r="FV17" s="1439"/>
      <c r="FW17" s="1420">
        <v>7281037.9100000001</v>
      </c>
      <c r="FX17" s="1439"/>
      <c r="FY17" s="1420">
        <v>17421053.609999999</v>
      </c>
      <c r="FZ17" s="1439"/>
      <c r="GA17" s="1422">
        <v>0</v>
      </c>
      <c r="GB17" s="1439"/>
    </row>
    <row r="18" spans="1:184" ht="12.75" customHeight="1" thickBot="1">
      <c r="A18" s="1418" t="s">
        <v>611</v>
      </c>
      <c r="B18" s="1418" t="s">
        <v>612</v>
      </c>
      <c r="C18" s="1420">
        <v>52.89</v>
      </c>
      <c r="D18" s="1439"/>
      <c r="E18" s="1420">
        <v>1554.62</v>
      </c>
      <c r="F18" s="1439"/>
      <c r="G18" s="1421">
        <v>0.25</v>
      </c>
      <c r="H18" s="1439"/>
      <c r="I18" s="1420">
        <v>1639.42</v>
      </c>
      <c r="J18" s="1439"/>
      <c r="K18" s="1420">
        <v>1608.1</v>
      </c>
      <c r="L18" s="1439"/>
      <c r="M18" s="1422">
        <v>92498110</v>
      </c>
      <c r="N18" s="1439"/>
      <c r="O18" s="1422">
        <v>25</v>
      </c>
      <c r="P18" s="1439"/>
      <c r="Q18" s="1422">
        <v>25</v>
      </c>
      <c r="R18" s="1439"/>
      <c r="S18" s="1422">
        <v>0</v>
      </c>
      <c r="T18" s="1439"/>
      <c r="U18" s="1422">
        <v>0</v>
      </c>
      <c r="V18" s="1439"/>
      <c r="W18" s="1420">
        <v>19.8</v>
      </c>
      <c r="X18" s="1439"/>
      <c r="Y18" s="1420">
        <v>44.8</v>
      </c>
      <c r="Z18" s="1439"/>
      <c r="AA18" s="1420">
        <v>18292857.010000002</v>
      </c>
      <c r="AB18" s="1439"/>
      <c r="AC18" s="1420">
        <v>3875328.19</v>
      </c>
      <c r="AD18" s="1420">
        <v>4614342.97</v>
      </c>
      <c r="AE18" s="1422">
        <v>610782</v>
      </c>
      <c r="AF18" s="1422">
        <v>598655</v>
      </c>
      <c r="AG18" s="1422">
        <v>0</v>
      </c>
      <c r="AH18" s="1422">
        <v>0</v>
      </c>
      <c r="AI18" s="1422">
        <v>7462155</v>
      </c>
      <c r="AJ18" s="1422">
        <v>7816899</v>
      </c>
      <c r="AK18" s="1422">
        <v>30585</v>
      </c>
      <c r="AL18" s="1422">
        <v>20000</v>
      </c>
      <c r="AM18" s="1422">
        <v>387265</v>
      </c>
      <c r="AN18" s="1422">
        <v>200000</v>
      </c>
      <c r="AO18" s="1422">
        <v>0</v>
      </c>
      <c r="AP18" s="1422">
        <v>0</v>
      </c>
      <c r="AQ18" s="1422">
        <v>0</v>
      </c>
      <c r="AR18" s="1422">
        <v>0</v>
      </c>
      <c r="AS18" s="1422">
        <v>0</v>
      </c>
      <c r="AT18" s="1422">
        <v>0</v>
      </c>
      <c r="AU18" s="1422">
        <v>55333</v>
      </c>
      <c r="AV18" s="1422">
        <v>44266</v>
      </c>
      <c r="AW18" s="1422">
        <v>0</v>
      </c>
      <c r="AX18" s="1422">
        <v>0</v>
      </c>
      <c r="AY18" s="1420">
        <v>12421448.189999999</v>
      </c>
      <c r="AZ18" s="1420">
        <v>13294162.970000001</v>
      </c>
      <c r="BA18" s="1422">
        <v>0</v>
      </c>
      <c r="BB18" s="1422">
        <v>0</v>
      </c>
      <c r="BC18" s="1422">
        <v>66511</v>
      </c>
      <c r="BD18" s="1422">
        <v>69551</v>
      </c>
      <c r="BE18" s="1422">
        <v>11400</v>
      </c>
      <c r="BF18" s="1422">
        <v>9600</v>
      </c>
      <c r="BG18" s="1422">
        <v>5500</v>
      </c>
      <c r="BH18" s="1422">
        <v>0</v>
      </c>
      <c r="BI18" s="1422">
        <v>44734</v>
      </c>
      <c r="BJ18" s="1422">
        <v>51066</v>
      </c>
      <c r="BK18" s="1422">
        <v>12306</v>
      </c>
      <c r="BL18" s="1422">
        <v>12300</v>
      </c>
      <c r="BM18" s="1422">
        <v>371405</v>
      </c>
      <c r="BN18" s="1422">
        <v>388190</v>
      </c>
      <c r="BO18" s="1420">
        <v>86745.9</v>
      </c>
      <c r="BP18" s="1422">
        <v>109343</v>
      </c>
      <c r="BQ18" s="1422">
        <v>0</v>
      </c>
      <c r="BR18" s="1422">
        <v>4875</v>
      </c>
      <c r="BS18" s="1420">
        <v>4787.7</v>
      </c>
      <c r="BT18" s="1422">
        <v>2350</v>
      </c>
      <c r="BU18" s="1422">
        <v>0</v>
      </c>
      <c r="BV18" s="1422">
        <v>0</v>
      </c>
      <c r="BW18" s="1422">
        <v>0</v>
      </c>
      <c r="BX18" s="1422">
        <v>0</v>
      </c>
      <c r="BY18" s="1422">
        <v>0</v>
      </c>
      <c r="BZ18" s="1422">
        <v>0</v>
      </c>
      <c r="CA18" s="1420">
        <v>183723.72</v>
      </c>
      <c r="CB18" s="1422">
        <v>155520</v>
      </c>
      <c r="CC18" s="1420">
        <v>787113.32</v>
      </c>
      <c r="CD18" s="1422">
        <v>802795</v>
      </c>
      <c r="CE18" s="1420">
        <v>2339792.62</v>
      </c>
      <c r="CF18" s="1420">
        <v>1233273.06</v>
      </c>
      <c r="CG18" s="1420">
        <v>3541723.95</v>
      </c>
      <c r="CH18" s="1422">
        <v>0</v>
      </c>
      <c r="CI18" s="1422">
        <v>0</v>
      </c>
      <c r="CJ18" s="1422">
        <v>0</v>
      </c>
      <c r="CK18" s="1422">
        <v>5000</v>
      </c>
      <c r="CL18" s="1422">
        <v>5000</v>
      </c>
      <c r="CM18" s="1420">
        <v>994.5</v>
      </c>
      <c r="CN18" s="1422">
        <v>0</v>
      </c>
      <c r="CO18" s="1420">
        <v>8131.84</v>
      </c>
      <c r="CP18" s="1422">
        <v>0</v>
      </c>
      <c r="CQ18" s="1422">
        <v>0</v>
      </c>
      <c r="CR18" s="1422">
        <v>0</v>
      </c>
      <c r="CS18" s="1420">
        <v>3555850.29</v>
      </c>
      <c r="CT18" s="1422">
        <v>5000</v>
      </c>
      <c r="CU18" s="1420">
        <v>19104204.420000002</v>
      </c>
      <c r="CV18" s="1420">
        <v>15335231.029999999</v>
      </c>
      <c r="CW18" s="1420">
        <v>4959740.95</v>
      </c>
      <c r="CX18" s="1420">
        <v>5225428.8899999997</v>
      </c>
      <c r="CY18" s="1420">
        <v>577379.05000000005</v>
      </c>
      <c r="CZ18" s="1420">
        <v>700605.97</v>
      </c>
      <c r="DA18" s="1420">
        <v>416631.87</v>
      </c>
      <c r="DB18" s="1420">
        <v>362485.88</v>
      </c>
      <c r="DC18" s="1422">
        <v>0</v>
      </c>
      <c r="DD18" s="1422">
        <v>0</v>
      </c>
      <c r="DE18" s="1420">
        <v>256828.19</v>
      </c>
      <c r="DF18" s="1420">
        <v>305563.52000000002</v>
      </c>
      <c r="DG18" s="1420">
        <v>718423.91</v>
      </c>
      <c r="DH18" s="1420">
        <v>764426.37</v>
      </c>
      <c r="DI18" s="1420">
        <v>6929003.9699999997</v>
      </c>
      <c r="DJ18" s="1420">
        <v>7358510.6299999999</v>
      </c>
      <c r="DK18" s="1420">
        <v>249853.99</v>
      </c>
      <c r="DL18" s="1420">
        <v>346911.5</v>
      </c>
      <c r="DM18" s="1420">
        <v>409243.19</v>
      </c>
      <c r="DN18" s="1420">
        <v>356983.02</v>
      </c>
      <c r="DO18" s="1420">
        <v>1263752.08</v>
      </c>
      <c r="DP18" s="1420">
        <v>1248394.33</v>
      </c>
      <c r="DQ18" s="1420">
        <v>593760.49</v>
      </c>
      <c r="DR18" s="1420">
        <v>764362.19</v>
      </c>
      <c r="DS18" s="1420">
        <v>43631.3</v>
      </c>
      <c r="DT18" s="1422">
        <v>44822</v>
      </c>
      <c r="DU18" s="1420">
        <v>2560241.0499999998</v>
      </c>
      <c r="DV18" s="1420">
        <v>2761473.04</v>
      </c>
      <c r="DW18" s="1420">
        <v>510205.97</v>
      </c>
      <c r="DX18" s="1420">
        <v>581604.02</v>
      </c>
      <c r="DY18" s="1420">
        <v>703880.25</v>
      </c>
      <c r="DZ18" s="1420">
        <v>811685.63</v>
      </c>
      <c r="EA18" s="1420">
        <v>789586.86</v>
      </c>
      <c r="EB18" s="1420">
        <v>914078.68</v>
      </c>
      <c r="EC18" s="1420">
        <v>2003673.08</v>
      </c>
      <c r="ED18" s="1420">
        <v>2307368.33</v>
      </c>
      <c r="EE18" s="1420">
        <v>805802.63</v>
      </c>
      <c r="EF18" s="1420">
        <v>807581.38</v>
      </c>
      <c r="EG18" s="1422">
        <v>0</v>
      </c>
      <c r="EH18" s="1422">
        <v>0</v>
      </c>
      <c r="EI18" s="1420">
        <v>222.41</v>
      </c>
      <c r="EJ18" s="1422">
        <v>500</v>
      </c>
      <c r="EK18" s="1422">
        <v>0</v>
      </c>
      <c r="EL18" s="1422">
        <v>0</v>
      </c>
      <c r="EM18" s="1420">
        <v>806025.04</v>
      </c>
      <c r="EN18" s="1420">
        <v>808081.38</v>
      </c>
      <c r="EO18" s="1420">
        <v>1914847.12</v>
      </c>
      <c r="EP18" s="1420">
        <v>6745875.6100000003</v>
      </c>
      <c r="EQ18" s="1420">
        <v>1168577.31</v>
      </c>
      <c r="ER18" s="1420">
        <v>1203021.76</v>
      </c>
      <c r="ES18" s="1422">
        <v>0</v>
      </c>
      <c r="ET18" s="1422">
        <v>0</v>
      </c>
      <c r="EU18" s="1420">
        <v>15382367.57</v>
      </c>
      <c r="EV18" s="1420">
        <v>21184330.75</v>
      </c>
      <c r="EW18" s="1420">
        <v>2066363.23</v>
      </c>
      <c r="EX18" s="1420">
        <v>6975150.6100000003</v>
      </c>
      <c r="EY18" s="1420">
        <v>1168577.31</v>
      </c>
      <c r="EZ18" s="1420">
        <v>1203021.76</v>
      </c>
      <c r="FA18" s="1420">
        <v>12147427.029999999</v>
      </c>
      <c r="FB18" s="1420">
        <v>13006158.380000001</v>
      </c>
      <c r="FC18" s="1420">
        <v>476689.23</v>
      </c>
      <c r="FD18" s="1439"/>
      <c r="FE18" s="1420">
        <v>11670737.800000001</v>
      </c>
      <c r="FF18" s="1439"/>
      <c r="FG18" s="1422">
        <v>7507</v>
      </c>
      <c r="FH18" s="1439"/>
      <c r="FI18" s="1420">
        <v>100.06</v>
      </c>
      <c r="FJ18" s="1439"/>
      <c r="FK18" s="1422">
        <v>46299</v>
      </c>
      <c r="FL18" s="1439"/>
      <c r="FM18" s="1420">
        <v>104.58</v>
      </c>
      <c r="FN18" s="1439"/>
      <c r="FO18" s="1422">
        <v>48050</v>
      </c>
      <c r="FP18" s="1439"/>
      <c r="FQ18" s="1420">
        <v>1662833.04</v>
      </c>
      <c r="FR18" s="1439"/>
      <c r="FS18" s="1420">
        <v>20467.419999999998</v>
      </c>
      <c r="FT18" s="1439"/>
      <c r="FU18" s="1422">
        <v>0</v>
      </c>
      <c r="FV18" s="1439"/>
      <c r="FW18" s="1420">
        <v>1642365.62</v>
      </c>
      <c r="FX18" s="1439"/>
      <c r="FY18" s="1420">
        <v>8909575.6899999995</v>
      </c>
      <c r="FZ18" s="1439"/>
      <c r="GA18" s="1422">
        <v>0</v>
      </c>
      <c r="GB18" s="1439"/>
    </row>
    <row r="19" spans="1:184" ht="12.75" customHeight="1" thickBot="1">
      <c r="A19" s="1418" t="s">
        <v>613</v>
      </c>
      <c r="B19" s="1418" t="s">
        <v>614</v>
      </c>
      <c r="C19" s="1420">
        <v>124.64</v>
      </c>
      <c r="D19" s="1439"/>
      <c r="E19" s="1420">
        <v>517.76</v>
      </c>
      <c r="F19" s="1439"/>
      <c r="G19" s="1421">
        <v>-0.02</v>
      </c>
      <c r="H19" s="1439"/>
      <c r="I19" s="1420">
        <v>554.21</v>
      </c>
      <c r="J19" s="1439"/>
      <c r="K19" s="1420">
        <v>579.07000000000005</v>
      </c>
      <c r="L19" s="1439"/>
      <c r="M19" s="1422">
        <v>26852310</v>
      </c>
      <c r="N19" s="1439"/>
      <c r="O19" s="1420">
        <v>25.6</v>
      </c>
      <c r="P19" s="1439"/>
      <c r="Q19" s="1422">
        <v>25</v>
      </c>
      <c r="R19" s="1439"/>
      <c r="S19" s="1420">
        <v>0.6</v>
      </c>
      <c r="T19" s="1439"/>
      <c r="U19" s="1422">
        <v>0</v>
      </c>
      <c r="V19" s="1439"/>
      <c r="W19" s="1422">
        <v>8</v>
      </c>
      <c r="X19" s="1439"/>
      <c r="Y19" s="1420">
        <v>33.6</v>
      </c>
      <c r="Z19" s="1439"/>
      <c r="AA19" s="1420">
        <v>1458903.6</v>
      </c>
      <c r="AB19" s="1439"/>
      <c r="AC19" s="1420">
        <v>800129.77</v>
      </c>
      <c r="AD19" s="1422">
        <v>793000</v>
      </c>
      <c r="AE19" s="1420">
        <v>185052.39</v>
      </c>
      <c r="AF19" s="1422">
        <v>88375</v>
      </c>
      <c r="AG19" s="1420">
        <v>7311.75</v>
      </c>
      <c r="AH19" s="1422">
        <v>0</v>
      </c>
      <c r="AI19" s="1422">
        <v>2843527</v>
      </c>
      <c r="AJ19" s="1422">
        <v>2747738</v>
      </c>
      <c r="AK19" s="1422">
        <v>30934</v>
      </c>
      <c r="AL19" s="1422">
        <v>20000</v>
      </c>
      <c r="AM19" s="1422">
        <v>0</v>
      </c>
      <c r="AN19" s="1422">
        <v>0</v>
      </c>
      <c r="AO19" s="1422">
        <v>994</v>
      </c>
      <c r="AP19" s="1422">
        <v>76093</v>
      </c>
      <c r="AQ19" s="1422">
        <v>0</v>
      </c>
      <c r="AR19" s="1422">
        <v>0</v>
      </c>
      <c r="AS19" s="1422">
        <v>0</v>
      </c>
      <c r="AT19" s="1422">
        <v>0</v>
      </c>
      <c r="AU19" s="1422">
        <v>18424</v>
      </c>
      <c r="AV19" s="1422">
        <v>14739</v>
      </c>
      <c r="AW19" s="1422">
        <v>0</v>
      </c>
      <c r="AX19" s="1422">
        <v>0</v>
      </c>
      <c r="AY19" s="1420">
        <v>3886372.91</v>
      </c>
      <c r="AZ19" s="1422">
        <v>3739945</v>
      </c>
      <c r="BA19" s="1422">
        <v>0</v>
      </c>
      <c r="BB19" s="1422">
        <v>0</v>
      </c>
      <c r="BC19" s="1422">
        <v>23950</v>
      </c>
      <c r="BD19" s="1422">
        <v>23491</v>
      </c>
      <c r="BE19" s="1422">
        <v>0</v>
      </c>
      <c r="BF19" s="1422">
        <v>0</v>
      </c>
      <c r="BG19" s="1422">
        <v>400</v>
      </c>
      <c r="BH19" s="1422">
        <v>400</v>
      </c>
      <c r="BI19" s="1422">
        <v>19299</v>
      </c>
      <c r="BJ19" s="1422">
        <v>27689</v>
      </c>
      <c r="BK19" s="1422">
        <v>0</v>
      </c>
      <c r="BL19" s="1422">
        <v>0</v>
      </c>
      <c r="BM19" s="1422">
        <v>160704</v>
      </c>
      <c r="BN19" s="1420">
        <v>198852.57</v>
      </c>
      <c r="BO19" s="1420">
        <v>18663.28</v>
      </c>
      <c r="BP19" s="1422">
        <v>45000</v>
      </c>
      <c r="BQ19" s="1422">
        <v>4875</v>
      </c>
      <c r="BR19" s="1422">
        <v>11375</v>
      </c>
      <c r="BS19" s="1420">
        <v>2237.61</v>
      </c>
      <c r="BT19" s="1422">
        <v>2200</v>
      </c>
      <c r="BU19" s="1422">
        <v>0</v>
      </c>
      <c r="BV19" s="1422">
        <v>0</v>
      </c>
      <c r="BW19" s="1422">
        <v>0</v>
      </c>
      <c r="BX19" s="1422">
        <v>0</v>
      </c>
      <c r="BY19" s="1422">
        <v>0</v>
      </c>
      <c r="BZ19" s="1422">
        <v>0</v>
      </c>
      <c r="CA19" s="1422">
        <v>23053</v>
      </c>
      <c r="CB19" s="1422">
        <v>20047</v>
      </c>
      <c r="CC19" s="1420">
        <v>253181.89</v>
      </c>
      <c r="CD19" s="1420">
        <v>329054.57</v>
      </c>
      <c r="CE19" s="1420">
        <v>726790.34</v>
      </c>
      <c r="CF19" s="1420">
        <v>633537.65</v>
      </c>
      <c r="CG19" s="1422">
        <v>0</v>
      </c>
      <c r="CH19" s="1422">
        <v>128125</v>
      </c>
      <c r="CI19" s="1422">
        <v>0</v>
      </c>
      <c r="CJ19" s="1422">
        <v>0</v>
      </c>
      <c r="CK19" s="1422">
        <v>0</v>
      </c>
      <c r="CL19" s="1422">
        <v>0</v>
      </c>
      <c r="CM19" s="1422">
        <v>0</v>
      </c>
      <c r="CN19" s="1422">
        <v>0</v>
      </c>
      <c r="CO19" s="1422">
        <v>0</v>
      </c>
      <c r="CP19" s="1422">
        <v>0</v>
      </c>
      <c r="CQ19" s="1422">
        <v>0</v>
      </c>
      <c r="CR19" s="1422">
        <v>0</v>
      </c>
      <c r="CS19" s="1422">
        <v>0</v>
      </c>
      <c r="CT19" s="1422">
        <v>128125</v>
      </c>
      <c r="CU19" s="1420">
        <v>4866345.1399999997</v>
      </c>
      <c r="CV19" s="1420">
        <v>4830662.22</v>
      </c>
      <c r="CW19" s="1420">
        <v>2110902.12</v>
      </c>
      <c r="CX19" s="1420">
        <v>1837085.64</v>
      </c>
      <c r="CY19" s="1420">
        <v>410177.25</v>
      </c>
      <c r="CZ19" s="1420">
        <v>438892.9</v>
      </c>
      <c r="DA19" s="1420">
        <v>186497.84</v>
      </c>
      <c r="DB19" s="1420">
        <v>183522.06</v>
      </c>
      <c r="DC19" s="1422">
        <v>0</v>
      </c>
      <c r="DD19" s="1422">
        <v>0</v>
      </c>
      <c r="DE19" s="1420">
        <v>155778.47</v>
      </c>
      <c r="DF19" s="1420">
        <v>171011.1</v>
      </c>
      <c r="DG19" s="1420">
        <v>95201.69</v>
      </c>
      <c r="DH19" s="1420">
        <v>73523.5</v>
      </c>
      <c r="DI19" s="1420">
        <v>2958557.37</v>
      </c>
      <c r="DJ19" s="1420">
        <v>2704035.2</v>
      </c>
      <c r="DK19" s="1420">
        <v>134107.31</v>
      </c>
      <c r="DL19" s="1420">
        <v>142909.78</v>
      </c>
      <c r="DM19" s="1420">
        <v>78356.58</v>
      </c>
      <c r="DN19" s="1420">
        <v>69741.95</v>
      </c>
      <c r="DO19" s="1420">
        <v>405372.46</v>
      </c>
      <c r="DP19" s="1420">
        <v>421924.46</v>
      </c>
      <c r="DQ19" s="1420">
        <v>233759.58</v>
      </c>
      <c r="DR19" s="1420">
        <v>216120.72</v>
      </c>
      <c r="DS19" s="1420">
        <v>18306.97</v>
      </c>
      <c r="DT19" s="1422">
        <v>2554</v>
      </c>
      <c r="DU19" s="1420">
        <v>869902.9</v>
      </c>
      <c r="DV19" s="1420">
        <v>853250.91</v>
      </c>
      <c r="DW19" s="1420">
        <v>155358.29</v>
      </c>
      <c r="DX19" s="1420">
        <v>153418.67000000001</v>
      </c>
      <c r="DY19" s="1420">
        <v>290331.34000000003</v>
      </c>
      <c r="DZ19" s="1422">
        <v>282163</v>
      </c>
      <c r="EA19" s="1420">
        <v>283145.25</v>
      </c>
      <c r="EB19" s="1420">
        <v>283028.56</v>
      </c>
      <c r="EC19" s="1420">
        <v>728834.88</v>
      </c>
      <c r="ED19" s="1420">
        <v>718610.23</v>
      </c>
      <c r="EE19" s="1420">
        <v>250244.19</v>
      </c>
      <c r="EF19" s="1420">
        <v>211962.89</v>
      </c>
      <c r="EG19" s="1420">
        <v>9576.77</v>
      </c>
      <c r="EH19" s="1422">
        <v>0</v>
      </c>
      <c r="EI19" s="1420">
        <v>2296.9699999999998</v>
      </c>
      <c r="EJ19" s="1422">
        <v>3000</v>
      </c>
      <c r="EK19" s="1422">
        <v>0</v>
      </c>
      <c r="EL19" s="1422">
        <v>0</v>
      </c>
      <c r="EM19" s="1420">
        <v>262117.93</v>
      </c>
      <c r="EN19" s="1420">
        <v>214962.89</v>
      </c>
      <c r="EO19" s="1420">
        <v>3324.46</v>
      </c>
      <c r="EP19" s="1422">
        <v>151382</v>
      </c>
      <c r="EQ19" s="1420">
        <v>126306.98</v>
      </c>
      <c r="ER19" s="1422">
        <v>139756</v>
      </c>
      <c r="ES19" s="1422">
        <v>44268</v>
      </c>
      <c r="ET19" s="1422">
        <v>0</v>
      </c>
      <c r="EU19" s="1420">
        <v>4993312.5199999996</v>
      </c>
      <c r="EV19" s="1420">
        <v>4781997.2300000004</v>
      </c>
      <c r="EW19" s="1420">
        <v>60303.85</v>
      </c>
      <c r="EX19" s="1420">
        <v>200367.88</v>
      </c>
      <c r="EY19" s="1420">
        <v>126306.98</v>
      </c>
      <c r="EZ19" s="1422">
        <v>139756</v>
      </c>
      <c r="FA19" s="1420">
        <v>4806701.6900000004</v>
      </c>
      <c r="FB19" s="1420">
        <v>4441873.3499999996</v>
      </c>
      <c r="FC19" s="1420">
        <v>202169.56</v>
      </c>
      <c r="FD19" s="1439"/>
      <c r="FE19" s="1420">
        <v>4604532.13</v>
      </c>
      <c r="FF19" s="1439"/>
      <c r="FG19" s="1422">
        <v>8893</v>
      </c>
      <c r="FH19" s="1439"/>
      <c r="FI19" s="1420">
        <v>56.37</v>
      </c>
      <c r="FJ19" s="1439"/>
      <c r="FK19" s="1422">
        <v>33649</v>
      </c>
      <c r="FL19" s="1439"/>
      <c r="FM19" s="1420">
        <v>59.37</v>
      </c>
      <c r="FN19" s="1439"/>
      <c r="FO19" s="1422">
        <v>35755</v>
      </c>
      <c r="FP19" s="1439"/>
      <c r="FQ19" s="1420">
        <v>412328.56</v>
      </c>
      <c r="FR19" s="1439"/>
      <c r="FS19" s="1420">
        <v>32206.76</v>
      </c>
      <c r="FT19" s="1439"/>
      <c r="FU19" s="1422">
        <v>0</v>
      </c>
      <c r="FV19" s="1439"/>
      <c r="FW19" s="1420">
        <v>380121.8</v>
      </c>
      <c r="FX19" s="1439"/>
      <c r="FY19" s="1420">
        <v>172431.5</v>
      </c>
      <c r="FZ19" s="1439"/>
      <c r="GA19" s="1422">
        <v>0</v>
      </c>
      <c r="GB19" s="1439"/>
    </row>
    <row r="20" spans="1:184" ht="12.75" customHeight="1" thickBot="1">
      <c r="A20" s="1418" t="s">
        <v>615</v>
      </c>
      <c r="B20" s="1418" t="s">
        <v>616</v>
      </c>
      <c r="C20" s="1420">
        <v>114.78</v>
      </c>
      <c r="D20" s="1439"/>
      <c r="E20" s="1420">
        <v>1005.5</v>
      </c>
      <c r="F20" s="1439"/>
      <c r="G20" s="1421">
        <v>0.1</v>
      </c>
      <c r="H20" s="1439"/>
      <c r="I20" s="1420">
        <v>1066.67</v>
      </c>
      <c r="J20" s="1439"/>
      <c r="K20" s="1420">
        <v>1084.53</v>
      </c>
      <c r="L20" s="1439"/>
      <c r="M20" s="1422">
        <v>47818131</v>
      </c>
      <c r="N20" s="1439"/>
      <c r="O20" s="1422">
        <v>25</v>
      </c>
      <c r="P20" s="1439"/>
      <c r="Q20" s="1422">
        <v>25</v>
      </c>
      <c r="R20" s="1439"/>
      <c r="S20" s="1422">
        <v>0</v>
      </c>
      <c r="T20" s="1439"/>
      <c r="U20" s="1422">
        <v>0</v>
      </c>
      <c r="V20" s="1439"/>
      <c r="W20" s="1422">
        <v>7</v>
      </c>
      <c r="X20" s="1439"/>
      <c r="Y20" s="1422">
        <v>32</v>
      </c>
      <c r="Z20" s="1439"/>
      <c r="AA20" s="1420">
        <v>2604113.2000000002</v>
      </c>
      <c r="AB20" s="1439"/>
      <c r="AC20" s="1420">
        <v>1425403.98</v>
      </c>
      <c r="AD20" s="1422">
        <v>1292800</v>
      </c>
      <c r="AE20" s="1420">
        <v>424383.98</v>
      </c>
      <c r="AF20" s="1422">
        <v>199781</v>
      </c>
      <c r="AG20" s="1420">
        <v>2624.97</v>
      </c>
      <c r="AH20" s="1422">
        <v>2000</v>
      </c>
      <c r="AI20" s="1422">
        <v>5394553</v>
      </c>
      <c r="AJ20" s="1422">
        <v>5373782</v>
      </c>
      <c r="AK20" s="1422">
        <v>76409</v>
      </c>
      <c r="AL20" s="1422">
        <v>0</v>
      </c>
      <c r="AM20" s="1422">
        <v>55908</v>
      </c>
      <c r="AN20" s="1422">
        <v>0</v>
      </c>
      <c r="AO20" s="1422">
        <v>0</v>
      </c>
      <c r="AP20" s="1422">
        <v>59013</v>
      </c>
      <c r="AQ20" s="1422">
        <v>0</v>
      </c>
      <c r="AR20" s="1422">
        <v>0</v>
      </c>
      <c r="AS20" s="1422">
        <v>0</v>
      </c>
      <c r="AT20" s="1422">
        <v>0</v>
      </c>
      <c r="AU20" s="1422">
        <v>28316</v>
      </c>
      <c r="AV20" s="1422">
        <v>11326</v>
      </c>
      <c r="AW20" s="1422">
        <v>0</v>
      </c>
      <c r="AX20" s="1422">
        <v>0</v>
      </c>
      <c r="AY20" s="1420">
        <v>7407598.9299999997</v>
      </c>
      <c r="AZ20" s="1422">
        <v>6938702</v>
      </c>
      <c r="BA20" s="1422">
        <v>0</v>
      </c>
      <c r="BB20" s="1422">
        <v>0</v>
      </c>
      <c r="BC20" s="1422">
        <v>44856</v>
      </c>
      <c r="BD20" s="1422">
        <v>45148</v>
      </c>
      <c r="BE20" s="1420">
        <v>5150.3500000000004</v>
      </c>
      <c r="BF20" s="1422">
        <v>4800</v>
      </c>
      <c r="BG20" s="1422">
        <v>650</v>
      </c>
      <c r="BH20" s="1422">
        <v>0</v>
      </c>
      <c r="BI20" s="1422">
        <v>104947</v>
      </c>
      <c r="BJ20" s="1422">
        <v>110133</v>
      </c>
      <c r="BK20" s="1422">
        <v>0</v>
      </c>
      <c r="BL20" s="1422">
        <v>0</v>
      </c>
      <c r="BM20" s="1422">
        <v>274784</v>
      </c>
      <c r="BN20" s="1420">
        <v>248565.44</v>
      </c>
      <c r="BO20" s="1420">
        <v>4442.9399999999996</v>
      </c>
      <c r="BP20" s="1422">
        <v>0</v>
      </c>
      <c r="BQ20" s="1420">
        <v>10562.52</v>
      </c>
      <c r="BR20" s="1422">
        <v>3250</v>
      </c>
      <c r="BS20" s="1420">
        <v>4368.76</v>
      </c>
      <c r="BT20" s="1422">
        <v>4313</v>
      </c>
      <c r="BU20" s="1422">
        <v>0</v>
      </c>
      <c r="BV20" s="1422">
        <v>0</v>
      </c>
      <c r="BW20" s="1422">
        <v>0</v>
      </c>
      <c r="BX20" s="1422">
        <v>0</v>
      </c>
      <c r="BY20" s="1422">
        <v>0</v>
      </c>
      <c r="BZ20" s="1422">
        <v>0</v>
      </c>
      <c r="CA20" s="1422">
        <v>66455</v>
      </c>
      <c r="CB20" s="1422">
        <v>60235</v>
      </c>
      <c r="CC20" s="1420">
        <v>516216.57</v>
      </c>
      <c r="CD20" s="1420">
        <v>476444.44</v>
      </c>
      <c r="CE20" s="1420">
        <v>1259017.56</v>
      </c>
      <c r="CF20" s="1420">
        <v>885240.26</v>
      </c>
      <c r="CG20" s="1420">
        <v>6355.9</v>
      </c>
      <c r="CH20" s="1422">
        <v>0</v>
      </c>
      <c r="CI20" s="1422">
        <v>0</v>
      </c>
      <c r="CJ20" s="1422">
        <v>0</v>
      </c>
      <c r="CK20" s="1422">
        <v>0</v>
      </c>
      <c r="CL20" s="1422">
        <v>0</v>
      </c>
      <c r="CM20" s="1422">
        <v>1990</v>
      </c>
      <c r="CN20" s="1422">
        <v>0</v>
      </c>
      <c r="CO20" s="1422">
        <v>0</v>
      </c>
      <c r="CP20" s="1422">
        <v>0</v>
      </c>
      <c r="CQ20" s="1422">
        <v>0</v>
      </c>
      <c r="CR20" s="1422">
        <v>0</v>
      </c>
      <c r="CS20" s="1420">
        <v>8345.9</v>
      </c>
      <c r="CT20" s="1422">
        <v>0</v>
      </c>
      <c r="CU20" s="1420">
        <v>9191178.9600000009</v>
      </c>
      <c r="CV20" s="1420">
        <v>8300386.7000000002</v>
      </c>
      <c r="CW20" s="1420">
        <v>3798102.28</v>
      </c>
      <c r="CX20" s="1420">
        <v>3497769.24</v>
      </c>
      <c r="CY20" s="1420">
        <v>634152.68999999994</v>
      </c>
      <c r="CZ20" s="1420">
        <v>560512.71</v>
      </c>
      <c r="DA20" s="1420">
        <v>326361.75</v>
      </c>
      <c r="DB20" s="1420">
        <v>329476.18</v>
      </c>
      <c r="DC20" s="1422">
        <v>0</v>
      </c>
      <c r="DD20" s="1422">
        <v>0</v>
      </c>
      <c r="DE20" s="1420">
        <v>542127.21</v>
      </c>
      <c r="DF20" s="1420">
        <v>391797.72</v>
      </c>
      <c r="DG20" s="1420">
        <v>184921.96</v>
      </c>
      <c r="DH20" s="1420">
        <v>186366.49</v>
      </c>
      <c r="DI20" s="1420">
        <v>5485665.8899999997</v>
      </c>
      <c r="DJ20" s="1420">
        <v>4965922.34</v>
      </c>
      <c r="DK20" s="1420">
        <v>164321.67000000001</v>
      </c>
      <c r="DL20" s="1420">
        <v>171734.49</v>
      </c>
      <c r="DM20" s="1420">
        <v>50478.84</v>
      </c>
      <c r="DN20" s="1420">
        <v>145901.16</v>
      </c>
      <c r="DO20" s="1420">
        <v>727502.76</v>
      </c>
      <c r="DP20" s="1420">
        <v>839297.54</v>
      </c>
      <c r="DQ20" s="1420">
        <v>385240.3</v>
      </c>
      <c r="DR20" s="1420">
        <v>367195.97</v>
      </c>
      <c r="DS20" s="1420">
        <v>35537.879999999997</v>
      </c>
      <c r="DT20" s="1422">
        <v>35322</v>
      </c>
      <c r="DU20" s="1420">
        <v>1363081.45</v>
      </c>
      <c r="DV20" s="1420">
        <v>1559451.16</v>
      </c>
      <c r="DW20" s="1420">
        <v>330420.40000000002</v>
      </c>
      <c r="DX20" s="1420">
        <v>314606.64</v>
      </c>
      <c r="DY20" s="1420">
        <v>420159.78</v>
      </c>
      <c r="DZ20" s="1420">
        <v>444592.88</v>
      </c>
      <c r="EA20" s="1420">
        <v>350597.74</v>
      </c>
      <c r="EB20" s="1420">
        <v>352168.78</v>
      </c>
      <c r="EC20" s="1420">
        <v>1101177.92</v>
      </c>
      <c r="ED20" s="1420">
        <v>1111368.3</v>
      </c>
      <c r="EE20" s="1420">
        <v>515136.35</v>
      </c>
      <c r="EF20" s="1420">
        <v>511814.62</v>
      </c>
      <c r="EG20" s="1422">
        <v>0</v>
      </c>
      <c r="EH20" s="1422">
        <v>0</v>
      </c>
      <c r="EI20" s="1420">
        <v>285.77</v>
      </c>
      <c r="EJ20" s="1422">
        <v>6000</v>
      </c>
      <c r="EK20" s="1422">
        <v>0</v>
      </c>
      <c r="EL20" s="1422">
        <v>0</v>
      </c>
      <c r="EM20" s="1420">
        <v>515422.12</v>
      </c>
      <c r="EN20" s="1420">
        <v>517814.62</v>
      </c>
      <c r="EO20" s="1422">
        <v>35450</v>
      </c>
      <c r="EP20" s="1422">
        <v>479698</v>
      </c>
      <c r="EQ20" s="1420">
        <v>46614.07</v>
      </c>
      <c r="ER20" s="1422">
        <v>135661</v>
      </c>
      <c r="ES20" s="1420">
        <v>20.89</v>
      </c>
      <c r="ET20" s="1422">
        <v>0</v>
      </c>
      <c r="EU20" s="1420">
        <v>8547432.3399999999</v>
      </c>
      <c r="EV20" s="1420">
        <v>8769915.4199999999</v>
      </c>
      <c r="EW20" s="1420">
        <v>160255.85</v>
      </c>
      <c r="EX20" s="1422">
        <v>591045</v>
      </c>
      <c r="EY20" s="1420">
        <v>46614.07</v>
      </c>
      <c r="EZ20" s="1422">
        <v>135661</v>
      </c>
      <c r="FA20" s="1420">
        <v>8340562.4199999999</v>
      </c>
      <c r="FB20" s="1420">
        <v>8043209.4199999999</v>
      </c>
      <c r="FC20" s="1422">
        <v>313825</v>
      </c>
      <c r="FD20" s="1439"/>
      <c r="FE20" s="1420">
        <v>8026737.4199999999</v>
      </c>
      <c r="FF20" s="1439"/>
      <c r="FG20" s="1422">
        <v>7982</v>
      </c>
      <c r="FH20" s="1439"/>
      <c r="FI20" s="1420">
        <v>81.709999999999994</v>
      </c>
      <c r="FJ20" s="1439"/>
      <c r="FK20" s="1422">
        <v>41027</v>
      </c>
      <c r="FL20" s="1439"/>
      <c r="FM20" s="1420">
        <v>86.77</v>
      </c>
      <c r="FN20" s="1439"/>
      <c r="FO20" s="1422">
        <v>42539</v>
      </c>
      <c r="FP20" s="1439"/>
      <c r="FQ20" s="1420">
        <v>2209073.62</v>
      </c>
      <c r="FR20" s="1439"/>
      <c r="FS20" s="1420">
        <v>7538.05</v>
      </c>
      <c r="FT20" s="1439"/>
      <c r="FU20" s="1422">
        <v>0</v>
      </c>
      <c r="FV20" s="1439"/>
      <c r="FW20" s="1420">
        <v>2201535.5699999998</v>
      </c>
      <c r="FX20" s="1439"/>
      <c r="FY20" s="1420">
        <v>512708.21</v>
      </c>
      <c r="FZ20" s="1439"/>
      <c r="GA20" s="1422">
        <v>0</v>
      </c>
      <c r="GB20" s="1439"/>
    </row>
    <row r="21" spans="1:184" ht="12.75" customHeight="1" thickBot="1">
      <c r="A21" s="1418" t="s">
        <v>617</v>
      </c>
      <c r="B21" s="1418" t="s">
        <v>618</v>
      </c>
      <c r="C21" s="1420">
        <v>209.17</v>
      </c>
      <c r="D21" s="1439"/>
      <c r="E21" s="1420">
        <v>2580.12</v>
      </c>
      <c r="F21" s="1439"/>
      <c r="G21" s="1421">
        <v>-0.02</v>
      </c>
      <c r="H21" s="1439"/>
      <c r="I21" s="1420">
        <v>2743.08</v>
      </c>
      <c r="J21" s="1439"/>
      <c r="K21" s="1420">
        <v>2766.07</v>
      </c>
      <c r="L21" s="1439"/>
      <c r="M21" s="1422">
        <v>324769058</v>
      </c>
      <c r="N21" s="1439"/>
      <c r="O21" s="1422">
        <v>25</v>
      </c>
      <c r="P21" s="1439"/>
      <c r="Q21" s="1422">
        <v>25</v>
      </c>
      <c r="R21" s="1439"/>
      <c r="S21" s="1422">
        <v>0</v>
      </c>
      <c r="T21" s="1439"/>
      <c r="U21" s="1422">
        <v>0</v>
      </c>
      <c r="V21" s="1439"/>
      <c r="W21" s="1420">
        <v>9.3000000000000007</v>
      </c>
      <c r="X21" s="1439"/>
      <c r="Y21" s="1420">
        <v>34.299999999999997</v>
      </c>
      <c r="Z21" s="1439"/>
      <c r="AA21" s="1422">
        <v>18220000</v>
      </c>
      <c r="AB21" s="1439"/>
      <c r="AC21" s="1420">
        <v>10588975.52</v>
      </c>
      <c r="AD21" s="1422">
        <v>10861177</v>
      </c>
      <c r="AE21" s="1420">
        <v>1334043.3799999999</v>
      </c>
      <c r="AF21" s="1422">
        <v>154034</v>
      </c>
      <c r="AG21" s="1422">
        <v>0</v>
      </c>
      <c r="AH21" s="1422">
        <v>0</v>
      </c>
      <c r="AI21" s="1422">
        <v>8857707</v>
      </c>
      <c r="AJ21" s="1422">
        <v>8999675</v>
      </c>
      <c r="AK21" s="1422">
        <v>384097</v>
      </c>
      <c r="AL21" s="1422">
        <v>0</v>
      </c>
      <c r="AM21" s="1422">
        <v>0</v>
      </c>
      <c r="AN21" s="1422">
        <v>0</v>
      </c>
      <c r="AO21" s="1422">
        <v>136210</v>
      </c>
      <c r="AP21" s="1422">
        <v>19046</v>
      </c>
      <c r="AQ21" s="1422">
        <v>0</v>
      </c>
      <c r="AR21" s="1422">
        <v>0</v>
      </c>
      <c r="AS21" s="1422">
        <v>0</v>
      </c>
      <c r="AT21" s="1422">
        <v>0</v>
      </c>
      <c r="AU21" s="1422">
        <v>0</v>
      </c>
      <c r="AV21" s="1422">
        <v>0</v>
      </c>
      <c r="AW21" s="1422">
        <v>0</v>
      </c>
      <c r="AX21" s="1422">
        <v>8000</v>
      </c>
      <c r="AY21" s="1420">
        <v>21301032.899999999</v>
      </c>
      <c r="AZ21" s="1422">
        <v>20041932</v>
      </c>
      <c r="BA21" s="1422">
        <v>0</v>
      </c>
      <c r="BB21" s="1422">
        <v>0</v>
      </c>
      <c r="BC21" s="1422">
        <v>114405</v>
      </c>
      <c r="BD21" s="1422">
        <v>116963</v>
      </c>
      <c r="BE21" s="1422">
        <v>2800</v>
      </c>
      <c r="BF21" s="1422">
        <v>4600</v>
      </c>
      <c r="BG21" s="1422">
        <v>1900</v>
      </c>
      <c r="BH21" s="1422">
        <v>2000</v>
      </c>
      <c r="BI21" s="1422">
        <v>132169</v>
      </c>
      <c r="BJ21" s="1422">
        <v>123604</v>
      </c>
      <c r="BK21" s="1422">
        <v>3223</v>
      </c>
      <c r="BL21" s="1422">
        <v>3200</v>
      </c>
      <c r="BM21" s="1422">
        <v>652736</v>
      </c>
      <c r="BN21" s="1422">
        <v>724086</v>
      </c>
      <c r="BO21" s="1420">
        <v>211923.08</v>
      </c>
      <c r="BP21" s="1422">
        <v>198200</v>
      </c>
      <c r="BQ21" s="1420">
        <v>28437.52</v>
      </c>
      <c r="BR21" s="1422">
        <v>22750</v>
      </c>
      <c r="BS21" s="1420">
        <v>9880.99</v>
      </c>
      <c r="BT21" s="1422">
        <v>0</v>
      </c>
      <c r="BU21" s="1422">
        <v>0</v>
      </c>
      <c r="BV21" s="1422">
        <v>0</v>
      </c>
      <c r="BW21" s="1422">
        <v>97200</v>
      </c>
      <c r="BX21" s="1422">
        <v>97200</v>
      </c>
      <c r="BY21" s="1422">
        <v>0</v>
      </c>
      <c r="BZ21" s="1422">
        <v>0</v>
      </c>
      <c r="CA21" s="1420">
        <v>1020687.81</v>
      </c>
      <c r="CB21" s="1422">
        <v>283675</v>
      </c>
      <c r="CC21" s="1420">
        <v>2275362.4</v>
      </c>
      <c r="CD21" s="1422">
        <v>1576278</v>
      </c>
      <c r="CE21" s="1420">
        <v>4248218.2</v>
      </c>
      <c r="CF21" s="1422">
        <v>1899362</v>
      </c>
      <c r="CG21" s="1420">
        <v>5608.11</v>
      </c>
      <c r="CH21" s="1422">
        <v>0</v>
      </c>
      <c r="CI21" s="1422">
        <v>0</v>
      </c>
      <c r="CJ21" s="1422">
        <v>0</v>
      </c>
      <c r="CK21" s="1420">
        <v>23755.200000000001</v>
      </c>
      <c r="CL21" s="1422">
        <v>13000</v>
      </c>
      <c r="CM21" s="1422">
        <v>1698</v>
      </c>
      <c r="CN21" s="1422">
        <v>500</v>
      </c>
      <c r="CO21" s="1420">
        <v>11420.35</v>
      </c>
      <c r="CP21" s="1422">
        <v>50000</v>
      </c>
      <c r="CQ21" s="1422">
        <v>0</v>
      </c>
      <c r="CR21" s="1422">
        <v>0</v>
      </c>
      <c r="CS21" s="1420">
        <v>42481.66</v>
      </c>
      <c r="CT21" s="1422">
        <v>63500</v>
      </c>
      <c r="CU21" s="1420">
        <v>27867095.16</v>
      </c>
      <c r="CV21" s="1422">
        <v>23581072</v>
      </c>
      <c r="CW21" s="1420">
        <v>9281872.6999999993</v>
      </c>
      <c r="CX21" s="1422">
        <v>8594313</v>
      </c>
      <c r="CY21" s="1420">
        <v>1973613.07</v>
      </c>
      <c r="CZ21" s="1422">
        <v>2465145</v>
      </c>
      <c r="DA21" s="1420">
        <v>796483.26</v>
      </c>
      <c r="DB21" s="1422">
        <v>628611</v>
      </c>
      <c r="DC21" s="1422">
        <v>0</v>
      </c>
      <c r="DD21" s="1422">
        <v>0</v>
      </c>
      <c r="DE21" s="1420">
        <v>788444.51</v>
      </c>
      <c r="DF21" s="1420">
        <v>678414.2</v>
      </c>
      <c r="DG21" s="1420">
        <v>1251199.6399999999</v>
      </c>
      <c r="DH21" s="1422">
        <v>1175204</v>
      </c>
      <c r="DI21" s="1420">
        <v>14091613.18</v>
      </c>
      <c r="DJ21" s="1420">
        <v>13541687.199999999</v>
      </c>
      <c r="DK21" s="1420">
        <v>508825.7</v>
      </c>
      <c r="DL21" s="1422">
        <v>585254</v>
      </c>
      <c r="DM21" s="1420">
        <v>860430.42</v>
      </c>
      <c r="DN21" s="1422">
        <v>897002</v>
      </c>
      <c r="DO21" s="1420">
        <v>2486081.08</v>
      </c>
      <c r="DP21" s="1422">
        <v>2169721</v>
      </c>
      <c r="DQ21" s="1420">
        <v>1059850.79</v>
      </c>
      <c r="DR21" s="1422">
        <v>1077700</v>
      </c>
      <c r="DS21" s="1420">
        <v>188981.99</v>
      </c>
      <c r="DT21" s="1422">
        <v>45000</v>
      </c>
      <c r="DU21" s="1420">
        <v>5104169.9800000004</v>
      </c>
      <c r="DV21" s="1422">
        <v>4774677</v>
      </c>
      <c r="DW21" s="1420">
        <v>1488405.3</v>
      </c>
      <c r="DX21" s="1420">
        <v>1661591.08</v>
      </c>
      <c r="DY21" s="1420">
        <v>2285865.75</v>
      </c>
      <c r="DZ21" s="1422">
        <v>1576217</v>
      </c>
      <c r="EA21" s="1420">
        <v>1371395.64</v>
      </c>
      <c r="EB21" s="1422">
        <v>1330407</v>
      </c>
      <c r="EC21" s="1420">
        <v>5145666.6900000004</v>
      </c>
      <c r="ED21" s="1420">
        <v>4568215.08</v>
      </c>
      <c r="EE21" s="1420">
        <v>1405127.02</v>
      </c>
      <c r="EF21" s="1422">
        <v>610</v>
      </c>
      <c r="EG21" s="1422">
        <v>0</v>
      </c>
      <c r="EH21" s="1422">
        <v>0</v>
      </c>
      <c r="EI21" s="1420">
        <v>9065.7000000000007</v>
      </c>
      <c r="EJ21" s="1422">
        <v>0</v>
      </c>
      <c r="EK21" s="1422">
        <v>0</v>
      </c>
      <c r="EL21" s="1422">
        <v>0</v>
      </c>
      <c r="EM21" s="1420">
        <v>1414192.72</v>
      </c>
      <c r="EN21" s="1422">
        <v>610</v>
      </c>
      <c r="EO21" s="1420">
        <v>3137747.27</v>
      </c>
      <c r="EP21" s="1422">
        <v>504000</v>
      </c>
      <c r="EQ21" s="1420">
        <v>1042851.6</v>
      </c>
      <c r="ER21" s="1422">
        <v>1130586</v>
      </c>
      <c r="ES21" s="1420">
        <v>514.94000000000005</v>
      </c>
      <c r="ET21" s="1422">
        <v>0</v>
      </c>
      <c r="EU21" s="1420">
        <v>29936756.379999999</v>
      </c>
      <c r="EV21" s="1420">
        <v>24519775.280000001</v>
      </c>
      <c r="EW21" s="1420">
        <v>4580673.6399999997</v>
      </c>
      <c r="EX21" s="1422">
        <v>961900</v>
      </c>
      <c r="EY21" s="1420">
        <v>1042851.6</v>
      </c>
      <c r="EZ21" s="1422">
        <v>1130586</v>
      </c>
      <c r="FA21" s="1420">
        <v>24313231.140000001</v>
      </c>
      <c r="FB21" s="1420">
        <v>22427289.280000001</v>
      </c>
      <c r="FC21" s="1420">
        <v>1470535.26</v>
      </c>
      <c r="FD21" s="1439"/>
      <c r="FE21" s="1420">
        <v>22842695.879999999</v>
      </c>
      <c r="FF21" s="1439"/>
      <c r="FG21" s="1422">
        <v>8853</v>
      </c>
      <c r="FH21" s="1439"/>
      <c r="FI21" s="1420">
        <v>187.33</v>
      </c>
      <c r="FJ21" s="1439"/>
      <c r="FK21" s="1422">
        <v>48255</v>
      </c>
      <c r="FL21" s="1439"/>
      <c r="FM21" s="1420">
        <v>205.98</v>
      </c>
      <c r="FN21" s="1439"/>
      <c r="FO21" s="1422">
        <v>50980</v>
      </c>
      <c r="FP21" s="1439"/>
      <c r="FQ21" s="1420">
        <v>1705321.03</v>
      </c>
      <c r="FR21" s="1439"/>
      <c r="FS21" s="1422">
        <v>0</v>
      </c>
      <c r="FT21" s="1439"/>
      <c r="FU21" s="1422">
        <v>0</v>
      </c>
      <c r="FV21" s="1439"/>
      <c r="FW21" s="1420">
        <v>1705321.03</v>
      </c>
      <c r="FX21" s="1439"/>
      <c r="FY21" s="1420">
        <v>1059823.43</v>
      </c>
      <c r="FZ21" s="1439"/>
      <c r="GA21" s="1422">
        <v>0</v>
      </c>
      <c r="GB21" s="1439"/>
    </row>
    <row r="22" spans="1:184" ht="12.75" customHeight="1" thickBot="1">
      <c r="A22" s="1418" t="s">
        <v>619</v>
      </c>
      <c r="B22" s="1418" t="s">
        <v>620</v>
      </c>
      <c r="C22" s="1420">
        <v>94.57</v>
      </c>
      <c r="D22" s="1439"/>
      <c r="E22" s="1420">
        <v>393.4</v>
      </c>
      <c r="F22" s="1439"/>
      <c r="G22" s="1421">
        <v>-0.05</v>
      </c>
      <c r="H22" s="1439"/>
      <c r="I22" s="1420">
        <v>417.09</v>
      </c>
      <c r="J22" s="1439"/>
      <c r="K22" s="1420">
        <v>422.66</v>
      </c>
      <c r="L22" s="1439"/>
      <c r="M22" s="1422">
        <v>28893080</v>
      </c>
      <c r="N22" s="1439"/>
      <c r="O22" s="1422">
        <v>25</v>
      </c>
      <c r="P22" s="1439"/>
      <c r="Q22" s="1422">
        <v>25</v>
      </c>
      <c r="R22" s="1439"/>
      <c r="S22" s="1422">
        <v>0</v>
      </c>
      <c r="T22" s="1439"/>
      <c r="U22" s="1422">
        <v>0</v>
      </c>
      <c r="V22" s="1439"/>
      <c r="W22" s="1420">
        <v>13.1</v>
      </c>
      <c r="X22" s="1439"/>
      <c r="Y22" s="1420">
        <v>38.1</v>
      </c>
      <c r="Z22" s="1439"/>
      <c r="AA22" s="1420">
        <v>2947734.89</v>
      </c>
      <c r="AB22" s="1439"/>
      <c r="AC22" s="1420">
        <v>1009585.62</v>
      </c>
      <c r="AD22" s="1422">
        <v>1032717</v>
      </c>
      <c r="AE22" s="1420">
        <v>246945.87</v>
      </c>
      <c r="AF22" s="1422">
        <v>52600</v>
      </c>
      <c r="AG22" s="1422">
        <v>0</v>
      </c>
      <c r="AH22" s="1422">
        <v>0</v>
      </c>
      <c r="AI22" s="1422">
        <v>1854104</v>
      </c>
      <c r="AJ22" s="1422">
        <v>1863000</v>
      </c>
      <c r="AK22" s="1422">
        <v>31705</v>
      </c>
      <c r="AL22" s="1422">
        <v>0</v>
      </c>
      <c r="AM22" s="1422">
        <v>0</v>
      </c>
      <c r="AN22" s="1422">
        <v>0</v>
      </c>
      <c r="AO22" s="1422">
        <v>6535</v>
      </c>
      <c r="AP22" s="1422">
        <v>12872</v>
      </c>
      <c r="AQ22" s="1422">
        <v>0</v>
      </c>
      <c r="AR22" s="1422">
        <v>0</v>
      </c>
      <c r="AS22" s="1422">
        <v>0</v>
      </c>
      <c r="AT22" s="1422">
        <v>0</v>
      </c>
      <c r="AU22" s="1422">
        <v>16776</v>
      </c>
      <c r="AV22" s="1422">
        <v>13421</v>
      </c>
      <c r="AW22" s="1422">
        <v>0</v>
      </c>
      <c r="AX22" s="1422">
        <v>0</v>
      </c>
      <c r="AY22" s="1420">
        <v>3165651.49</v>
      </c>
      <c r="AZ22" s="1422">
        <v>2974610</v>
      </c>
      <c r="BA22" s="1422">
        <v>0</v>
      </c>
      <c r="BB22" s="1422">
        <v>0</v>
      </c>
      <c r="BC22" s="1422">
        <v>17481</v>
      </c>
      <c r="BD22" s="1422">
        <v>17735</v>
      </c>
      <c r="BE22" s="1420">
        <v>4165.8100000000004</v>
      </c>
      <c r="BF22" s="1422">
        <v>0</v>
      </c>
      <c r="BG22" s="1422">
        <v>3150</v>
      </c>
      <c r="BH22" s="1422">
        <v>0</v>
      </c>
      <c r="BI22" s="1422">
        <v>21087</v>
      </c>
      <c r="BJ22" s="1422">
        <v>26652</v>
      </c>
      <c r="BK22" s="1422">
        <v>0</v>
      </c>
      <c r="BL22" s="1422">
        <v>0</v>
      </c>
      <c r="BM22" s="1422">
        <v>311488</v>
      </c>
      <c r="BN22" s="1422">
        <v>301576</v>
      </c>
      <c r="BO22" s="1420">
        <v>51587.65</v>
      </c>
      <c r="BP22" s="1422">
        <v>45000</v>
      </c>
      <c r="BQ22" s="1420">
        <v>7312.52</v>
      </c>
      <c r="BR22" s="1422">
        <v>0</v>
      </c>
      <c r="BS22" s="1420">
        <v>1813.39</v>
      </c>
      <c r="BT22" s="1422">
        <v>0</v>
      </c>
      <c r="BU22" s="1422">
        <v>0</v>
      </c>
      <c r="BV22" s="1422">
        <v>0</v>
      </c>
      <c r="BW22" s="1422">
        <v>190998</v>
      </c>
      <c r="BX22" s="1422">
        <v>194400</v>
      </c>
      <c r="BY22" s="1422">
        <v>0</v>
      </c>
      <c r="BZ22" s="1422">
        <v>0</v>
      </c>
      <c r="CA22" s="1422">
        <v>43312</v>
      </c>
      <c r="CB22" s="1422">
        <v>40534</v>
      </c>
      <c r="CC22" s="1420">
        <v>652395.37</v>
      </c>
      <c r="CD22" s="1422">
        <v>625897</v>
      </c>
      <c r="CE22" s="1420">
        <v>1176665.03</v>
      </c>
      <c r="CF22" s="1422">
        <v>580922</v>
      </c>
      <c r="CG22" s="1422">
        <v>0</v>
      </c>
      <c r="CH22" s="1422">
        <v>925000</v>
      </c>
      <c r="CI22" s="1422">
        <v>0</v>
      </c>
      <c r="CJ22" s="1422">
        <v>0</v>
      </c>
      <c r="CK22" s="1422">
        <v>0</v>
      </c>
      <c r="CL22" s="1422">
        <v>0</v>
      </c>
      <c r="CM22" s="1422">
        <v>0</v>
      </c>
      <c r="CN22" s="1422">
        <v>0</v>
      </c>
      <c r="CO22" s="1422">
        <v>0</v>
      </c>
      <c r="CP22" s="1422">
        <v>0</v>
      </c>
      <c r="CQ22" s="1422">
        <v>0</v>
      </c>
      <c r="CR22" s="1422">
        <v>0</v>
      </c>
      <c r="CS22" s="1422">
        <v>0</v>
      </c>
      <c r="CT22" s="1422">
        <v>925000</v>
      </c>
      <c r="CU22" s="1420">
        <v>4994711.8899999997</v>
      </c>
      <c r="CV22" s="1422">
        <v>5106429</v>
      </c>
      <c r="CW22" s="1420">
        <v>1886740.07</v>
      </c>
      <c r="CX22" s="1420">
        <v>2005577.95</v>
      </c>
      <c r="CY22" s="1420">
        <v>157549.72</v>
      </c>
      <c r="CZ22" s="1422">
        <v>156110</v>
      </c>
      <c r="DA22" s="1420">
        <v>106724.29</v>
      </c>
      <c r="DB22" s="1422">
        <v>108403</v>
      </c>
      <c r="DC22" s="1422">
        <v>0</v>
      </c>
      <c r="DD22" s="1422">
        <v>0</v>
      </c>
      <c r="DE22" s="1420">
        <v>140734.72</v>
      </c>
      <c r="DF22" s="1420">
        <v>142115.5</v>
      </c>
      <c r="DG22" s="1420">
        <v>179822.87</v>
      </c>
      <c r="DH22" s="1420">
        <v>180504.24</v>
      </c>
      <c r="DI22" s="1420">
        <v>2471571.67</v>
      </c>
      <c r="DJ22" s="1420">
        <v>2592710.69</v>
      </c>
      <c r="DK22" s="1420">
        <v>137283.72</v>
      </c>
      <c r="DL22" s="1422">
        <v>156019</v>
      </c>
      <c r="DM22" s="1420">
        <v>58775.83</v>
      </c>
      <c r="DN22" s="1422">
        <v>56553</v>
      </c>
      <c r="DO22" s="1420">
        <v>332487.56</v>
      </c>
      <c r="DP22" s="1422">
        <v>350236</v>
      </c>
      <c r="DQ22" s="1420">
        <v>174774.04</v>
      </c>
      <c r="DR22" s="1422">
        <v>173469</v>
      </c>
      <c r="DS22" s="1420">
        <v>1472.2</v>
      </c>
      <c r="DT22" s="1422">
        <v>1300</v>
      </c>
      <c r="DU22" s="1420">
        <v>704793.35</v>
      </c>
      <c r="DV22" s="1422">
        <v>737577</v>
      </c>
      <c r="DW22" s="1420">
        <v>160858.57</v>
      </c>
      <c r="DX22" s="1420">
        <v>150816.68</v>
      </c>
      <c r="DY22" s="1420">
        <v>427471.69</v>
      </c>
      <c r="DZ22" s="1420">
        <v>187246.16</v>
      </c>
      <c r="EA22" s="1420">
        <v>158000.54999999999</v>
      </c>
      <c r="EB22" s="1422">
        <v>160660</v>
      </c>
      <c r="EC22" s="1420">
        <v>746330.81</v>
      </c>
      <c r="ED22" s="1420">
        <v>498722.84</v>
      </c>
      <c r="EE22" s="1420">
        <v>278168.17</v>
      </c>
      <c r="EF22" s="1422">
        <v>245083</v>
      </c>
      <c r="EG22" s="1422">
        <v>0</v>
      </c>
      <c r="EH22" s="1422">
        <v>0</v>
      </c>
      <c r="EI22" s="1420">
        <v>60221.54</v>
      </c>
      <c r="EJ22" s="1422">
        <v>64754</v>
      </c>
      <c r="EK22" s="1422">
        <v>0</v>
      </c>
      <c r="EL22" s="1422">
        <v>0</v>
      </c>
      <c r="EM22" s="1420">
        <v>338389.71</v>
      </c>
      <c r="EN22" s="1422">
        <v>309837</v>
      </c>
      <c r="EO22" s="1420">
        <v>375585.28000000003</v>
      </c>
      <c r="EP22" s="1422">
        <v>965977</v>
      </c>
      <c r="EQ22" s="1420">
        <v>307961.83</v>
      </c>
      <c r="ER22" s="1422">
        <v>332188</v>
      </c>
      <c r="ES22" s="1422">
        <v>0</v>
      </c>
      <c r="ET22" s="1422">
        <v>0</v>
      </c>
      <c r="EU22" s="1420">
        <v>4944632.6500000004</v>
      </c>
      <c r="EV22" s="1420">
        <v>5437012.5300000003</v>
      </c>
      <c r="EW22" s="1420">
        <v>488556.58</v>
      </c>
      <c r="EX22" s="1422">
        <v>978927</v>
      </c>
      <c r="EY22" s="1420">
        <v>307961.83</v>
      </c>
      <c r="EZ22" s="1422">
        <v>332188</v>
      </c>
      <c r="FA22" s="1420">
        <v>4148114.24</v>
      </c>
      <c r="FB22" s="1420">
        <v>4125897.53</v>
      </c>
      <c r="FC22" s="1420">
        <v>366482.31</v>
      </c>
      <c r="FD22" s="1439"/>
      <c r="FE22" s="1420">
        <v>3781631.93</v>
      </c>
      <c r="FF22" s="1439"/>
      <c r="FG22" s="1422">
        <v>9612</v>
      </c>
      <c r="FH22" s="1439"/>
      <c r="FI22" s="1420">
        <v>35.28</v>
      </c>
      <c r="FJ22" s="1439"/>
      <c r="FK22" s="1422">
        <v>39487</v>
      </c>
      <c r="FL22" s="1439"/>
      <c r="FM22" s="1420">
        <v>38.51</v>
      </c>
      <c r="FN22" s="1439"/>
      <c r="FO22" s="1422">
        <v>41099</v>
      </c>
      <c r="FP22" s="1439"/>
      <c r="FQ22" s="1420">
        <v>816839.16</v>
      </c>
      <c r="FR22" s="1439"/>
      <c r="FS22" s="1420">
        <v>138915.07</v>
      </c>
      <c r="FT22" s="1439"/>
      <c r="FU22" s="1422">
        <v>0</v>
      </c>
      <c r="FV22" s="1439"/>
      <c r="FW22" s="1420">
        <v>677924.09</v>
      </c>
      <c r="FX22" s="1439"/>
      <c r="FY22" s="1420">
        <v>239898.89</v>
      </c>
      <c r="FZ22" s="1439"/>
      <c r="GA22" s="1422">
        <v>0</v>
      </c>
      <c r="GB22" s="1439"/>
    </row>
    <row r="23" spans="1:184" ht="12.75" customHeight="1" thickBot="1">
      <c r="A23" s="1418" t="s">
        <v>621</v>
      </c>
      <c r="B23" s="1418" t="s">
        <v>622</v>
      </c>
      <c r="C23" s="1420">
        <v>72.16</v>
      </c>
      <c r="D23" s="1439"/>
      <c r="E23" s="1420">
        <v>908.92</v>
      </c>
      <c r="F23" s="1439"/>
      <c r="G23" s="1421">
        <v>0</v>
      </c>
      <c r="H23" s="1439"/>
      <c r="I23" s="1420">
        <v>948.39</v>
      </c>
      <c r="J23" s="1439"/>
      <c r="K23" s="1420">
        <v>964.2</v>
      </c>
      <c r="L23" s="1439"/>
      <c r="M23" s="1422">
        <v>48788908</v>
      </c>
      <c r="N23" s="1439"/>
      <c r="O23" s="1422">
        <v>25</v>
      </c>
      <c r="P23" s="1439"/>
      <c r="Q23" s="1422">
        <v>25</v>
      </c>
      <c r="R23" s="1439"/>
      <c r="S23" s="1422">
        <v>0</v>
      </c>
      <c r="T23" s="1439"/>
      <c r="U23" s="1422">
        <v>0</v>
      </c>
      <c r="V23" s="1439"/>
      <c r="W23" s="1420">
        <v>7.8</v>
      </c>
      <c r="X23" s="1439"/>
      <c r="Y23" s="1420">
        <v>32.799999999999997</v>
      </c>
      <c r="Z23" s="1439"/>
      <c r="AA23" s="1422">
        <v>2742868</v>
      </c>
      <c r="AB23" s="1439"/>
      <c r="AC23" s="1420">
        <v>1502367.93</v>
      </c>
      <c r="AD23" s="1422">
        <v>1456000</v>
      </c>
      <c r="AE23" s="1420">
        <v>458154.88</v>
      </c>
      <c r="AF23" s="1422">
        <v>158150</v>
      </c>
      <c r="AG23" s="1422">
        <v>0</v>
      </c>
      <c r="AH23" s="1422">
        <v>0</v>
      </c>
      <c r="AI23" s="1422">
        <v>4639396</v>
      </c>
      <c r="AJ23" s="1422">
        <v>4663652</v>
      </c>
      <c r="AK23" s="1422">
        <v>75372</v>
      </c>
      <c r="AL23" s="1422">
        <v>0</v>
      </c>
      <c r="AM23" s="1422">
        <v>1717</v>
      </c>
      <c r="AN23" s="1422">
        <v>0</v>
      </c>
      <c r="AO23" s="1422">
        <v>0</v>
      </c>
      <c r="AP23" s="1422">
        <v>32532</v>
      </c>
      <c r="AQ23" s="1422">
        <v>0</v>
      </c>
      <c r="AR23" s="1422">
        <v>0</v>
      </c>
      <c r="AS23" s="1422">
        <v>0</v>
      </c>
      <c r="AT23" s="1422">
        <v>0</v>
      </c>
      <c r="AU23" s="1422">
        <v>24918</v>
      </c>
      <c r="AV23" s="1422">
        <v>19934</v>
      </c>
      <c r="AW23" s="1422">
        <v>175</v>
      </c>
      <c r="AX23" s="1422">
        <v>0</v>
      </c>
      <c r="AY23" s="1420">
        <v>6702100.8099999996</v>
      </c>
      <c r="AZ23" s="1422">
        <v>6330268</v>
      </c>
      <c r="BA23" s="1422">
        <v>0</v>
      </c>
      <c r="BB23" s="1422">
        <v>0</v>
      </c>
      <c r="BC23" s="1422">
        <v>39879</v>
      </c>
      <c r="BD23" s="1422">
        <v>40414</v>
      </c>
      <c r="BE23" s="1422">
        <v>0</v>
      </c>
      <c r="BF23" s="1422">
        <v>0</v>
      </c>
      <c r="BG23" s="1422">
        <v>2480</v>
      </c>
      <c r="BH23" s="1422">
        <v>0</v>
      </c>
      <c r="BI23" s="1422">
        <v>20965</v>
      </c>
      <c r="BJ23" s="1422">
        <v>25175</v>
      </c>
      <c r="BK23" s="1422">
        <v>1758</v>
      </c>
      <c r="BL23" s="1422">
        <v>0</v>
      </c>
      <c r="BM23" s="1422">
        <v>219232</v>
      </c>
      <c r="BN23" s="1422">
        <v>236808</v>
      </c>
      <c r="BO23" s="1422">
        <v>75470</v>
      </c>
      <c r="BP23" s="1422">
        <v>0</v>
      </c>
      <c r="BQ23" s="1420">
        <v>23562.52</v>
      </c>
      <c r="BR23" s="1422">
        <v>22750</v>
      </c>
      <c r="BS23" s="1420">
        <v>3432.8</v>
      </c>
      <c r="BT23" s="1422">
        <v>0</v>
      </c>
      <c r="BU23" s="1422">
        <v>0</v>
      </c>
      <c r="BV23" s="1422">
        <v>0</v>
      </c>
      <c r="BW23" s="1422">
        <v>0</v>
      </c>
      <c r="BX23" s="1422">
        <v>0</v>
      </c>
      <c r="BY23" s="1422">
        <v>0</v>
      </c>
      <c r="BZ23" s="1422">
        <v>0</v>
      </c>
      <c r="CA23" s="1422">
        <v>78081</v>
      </c>
      <c r="CB23" s="1422">
        <v>71939</v>
      </c>
      <c r="CC23" s="1420">
        <v>464860.32</v>
      </c>
      <c r="CD23" s="1422">
        <v>397086</v>
      </c>
      <c r="CE23" s="1420">
        <v>1162169.28</v>
      </c>
      <c r="CF23" s="1422">
        <v>803064</v>
      </c>
      <c r="CG23" s="1420">
        <v>4864.33</v>
      </c>
      <c r="CH23" s="1422">
        <v>0</v>
      </c>
      <c r="CI23" s="1422">
        <v>0</v>
      </c>
      <c r="CJ23" s="1422">
        <v>0</v>
      </c>
      <c r="CK23" s="1422">
        <v>0</v>
      </c>
      <c r="CL23" s="1422">
        <v>0</v>
      </c>
      <c r="CM23" s="1422">
        <v>0</v>
      </c>
      <c r="CN23" s="1422">
        <v>0</v>
      </c>
      <c r="CO23" s="1422">
        <v>0</v>
      </c>
      <c r="CP23" s="1422">
        <v>0</v>
      </c>
      <c r="CQ23" s="1422">
        <v>0</v>
      </c>
      <c r="CR23" s="1422">
        <v>0</v>
      </c>
      <c r="CS23" s="1420">
        <v>4864.33</v>
      </c>
      <c r="CT23" s="1422">
        <v>0</v>
      </c>
      <c r="CU23" s="1420">
        <v>8333994.7400000002</v>
      </c>
      <c r="CV23" s="1422">
        <v>7530418</v>
      </c>
      <c r="CW23" s="1420">
        <v>3447908.31</v>
      </c>
      <c r="CX23" s="1420">
        <v>3036784.54</v>
      </c>
      <c r="CY23" s="1420">
        <v>551513.47</v>
      </c>
      <c r="CZ23" s="1420">
        <v>576917.82999999996</v>
      </c>
      <c r="DA23" s="1420">
        <v>211240.71</v>
      </c>
      <c r="DB23" s="1420">
        <v>215349.62</v>
      </c>
      <c r="DC23" s="1422">
        <v>0</v>
      </c>
      <c r="DD23" s="1422">
        <v>0</v>
      </c>
      <c r="DE23" s="1420">
        <v>280686.7</v>
      </c>
      <c r="DF23" s="1420">
        <v>253403.77</v>
      </c>
      <c r="DG23" s="1420">
        <v>53477.89</v>
      </c>
      <c r="DH23" s="1420">
        <v>53438.58</v>
      </c>
      <c r="DI23" s="1420">
        <v>4544827.08</v>
      </c>
      <c r="DJ23" s="1420">
        <v>4135894.34</v>
      </c>
      <c r="DK23" s="1420">
        <v>193949.78</v>
      </c>
      <c r="DL23" s="1420">
        <v>199157.16</v>
      </c>
      <c r="DM23" s="1420">
        <v>107867.77</v>
      </c>
      <c r="DN23" s="1420">
        <v>116372.78</v>
      </c>
      <c r="DO23" s="1420">
        <v>630374.76</v>
      </c>
      <c r="DP23" s="1420">
        <v>731288.01</v>
      </c>
      <c r="DQ23" s="1420">
        <v>317717.46000000002</v>
      </c>
      <c r="DR23" s="1420">
        <v>395343.63</v>
      </c>
      <c r="DS23" s="1420">
        <v>31651.52</v>
      </c>
      <c r="DT23" s="1420">
        <v>19981.669999999998</v>
      </c>
      <c r="DU23" s="1420">
        <v>1281561.29</v>
      </c>
      <c r="DV23" s="1420">
        <v>1462143.25</v>
      </c>
      <c r="DW23" s="1420">
        <v>406718.66</v>
      </c>
      <c r="DX23" s="1420">
        <v>412639.33</v>
      </c>
      <c r="DY23" s="1420">
        <v>626387.76</v>
      </c>
      <c r="DZ23" s="1420">
        <v>603649.79</v>
      </c>
      <c r="EA23" s="1420">
        <v>427480.03</v>
      </c>
      <c r="EB23" s="1420">
        <v>392257.31</v>
      </c>
      <c r="EC23" s="1420">
        <v>1460586.45</v>
      </c>
      <c r="ED23" s="1420">
        <v>1408546.43</v>
      </c>
      <c r="EE23" s="1420">
        <v>349561.16</v>
      </c>
      <c r="EF23" s="1420">
        <v>314532.99</v>
      </c>
      <c r="EG23" s="1420">
        <v>32468.39</v>
      </c>
      <c r="EH23" s="1422">
        <v>0</v>
      </c>
      <c r="EI23" s="1420">
        <v>1446.84</v>
      </c>
      <c r="EJ23" s="1422">
        <v>1600</v>
      </c>
      <c r="EK23" s="1422">
        <v>0</v>
      </c>
      <c r="EL23" s="1422">
        <v>0</v>
      </c>
      <c r="EM23" s="1420">
        <v>383476.39</v>
      </c>
      <c r="EN23" s="1420">
        <v>316132.99</v>
      </c>
      <c r="EO23" s="1420">
        <v>80558.2</v>
      </c>
      <c r="EP23" s="1422">
        <v>4500</v>
      </c>
      <c r="EQ23" s="1420">
        <v>230446.07</v>
      </c>
      <c r="ER23" s="1420">
        <v>228291.26</v>
      </c>
      <c r="ES23" s="1422">
        <v>18593</v>
      </c>
      <c r="ET23" s="1422">
        <v>0</v>
      </c>
      <c r="EU23" s="1420">
        <v>8000048.4800000004</v>
      </c>
      <c r="EV23" s="1420">
        <v>7555508.2699999996</v>
      </c>
      <c r="EW23" s="1420">
        <v>103338.78</v>
      </c>
      <c r="EX23" s="1422">
        <v>120750</v>
      </c>
      <c r="EY23" s="1420">
        <v>230446.07</v>
      </c>
      <c r="EZ23" s="1420">
        <v>228291.26</v>
      </c>
      <c r="FA23" s="1420">
        <v>7666263.6299999999</v>
      </c>
      <c r="FB23" s="1420">
        <v>7206467.0099999998</v>
      </c>
      <c r="FC23" s="1420">
        <v>413858.55</v>
      </c>
      <c r="FD23" s="1439"/>
      <c r="FE23" s="1420">
        <v>7252405.0800000001</v>
      </c>
      <c r="FF23" s="1439"/>
      <c r="FG23" s="1422">
        <v>7979</v>
      </c>
      <c r="FH23" s="1439"/>
      <c r="FI23" s="1420">
        <v>73.94</v>
      </c>
      <c r="FJ23" s="1439"/>
      <c r="FK23" s="1422">
        <v>41292</v>
      </c>
      <c r="FL23" s="1439"/>
      <c r="FM23" s="1420">
        <v>80.069999999999993</v>
      </c>
      <c r="FN23" s="1439"/>
      <c r="FO23" s="1422">
        <v>44503</v>
      </c>
      <c r="FP23" s="1439"/>
      <c r="FQ23" s="1420">
        <v>1205721.3</v>
      </c>
      <c r="FR23" s="1439"/>
      <c r="FS23" s="1420">
        <v>9510.85</v>
      </c>
      <c r="FT23" s="1439"/>
      <c r="FU23" s="1422">
        <v>0</v>
      </c>
      <c r="FV23" s="1439"/>
      <c r="FW23" s="1420">
        <v>1196210.45</v>
      </c>
      <c r="FX23" s="1439"/>
      <c r="FY23" s="1420">
        <v>160634.85999999999</v>
      </c>
      <c r="FZ23" s="1439"/>
      <c r="GA23" s="1422">
        <v>0</v>
      </c>
      <c r="GB23" s="1439"/>
    </row>
    <row r="24" spans="1:184" ht="12.75" customHeight="1" thickBot="1">
      <c r="A24" s="1418" t="s">
        <v>623</v>
      </c>
      <c r="B24" s="1418" t="s">
        <v>624</v>
      </c>
      <c r="C24" s="1420">
        <v>116.19</v>
      </c>
      <c r="D24" s="1439"/>
      <c r="E24" s="1420">
        <v>335.7</v>
      </c>
      <c r="F24" s="1439"/>
      <c r="G24" s="1421">
        <v>-0.08</v>
      </c>
      <c r="H24" s="1439"/>
      <c r="I24" s="1420">
        <v>358.15</v>
      </c>
      <c r="J24" s="1439"/>
      <c r="K24" s="1420">
        <v>373.88</v>
      </c>
      <c r="L24" s="1439"/>
      <c r="M24" s="1422">
        <v>31722894</v>
      </c>
      <c r="N24" s="1439"/>
      <c r="O24" s="1420">
        <v>25.9</v>
      </c>
      <c r="P24" s="1439"/>
      <c r="Q24" s="1422">
        <v>25</v>
      </c>
      <c r="R24" s="1439"/>
      <c r="S24" s="1420">
        <v>0.9</v>
      </c>
      <c r="T24" s="1439"/>
      <c r="U24" s="1422">
        <v>0</v>
      </c>
      <c r="V24" s="1439"/>
      <c r="W24" s="1420">
        <v>13.1</v>
      </c>
      <c r="X24" s="1439"/>
      <c r="Y24" s="1422">
        <v>39</v>
      </c>
      <c r="Z24" s="1439"/>
      <c r="AA24" s="1420">
        <v>1993767.42</v>
      </c>
      <c r="AB24" s="1439"/>
      <c r="AC24" s="1420">
        <v>1243348.17</v>
      </c>
      <c r="AD24" s="1422">
        <v>1258649</v>
      </c>
      <c r="AE24" s="1420">
        <v>116906.82</v>
      </c>
      <c r="AF24" s="1422">
        <v>50750</v>
      </c>
      <c r="AG24" s="1422">
        <v>0</v>
      </c>
      <c r="AH24" s="1422">
        <v>0</v>
      </c>
      <c r="AI24" s="1422">
        <v>1480875</v>
      </c>
      <c r="AJ24" s="1422">
        <v>1456326</v>
      </c>
      <c r="AK24" s="1422">
        <v>35344</v>
      </c>
      <c r="AL24" s="1422">
        <v>0</v>
      </c>
      <c r="AM24" s="1422">
        <v>84648</v>
      </c>
      <c r="AN24" s="1422">
        <v>0</v>
      </c>
      <c r="AO24" s="1422">
        <v>0</v>
      </c>
      <c r="AP24" s="1422">
        <v>30075</v>
      </c>
      <c r="AQ24" s="1422">
        <v>0</v>
      </c>
      <c r="AR24" s="1422">
        <v>0</v>
      </c>
      <c r="AS24" s="1422">
        <v>0</v>
      </c>
      <c r="AT24" s="1422">
        <v>0</v>
      </c>
      <c r="AU24" s="1422">
        <v>0</v>
      </c>
      <c r="AV24" s="1422">
        <v>0</v>
      </c>
      <c r="AW24" s="1420">
        <v>41.25</v>
      </c>
      <c r="AX24" s="1422">
        <v>0</v>
      </c>
      <c r="AY24" s="1420">
        <v>2961163.24</v>
      </c>
      <c r="AZ24" s="1422">
        <v>2795800</v>
      </c>
      <c r="BA24" s="1422">
        <v>0</v>
      </c>
      <c r="BB24" s="1422">
        <v>0</v>
      </c>
      <c r="BC24" s="1422">
        <v>15464</v>
      </c>
      <c r="BD24" s="1420">
        <v>21944.6</v>
      </c>
      <c r="BE24" s="1422">
        <v>5600</v>
      </c>
      <c r="BF24" s="1422">
        <v>8600</v>
      </c>
      <c r="BG24" s="1422">
        <v>1000</v>
      </c>
      <c r="BH24" s="1422">
        <v>0</v>
      </c>
      <c r="BI24" s="1422">
        <v>0</v>
      </c>
      <c r="BJ24" s="1422">
        <v>3523</v>
      </c>
      <c r="BK24" s="1422">
        <v>0</v>
      </c>
      <c r="BL24" s="1422">
        <v>0</v>
      </c>
      <c r="BM24" s="1422">
        <v>280736</v>
      </c>
      <c r="BN24" s="1422">
        <v>281336</v>
      </c>
      <c r="BO24" s="1420">
        <v>19343.93</v>
      </c>
      <c r="BP24" s="1422">
        <v>17812</v>
      </c>
      <c r="BQ24" s="1420">
        <v>63386.22</v>
      </c>
      <c r="BR24" s="1422">
        <v>11375</v>
      </c>
      <c r="BS24" s="1420">
        <v>1663.19</v>
      </c>
      <c r="BT24" s="1422">
        <v>1600</v>
      </c>
      <c r="BU24" s="1422">
        <v>0</v>
      </c>
      <c r="BV24" s="1422">
        <v>0</v>
      </c>
      <c r="BW24" s="1422">
        <v>167670</v>
      </c>
      <c r="BX24" s="1422">
        <v>194400</v>
      </c>
      <c r="BY24" s="1422">
        <v>0</v>
      </c>
      <c r="BZ24" s="1422">
        <v>0</v>
      </c>
      <c r="CA24" s="1422">
        <v>22555</v>
      </c>
      <c r="CB24" s="1422">
        <v>37412</v>
      </c>
      <c r="CC24" s="1420">
        <v>577418.34</v>
      </c>
      <c r="CD24" s="1420">
        <v>578002.6</v>
      </c>
      <c r="CE24" s="1420">
        <v>574559.4</v>
      </c>
      <c r="CF24" s="1420">
        <v>623081.87</v>
      </c>
      <c r="CG24" s="1422">
        <v>0</v>
      </c>
      <c r="CH24" s="1422">
        <v>0</v>
      </c>
      <c r="CI24" s="1422">
        <v>0</v>
      </c>
      <c r="CJ24" s="1422">
        <v>0</v>
      </c>
      <c r="CK24" s="1422">
        <v>0</v>
      </c>
      <c r="CL24" s="1422">
        <v>0</v>
      </c>
      <c r="CM24" s="1422">
        <v>0</v>
      </c>
      <c r="CN24" s="1422">
        <v>0</v>
      </c>
      <c r="CO24" s="1422">
        <v>0</v>
      </c>
      <c r="CP24" s="1422">
        <v>0</v>
      </c>
      <c r="CQ24" s="1422">
        <v>0</v>
      </c>
      <c r="CR24" s="1422">
        <v>0</v>
      </c>
      <c r="CS24" s="1422">
        <v>0</v>
      </c>
      <c r="CT24" s="1422">
        <v>0</v>
      </c>
      <c r="CU24" s="1420">
        <v>4113140.98</v>
      </c>
      <c r="CV24" s="1420">
        <v>3996884.47</v>
      </c>
      <c r="CW24" s="1420">
        <v>1684473.01</v>
      </c>
      <c r="CX24" s="1420">
        <v>1382337.65</v>
      </c>
      <c r="CY24" s="1420">
        <v>291797.28000000003</v>
      </c>
      <c r="CZ24" s="1420">
        <v>276974.95</v>
      </c>
      <c r="DA24" s="1420">
        <v>106379.63</v>
      </c>
      <c r="DB24" s="1420">
        <v>117711.18</v>
      </c>
      <c r="DC24" s="1422">
        <v>0</v>
      </c>
      <c r="DD24" s="1422">
        <v>0</v>
      </c>
      <c r="DE24" s="1420">
        <v>122055.91</v>
      </c>
      <c r="DF24" s="1420">
        <v>104893.9</v>
      </c>
      <c r="DG24" s="1420">
        <v>104932.54</v>
      </c>
      <c r="DH24" s="1420">
        <v>135927.91</v>
      </c>
      <c r="DI24" s="1420">
        <v>2309638.37</v>
      </c>
      <c r="DJ24" s="1420">
        <v>2017845.59</v>
      </c>
      <c r="DK24" s="1420">
        <v>218468.18</v>
      </c>
      <c r="DL24" s="1420">
        <v>212988.34</v>
      </c>
      <c r="DM24" s="1420">
        <v>44552.33</v>
      </c>
      <c r="DN24" s="1420">
        <v>53500.5</v>
      </c>
      <c r="DO24" s="1420">
        <v>351765.92</v>
      </c>
      <c r="DP24" s="1420">
        <v>386023.13</v>
      </c>
      <c r="DQ24" s="1420">
        <v>221786.74</v>
      </c>
      <c r="DR24" s="1420">
        <v>222209.04</v>
      </c>
      <c r="DS24" s="1420">
        <v>589.9</v>
      </c>
      <c r="DT24" s="1422">
        <v>0</v>
      </c>
      <c r="DU24" s="1420">
        <v>837163.07</v>
      </c>
      <c r="DV24" s="1420">
        <v>874721.01</v>
      </c>
      <c r="DW24" s="1420">
        <v>143189.91</v>
      </c>
      <c r="DX24" s="1420">
        <v>199625.73</v>
      </c>
      <c r="DY24" s="1420">
        <v>143945.94</v>
      </c>
      <c r="DZ24" s="1420">
        <v>196081.46</v>
      </c>
      <c r="EA24" s="1420">
        <v>192793.9</v>
      </c>
      <c r="EB24" s="1420">
        <v>201243.12</v>
      </c>
      <c r="EC24" s="1420">
        <v>479929.75</v>
      </c>
      <c r="ED24" s="1420">
        <v>596950.31000000006</v>
      </c>
      <c r="EE24" s="1420">
        <v>234226.42</v>
      </c>
      <c r="EF24" s="1420">
        <v>186000.2</v>
      </c>
      <c r="EG24" s="1422">
        <v>0</v>
      </c>
      <c r="EH24" s="1422">
        <v>0</v>
      </c>
      <c r="EI24" s="1422">
        <v>0</v>
      </c>
      <c r="EJ24" s="1422">
        <v>8000</v>
      </c>
      <c r="EK24" s="1422">
        <v>0</v>
      </c>
      <c r="EL24" s="1422">
        <v>0</v>
      </c>
      <c r="EM24" s="1420">
        <v>234226.42</v>
      </c>
      <c r="EN24" s="1420">
        <v>194000.2</v>
      </c>
      <c r="EO24" s="1420">
        <v>91959.09</v>
      </c>
      <c r="EP24" s="1422">
        <v>120000</v>
      </c>
      <c r="EQ24" s="1420">
        <v>203003.51</v>
      </c>
      <c r="ER24" s="1420">
        <v>210867.77</v>
      </c>
      <c r="ES24" s="1422">
        <v>53499</v>
      </c>
      <c r="ET24" s="1422">
        <v>0</v>
      </c>
      <c r="EU24" s="1420">
        <v>4209419.21</v>
      </c>
      <c r="EV24" s="1420">
        <v>4014384.88</v>
      </c>
      <c r="EW24" s="1420">
        <v>120728.91</v>
      </c>
      <c r="EX24" s="1422">
        <v>139415</v>
      </c>
      <c r="EY24" s="1420">
        <v>203003.51</v>
      </c>
      <c r="EZ24" s="1420">
        <v>210867.77</v>
      </c>
      <c r="FA24" s="1420">
        <v>3885686.79</v>
      </c>
      <c r="FB24" s="1420">
        <v>3664102.11</v>
      </c>
      <c r="FC24" s="1420">
        <v>344484.11</v>
      </c>
      <c r="FD24" s="1439"/>
      <c r="FE24" s="1420">
        <v>3541202.68</v>
      </c>
      <c r="FF24" s="1439"/>
      <c r="FG24" s="1422">
        <v>10548</v>
      </c>
      <c r="FH24" s="1439"/>
      <c r="FI24" s="1420">
        <v>31.58</v>
      </c>
      <c r="FJ24" s="1439"/>
      <c r="FK24" s="1422">
        <v>40910</v>
      </c>
      <c r="FL24" s="1439"/>
      <c r="FM24" s="1420">
        <v>34.54</v>
      </c>
      <c r="FN24" s="1439"/>
      <c r="FO24" s="1422">
        <v>43162</v>
      </c>
      <c r="FP24" s="1439"/>
      <c r="FQ24" s="1420">
        <v>754280.99</v>
      </c>
      <c r="FR24" s="1439"/>
      <c r="FS24" s="1420">
        <v>10439.25</v>
      </c>
      <c r="FT24" s="1439"/>
      <c r="FU24" s="1422">
        <v>0</v>
      </c>
      <c r="FV24" s="1439"/>
      <c r="FW24" s="1420">
        <v>743841.74</v>
      </c>
      <c r="FX24" s="1439"/>
      <c r="FY24" s="1422">
        <v>0</v>
      </c>
      <c r="FZ24" s="1439"/>
      <c r="GA24" s="1422">
        <v>0</v>
      </c>
      <c r="GB24" s="1439"/>
    </row>
    <row r="25" spans="1:184" ht="12.75" customHeight="1" thickBot="1">
      <c r="A25" s="1418" t="s">
        <v>625</v>
      </c>
      <c r="B25" s="1418" t="s">
        <v>626</v>
      </c>
      <c r="C25" s="1420">
        <v>402.49</v>
      </c>
      <c r="D25" s="1439"/>
      <c r="E25" s="1420">
        <v>448.28</v>
      </c>
      <c r="F25" s="1439"/>
      <c r="G25" s="1421">
        <v>-0.06</v>
      </c>
      <c r="H25" s="1439"/>
      <c r="I25" s="1420">
        <v>470.23</v>
      </c>
      <c r="J25" s="1439"/>
      <c r="K25" s="1420">
        <v>462.67</v>
      </c>
      <c r="L25" s="1439"/>
      <c r="M25" s="1422">
        <v>31013712</v>
      </c>
      <c r="N25" s="1439"/>
      <c r="O25" s="1422">
        <v>25</v>
      </c>
      <c r="P25" s="1439"/>
      <c r="Q25" s="1422">
        <v>25</v>
      </c>
      <c r="R25" s="1439"/>
      <c r="S25" s="1422">
        <v>0</v>
      </c>
      <c r="T25" s="1439"/>
      <c r="U25" s="1422">
        <v>0</v>
      </c>
      <c r="V25" s="1439"/>
      <c r="W25" s="1420">
        <v>16.5</v>
      </c>
      <c r="X25" s="1439"/>
      <c r="Y25" s="1420">
        <v>41.5</v>
      </c>
      <c r="Z25" s="1439"/>
      <c r="AA25" s="1420">
        <v>5286175.2</v>
      </c>
      <c r="AB25" s="1439"/>
      <c r="AC25" s="1420">
        <v>1221576.8799999999</v>
      </c>
      <c r="AD25" s="1420">
        <v>1188477.1100000001</v>
      </c>
      <c r="AE25" s="1420">
        <v>249593.46</v>
      </c>
      <c r="AF25" s="1420">
        <v>226783.8</v>
      </c>
      <c r="AG25" s="1420">
        <v>1705.82</v>
      </c>
      <c r="AH25" s="1422">
        <v>1500</v>
      </c>
      <c r="AI25" s="1422">
        <v>2034843</v>
      </c>
      <c r="AJ25" s="1422">
        <v>2114929</v>
      </c>
      <c r="AK25" s="1422">
        <v>14708</v>
      </c>
      <c r="AL25" s="1422">
        <v>759836</v>
      </c>
      <c r="AM25" s="1422">
        <v>46151</v>
      </c>
      <c r="AN25" s="1422">
        <v>0</v>
      </c>
      <c r="AO25" s="1422">
        <v>0</v>
      </c>
      <c r="AP25" s="1422">
        <v>0</v>
      </c>
      <c r="AQ25" s="1422">
        <v>0</v>
      </c>
      <c r="AR25" s="1422">
        <v>0</v>
      </c>
      <c r="AS25" s="1422">
        <v>0</v>
      </c>
      <c r="AT25" s="1422">
        <v>0</v>
      </c>
      <c r="AU25" s="1422">
        <v>5729</v>
      </c>
      <c r="AV25" s="1422">
        <v>4583</v>
      </c>
      <c r="AW25" s="1422">
        <v>0</v>
      </c>
      <c r="AX25" s="1422">
        <v>0</v>
      </c>
      <c r="AY25" s="1420">
        <v>3574307.16</v>
      </c>
      <c r="AZ25" s="1420">
        <v>4296108.91</v>
      </c>
      <c r="BA25" s="1422">
        <v>0</v>
      </c>
      <c r="BB25" s="1422">
        <v>0</v>
      </c>
      <c r="BC25" s="1422">
        <v>19136</v>
      </c>
      <c r="BD25" s="1422">
        <v>19885</v>
      </c>
      <c r="BE25" s="1422">
        <v>148133</v>
      </c>
      <c r="BF25" s="1422">
        <v>2400</v>
      </c>
      <c r="BG25" s="1422">
        <v>100</v>
      </c>
      <c r="BH25" s="1422">
        <v>0</v>
      </c>
      <c r="BI25" s="1422">
        <v>4347</v>
      </c>
      <c r="BJ25" s="1422">
        <v>8580</v>
      </c>
      <c r="BK25" s="1422">
        <v>31644</v>
      </c>
      <c r="BL25" s="1422">
        <v>31644</v>
      </c>
      <c r="BM25" s="1422">
        <v>350176</v>
      </c>
      <c r="BN25" s="1422">
        <v>355212</v>
      </c>
      <c r="BO25" s="1420">
        <v>1895.39</v>
      </c>
      <c r="BP25" s="1422">
        <v>0</v>
      </c>
      <c r="BQ25" s="1420">
        <v>43333.56</v>
      </c>
      <c r="BR25" s="1422">
        <v>37375</v>
      </c>
      <c r="BS25" s="1420">
        <v>1689.85</v>
      </c>
      <c r="BT25" s="1422">
        <v>1500</v>
      </c>
      <c r="BU25" s="1422">
        <v>0</v>
      </c>
      <c r="BV25" s="1422">
        <v>0</v>
      </c>
      <c r="BW25" s="1422">
        <v>175775</v>
      </c>
      <c r="BX25" s="1422">
        <v>179820</v>
      </c>
      <c r="BY25" s="1422">
        <v>0</v>
      </c>
      <c r="BZ25" s="1422">
        <v>0</v>
      </c>
      <c r="CA25" s="1420">
        <v>141182.94</v>
      </c>
      <c r="CB25" s="1422">
        <v>46773</v>
      </c>
      <c r="CC25" s="1420">
        <v>917412.74</v>
      </c>
      <c r="CD25" s="1422">
        <v>683189</v>
      </c>
      <c r="CE25" s="1420">
        <v>1410167.44</v>
      </c>
      <c r="CF25" s="1420">
        <v>879399.02</v>
      </c>
      <c r="CG25" s="1422">
        <v>0</v>
      </c>
      <c r="CH25" s="1422">
        <v>0</v>
      </c>
      <c r="CI25" s="1422">
        <v>0</v>
      </c>
      <c r="CJ25" s="1422">
        <v>0</v>
      </c>
      <c r="CK25" s="1422">
        <v>0</v>
      </c>
      <c r="CL25" s="1422">
        <v>0</v>
      </c>
      <c r="CM25" s="1422">
        <v>11580</v>
      </c>
      <c r="CN25" s="1422">
        <v>0</v>
      </c>
      <c r="CO25" s="1422">
        <v>0</v>
      </c>
      <c r="CP25" s="1422">
        <v>0</v>
      </c>
      <c r="CQ25" s="1422">
        <v>0</v>
      </c>
      <c r="CR25" s="1422">
        <v>0</v>
      </c>
      <c r="CS25" s="1422">
        <v>11580</v>
      </c>
      <c r="CT25" s="1422">
        <v>0</v>
      </c>
      <c r="CU25" s="1420">
        <v>5913467.3399999999</v>
      </c>
      <c r="CV25" s="1420">
        <v>5858696.9299999997</v>
      </c>
      <c r="CW25" s="1420">
        <v>2288931.62</v>
      </c>
      <c r="CX25" s="1420">
        <v>2377839.0299999998</v>
      </c>
      <c r="CY25" s="1420">
        <v>189701.04</v>
      </c>
      <c r="CZ25" s="1420">
        <v>213982.27</v>
      </c>
      <c r="DA25" s="1420">
        <v>153866.56</v>
      </c>
      <c r="DB25" s="1420">
        <v>148645.94</v>
      </c>
      <c r="DC25" s="1422">
        <v>0</v>
      </c>
      <c r="DD25" s="1422">
        <v>0</v>
      </c>
      <c r="DE25" s="1420">
        <v>415344.16</v>
      </c>
      <c r="DF25" s="1420">
        <v>225892.96</v>
      </c>
      <c r="DG25" s="1420">
        <v>148250.35</v>
      </c>
      <c r="DH25" s="1420">
        <v>164642.15</v>
      </c>
      <c r="DI25" s="1420">
        <v>3196093.73</v>
      </c>
      <c r="DJ25" s="1420">
        <v>3131002.35</v>
      </c>
      <c r="DK25" s="1420">
        <v>183641.44</v>
      </c>
      <c r="DL25" s="1420">
        <v>184299.39</v>
      </c>
      <c r="DM25" s="1420">
        <v>120178.17</v>
      </c>
      <c r="DN25" s="1420">
        <v>59616.56</v>
      </c>
      <c r="DO25" s="1420">
        <v>604789.06000000006</v>
      </c>
      <c r="DP25" s="1420">
        <v>540197.68999999994</v>
      </c>
      <c r="DQ25" s="1420">
        <v>342046.94</v>
      </c>
      <c r="DR25" s="1420">
        <v>197896.01</v>
      </c>
      <c r="DS25" s="1420">
        <v>2648.6</v>
      </c>
      <c r="DT25" s="1420">
        <v>9848.6</v>
      </c>
      <c r="DU25" s="1420">
        <v>1253304.21</v>
      </c>
      <c r="DV25" s="1420">
        <v>991858.25</v>
      </c>
      <c r="DW25" s="1420">
        <v>229713.81</v>
      </c>
      <c r="DX25" s="1420">
        <v>198525.88</v>
      </c>
      <c r="DY25" s="1420">
        <v>630914.24</v>
      </c>
      <c r="DZ25" s="1420">
        <v>613740.23</v>
      </c>
      <c r="EA25" s="1420">
        <v>210001.69</v>
      </c>
      <c r="EB25" s="1420">
        <v>235144.45</v>
      </c>
      <c r="EC25" s="1420">
        <v>1070629.74</v>
      </c>
      <c r="ED25" s="1420">
        <v>1047410.56</v>
      </c>
      <c r="EE25" s="1420">
        <v>306709.99</v>
      </c>
      <c r="EF25" s="1420">
        <v>292839.37</v>
      </c>
      <c r="EG25" s="1422">
        <v>0</v>
      </c>
      <c r="EH25" s="1422">
        <v>0</v>
      </c>
      <c r="EI25" s="1422">
        <v>0</v>
      </c>
      <c r="EJ25" s="1422">
        <v>1602</v>
      </c>
      <c r="EK25" s="1422">
        <v>0</v>
      </c>
      <c r="EL25" s="1422">
        <v>0</v>
      </c>
      <c r="EM25" s="1420">
        <v>306709.99</v>
      </c>
      <c r="EN25" s="1420">
        <v>294441.37</v>
      </c>
      <c r="EO25" s="1420">
        <v>362704.86</v>
      </c>
      <c r="EP25" s="1420">
        <v>23145.63</v>
      </c>
      <c r="EQ25" s="1420">
        <v>237417.46</v>
      </c>
      <c r="ER25" s="1420">
        <v>228137.5</v>
      </c>
      <c r="ES25" s="1422">
        <v>0</v>
      </c>
      <c r="ET25" s="1422">
        <v>0</v>
      </c>
      <c r="EU25" s="1420">
        <v>6426859.9900000002</v>
      </c>
      <c r="EV25" s="1420">
        <v>5715995.6600000001</v>
      </c>
      <c r="EW25" s="1420">
        <v>510951.67</v>
      </c>
      <c r="EX25" s="1420">
        <v>112137.57</v>
      </c>
      <c r="EY25" s="1420">
        <v>237417.46</v>
      </c>
      <c r="EZ25" s="1420">
        <v>228137.5</v>
      </c>
      <c r="FA25" s="1420">
        <v>5678490.8600000003</v>
      </c>
      <c r="FB25" s="1420">
        <v>5375720.5899999999</v>
      </c>
      <c r="FC25" s="1420">
        <v>369507.91</v>
      </c>
      <c r="FD25" s="1439"/>
      <c r="FE25" s="1420">
        <v>5308982.95</v>
      </c>
      <c r="FF25" s="1439"/>
      <c r="FG25" s="1422">
        <v>11843</v>
      </c>
      <c r="FH25" s="1439"/>
      <c r="FI25" s="1420">
        <v>31.93</v>
      </c>
      <c r="FJ25" s="1439"/>
      <c r="FK25" s="1422">
        <v>48014</v>
      </c>
      <c r="FL25" s="1439"/>
      <c r="FM25" s="1420">
        <v>37.450000000000003</v>
      </c>
      <c r="FN25" s="1439"/>
      <c r="FO25" s="1422">
        <v>50009</v>
      </c>
      <c r="FP25" s="1439"/>
      <c r="FQ25" s="1420">
        <v>418158.08000000002</v>
      </c>
      <c r="FR25" s="1439"/>
      <c r="FS25" s="1420">
        <v>42133.25</v>
      </c>
      <c r="FT25" s="1439"/>
      <c r="FU25" s="1422">
        <v>0</v>
      </c>
      <c r="FV25" s="1439"/>
      <c r="FW25" s="1420">
        <v>376024.83</v>
      </c>
      <c r="FX25" s="1439"/>
      <c r="FY25" s="1420">
        <v>139857.94</v>
      </c>
      <c r="FZ25" s="1439"/>
      <c r="GA25" s="1422">
        <v>0</v>
      </c>
      <c r="GB25" s="1439"/>
    </row>
    <row r="26" spans="1:184" ht="12.75" customHeight="1" thickBot="1">
      <c r="A26" s="1418" t="s">
        <v>627</v>
      </c>
      <c r="B26" s="1418" t="s">
        <v>628</v>
      </c>
      <c r="C26" s="1420">
        <v>240.02</v>
      </c>
      <c r="D26" s="1439"/>
      <c r="E26" s="1420">
        <v>1454.45</v>
      </c>
      <c r="F26" s="1439"/>
      <c r="G26" s="1421">
        <v>-0.04</v>
      </c>
      <c r="H26" s="1439"/>
      <c r="I26" s="1420">
        <v>1518.04</v>
      </c>
      <c r="J26" s="1439"/>
      <c r="K26" s="1420">
        <v>1498.26</v>
      </c>
      <c r="L26" s="1439"/>
      <c r="M26" s="1422">
        <v>78804106</v>
      </c>
      <c r="N26" s="1439"/>
      <c r="O26" s="1422">
        <v>25</v>
      </c>
      <c r="P26" s="1439"/>
      <c r="Q26" s="1422">
        <v>25</v>
      </c>
      <c r="R26" s="1439"/>
      <c r="S26" s="1422">
        <v>0</v>
      </c>
      <c r="T26" s="1439"/>
      <c r="U26" s="1422">
        <v>0</v>
      </c>
      <c r="V26" s="1439"/>
      <c r="W26" s="1420">
        <v>11.5</v>
      </c>
      <c r="X26" s="1439"/>
      <c r="Y26" s="1420">
        <v>36.5</v>
      </c>
      <c r="Z26" s="1439"/>
      <c r="AA26" s="1420">
        <v>8102400.8200000003</v>
      </c>
      <c r="AB26" s="1439"/>
      <c r="AC26" s="1420">
        <v>2739337.95</v>
      </c>
      <c r="AD26" s="1422">
        <v>2711541</v>
      </c>
      <c r="AE26" s="1420">
        <v>731940.93</v>
      </c>
      <c r="AF26" s="1422">
        <v>347174</v>
      </c>
      <c r="AG26" s="1420">
        <v>12819.38</v>
      </c>
      <c r="AH26" s="1422">
        <v>13000</v>
      </c>
      <c r="AI26" s="1422">
        <v>7079915</v>
      </c>
      <c r="AJ26" s="1422">
        <v>7393552</v>
      </c>
      <c r="AK26" s="1422">
        <v>49038</v>
      </c>
      <c r="AL26" s="1422">
        <v>50000</v>
      </c>
      <c r="AM26" s="1422">
        <v>120867</v>
      </c>
      <c r="AN26" s="1422">
        <v>0</v>
      </c>
      <c r="AO26" s="1422">
        <v>0</v>
      </c>
      <c r="AP26" s="1422">
        <v>0</v>
      </c>
      <c r="AQ26" s="1422">
        <v>0</v>
      </c>
      <c r="AR26" s="1422">
        <v>0</v>
      </c>
      <c r="AS26" s="1422">
        <v>0</v>
      </c>
      <c r="AT26" s="1422">
        <v>0</v>
      </c>
      <c r="AU26" s="1422">
        <v>18615</v>
      </c>
      <c r="AV26" s="1422">
        <v>14892</v>
      </c>
      <c r="AW26" s="1420">
        <v>3140.29</v>
      </c>
      <c r="AX26" s="1422">
        <v>3000</v>
      </c>
      <c r="AY26" s="1420">
        <v>10755673.550000001</v>
      </c>
      <c r="AZ26" s="1422">
        <v>10533159</v>
      </c>
      <c r="BA26" s="1420">
        <v>231294.74</v>
      </c>
      <c r="BB26" s="1420">
        <v>193310.97</v>
      </c>
      <c r="BC26" s="1422">
        <v>61968</v>
      </c>
      <c r="BD26" s="1422">
        <v>64377</v>
      </c>
      <c r="BE26" s="1420">
        <v>10842.83</v>
      </c>
      <c r="BF26" s="1422">
        <v>5800</v>
      </c>
      <c r="BG26" s="1422">
        <v>350</v>
      </c>
      <c r="BH26" s="1422">
        <v>0</v>
      </c>
      <c r="BI26" s="1422">
        <v>56232</v>
      </c>
      <c r="BJ26" s="1422">
        <v>52186</v>
      </c>
      <c r="BK26" s="1422">
        <v>14943</v>
      </c>
      <c r="BL26" s="1422">
        <v>14943</v>
      </c>
      <c r="BM26" s="1422">
        <v>881220</v>
      </c>
      <c r="BN26" s="1422">
        <v>1134452</v>
      </c>
      <c r="BO26" s="1420">
        <v>6137.85</v>
      </c>
      <c r="BP26" s="1422">
        <v>0</v>
      </c>
      <c r="BQ26" s="1420">
        <v>968621.24</v>
      </c>
      <c r="BR26" s="1422">
        <v>889146</v>
      </c>
      <c r="BS26" s="1420">
        <v>5546.34</v>
      </c>
      <c r="BT26" s="1422">
        <v>4000</v>
      </c>
      <c r="BU26" s="1422">
        <v>0</v>
      </c>
      <c r="BV26" s="1422">
        <v>0</v>
      </c>
      <c r="BW26" s="1422">
        <v>585845</v>
      </c>
      <c r="BX26" s="1422">
        <v>585700</v>
      </c>
      <c r="BY26" s="1422">
        <v>0</v>
      </c>
      <c r="BZ26" s="1422">
        <v>0</v>
      </c>
      <c r="CA26" s="1420">
        <v>380735.08</v>
      </c>
      <c r="CB26" s="1422">
        <v>293527</v>
      </c>
      <c r="CC26" s="1420">
        <v>3203736.08</v>
      </c>
      <c r="CD26" s="1420">
        <v>3237441.97</v>
      </c>
      <c r="CE26" s="1420">
        <v>3324175.76</v>
      </c>
      <c r="CF26" s="1420">
        <v>2581332.79</v>
      </c>
      <c r="CG26" s="1422">
        <v>0</v>
      </c>
      <c r="CH26" s="1422">
        <v>0</v>
      </c>
      <c r="CI26" s="1422">
        <v>0</v>
      </c>
      <c r="CJ26" s="1422">
        <v>0</v>
      </c>
      <c r="CK26" s="1420">
        <v>12330.68</v>
      </c>
      <c r="CL26" s="1420">
        <v>2792.32</v>
      </c>
      <c r="CM26" s="1422">
        <v>0</v>
      </c>
      <c r="CN26" s="1422">
        <v>0</v>
      </c>
      <c r="CO26" s="1420">
        <v>2844.92</v>
      </c>
      <c r="CP26" s="1422">
        <v>0</v>
      </c>
      <c r="CQ26" s="1422">
        <v>0</v>
      </c>
      <c r="CR26" s="1422">
        <v>0</v>
      </c>
      <c r="CS26" s="1420">
        <v>15175.6</v>
      </c>
      <c r="CT26" s="1420">
        <v>2792.32</v>
      </c>
      <c r="CU26" s="1420">
        <v>17298760.989999998</v>
      </c>
      <c r="CV26" s="1420">
        <v>16354726.08</v>
      </c>
      <c r="CW26" s="1420">
        <v>6045836.3399999999</v>
      </c>
      <c r="CX26" s="1420">
        <v>5803123.1399999997</v>
      </c>
      <c r="CY26" s="1420">
        <v>733000.46</v>
      </c>
      <c r="CZ26" s="1420">
        <v>799167.04</v>
      </c>
      <c r="DA26" s="1420">
        <v>807439.41</v>
      </c>
      <c r="DB26" s="1420">
        <v>767942.76</v>
      </c>
      <c r="DC26" s="1420">
        <v>250152.61</v>
      </c>
      <c r="DD26" s="1420">
        <v>313637.56</v>
      </c>
      <c r="DE26" s="1420">
        <v>602256.24</v>
      </c>
      <c r="DF26" s="1420">
        <v>643880.34</v>
      </c>
      <c r="DG26" s="1420">
        <v>490060.64</v>
      </c>
      <c r="DH26" s="1420">
        <v>557383.24</v>
      </c>
      <c r="DI26" s="1420">
        <v>8928745.6999999993</v>
      </c>
      <c r="DJ26" s="1420">
        <v>8885134.0800000001</v>
      </c>
      <c r="DK26" s="1420">
        <v>367820.55</v>
      </c>
      <c r="DL26" s="1420">
        <v>359373.85</v>
      </c>
      <c r="DM26" s="1420">
        <v>434020.11</v>
      </c>
      <c r="DN26" s="1420">
        <v>396754.04</v>
      </c>
      <c r="DO26" s="1420">
        <v>1391057.65</v>
      </c>
      <c r="DP26" s="1420">
        <v>1536748.39</v>
      </c>
      <c r="DQ26" s="1420">
        <v>556661.22</v>
      </c>
      <c r="DR26" s="1420">
        <v>446497.68</v>
      </c>
      <c r="DS26" s="1420">
        <v>42622.19</v>
      </c>
      <c r="DT26" s="1420">
        <v>31107.599999999999</v>
      </c>
      <c r="DU26" s="1420">
        <v>2792181.72</v>
      </c>
      <c r="DV26" s="1420">
        <v>2770481.56</v>
      </c>
      <c r="DW26" s="1420">
        <v>713065.16</v>
      </c>
      <c r="DX26" s="1420">
        <v>877709.03</v>
      </c>
      <c r="DY26" s="1420">
        <v>1478487.95</v>
      </c>
      <c r="DZ26" s="1420">
        <v>1597570.13</v>
      </c>
      <c r="EA26" s="1420">
        <v>1020706.25</v>
      </c>
      <c r="EB26" s="1420">
        <v>1060107.1299999999</v>
      </c>
      <c r="EC26" s="1420">
        <v>3212259.36</v>
      </c>
      <c r="ED26" s="1420">
        <v>3535386.29</v>
      </c>
      <c r="EE26" s="1420">
        <v>974265.44</v>
      </c>
      <c r="EF26" s="1420">
        <v>968758.82</v>
      </c>
      <c r="EG26" s="1422">
        <v>0</v>
      </c>
      <c r="EH26" s="1422">
        <v>0</v>
      </c>
      <c r="EI26" s="1420">
        <v>95382.09</v>
      </c>
      <c r="EJ26" s="1420">
        <v>5338.88</v>
      </c>
      <c r="EK26" s="1422">
        <v>0</v>
      </c>
      <c r="EL26" s="1422">
        <v>0</v>
      </c>
      <c r="EM26" s="1420">
        <v>1069647.53</v>
      </c>
      <c r="EN26" s="1420">
        <v>974097.7</v>
      </c>
      <c r="EO26" s="1420">
        <v>496471.99</v>
      </c>
      <c r="EP26" s="1422">
        <v>139176</v>
      </c>
      <c r="EQ26" s="1420">
        <v>465225.84</v>
      </c>
      <c r="ER26" s="1420">
        <v>556743.84</v>
      </c>
      <c r="ES26" s="1420">
        <v>23733.56</v>
      </c>
      <c r="ET26" s="1422">
        <v>0</v>
      </c>
      <c r="EU26" s="1420">
        <v>16988265.699999999</v>
      </c>
      <c r="EV26" s="1420">
        <v>16861019.469999999</v>
      </c>
      <c r="EW26" s="1420">
        <v>845588.93</v>
      </c>
      <c r="EX26" s="1420">
        <v>256884.52</v>
      </c>
      <c r="EY26" s="1420">
        <v>465225.84</v>
      </c>
      <c r="EZ26" s="1420">
        <v>556743.84</v>
      </c>
      <c r="FA26" s="1420">
        <v>15677450.93</v>
      </c>
      <c r="FB26" s="1420">
        <v>16047391.109999999</v>
      </c>
      <c r="FC26" s="1420">
        <v>1545582.81</v>
      </c>
      <c r="FD26" s="1439"/>
      <c r="FE26" s="1420">
        <v>14131868.119999999</v>
      </c>
      <c r="FF26" s="1439"/>
      <c r="FG26" s="1422">
        <v>9716</v>
      </c>
      <c r="FH26" s="1439"/>
      <c r="FI26" s="1420">
        <v>117.2</v>
      </c>
      <c r="FJ26" s="1439"/>
      <c r="FK26" s="1422">
        <v>41518</v>
      </c>
      <c r="FL26" s="1439"/>
      <c r="FM26" s="1420">
        <v>132.96</v>
      </c>
      <c r="FN26" s="1439"/>
      <c r="FO26" s="1422">
        <v>44114</v>
      </c>
      <c r="FP26" s="1439"/>
      <c r="FQ26" s="1420">
        <v>1713819.25</v>
      </c>
      <c r="FR26" s="1439"/>
      <c r="FS26" s="1420">
        <v>90238.38</v>
      </c>
      <c r="FT26" s="1439"/>
      <c r="FU26" s="1422">
        <v>0</v>
      </c>
      <c r="FV26" s="1439"/>
      <c r="FW26" s="1420">
        <v>1623580.87</v>
      </c>
      <c r="FX26" s="1439"/>
      <c r="FY26" s="1420">
        <v>630930.85</v>
      </c>
      <c r="FZ26" s="1439"/>
      <c r="GA26" s="1422">
        <v>0</v>
      </c>
      <c r="GB26" s="1439"/>
    </row>
    <row r="27" spans="1:184" ht="12.75" customHeight="1" thickBot="1">
      <c r="A27" s="1418" t="s">
        <v>629</v>
      </c>
      <c r="B27" s="1418" t="s">
        <v>630</v>
      </c>
      <c r="C27" s="1420">
        <v>482.36</v>
      </c>
      <c r="D27" s="1439"/>
      <c r="E27" s="1420">
        <v>522.74</v>
      </c>
      <c r="F27" s="1439"/>
      <c r="G27" s="1421">
        <v>-0.24</v>
      </c>
      <c r="H27" s="1439"/>
      <c r="I27" s="1420">
        <v>553.99</v>
      </c>
      <c r="J27" s="1439"/>
      <c r="K27" s="1420">
        <v>597.91999999999996</v>
      </c>
      <c r="L27" s="1439"/>
      <c r="M27" s="1422">
        <v>75341621</v>
      </c>
      <c r="N27" s="1439"/>
      <c r="O27" s="1422">
        <v>30</v>
      </c>
      <c r="P27" s="1439"/>
      <c r="Q27" s="1422">
        <v>25</v>
      </c>
      <c r="R27" s="1439"/>
      <c r="S27" s="1422">
        <v>5</v>
      </c>
      <c r="T27" s="1439"/>
      <c r="U27" s="1422">
        <v>0</v>
      </c>
      <c r="V27" s="1439"/>
      <c r="W27" s="1420">
        <v>6.7</v>
      </c>
      <c r="X27" s="1439"/>
      <c r="Y27" s="1420">
        <v>36.700000000000003</v>
      </c>
      <c r="Z27" s="1439"/>
      <c r="AA27" s="1420">
        <v>6526640.0999999996</v>
      </c>
      <c r="AB27" s="1439"/>
      <c r="AC27" s="1420">
        <v>2443783.29</v>
      </c>
      <c r="AD27" s="1422">
        <v>2791778</v>
      </c>
      <c r="AE27" s="1420">
        <v>413418.33</v>
      </c>
      <c r="AF27" s="1420">
        <v>137969.31</v>
      </c>
      <c r="AG27" s="1420">
        <v>9535.8700000000008</v>
      </c>
      <c r="AH27" s="1422">
        <v>0</v>
      </c>
      <c r="AI27" s="1422">
        <v>1831564</v>
      </c>
      <c r="AJ27" s="1422">
        <v>1707949</v>
      </c>
      <c r="AK27" s="1422">
        <v>142886</v>
      </c>
      <c r="AL27" s="1422">
        <v>0</v>
      </c>
      <c r="AM27" s="1422">
        <v>0</v>
      </c>
      <c r="AN27" s="1422">
        <v>0</v>
      </c>
      <c r="AO27" s="1422">
        <v>93808</v>
      </c>
      <c r="AP27" s="1422">
        <v>0</v>
      </c>
      <c r="AQ27" s="1422">
        <v>0</v>
      </c>
      <c r="AR27" s="1422">
        <v>0</v>
      </c>
      <c r="AS27" s="1422">
        <v>0</v>
      </c>
      <c r="AT27" s="1422">
        <v>0</v>
      </c>
      <c r="AU27" s="1422">
        <v>0</v>
      </c>
      <c r="AV27" s="1422">
        <v>0</v>
      </c>
      <c r="AW27" s="1422">
        <v>0</v>
      </c>
      <c r="AX27" s="1422">
        <v>0</v>
      </c>
      <c r="AY27" s="1420">
        <v>4934995.49</v>
      </c>
      <c r="AZ27" s="1420">
        <v>4637696.3099999996</v>
      </c>
      <c r="BA27" s="1422">
        <v>0</v>
      </c>
      <c r="BB27" s="1422">
        <v>0</v>
      </c>
      <c r="BC27" s="1422">
        <v>24730</v>
      </c>
      <c r="BD27" s="1422">
        <v>23457</v>
      </c>
      <c r="BE27" s="1420">
        <v>4578.3</v>
      </c>
      <c r="BF27" s="1422">
        <v>1400</v>
      </c>
      <c r="BG27" s="1422">
        <v>2000</v>
      </c>
      <c r="BH27" s="1422">
        <v>0</v>
      </c>
      <c r="BI27" s="1422">
        <v>36933</v>
      </c>
      <c r="BJ27" s="1422">
        <v>30922</v>
      </c>
      <c r="BK27" s="1422">
        <v>3516</v>
      </c>
      <c r="BL27" s="1422">
        <v>3588</v>
      </c>
      <c r="BM27" s="1422">
        <v>185504</v>
      </c>
      <c r="BN27" s="1422">
        <v>181148</v>
      </c>
      <c r="BO27" s="1420">
        <v>21293.77</v>
      </c>
      <c r="BP27" s="1422">
        <v>0</v>
      </c>
      <c r="BQ27" s="1422">
        <v>24375</v>
      </c>
      <c r="BR27" s="1422">
        <v>0</v>
      </c>
      <c r="BS27" s="1420">
        <v>2397.6799999999998</v>
      </c>
      <c r="BT27" s="1420">
        <v>2397.6799999999998</v>
      </c>
      <c r="BU27" s="1422">
        <v>0</v>
      </c>
      <c r="BV27" s="1422">
        <v>0</v>
      </c>
      <c r="BW27" s="1422">
        <v>96131</v>
      </c>
      <c r="BX27" s="1422">
        <v>97200</v>
      </c>
      <c r="BY27" s="1422">
        <v>0</v>
      </c>
      <c r="BZ27" s="1422">
        <v>0</v>
      </c>
      <c r="CA27" s="1420">
        <v>932148.98</v>
      </c>
      <c r="CB27" s="1420">
        <v>903773.84</v>
      </c>
      <c r="CC27" s="1420">
        <v>1333607.73</v>
      </c>
      <c r="CD27" s="1420">
        <v>1243886.52</v>
      </c>
      <c r="CE27" s="1420">
        <v>1412314.74</v>
      </c>
      <c r="CF27" s="1420">
        <v>845971.66</v>
      </c>
      <c r="CG27" s="1422">
        <v>0</v>
      </c>
      <c r="CH27" s="1422">
        <v>0</v>
      </c>
      <c r="CI27" s="1422">
        <v>0</v>
      </c>
      <c r="CJ27" s="1422">
        <v>0</v>
      </c>
      <c r="CK27" s="1422">
        <v>0</v>
      </c>
      <c r="CL27" s="1422">
        <v>0</v>
      </c>
      <c r="CM27" s="1422">
        <v>0</v>
      </c>
      <c r="CN27" s="1422">
        <v>0</v>
      </c>
      <c r="CO27" s="1420">
        <v>158164.13</v>
      </c>
      <c r="CP27" s="1420">
        <v>1781436.91</v>
      </c>
      <c r="CQ27" s="1422">
        <v>0</v>
      </c>
      <c r="CR27" s="1422">
        <v>0</v>
      </c>
      <c r="CS27" s="1420">
        <v>158164.13</v>
      </c>
      <c r="CT27" s="1420">
        <v>1781436.91</v>
      </c>
      <c r="CU27" s="1420">
        <v>7839082.0899999999</v>
      </c>
      <c r="CV27" s="1420">
        <v>8508991.4000000004</v>
      </c>
      <c r="CW27" s="1420">
        <v>1931621.67</v>
      </c>
      <c r="CX27" s="1420">
        <v>1799117.56</v>
      </c>
      <c r="CY27" s="1420">
        <v>304048.49</v>
      </c>
      <c r="CZ27" s="1422">
        <v>315513</v>
      </c>
      <c r="DA27" s="1420">
        <v>185787.93</v>
      </c>
      <c r="DB27" s="1422">
        <v>148845</v>
      </c>
      <c r="DC27" s="1422">
        <v>0</v>
      </c>
      <c r="DD27" s="1422">
        <v>0</v>
      </c>
      <c r="DE27" s="1420">
        <v>225146.44</v>
      </c>
      <c r="DF27" s="1420">
        <v>243570.88</v>
      </c>
      <c r="DG27" s="1420">
        <v>196426.4</v>
      </c>
      <c r="DH27" s="1420">
        <v>188483.94</v>
      </c>
      <c r="DI27" s="1420">
        <v>2843030.93</v>
      </c>
      <c r="DJ27" s="1420">
        <v>2695530.38</v>
      </c>
      <c r="DK27" s="1420">
        <v>326420.28999999998</v>
      </c>
      <c r="DL27" s="1422">
        <v>316457</v>
      </c>
      <c r="DM27" s="1420">
        <v>120037.75</v>
      </c>
      <c r="DN27" s="1422">
        <v>125185</v>
      </c>
      <c r="DO27" s="1420">
        <v>545784.27</v>
      </c>
      <c r="DP27" s="1422">
        <v>490164</v>
      </c>
      <c r="DQ27" s="1420">
        <v>279548.07</v>
      </c>
      <c r="DR27" s="1420">
        <v>392031.73</v>
      </c>
      <c r="DS27" s="1420">
        <v>10246.1</v>
      </c>
      <c r="DT27" s="1422">
        <v>9700</v>
      </c>
      <c r="DU27" s="1420">
        <v>1282036.48</v>
      </c>
      <c r="DV27" s="1420">
        <v>1333537.73</v>
      </c>
      <c r="DW27" s="1420">
        <v>274038.42</v>
      </c>
      <c r="DX27" s="1422">
        <v>275472</v>
      </c>
      <c r="DY27" s="1420">
        <v>744655.18</v>
      </c>
      <c r="DZ27" s="1420">
        <v>737954.19</v>
      </c>
      <c r="EA27" s="1420">
        <v>285981.27</v>
      </c>
      <c r="EB27" s="1422">
        <v>301135</v>
      </c>
      <c r="EC27" s="1420">
        <v>1304674.8700000001</v>
      </c>
      <c r="ED27" s="1420">
        <v>1314561.19</v>
      </c>
      <c r="EE27" s="1420">
        <v>359946.66</v>
      </c>
      <c r="EF27" s="1420">
        <v>336542.65</v>
      </c>
      <c r="EG27" s="1420">
        <v>8540.64</v>
      </c>
      <c r="EH27" s="1422">
        <v>0</v>
      </c>
      <c r="EI27" s="1422">
        <v>0</v>
      </c>
      <c r="EJ27" s="1422">
        <v>300</v>
      </c>
      <c r="EK27" s="1422">
        <v>0</v>
      </c>
      <c r="EL27" s="1422">
        <v>0</v>
      </c>
      <c r="EM27" s="1420">
        <v>368487.3</v>
      </c>
      <c r="EN27" s="1420">
        <v>336842.65</v>
      </c>
      <c r="EO27" s="1420">
        <v>5556829.0899999999</v>
      </c>
      <c r="EP27" s="1420">
        <v>6185893.8399999999</v>
      </c>
      <c r="EQ27" s="1420">
        <v>367504.5</v>
      </c>
      <c r="ER27" s="1422">
        <v>370882</v>
      </c>
      <c r="ES27" s="1422">
        <v>0</v>
      </c>
      <c r="ET27" s="1422">
        <v>0</v>
      </c>
      <c r="EU27" s="1420">
        <v>11722563.17</v>
      </c>
      <c r="EV27" s="1420">
        <v>12237247.789999999</v>
      </c>
      <c r="EW27" s="1420">
        <v>5622831.9900000002</v>
      </c>
      <c r="EX27" s="1420">
        <v>6382447.8899999997</v>
      </c>
      <c r="EY27" s="1420">
        <v>367504.5</v>
      </c>
      <c r="EZ27" s="1422">
        <v>370882</v>
      </c>
      <c r="FA27" s="1420">
        <v>5732226.6799999997</v>
      </c>
      <c r="FB27" s="1420">
        <v>5483917.9000000004</v>
      </c>
      <c r="FC27" s="1420">
        <v>303917.21999999997</v>
      </c>
      <c r="FD27" s="1439"/>
      <c r="FE27" s="1420">
        <v>5428309.46</v>
      </c>
      <c r="FF27" s="1439"/>
      <c r="FG27" s="1422">
        <v>10384</v>
      </c>
      <c r="FH27" s="1439"/>
      <c r="FI27" s="1420">
        <v>40.5</v>
      </c>
      <c r="FJ27" s="1439"/>
      <c r="FK27" s="1422">
        <v>37546</v>
      </c>
      <c r="FL27" s="1439"/>
      <c r="FM27" s="1420">
        <v>51.46</v>
      </c>
      <c r="FN27" s="1439"/>
      <c r="FO27" s="1422">
        <v>39155</v>
      </c>
      <c r="FP27" s="1439"/>
      <c r="FQ27" s="1420">
        <v>4703715.24</v>
      </c>
      <c r="FR27" s="1439"/>
      <c r="FS27" s="1420">
        <v>31233.48</v>
      </c>
      <c r="FT27" s="1439"/>
      <c r="FU27" s="1422">
        <v>0</v>
      </c>
      <c r="FV27" s="1439"/>
      <c r="FW27" s="1420">
        <v>4672481.76</v>
      </c>
      <c r="FX27" s="1439"/>
      <c r="FY27" s="1420">
        <v>1006592.06</v>
      </c>
      <c r="FZ27" s="1439"/>
      <c r="GA27" s="1422">
        <v>0</v>
      </c>
      <c r="GB27" s="1439"/>
    </row>
    <row r="28" spans="1:184" ht="12.75" customHeight="1" thickBot="1">
      <c r="A28" s="1418" t="s">
        <v>631</v>
      </c>
      <c r="B28" s="1418" t="s">
        <v>632</v>
      </c>
      <c r="C28" s="1420">
        <v>218.54</v>
      </c>
      <c r="D28" s="1439"/>
      <c r="E28" s="1420">
        <v>1746.33</v>
      </c>
      <c r="F28" s="1439"/>
      <c r="G28" s="1421">
        <v>0.02</v>
      </c>
      <c r="H28" s="1439"/>
      <c r="I28" s="1420">
        <v>1855.72</v>
      </c>
      <c r="J28" s="1439"/>
      <c r="K28" s="1420">
        <v>1864.96</v>
      </c>
      <c r="L28" s="1439"/>
      <c r="M28" s="1422">
        <v>128099294</v>
      </c>
      <c r="N28" s="1439"/>
      <c r="O28" s="1422">
        <v>25</v>
      </c>
      <c r="P28" s="1439"/>
      <c r="Q28" s="1422">
        <v>25</v>
      </c>
      <c r="R28" s="1439"/>
      <c r="S28" s="1422">
        <v>0</v>
      </c>
      <c r="T28" s="1439"/>
      <c r="U28" s="1422">
        <v>0</v>
      </c>
      <c r="V28" s="1439"/>
      <c r="W28" s="1420">
        <v>13.05</v>
      </c>
      <c r="X28" s="1439"/>
      <c r="Y28" s="1420">
        <v>38.049999999999997</v>
      </c>
      <c r="Z28" s="1439"/>
      <c r="AA28" s="1420">
        <v>15445942.35</v>
      </c>
      <c r="AB28" s="1439"/>
      <c r="AC28" s="1420">
        <v>4435748.0599999996</v>
      </c>
      <c r="AD28" s="1422">
        <v>4480551</v>
      </c>
      <c r="AE28" s="1420">
        <v>714114.67</v>
      </c>
      <c r="AF28" s="1422">
        <v>32500</v>
      </c>
      <c r="AG28" s="1422">
        <v>0</v>
      </c>
      <c r="AH28" s="1422">
        <v>0</v>
      </c>
      <c r="AI28" s="1422">
        <v>8169716</v>
      </c>
      <c r="AJ28" s="1422">
        <v>8307272</v>
      </c>
      <c r="AK28" s="1422">
        <v>110641</v>
      </c>
      <c r="AL28" s="1422">
        <v>0</v>
      </c>
      <c r="AM28" s="1422">
        <v>48583</v>
      </c>
      <c r="AN28" s="1422">
        <v>-8071</v>
      </c>
      <c r="AO28" s="1422">
        <v>0</v>
      </c>
      <c r="AP28" s="1422">
        <v>3932</v>
      </c>
      <c r="AQ28" s="1422">
        <v>0</v>
      </c>
      <c r="AR28" s="1422">
        <v>0</v>
      </c>
      <c r="AS28" s="1422">
        <v>0</v>
      </c>
      <c r="AT28" s="1422">
        <v>0</v>
      </c>
      <c r="AU28" s="1422">
        <v>0</v>
      </c>
      <c r="AV28" s="1422">
        <v>0</v>
      </c>
      <c r="AW28" s="1422">
        <v>0</v>
      </c>
      <c r="AX28" s="1422">
        <v>0</v>
      </c>
      <c r="AY28" s="1420">
        <v>13478802.73</v>
      </c>
      <c r="AZ28" s="1422">
        <v>12816184</v>
      </c>
      <c r="BA28" s="1422">
        <v>0</v>
      </c>
      <c r="BB28" s="1422">
        <v>0</v>
      </c>
      <c r="BC28" s="1422">
        <v>77135</v>
      </c>
      <c r="BD28" s="1422">
        <v>78983</v>
      </c>
      <c r="BE28" s="1420">
        <v>14933.06</v>
      </c>
      <c r="BF28" s="1422">
        <v>0</v>
      </c>
      <c r="BG28" s="1422">
        <v>2726</v>
      </c>
      <c r="BH28" s="1422">
        <v>1000</v>
      </c>
      <c r="BI28" s="1422">
        <v>68258</v>
      </c>
      <c r="BJ28" s="1422">
        <v>53844</v>
      </c>
      <c r="BK28" s="1422">
        <v>89072</v>
      </c>
      <c r="BL28" s="1422">
        <v>80000</v>
      </c>
      <c r="BM28" s="1422">
        <v>528240</v>
      </c>
      <c r="BN28" s="1422">
        <v>535854</v>
      </c>
      <c r="BO28" s="1420">
        <v>158016.79</v>
      </c>
      <c r="BP28" s="1422">
        <v>173993</v>
      </c>
      <c r="BQ28" s="1422">
        <v>29250</v>
      </c>
      <c r="BR28" s="1420">
        <v>12593.75</v>
      </c>
      <c r="BS28" s="1420">
        <v>6124.61</v>
      </c>
      <c r="BT28" s="1422">
        <v>0</v>
      </c>
      <c r="BU28" s="1422">
        <v>0</v>
      </c>
      <c r="BV28" s="1422">
        <v>0</v>
      </c>
      <c r="BW28" s="1422">
        <v>0</v>
      </c>
      <c r="BX28" s="1422">
        <v>0</v>
      </c>
      <c r="BY28" s="1422">
        <v>0</v>
      </c>
      <c r="BZ28" s="1422">
        <v>0</v>
      </c>
      <c r="CA28" s="1420">
        <v>436219.25</v>
      </c>
      <c r="CB28" s="1422">
        <v>89486</v>
      </c>
      <c r="CC28" s="1420">
        <v>1409974.71</v>
      </c>
      <c r="CD28" s="1420">
        <v>1025753.75</v>
      </c>
      <c r="CE28" s="1420">
        <v>2680583.06</v>
      </c>
      <c r="CF28" s="1420">
        <v>1505459.28</v>
      </c>
      <c r="CG28" s="1422">
        <v>1500000</v>
      </c>
      <c r="CH28" s="1422">
        <v>0</v>
      </c>
      <c r="CI28" s="1422">
        <v>0</v>
      </c>
      <c r="CJ28" s="1422">
        <v>0</v>
      </c>
      <c r="CK28" s="1422">
        <v>0</v>
      </c>
      <c r="CL28" s="1422">
        <v>0</v>
      </c>
      <c r="CM28" s="1422">
        <v>0</v>
      </c>
      <c r="CN28" s="1422">
        <v>0</v>
      </c>
      <c r="CO28" s="1420">
        <v>84562.3</v>
      </c>
      <c r="CP28" s="1422">
        <v>0</v>
      </c>
      <c r="CQ28" s="1422">
        <v>0</v>
      </c>
      <c r="CR28" s="1422">
        <v>0</v>
      </c>
      <c r="CS28" s="1420">
        <v>1584562.3</v>
      </c>
      <c r="CT28" s="1422">
        <v>0</v>
      </c>
      <c r="CU28" s="1420">
        <v>19153922.800000001</v>
      </c>
      <c r="CV28" s="1420">
        <v>15347397.029999999</v>
      </c>
      <c r="CW28" s="1420">
        <v>6066179.2800000003</v>
      </c>
      <c r="CX28" s="1420">
        <v>5957354.9800000004</v>
      </c>
      <c r="CY28" s="1420">
        <v>1107626.6299999999</v>
      </c>
      <c r="CZ28" s="1420">
        <v>1007094.68</v>
      </c>
      <c r="DA28" s="1420">
        <v>447794.68</v>
      </c>
      <c r="DB28" s="1422">
        <v>413934</v>
      </c>
      <c r="DC28" s="1422">
        <v>0</v>
      </c>
      <c r="DD28" s="1422">
        <v>0</v>
      </c>
      <c r="DE28" s="1420">
        <v>648198.40000000002</v>
      </c>
      <c r="DF28" s="1420">
        <v>509846.94</v>
      </c>
      <c r="DG28" s="1420">
        <v>1105465.04</v>
      </c>
      <c r="DH28" s="1420">
        <v>930982.83</v>
      </c>
      <c r="DI28" s="1420">
        <v>9375264.0299999993</v>
      </c>
      <c r="DJ28" s="1420">
        <v>8819213.4299999997</v>
      </c>
      <c r="DK28" s="1420">
        <v>1936010.2</v>
      </c>
      <c r="DL28" s="1420">
        <v>380185.82</v>
      </c>
      <c r="DM28" s="1420">
        <v>363710.17</v>
      </c>
      <c r="DN28" s="1422">
        <v>212899</v>
      </c>
      <c r="DO28" s="1420">
        <v>1483194.52</v>
      </c>
      <c r="DP28" s="1420">
        <v>1271997.3500000001</v>
      </c>
      <c r="DQ28" s="1420">
        <v>675955.99</v>
      </c>
      <c r="DR28" s="1422">
        <v>484434</v>
      </c>
      <c r="DS28" s="1420">
        <v>32720.639999999999</v>
      </c>
      <c r="DT28" s="1422">
        <v>16500</v>
      </c>
      <c r="DU28" s="1420">
        <v>4491591.5199999996</v>
      </c>
      <c r="DV28" s="1420">
        <v>2366016.17</v>
      </c>
      <c r="DW28" s="1420">
        <v>882762.25</v>
      </c>
      <c r="DX28" s="1422">
        <v>808591</v>
      </c>
      <c r="DY28" s="1420">
        <v>1027842.86</v>
      </c>
      <c r="DZ28" s="1420">
        <v>1505375.94</v>
      </c>
      <c r="EA28" s="1420">
        <v>571858.97</v>
      </c>
      <c r="EB28" s="1422">
        <v>530243</v>
      </c>
      <c r="EC28" s="1420">
        <v>2482464.08</v>
      </c>
      <c r="ED28" s="1420">
        <v>2844209.94</v>
      </c>
      <c r="EE28" s="1420">
        <v>993642.46</v>
      </c>
      <c r="EF28" s="1422">
        <v>292079</v>
      </c>
      <c r="EG28" s="1422">
        <v>0</v>
      </c>
      <c r="EH28" s="1422">
        <v>0</v>
      </c>
      <c r="EI28" s="1420">
        <v>69.09</v>
      </c>
      <c r="EJ28" s="1422">
        <v>1300</v>
      </c>
      <c r="EK28" s="1422">
        <v>0</v>
      </c>
      <c r="EL28" s="1422">
        <v>0</v>
      </c>
      <c r="EM28" s="1420">
        <v>993711.55</v>
      </c>
      <c r="EN28" s="1422">
        <v>293379</v>
      </c>
      <c r="EO28" s="1420">
        <v>1673671.97</v>
      </c>
      <c r="EP28" s="1422">
        <v>443830</v>
      </c>
      <c r="EQ28" s="1420">
        <v>1081125.28</v>
      </c>
      <c r="ER28" s="1422">
        <v>1081806</v>
      </c>
      <c r="ES28" s="1422">
        <v>0</v>
      </c>
      <c r="ET28" s="1422">
        <v>0</v>
      </c>
      <c r="EU28" s="1420">
        <v>20097828.43</v>
      </c>
      <c r="EV28" s="1420">
        <v>15848454.539999999</v>
      </c>
      <c r="EW28" s="1420">
        <v>1796442.57</v>
      </c>
      <c r="EX28" s="1422">
        <v>450730</v>
      </c>
      <c r="EY28" s="1420">
        <v>1081125.28</v>
      </c>
      <c r="EZ28" s="1422">
        <v>1081806</v>
      </c>
      <c r="FA28" s="1420">
        <v>17220260.579999998</v>
      </c>
      <c r="FB28" s="1420">
        <v>14315918.539999999</v>
      </c>
      <c r="FC28" s="1420">
        <v>631969.4</v>
      </c>
      <c r="FD28" s="1439"/>
      <c r="FE28" s="1420">
        <v>16588291.18</v>
      </c>
      <c r="FF28" s="1439"/>
      <c r="FG28" s="1422">
        <v>9498</v>
      </c>
      <c r="FH28" s="1439"/>
      <c r="FI28" s="1420">
        <v>140.85</v>
      </c>
      <c r="FJ28" s="1439"/>
      <c r="FK28" s="1422">
        <v>39784</v>
      </c>
      <c r="FL28" s="1439"/>
      <c r="FM28" s="1420">
        <v>150.29</v>
      </c>
      <c r="FN28" s="1439"/>
      <c r="FO28" s="1422">
        <v>41566</v>
      </c>
      <c r="FP28" s="1439"/>
      <c r="FQ28" s="1420">
        <v>2290073.12</v>
      </c>
      <c r="FR28" s="1439"/>
      <c r="FS28" s="1420">
        <v>177790.53</v>
      </c>
      <c r="FT28" s="1439"/>
      <c r="FU28" s="1422">
        <v>0</v>
      </c>
      <c r="FV28" s="1439"/>
      <c r="FW28" s="1420">
        <v>2112282.59</v>
      </c>
      <c r="FX28" s="1439"/>
      <c r="FY28" s="1420">
        <v>555956.54</v>
      </c>
      <c r="FZ28" s="1439"/>
      <c r="GA28" s="1422">
        <v>0</v>
      </c>
      <c r="GB28" s="1439"/>
    </row>
    <row r="29" spans="1:184" ht="12.75" customHeight="1" thickBot="1">
      <c r="A29" s="1418" t="s">
        <v>633</v>
      </c>
      <c r="B29" s="1418" t="s">
        <v>634</v>
      </c>
      <c r="C29" s="1420">
        <v>158.04</v>
      </c>
      <c r="D29" s="1439"/>
      <c r="E29" s="1420">
        <v>606.85</v>
      </c>
      <c r="F29" s="1439"/>
      <c r="G29" s="1421">
        <v>-0.03</v>
      </c>
      <c r="H29" s="1439"/>
      <c r="I29" s="1420">
        <v>643.33000000000004</v>
      </c>
      <c r="J29" s="1439"/>
      <c r="K29" s="1420">
        <v>650.82000000000005</v>
      </c>
      <c r="L29" s="1439"/>
      <c r="M29" s="1422">
        <v>200052616</v>
      </c>
      <c r="N29" s="1439"/>
      <c r="O29" s="1422">
        <v>25</v>
      </c>
      <c r="P29" s="1439"/>
      <c r="Q29" s="1422">
        <v>25</v>
      </c>
      <c r="R29" s="1439"/>
      <c r="S29" s="1422">
        <v>0</v>
      </c>
      <c r="T29" s="1439"/>
      <c r="U29" s="1422">
        <v>0</v>
      </c>
      <c r="V29" s="1439"/>
      <c r="W29" s="1420">
        <v>11.13</v>
      </c>
      <c r="X29" s="1439"/>
      <c r="Y29" s="1420">
        <v>36.130000000000003</v>
      </c>
      <c r="Z29" s="1439"/>
      <c r="AA29" s="1420">
        <v>13946945.529999999</v>
      </c>
      <c r="AB29" s="1439"/>
      <c r="AC29" s="1420">
        <v>6490219.9000000004</v>
      </c>
      <c r="AD29" s="1422">
        <v>6938784</v>
      </c>
      <c r="AE29" s="1420">
        <v>423917.57</v>
      </c>
      <c r="AF29" s="1422">
        <v>279500</v>
      </c>
      <c r="AG29" s="1422">
        <v>0</v>
      </c>
      <c r="AH29" s="1422">
        <v>0</v>
      </c>
      <c r="AI29" s="1422">
        <v>0</v>
      </c>
      <c r="AJ29" s="1422">
        <v>0</v>
      </c>
      <c r="AK29" s="1422">
        <v>0</v>
      </c>
      <c r="AL29" s="1422">
        <v>0</v>
      </c>
      <c r="AM29" s="1422">
        <v>0</v>
      </c>
      <c r="AN29" s="1422">
        <v>0</v>
      </c>
      <c r="AO29" s="1422">
        <v>8944</v>
      </c>
      <c r="AP29" s="1422">
        <v>16159</v>
      </c>
      <c r="AQ29" s="1422">
        <v>0</v>
      </c>
      <c r="AR29" s="1422">
        <v>0</v>
      </c>
      <c r="AS29" s="1422">
        <v>0</v>
      </c>
      <c r="AT29" s="1422">
        <v>0</v>
      </c>
      <c r="AU29" s="1422">
        <v>0</v>
      </c>
      <c r="AV29" s="1422">
        <v>0</v>
      </c>
      <c r="AW29" s="1422">
        <v>0</v>
      </c>
      <c r="AX29" s="1422">
        <v>0</v>
      </c>
      <c r="AY29" s="1420">
        <v>6923081.4699999997</v>
      </c>
      <c r="AZ29" s="1422">
        <v>7234443</v>
      </c>
      <c r="BA29" s="1422">
        <v>0</v>
      </c>
      <c r="BB29" s="1422">
        <v>0</v>
      </c>
      <c r="BC29" s="1422">
        <v>26918</v>
      </c>
      <c r="BD29" s="1422">
        <v>27359</v>
      </c>
      <c r="BE29" s="1420">
        <v>2673.65</v>
      </c>
      <c r="BF29" s="1422">
        <v>4500</v>
      </c>
      <c r="BG29" s="1422">
        <v>950</v>
      </c>
      <c r="BH29" s="1422">
        <v>0</v>
      </c>
      <c r="BI29" s="1422">
        <v>62245</v>
      </c>
      <c r="BJ29" s="1422">
        <v>49243</v>
      </c>
      <c r="BK29" s="1422">
        <v>7911</v>
      </c>
      <c r="BL29" s="1422">
        <v>0</v>
      </c>
      <c r="BM29" s="1420">
        <v>169007.94</v>
      </c>
      <c r="BN29" s="1422">
        <v>200376</v>
      </c>
      <c r="BO29" s="1420">
        <v>222321.01</v>
      </c>
      <c r="BP29" s="1420">
        <v>182179.38</v>
      </c>
      <c r="BQ29" s="1422">
        <v>0</v>
      </c>
      <c r="BR29" s="1420">
        <v>19507.5</v>
      </c>
      <c r="BS29" s="1420">
        <v>2448.17</v>
      </c>
      <c r="BT29" s="1422">
        <v>2500</v>
      </c>
      <c r="BU29" s="1422">
        <v>0</v>
      </c>
      <c r="BV29" s="1422">
        <v>0</v>
      </c>
      <c r="BW29" s="1422">
        <v>190998</v>
      </c>
      <c r="BX29" s="1422">
        <v>194400</v>
      </c>
      <c r="BY29" s="1422">
        <v>0</v>
      </c>
      <c r="BZ29" s="1422">
        <v>0</v>
      </c>
      <c r="CA29" s="1422">
        <v>0</v>
      </c>
      <c r="CB29" s="1422">
        <v>0</v>
      </c>
      <c r="CC29" s="1420">
        <v>685472.77</v>
      </c>
      <c r="CD29" s="1420">
        <v>680064.88</v>
      </c>
      <c r="CE29" s="1420">
        <v>2001702.5</v>
      </c>
      <c r="CF29" s="1420">
        <v>1048721.29</v>
      </c>
      <c r="CG29" s="1422">
        <v>0</v>
      </c>
      <c r="CH29" s="1422">
        <v>0</v>
      </c>
      <c r="CI29" s="1422">
        <v>0</v>
      </c>
      <c r="CJ29" s="1422">
        <v>0</v>
      </c>
      <c r="CK29" s="1422">
        <v>0</v>
      </c>
      <c r="CL29" s="1422">
        <v>0</v>
      </c>
      <c r="CM29" s="1422">
        <v>2726</v>
      </c>
      <c r="CN29" s="1422">
        <v>0</v>
      </c>
      <c r="CO29" s="1422">
        <v>0</v>
      </c>
      <c r="CP29" s="1422">
        <v>0</v>
      </c>
      <c r="CQ29" s="1422">
        <v>0</v>
      </c>
      <c r="CR29" s="1422">
        <v>0</v>
      </c>
      <c r="CS29" s="1422">
        <v>2726</v>
      </c>
      <c r="CT29" s="1422">
        <v>0</v>
      </c>
      <c r="CU29" s="1420">
        <v>9612982.7400000002</v>
      </c>
      <c r="CV29" s="1420">
        <v>8963229.1699999999</v>
      </c>
      <c r="CW29" s="1420">
        <v>2901270.72</v>
      </c>
      <c r="CX29" s="1420">
        <v>2571500.96</v>
      </c>
      <c r="CY29" s="1420">
        <v>798567.32</v>
      </c>
      <c r="CZ29" s="1420">
        <v>645819.15</v>
      </c>
      <c r="DA29" s="1420">
        <v>142435.03</v>
      </c>
      <c r="DB29" s="1420">
        <v>131810.54</v>
      </c>
      <c r="DC29" s="1422">
        <v>0</v>
      </c>
      <c r="DD29" s="1422">
        <v>0</v>
      </c>
      <c r="DE29" s="1420">
        <v>427691.12</v>
      </c>
      <c r="DF29" s="1420">
        <v>288094.78000000003</v>
      </c>
      <c r="DG29" s="1420">
        <v>300781.65999999997</v>
      </c>
      <c r="DH29" s="1420">
        <v>263189.96000000002</v>
      </c>
      <c r="DI29" s="1420">
        <v>4570745.8499999996</v>
      </c>
      <c r="DJ29" s="1420">
        <v>3900415.39</v>
      </c>
      <c r="DK29" s="1420">
        <v>191107.52</v>
      </c>
      <c r="DL29" s="1420">
        <v>261992.61</v>
      </c>
      <c r="DM29" s="1420">
        <v>95633.97</v>
      </c>
      <c r="DN29" s="1420">
        <v>104587.5</v>
      </c>
      <c r="DO29" s="1420">
        <v>558125.03</v>
      </c>
      <c r="DP29" s="1420">
        <v>582964.65</v>
      </c>
      <c r="DQ29" s="1420">
        <v>337755.18</v>
      </c>
      <c r="DR29" s="1420">
        <v>333502.75</v>
      </c>
      <c r="DS29" s="1420">
        <v>25726.78</v>
      </c>
      <c r="DT29" s="1420">
        <v>18257.75</v>
      </c>
      <c r="DU29" s="1420">
        <v>1208348.48</v>
      </c>
      <c r="DV29" s="1420">
        <v>1301305.26</v>
      </c>
      <c r="DW29" s="1420">
        <v>374932.6</v>
      </c>
      <c r="DX29" s="1420">
        <v>357075.25</v>
      </c>
      <c r="DY29" s="1420">
        <v>370159.91</v>
      </c>
      <c r="DZ29" s="1420">
        <v>457789.54</v>
      </c>
      <c r="EA29" s="1420">
        <v>435028.72</v>
      </c>
      <c r="EB29" s="1420">
        <v>438296.86</v>
      </c>
      <c r="EC29" s="1420">
        <v>1180121.23</v>
      </c>
      <c r="ED29" s="1420">
        <v>1253161.6499999999</v>
      </c>
      <c r="EE29" s="1420">
        <v>467322.68</v>
      </c>
      <c r="EF29" s="1420">
        <v>511665.53</v>
      </c>
      <c r="EG29" s="1422">
        <v>0</v>
      </c>
      <c r="EH29" s="1422">
        <v>0</v>
      </c>
      <c r="EI29" s="1422">
        <v>0</v>
      </c>
      <c r="EJ29" s="1422">
        <v>2000</v>
      </c>
      <c r="EK29" s="1422">
        <v>0</v>
      </c>
      <c r="EL29" s="1422">
        <v>0</v>
      </c>
      <c r="EM29" s="1420">
        <v>467322.68</v>
      </c>
      <c r="EN29" s="1420">
        <v>513665.53</v>
      </c>
      <c r="EO29" s="1420">
        <v>869825.49</v>
      </c>
      <c r="EP29" s="1422">
        <v>7000000</v>
      </c>
      <c r="EQ29" s="1420">
        <v>629335.91</v>
      </c>
      <c r="ER29" s="1420">
        <v>899567.02</v>
      </c>
      <c r="ES29" s="1422">
        <v>0</v>
      </c>
      <c r="ET29" s="1422">
        <v>0</v>
      </c>
      <c r="EU29" s="1420">
        <v>8925699.6400000006</v>
      </c>
      <c r="EV29" s="1420">
        <v>14868114.85</v>
      </c>
      <c r="EW29" s="1420">
        <v>987168.12</v>
      </c>
      <c r="EX29" s="1422">
        <v>7004000</v>
      </c>
      <c r="EY29" s="1420">
        <v>629335.91</v>
      </c>
      <c r="EZ29" s="1420">
        <v>899567.02</v>
      </c>
      <c r="FA29" s="1420">
        <v>7309195.6100000003</v>
      </c>
      <c r="FB29" s="1420">
        <v>6964547.8300000001</v>
      </c>
      <c r="FC29" s="1420">
        <v>368536.92</v>
      </c>
      <c r="FD29" s="1439"/>
      <c r="FE29" s="1420">
        <v>6940658.6900000004</v>
      </c>
      <c r="FF29" s="1439"/>
      <c r="FG29" s="1422">
        <v>11437</v>
      </c>
      <c r="FH29" s="1439"/>
      <c r="FI29" s="1420">
        <v>44.98</v>
      </c>
      <c r="FJ29" s="1439"/>
      <c r="FK29" s="1422">
        <v>47535</v>
      </c>
      <c r="FL29" s="1439"/>
      <c r="FM29" s="1420">
        <v>49.02</v>
      </c>
      <c r="FN29" s="1439"/>
      <c r="FO29" s="1422">
        <v>50716</v>
      </c>
      <c r="FP29" s="1439"/>
      <c r="FQ29" s="1420">
        <v>1729058.15</v>
      </c>
      <c r="FR29" s="1439"/>
      <c r="FS29" s="1422">
        <v>0</v>
      </c>
      <c r="FT29" s="1439"/>
      <c r="FU29" s="1422">
        <v>0</v>
      </c>
      <c r="FV29" s="1439"/>
      <c r="FW29" s="1420">
        <v>1729058.15</v>
      </c>
      <c r="FX29" s="1439"/>
      <c r="FY29" s="1420">
        <v>11484796.109999999</v>
      </c>
      <c r="FZ29" s="1439"/>
      <c r="GA29" s="1422">
        <v>0</v>
      </c>
      <c r="GB29" s="1439"/>
    </row>
    <row r="30" spans="1:184" ht="12.75" customHeight="1" thickBot="1">
      <c r="A30" s="1418" t="s">
        <v>635</v>
      </c>
      <c r="B30" s="1418" t="s">
        <v>636</v>
      </c>
      <c r="C30" s="1420">
        <v>182.72</v>
      </c>
      <c r="D30" s="1439"/>
      <c r="E30" s="1420">
        <v>1155.3800000000001</v>
      </c>
      <c r="F30" s="1439"/>
      <c r="G30" s="1421">
        <v>-0.02</v>
      </c>
      <c r="H30" s="1439"/>
      <c r="I30" s="1420">
        <v>1220.04</v>
      </c>
      <c r="J30" s="1439"/>
      <c r="K30" s="1420">
        <v>1228.21</v>
      </c>
      <c r="L30" s="1439"/>
      <c r="M30" s="1422">
        <v>73828426</v>
      </c>
      <c r="N30" s="1439"/>
      <c r="O30" s="1422">
        <v>25</v>
      </c>
      <c r="P30" s="1439"/>
      <c r="Q30" s="1422">
        <v>25</v>
      </c>
      <c r="R30" s="1439"/>
      <c r="S30" s="1422">
        <v>0</v>
      </c>
      <c r="T30" s="1439"/>
      <c r="U30" s="1422">
        <v>0</v>
      </c>
      <c r="V30" s="1439"/>
      <c r="W30" s="1422">
        <v>11</v>
      </c>
      <c r="X30" s="1439"/>
      <c r="Y30" s="1422">
        <v>36</v>
      </c>
      <c r="Z30" s="1439"/>
      <c r="AA30" s="1422">
        <v>8155000</v>
      </c>
      <c r="AB30" s="1439"/>
      <c r="AC30" s="1420">
        <v>2463149.9500000002</v>
      </c>
      <c r="AD30" s="1422">
        <v>2432648</v>
      </c>
      <c r="AE30" s="1420">
        <v>472866.43</v>
      </c>
      <c r="AF30" s="1422">
        <v>151500</v>
      </c>
      <c r="AG30" s="1422">
        <v>0</v>
      </c>
      <c r="AH30" s="1422">
        <v>0</v>
      </c>
      <c r="AI30" s="1422">
        <v>5670099</v>
      </c>
      <c r="AJ30" s="1422">
        <v>5680248</v>
      </c>
      <c r="AK30" s="1422">
        <v>34819</v>
      </c>
      <c r="AL30" s="1422">
        <v>0</v>
      </c>
      <c r="AM30" s="1422">
        <v>110320</v>
      </c>
      <c r="AN30" s="1422">
        <v>0</v>
      </c>
      <c r="AO30" s="1422">
        <v>0</v>
      </c>
      <c r="AP30" s="1422">
        <v>28539</v>
      </c>
      <c r="AQ30" s="1422">
        <v>0</v>
      </c>
      <c r="AR30" s="1422">
        <v>0</v>
      </c>
      <c r="AS30" s="1422">
        <v>0</v>
      </c>
      <c r="AT30" s="1422">
        <v>0</v>
      </c>
      <c r="AU30" s="1422">
        <v>0</v>
      </c>
      <c r="AV30" s="1422">
        <v>0</v>
      </c>
      <c r="AW30" s="1422">
        <v>0</v>
      </c>
      <c r="AX30" s="1422">
        <v>0</v>
      </c>
      <c r="AY30" s="1420">
        <v>8751254.3800000008</v>
      </c>
      <c r="AZ30" s="1422">
        <v>8292935</v>
      </c>
      <c r="BA30" s="1422">
        <v>0</v>
      </c>
      <c r="BB30" s="1422">
        <v>0</v>
      </c>
      <c r="BC30" s="1422">
        <v>50799</v>
      </c>
      <c r="BD30" s="1422">
        <v>51658</v>
      </c>
      <c r="BE30" s="1420">
        <v>10196.1</v>
      </c>
      <c r="BF30" s="1422">
        <v>9800</v>
      </c>
      <c r="BG30" s="1422">
        <v>1455</v>
      </c>
      <c r="BH30" s="1422">
        <v>0</v>
      </c>
      <c r="BI30" s="1422">
        <v>75612</v>
      </c>
      <c r="BJ30" s="1422">
        <v>31917</v>
      </c>
      <c r="BK30" s="1422">
        <v>95225</v>
      </c>
      <c r="BL30" s="1422">
        <v>97175</v>
      </c>
      <c r="BM30" s="1422">
        <v>927520</v>
      </c>
      <c r="BN30" s="1422">
        <v>978604</v>
      </c>
      <c r="BO30" s="1420">
        <v>147975.34</v>
      </c>
      <c r="BP30" s="1422">
        <v>0</v>
      </c>
      <c r="BQ30" s="1422">
        <v>27625</v>
      </c>
      <c r="BR30" s="1420">
        <v>38187.5</v>
      </c>
      <c r="BS30" s="1420">
        <v>4755.3500000000004</v>
      </c>
      <c r="BT30" s="1422">
        <v>4000</v>
      </c>
      <c r="BU30" s="1422">
        <v>0</v>
      </c>
      <c r="BV30" s="1422">
        <v>0</v>
      </c>
      <c r="BW30" s="1422">
        <v>0</v>
      </c>
      <c r="BX30" s="1422">
        <v>0</v>
      </c>
      <c r="BY30" s="1422">
        <v>0</v>
      </c>
      <c r="BZ30" s="1422">
        <v>0</v>
      </c>
      <c r="CA30" s="1420">
        <v>437933.39</v>
      </c>
      <c r="CB30" s="1422">
        <v>84395</v>
      </c>
      <c r="CC30" s="1420">
        <v>1779096.18</v>
      </c>
      <c r="CD30" s="1420">
        <v>1295736.5</v>
      </c>
      <c r="CE30" s="1420">
        <v>2146814.59</v>
      </c>
      <c r="CF30" s="1420">
        <v>1569064.33</v>
      </c>
      <c r="CG30" s="1420">
        <v>1053513.23</v>
      </c>
      <c r="CH30" s="1422">
        <v>888000</v>
      </c>
      <c r="CI30" s="1422">
        <v>0</v>
      </c>
      <c r="CJ30" s="1422">
        <v>0</v>
      </c>
      <c r="CK30" s="1422">
        <v>0</v>
      </c>
      <c r="CL30" s="1422">
        <v>0</v>
      </c>
      <c r="CM30" s="1422">
        <v>0</v>
      </c>
      <c r="CN30" s="1422">
        <v>0</v>
      </c>
      <c r="CO30" s="1420">
        <v>62612.06</v>
      </c>
      <c r="CP30" s="1422">
        <v>0</v>
      </c>
      <c r="CQ30" s="1422">
        <v>0</v>
      </c>
      <c r="CR30" s="1422">
        <v>0</v>
      </c>
      <c r="CS30" s="1420">
        <v>1116125.29</v>
      </c>
      <c r="CT30" s="1422">
        <v>888000</v>
      </c>
      <c r="CU30" s="1420">
        <v>13793290.439999999</v>
      </c>
      <c r="CV30" s="1420">
        <v>12045735.83</v>
      </c>
      <c r="CW30" s="1420">
        <v>4323436.46</v>
      </c>
      <c r="CX30" s="1420">
        <v>4212891.55</v>
      </c>
      <c r="CY30" s="1420">
        <v>594120.29</v>
      </c>
      <c r="CZ30" s="1420">
        <v>691412.53</v>
      </c>
      <c r="DA30" s="1420">
        <v>285706.90999999997</v>
      </c>
      <c r="DB30" s="1420">
        <v>276760.2</v>
      </c>
      <c r="DC30" s="1422">
        <v>0</v>
      </c>
      <c r="DD30" s="1422">
        <v>0</v>
      </c>
      <c r="DE30" s="1420">
        <v>185249.43</v>
      </c>
      <c r="DF30" s="1420">
        <v>263531.90000000002</v>
      </c>
      <c r="DG30" s="1420">
        <v>244613.75</v>
      </c>
      <c r="DH30" s="1420">
        <v>254138.89</v>
      </c>
      <c r="DI30" s="1420">
        <v>5633126.8399999999</v>
      </c>
      <c r="DJ30" s="1420">
        <v>5698735.0700000003</v>
      </c>
      <c r="DK30" s="1420">
        <v>270408.74</v>
      </c>
      <c r="DL30" s="1420">
        <v>296440.15999999997</v>
      </c>
      <c r="DM30" s="1420">
        <v>225669.35</v>
      </c>
      <c r="DN30" s="1420">
        <v>237029.59</v>
      </c>
      <c r="DO30" s="1420">
        <v>929967.05</v>
      </c>
      <c r="DP30" s="1420">
        <v>1204064.43</v>
      </c>
      <c r="DQ30" s="1420">
        <v>549266.09</v>
      </c>
      <c r="DR30" s="1420">
        <v>690172.57</v>
      </c>
      <c r="DS30" s="1420">
        <v>24727.32</v>
      </c>
      <c r="DT30" s="1422">
        <v>12799</v>
      </c>
      <c r="DU30" s="1420">
        <v>2000038.55</v>
      </c>
      <c r="DV30" s="1420">
        <v>2440505.75</v>
      </c>
      <c r="DW30" s="1420">
        <v>577501.82999999996</v>
      </c>
      <c r="DX30" s="1420">
        <v>639864.31000000006</v>
      </c>
      <c r="DY30" s="1420">
        <v>1094755.57</v>
      </c>
      <c r="DZ30" s="1420">
        <v>1229820.6599999999</v>
      </c>
      <c r="EA30" s="1420">
        <v>363745.16</v>
      </c>
      <c r="EB30" s="1420">
        <v>386317.34</v>
      </c>
      <c r="EC30" s="1420">
        <v>2036002.56</v>
      </c>
      <c r="ED30" s="1420">
        <v>2256002.31</v>
      </c>
      <c r="EE30" s="1420">
        <v>762472.84</v>
      </c>
      <c r="EF30" s="1420">
        <v>798991.79</v>
      </c>
      <c r="EG30" s="1420">
        <v>79911.289999999994</v>
      </c>
      <c r="EH30" s="1422">
        <v>0</v>
      </c>
      <c r="EI30" s="1422">
        <v>0</v>
      </c>
      <c r="EJ30" s="1422">
        <v>10000</v>
      </c>
      <c r="EK30" s="1422">
        <v>0</v>
      </c>
      <c r="EL30" s="1422">
        <v>0</v>
      </c>
      <c r="EM30" s="1420">
        <v>842384.13</v>
      </c>
      <c r="EN30" s="1420">
        <v>808991.79</v>
      </c>
      <c r="EO30" s="1420">
        <v>1137321.83</v>
      </c>
      <c r="EP30" s="1420">
        <v>1665665.84</v>
      </c>
      <c r="EQ30" s="1420">
        <v>655714.03</v>
      </c>
      <c r="ER30" s="1420">
        <v>547406.76</v>
      </c>
      <c r="ES30" s="1422">
        <v>94539</v>
      </c>
      <c r="ET30" s="1422">
        <v>0</v>
      </c>
      <c r="EU30" s="1420">
        <v>12399126.939999999</v>
      </c>
      <c r="EV30" s="1420">
        <v>13417307.52</v>
      </c>
      <c r="EW30" s="1420">
        <v>1476509.49</v>
      </c>
      <c r="EX30" s="1420">
        <v>1951524.97</v>
      </c>
      <c r="EY30" s="1420">
        <v>655714.03</v>
      </c>
      <c r="EZ30" s="1420">
        <v>547406.76</v>
      </c>
      <c r="FA30" s="1420">
        <v>10266903.42</v>
      </c>
      <c r="FB30" s="1420">
        <v>10918375.789999999</v>
      </c>
      <c r="FC30" s="1420">
        <v>482109.29</v>
      </c>
      <c r="FD30" s="1439"/>
      <c r="FE30" s="1420">
        <v>9784794.1300000008</v>
      </c>
      <c r="FF30" s="1439"/>
      <c r="FG30" s="1422">
        <v>8468</v>
      </c>
      <c r="FH30" s="1439"/>
      <c r="FI30" s="1420">
        <v>83.04</v>
      </c>
      <c r="FJ30" s="1439"/>
      <c r="FK30" s="1422">
        <v>39718</v>
      </c>
      <c r="FL30" s="1439"/>
      <c r="FM30" s="1420">
        <v>91.18</v>
      </c>
      <c r="FN30" s="1439"/>
      <c r="FO30" s="1422">
        <v>41790</v>
      </c>
      <c r="FP30" s="1439"/>
      <c r="FQ30" s="1420">
        <v>2763114.28</v>
      </c>
      <c r="FR30" s="1439"/>
      <c r="FS30" s="1420">
        <v>158521.03</v>
      </c>
      <c r="FT30" s="1439"/>
      <c r="FU30" s="1422">
        <v>0</v>
      </c>
      <c r="FV30" s="1439"/>
      <c r="FW30" s="1420">
        <v>2604593.25</v>
      </c>
      <c r="FX30" s="1439"/>
      <c r="FY30" s="1420">
        <v>1150077.1000000001</v>
      </c>
      <c r="FZ30" s="1439"/>
      <c r="GA30" s="1422">
        <v>0</v>
      </c>
      <c r="GB30" s="1439"/>
    </row>
    <row r="31" spans="1:184" ht="12.75" customHeight="1" thickBot="1">
      <c r="A31" s="1418" t="s">
        <v>637</v>
      </c>
      <c r="B31" s="1418" t="s">
        <v>638</v>
      </c>
      <c r="C31" s="1420">
        <v>242.56</v>
      </c>
      <c r="D31" s="1439"/>
      <c r="E31" s="1420">
        <v>412.49</v>
      </c>
      <c r="F31" s="1439"/>
      <c r="G31" s="1421">
        <v>-0.27</v>
      </c>
      <c r="H31" s="1439"/>
      <c r="I31" s="1420">
        <v>424.3</v>
      </c>
      <c r="J31" s="1439"/>
      <c r="K31" s="1420">
        <v>438.16</v>
      </c>
      <c r="L31" s="1439"/>
      <c r="M31" s="1422">
        <v>30211193</v>
      </c>
      <c r="N31" s="1439"/>
      <c r="O31" s="1422">
        <v>25</v>
      </c>
      <c r="P31" s="1439"/>
      <c r="Q31" s="1422">
        <v>25</v>
      </c>
      <c r="R31" s="1439"/>
      <c r="S31" s="1422">
        <v>0</v>
      </c>
      <c r="T31" s="1439"/>
      <c r="U31" s="1422">
        <v>0</v>
      </c>
      <c r="V31" s="1439"/>
      <c r="W31" s="1420">
        <v>16.809999999999999</v>
      </c>
      <c r="X31" s="1439"/>
      <c r="Y31" s="1420">
        <v>41.81</v>
      </c>
      <c r="Z31" s="1439"/>
      <c r="AA31" s="1420">
        <v>3109817.59</v>
      </c>
      <c r="AB31" s="1439"/>
      <c r="AC31" s="1420">
        <v>1169817.69</v>
      </c>
      <c r="AD31" s="1422">
        <v>1110000</v>
      </c>
      <c r="AE31" s="1420">
        <v>196368.49</v>
      </c>
      <c r="AF31" s="1422">
        <v>85000</v>
      </c>
      <c r="AG31" s="1422">
        <v>0</v>
      </c>
      <c r="AH31" s="1422">
        <v>0</v>
      </c>
      <c r="AI31" s="1422">
        <v>1888703</v>
      </c>
      <c r="AJ31" s="1422">
        <v>1864083</v>
      </c>
      <c r="AK31" s="1422">
        <v>5248</v>
      </c>
      <c r="AL31" s="1422">
        <v>6000</v>
      </c>
      <c r="AM31" s="1422">
        <v>0</v>
      </c>
      <c r="AN31" s="1422">
        <v>0</v>
      </c>
      <c r="AO31" s="1422">
        <v>0</v>
      </c>
      <c r="AP31" s="1422">
        <v>0</v>
      </c>
      <c r="AQ31" s="1422">
        <v>0</v>
      </c>
      <c r="AR31" s="1422">
        <v>0</v>
      </c>
      <c r="AS31" s="1422">
        <v>0</v>
      </c>
      <c r="AT31" s="1422">
        <v>0</v>
      </c>
      <c r="AU31" s="1422">
        <v>8247</v>
      </c>
      <c r="AV31" s="1422">
        <v>6589</v>
      </c>
      <c r="AW31" s="1420">
        <v>2518.41</v>
      </c>
      <c r="AX31" s="1422">
        <v>1000</v>
      </c>
      <c r="AY31" s="1420">
        <v>3270902.59</v>
      </c>
      <c r="AZ31" s="1422">
        <v>3072672</v>
      </c>
      <c r="BA31" s="1420">
        <v>282036.14</v>
      </c>
      <c r="BB31" s="1420">
        <v>271821.99</v>
      </c>
      <c r="BC31" s="1422">
        <v>18122</v>
      </c>
      <c r="BD31" s="1422">
        <v>17964</v>
      </c>
      <c r="BE31" s="1420">
        <v>239451.68</v>
      </c>
      <c r="BF31" s="1422">
        <v>125000</v>
      </c>
      <c r="BG31" s="1422">
        <v>0</v>
      </c>
      <c r="BH31" s="1422">
        <v>0</v>
      </c>
      <c r="BI31" s="1422">
        <v>11295</v>
      </c>
      <c r="BJ31" s="1422">
        <v>21554</v>
      </c>
      <c r="BK31" s="1422">
        <v>1465</v>
      </c>
      <c r="BL31" s="1422">
        <v>1495</v>
      </c>
      <c r="BM31" s="1422">
        <v>619008</v>
      </c>
      <c r="BN31" s="1422">
        <v>598092</v>
      </c>
      <c r="BO31" s="1420">
        <v>1794.99</v>
      </c>
      <c r="BP31" s="1422">
        <v>0</v>
      </c>
      <c r="BQ31" s="1420">
        <v>7041.76</v>
      </c>
      <c r="BR31" s="1422">
        <v>5000</v>
      </c>
      <c r="BS31" s="1420">
        <v>2351.9699999999998</v>
      </c>
      <c r="BT31" s="1422">
        <v>2000</v>
      </c>
      <c r="BU31" s="1422">
        <v>0</v>
      </c>
      <c r="BV31" s="1422">
        <v>0</v>
      </c>
      <c r="BW31" s="1422">
        <v>48600</v>
      </c>
      <c r="BX31" s="1422">
        <v>48600</v>
      </c>
      <c r="BY31" s="1422">
        <v>0</v>
      </c>
      <c r="BZ31" s="1422">
        <v>0</v>
      </c>
      <c r="CA31" s="1422">
        <v>36651</v>
      </c>
      <c r="CB31" s="1420">
        <v>34943.03</v>
      </c>
      <c r="CC31" s="1420">
        <v>1267817.54</v>
      </c>
      <c r="CD31" s="1420">
        <v>1126470.02</v>
      </c>
      <c r="CE31" s="1420">
        <v>2148393.9</v>
      </c>
      <c r="CF31" s="1420">
        <v>1304873.48</v>
      </c>
      <c r="CG31" s="1422">
        <v>0</v>
      </c>
      <c r="CH31" s="1422">
        <v>0</v>
      </c>
      <c r="CI31" s="1422">
        <v>0</v>
      </c>
      <c r="CJ31" s="1422">
        <v>0</v>
      </c>
      <c r="CK31" s="1420">
        <v>8324.24</v>
      </c>
      <c r="CL31" s="1422">
        <v>6000</v>
      </c>
      <c r="CM31" s="1422">
        <v>0</v>
      </c>
      <c r="CN31" s="1422">
        <v>0</v>
      </c>
      <c r="CO31" s="1422">
        <v>1597</v>
      </c>
      <c r="CP31" s="1422">
        <v>0</v>
      </c>
      <c r="CQ31" s="1422">
        <v>0</v>
      </c>
      <c r="CR31" s="1422">
        <v>0</v>
      </c>
      <c r="CS31" s="1420">
        <v>9921.24</v>
      </c>
      <c r="CT31" s="1422">
        <v>6000</v>
      </c>
      <c r="CU31" s="1420">
        <v>6697035.2699999996</v>
      </c>
      <c r="CV31" s="1420">
        <v>5510015.5</v>
      </c>
      <c r="CW31" s="1420">
        <v>1792971.28</v>
      </c>
      <c r="CX31" s="1420">
        <v>1542765.18</v>
      </c>
      <c r="CY31" s="1420">
        <v>396829.61</v>
      </c>
      <c r="CZ31" s="1420">
        <v>293778.90999999997</v>
      </c>
      <c r="DA31" s="1420">
        <v>36216.67</v>
      </c>
      <c r="DB31" s="1422">
        <v>750</v>
      </c>
      <c r="DC31" s="1420">
        <v>263779.69</v>
      </c>
      <c r="DD31" s="1420">
        <v>283253.28999999998</v>
      </c>
      <c r="DE31" s="1420">
        <v>539705.59999999998</v>
      </c>
      <c r="DF31" s="1420">
        <v>431754.75</v>
      </c>
      <c r="DG31" s="1420">
        <v>65028.22</v>
      </c>
      <c r="DH31" s="1420">
        <v>39340.83</v>
      </c>
      <c r="DI31" s="1420">
        <v>3094531.07</v>
      </c>
      <c r="DJ31" s="1420">
        <v>2591642.96</v>
      </c>
      <c r="DK31" s="1420">
        <v>213483.93</v>
      </c>
      <c r="DL31" s="1420">
        <v>221871.04</v>
      </c>
      <c r="DM31" s="1420">
        <v>108034.4</v>
      </c>
      <c r="DN31" s="1420">
        <v>89426.9</v>
      </c>
      <c r="DO31" s="1420">
        <v>636246.55000000005</v>
      </c>
      <c r="DP31" s="1420">
        <v>722565.66</v>
      </c>
      <c r="DQ31" s="1420">
        <v>222385.34</v>
      </c>
      <c r="DR31" s="1420">
        <v>181041.86</v>
      </c>
      <c r="DS31" s="1420">
        <v>18603.63</v>
      </c>
      <c r="DT31" s="1422">
        <v>19400</v>
      </c>
      <c r="DU31" s="1420">
        <v>1198753.8500000001</v>
      </c>
      <c r="DV31" s="1420">
        <v>1234305.46</v>
      </c>
      <c r="DW31" s="1420">
        <v>161347.9</v>
      </c>
      <c r="DX31" s="1420">
        <v>154244.98000000001</v>
      </c>
      <c r="DY31" s="1420">
        <v>899002.29</v>
      </c>
      <c r="DZ31" s="1420">
        <v>961535.34</v>
      </c>
      <c r="EA31" s="1420">
        <v>309383.90999999997</v>
      </c>
      <c r="EB31" s="1420">
        <v>213984.54</v>
      </c>
      <c r="EC31" s="1420">
        <v>1369734.1</v>
      </c>
      <c r="ED31" s="1420">
        <v>1329764.8600000001</v>
      </c>
      <c r="EE31" s="1420">
        <v>386803.01</v>
      </c>
      <c r="EF31" s="1420">
        <v>321301.26</v>
      </c>
      <c r="EG31" s="1422">
        <v>0</v>
      </c>
      <c r="EH31" s="1422">
        <v>0</v>
      </c>
      <c r="EI31" s="1420">
        <v>1042.02</v>
      </c>
      <c r="EJ31" s="1420">
        <v>1194.02</v>
      </c>
      <c r="EK31" s="1422">
        <v>0</v>
      </c>
      <c r="EL31" s="1422">
        <v>0</v>
      </c>
      <c r="EM31" s="1420">
        <v>387845.03</v>
      </c>
      <c r="EN31" s="1420">
        <v>322495.28000000003</v>
      </c>
      <c r="EO31" s="1420">
        <v>191458.35</v>
      </c>
      <c r="EP31" s="1422">
        <v>0</v>
      </c>
      <c r="EQ31" s="1420">
        <v>245341.9</v>
      </c>
      <c r="ER31" s="1422">
        <v>245600</v>
      </c>
      <c r="ES31" s="1420">
        <v>4.1100000000000003</v>
      </c>
      <c r="ET31" s="1422">
        <v>0</v>
      </c>
      <c r="EU31" s="1420">
        <v>6487668.4100000001</v>
      </c>
      <c r="EV31" s="1420">
        <v>5723808.5599999996</v>
      </c>
      <c r="EW31" s="1420">
        <v>203954.73</v>
      </c>
      <c r="EX31" s="1422">
        <v>16500</v>
      </c>
      <c r="EY31" s="1420">
        <v>245341.9</v>
      </c>
      <c r="EZ31" s="1422">
        <v>245600</v>
      </c>
      <c r="FA31" s="1420">
        <v>6038371.7800000003</v>
      </c>
      <c r="FB31" s="1420">
        <v>5461708.5599999996</v>
      </c>
      <c r="FC31" s="1420">
        <v>446760.33</v>
      </c>
      <c r="FD31" s="1439"/>
      <c r="FE31" s="1420">
        <v>5591611.4500000002</v>
      </c>
      <c r="FF31" s="1439"/>
      <c r="FG31" s="1422">
        <v>13555</v>
      </c>
      <c r="FH31" s="1439"/>
      <c r="FI31" s="1420">
        <v>26.62</v>
      </c>
      <c r="FJ31" s="1439"/>
      <c r="FK31" s="1422">
        <v>41504</v>
      </c>
      <c r="FL31" s="1439"/>
      <c r="FM31" s="1420">
        <v>35.119999999999997</v>
      </c>
      <c r="FN31" s="1439"/>
      <c r="FO31" s="1422">
        <v>45202</v>
      </c>
      <c r="FP31" s="1439"/>
      <c r="FQ31" s="1420">
        <v>765506.37</v>
      </c>
      <c r="FR31" s="1439"/>
      <c r="FS31" s="1420">
        <v>48903.82</v>
      </c>
      <c r="FT31" s="1439"/>
      <c r="FU31" s="1422">
        <v>0</v>
      </c>
      <c r="FV31" s="1439"/>
      <c r="FW31" s="1420">
        <v>716602.55</v>
      </c>
      <c r="FX31" s="1439"/>
      <c r="FY31" s="1420">
        <v>869768.79</v>
      </c>
      <c r="FZ31" s="1439"/>
      <c r="GA31" s="1422">
        <v>0</v>
      </c>
      <c r="GB31" s="1439"/>
    </row>
    <row r="32" spans="1:184" ht="12.75" customHeight="1" thickBot="1">
      <c r="A32" s="1418" t="s">
        <v>639</v>
      </c>
      <c r="B32" s="1418" t="s">
        <v>640</v>
      </c>
      <c r="C32" s="1420">
        <v>587.09</v>
      </c>
      <c r="D32" s="1439"/>
      <c r="E32" s="1420">
        <v>1115.07</v>
      </c>
      <c r="F32" s="1439"/>
      <c r="G32" s="1421">
        <v>-0.24</v>
      </c>
      <c r="H32" s="1439"/>
      <c r="I32" s="1420">
        <v>1161.53</v>
      </c>
      <c r="J32" s="1439"/>
      <c r="K32" s="1420">
        <v>1188.8900000000001</v>
      </c>
      <c r="L32" s="1439"/>
      <c r="M32" s="1439"/>
      <c r="N32" s="1439"/>
      <c r="O32" s="1422">
        <v>25</v>
      </c>
      <c r="P32" s="1439"/>
      <c r="Q32" s="1422">
        <v>25</v>
      </c>
      <c r="R32" s="1439"/>
      <c r="S32" s="1422">
        <v>0</v>
      </c>
      <c r="T32" s="1439"/>
      <c r="U32" s="1422">
        <v>0</v>
      </c>
      <c r="V32" s="1439"/>
      <c r="W32" s="1420">
        <v>14.8</v>
      </c>
      <c r="X32" s="1439"/>
      <c r="Y32" s="1420">
        <v>39.799999999999997</v>
      </c>
      <c r="Z32" s="1439"/>
      <c r="AA32" s="1422">
        <v>2890000</v>
      </c>
      <c r="AB32" s="1439"/>
      <c r="AC32" s="1420">
        <v>4041005.35</v>
      </c>
      <c r="AD32" s="1420">
        <v>4041005.06</v>
      </c>
      <c r="AE32" s="1420">
        <v>430400.5</v>
      </c>
      <c r="AF32" s="1420">
        <v>176433.79</v>
      </c>
      <c r="AG32" s="1422">
        <v>0</v>
      </c>
      <c r="AH32" s="1422">
        <v>0</v>
      </c>
      <c r="AI32" s="1422">
        <v>4574431</v>
      </c>
      <c r="AJ32" s="1422">
        <v>4492327</v>
      </c>
      <c r="AK32" s="1422">
        <v>30862</v>
      </c>
      <c r="AL32" s="1422">
        <v>30862</v>
      </c>
      <c r="AM32" s="1422">
        <v>0</v>
      </c>
      <c r="AN32" s="1422">
        <v>0</v>
      </c>
      <c r="AO32" s="1422">
        <v>186020</v>
      </c>
      <c r="AP32" s="1422">
        <v>86446</v>
      </c>
      <c r="AQ32" s="1422">
        <v>0</v>
      </c>
      <c r="AR32" s="1422">
        <v>0</v>
      </c>
      <c r="AS32" s="1422">
        <v>0</v>
      </c>
      <c r="AT32" s="1422">
        <v>0</v>
      </c>
      <c r="AU32" s="1422">
        <v>0</v>
      </c>
      <c r="AV32" s="1422">
        <v>0</v>
      </c>
      <c r="AW32" s="1422">
        <v>57156</v>
      </c>
      <c r="AX32" s="1422">
        <v>57156</v>
      </c>
      <c r="AY32" s="1420">
        <v>9319874.8499999996</v>
      </c>
      <c r="AZ32" s="1420">
        <v>8884229.8499999996</v>
      </c>
      <c r="BA32" s="1422">
        <v>0</v>
      </c>
      <c r="BB32" s="1422">
        <v>0</v>
      </c>
      <c r="BC32" s="1422">
        <v>49172</v>
      </c>
      <c r="BD32" s="1422">
        <v>49193</v>
      </c>
      <c r="BE32" s="1420">
        <v>38058.42</v>
      </c>
      <c r="BF32" s="1420">
        <v>38058.42</v>
      </c>
      <c r="BG32" s="1422">
        <v>50</v>
      </c>
      <c r="BH32" s="1422">
        <v>0</v>
      </c>
      <c r="BI32" s="1422">
        <v>29294</v>
      </c>
      <c r="BJ32" s="1422">
        <v>518956</v>
      </c>
      <c r="BK32" s="1422">
        <v>26370</v>
      </c>
      <c r="BL32" s="1422">
        <v>0</v>
      </c>
      <c r="BM32" s="1422">
        <v>981088</v>
      </c>
      <c r="BN32" s="1422">
        <v>973544</v>
      </c>
      <c r="BO32" s="1420">
        <v>4870.4799999999996</v>
      </c>
      <c r="BP32" s="1420">
        <v>4870.4799999999996</v>
      </c>
      <c r="BQ32" s="1420">
        <v>12221.14</v>
      </c>
      <c r="BR32" s="1420">
        <v>2471.14</v>
      </c>
      <c r="BS32" s="1420">
        <v>5743.87</v>
      </c>
      <c r="BT32" s="1422">
        <v>0</v>
      </c>
      <c r="BU32" s="1422">
        <v>0</v>
      </c>
      <c r="BV32" s="1422">
        <v>0</v>
      </c>
      <c r="BW32" s="1422">
        <v>476280</v>
      </c>
      <c r="BX32" s="1422">
        <v>476280</v>
      </c>
      <c r="BY32" s="1422">
        <v>0</v>
      </c>
      <c r="BZ32" s="1422">
        <v>0</v>
      </c>
      <c r="CA32" s="1420">
        <v>405752.75</v>
      </c>
      <c r="CB32" s="1420">
        <v>439099.75</v>
      </c>
      <c r="CC32" s="1420">
        <v>2028900.66</v>
      </c>
      <c r="CD32" s="1420">
        <v>2502472.79</v>
      </c>
      <c r="CE32" s="1420">
        <v>4164602.69</v>
      </c>
      <c r="CF32" s="1420">
        <v>1917535.52</v>
      </c>
      <c r="CG32" s="1420">
        <v>-535935.84</v>
      </c>
      <c r="CH32" s="1422">
        <v>0</v>
      </c>
      <c r="CI32" s="1422">
        <v>0</v>
      </c>
      <c r="CJ32" s="1422">
        <v>0</v>
      </c>
      <c r="CK32" s="1422">
        <v>0</v>
      </c>
      <c r="CL32" s="1422">
        <v>0</v>
      </c>
      <c r="CM32" s="1422">
        <v>0</v>
      </c>
      <c r="CN32" s="1422">
        <v>0</v>
      </c>
      <c r="CO32" s="1420">
        <v>19899.25</v>
      </c>
      <c r="CP32" s="1422">
        <v>0</v>
      </c>
      <c r="CQ32" s="1422">
        <v>0</v>
      </c>
      <c r="CR32" s="1422">
        <v>0</v>
      </c>
      <c r="CS32" s="1420">
        <v>-516036.59</v>
      </c>
      <c r="CT32" s="1422">
        <v>0</v>
      </c>
      <c r="CU32" s="1420">
        <v>14997341.609999999</v>
      </c>
      <c r="CV32" s="1420">
        <v>13304238.16</v>
      </c>
      <c r="CW32" s="1420">
        <v>4567236.58</v>
      </c>
      <c r="CX32" s="1420">
        <v>5235840.0199999996</v>
      </c>
      <c r="CY32" s="1420">
        <v>459789.81</v>
      </c>
      <c r="CZ32" s="1420">
        <v>473883.26</v>
      </c>
      <c r="DA32" s="1420">
        <v>197786.14</v>
      </c>
      <c r="DB32" s="1420">
        <v>226796.38</v>
      </c>
      <c r="DC32" s="1422">
        <v>0</v>
      </c>
      <c r="DD32" s="1422">
        <v>0</v>
      </c>
      <c r="DE32" s="1420">
        <v>1208232.3</v>
      </c>
      <c r="DF32" s="1420">
        <v>1434750.61</v>
      </c>
      <c r="DG32" s="1420">
        <v>237160.13</v>
      </c>
      <c r="DH32" s="1420">
        <v>318264.15000000002</v>
      </c>
      <c r="DI32" s="1420">
        <v>6670204.96</v>
      </c>
      <c r="DJ32" s="1420">
        <v>7689534.4199999999</v>
      </c>
      <c r="DK32" s="1420">
        <v>392561.2</v>
      </c>
      <c r="DL32" s="1420">
        <v>392185.36</v>
      </c>
      <c r="DM32" s="1420">
        <v>186783.28</v>
      </c>
      <c r="DN32" s="1420">
        <v>220085.02</v>
      </c>
      <c r="DO32" s="1420">
        <v>1136356.28</v>
      </c>
      <c r="DP32" s="1420">
        <v>1070094.55</v>
      </c>
      <c r="DQ32" s="1420">
        <v>601585.78</v>
      </c>
      <c r="DR32" s="1420">
        <v>638084.07999999996</v>
      </c>
      <c r="DS32" s="1422">
        <v>0</v>
      </c>
      <c r="DT32" s="1422">
        <v>0</v>
      </c>
      <c r="DU32" s="1420">
        <v>2317286.54</v>
      </c>
      <c r="DV32" s="1420">
        <v>2320449.0099999998</v>
      </c>
      <c r="DW32" s="1420">
        <v>540992.4</v>
      </c>
      <c r="DX32" s="1420">
        <v>542889.81000000006</v>
      </c>
      <c r="DY32" s="1420">
        <v>2596653.29</v>
      </c>
      <c r="DZ32" s="1420">
        <v>2318071.5499999998</v>
      </c>
      <c r="EA32" s="1420">
        <v>574055.12</v>
      </c>
      <c r="EB32" s="1420">
        <v>621801.21</v>
      </c>
      <c r="EC32" s="1420">
        <v>3711700.81</v>
      </c>
      <c r="ED32" s="1420">
        <v>3482762.57</v>
      </c>
      <c r="EE32" s="1420">
        <v>952732.75</v>
      </c>
      <c r="EF32" s="1420">
        <v>540560.11</v>
      </c>
      <c r="EG32" s="1422">
        <v>0</v>
      </c>
      <c r="EH32" s="1422">
        <v>0</v>
      </c>
      <c r="EI32" s="1420">
        <v>11223.91</v>
      </c>
      <c r="EJ32" s="1420">
        <v>11223.91</v>
      </c>
      <c r="EK32" s="1422">
        <v>0</v>
      </c>
      <c r="EL32" s="1422">
        <v>0</v>
      </c>
      <c r="EM32" s="1420">
        <v>963956.66</v>
      </c>
      <c r="EN32" s="1420">
        <v>551784.02</v>
      </c>
      <c r="EO32" s="1420">
        <v>1989812.07</v>
      </c>
      <c r="EP32" s="1422">
        <v>0</v>
      </c>
      <c r="EQ32" s="1422">
        <v>549846</v>
      </c>
      <c r="ER32" s="1422">
        <v>0</v>
      </c>
      <c r="ES32" s="1420">
        <v>13868.75</v>
      </c>
      <c r="ET32" s="1422">
        <v>0</v>
      </c>
      <c r="EU32" s="1420">
        <v>16216675.789999999</v>
      </c>
      <c r="EV32" s="1420">
        <v>14044530.02</v>
      </c>
      <c r="EW32" s="1420">
        <v>2284302.1800000002</v>
      </c>
      <c r="EX32" s="1420">
        <v>254493.77</v>
      </c>
      <c r="EY32" s="1422">
        <v>549846</v>
      </c>
      <c r="EZ32" s="1422">
        <v>0</v>
      </c>
      <c r="FA32" s="1420">
        <v>13382527.609999999</v>
      </c>
      <c r="FB32" s="1420">
        <v>13790036.25</v>
      </c>
      <c r="FC32" s="1420">
        <v>335386.38</v>
      </c>
      <c r="FD32" s="1439"/>
      <c r="FE32" s="1420">
        <v>13047141.23</v>
      </c>
      <c r="FF32" s="1439"/>
      <c r="FG32" s="1422">
        <v>11700</v>
      </c>
      <c r="FH32" s="1439"/>
      <c r="FI32" s="1420">
        <v>99.73</v>
      </c>
      <c r="FJ32" s="1439"/>
      <c r="FK32" s="1422">
        <v>37928</v>
      </c>
      <c r="FL32" s="1439"/>
      <c r="FM32" s="1420">
        <v>113.24</v>
      </c>
      <c r="FN32" s="1439"/>
      <c r="FO32" s="1422">
        <v>40694</v>
      </c>
      <c r="FP32" s="1439"/>
      <c r="FQ32" s="1420">
        <v>10060266.65</v>
      </c>
      <c r="FR32" s="1439"/>
      <c r="FS32" s="1420">
        <v>1040147.79</v>
      </c>
      <c r="FT32" s="1439"/>
      <c r="FU32" s="1422">
        <v>0</v>
      </c>
      <c r="FV32" s="1439"/>
      <c r="FW32" s="1420">
        <v>9020118.8599999994</v>
      </c>
      <c r="FX32" s="1439"/>
      <c r="FY32" s="1422">
        <v>0</v>
      </c>
      <c r="FZ32" s="1439"/>
      <c r="GA32" s="1422">
        <v>170907</v>
      </c>
      <c r="GB32" s="1439"/>
    </row>
    <row r="33" spans="1:184" ht="12.75" customHeight="1" thickBot="1">
      <c r="A33" s="1418" t="s">
        <v>641</v>
      </c>
      <c r="B33" s="1418" t="s">
        <v>642</v>
      </c>
      <c r="C33" s="1420">
        <v>329.82</v>
      </c>
      <c r="D33" s="1439"/>
      <c r="E33" s="1422">
        <v>1875</v>
      </c>
      <c r="F33" s="1439"/>
      <c r="G33" s="1421">
        <v>-0.11</v>
      </c>
      <c r="H33" s="1439"/>
      <c r="I33" s="1420">
        <v>1942.25</v>
      </c>
      <c r="J33" s="1439"/>
      <c r="K33" s="1420">
        <v>1920.16</v>
      </c>
      <c r="L33" s="1439"/>
      <c r="M33" s="1422">
        <v>186657358</v>
      </c>
      <c r="N33" s="1439"/>
      <c r="O33" s="1422">
        <v>25</v>
      </c>
      <c r="P33" s="1439"/>
      <c r="Q33" s="1422">
        <v>25</v>
      </c>
      <c r="R33" s="1439"/>
      <c r="S33" s="1422">
        <v>0</v>
      </c>
      <c r="T33" s="1439"/>
      <c r="U33" s="1422">
        <v>0</v>
      </c>
      <c r="V33" s="1439"/>
      <c r="W33" s="1420">
        <v>13.9</v>
      </c>
      <c r="X33" s="1439"/>
      <c r="Y33" s="1420">
        <v>38.9</v>
      </c>
      <c r="Z33" s="1439"/>
      <c r="AA33" s="1422">
        <v>9320000</v>
      </c>
      <c r="AB33" s="1439"/>
      <c r="AC33" s="1420">
        <v>6678629.1399999997</v>
      </c>
      <c r="AD33" s="1422">
        <v>6931812</v>
      </c>
      <c r="AE33" s="1420">
        <v>862182.53</v>
      </c>
      <c r="AF33" s="1420">
        <v>581090.79</v>
      </c>
      <c r="AG33" s="1420">
        <v>18401.490000000002</v>
      </c>
      <c r="AH33" s="1422">
        <v>15000</v>
      </c>
      <c r="AI33" s="1422">
        <v>7201754</v>
      </c>
      <c r="AJ33" s="1422">
        <v>7392089</v>
      </c>
      <c r="AK33" s="1422">
        <v>59119</v>
      </c>
      <c r="AL33" s="1422">
        <v>0</v>
      </c>
      <c r="AM33" s="1422">
        <v>0</v>
      </c>
      <c r="AN33" s="1422">
        <v>0</v>
      </c>
      <c r="AO33" s="1422">
        <v>217340</v>
      </c>
      <c r="AP33" s="1422">
        <v>0</v>
      </c>
      <c r="AQ33" s="1422">
        <v>0</v>
      </c>
      <c r="AR33" s="1422">
        <v>0</v>
      </c>
      <c r="AS33" s="1422">
        <v>0</v>
      </c>
      <c r="AT33" s="1422">
        <v>0</v>
      </c>
      <c r="AU33" s="1422">
        <v>0</v>
      </c>
      <c r="AV33" s="1422">
        <v>0</v>
      </c>
      <c r="AW33" s="1422">
        <v>0</v>
      </c>
      <c r="AX33" s="1422">
        <v>0</v>
      </c>
      <c r="AY33" s="1420">
        <v>15037426.16</v>
      </c>
      <c r="AZ33" s="1420">
        <v>14919991.789999999</v>
      </c>
      <c r="BA33" s="1420">
        <v>128804.82</v>
      </c>
      <c r="BB33" s="1420">
        <v>127527.07</v>
      </c>
      <c r="BC33" s="1422">
        <v>79418</v>
      </c>
      <c r="BD33" s="1422">
        <v>82533</v>
      </c>
      <c r="BE33" s="1420">
        <v>10148.540000000001</v>
      </c>
      <c r="BF33" s="1422">
        <v>10000</v>
      </c>
      <c r="BG33" s="1422">
        <v>5350</v>
      </c>
      <c r="BH33" s="1422">
        <v>0</v>
      </c>
      <c r="BI33" s="1422">
        <v>58182</v>
      </c>
      <c r="BJ33" s="1422">
        <v>21015</v>
      </c>
      <c r="BK33" s="1422">
        <v>3809</v>
      </c>
      <c r="BL33" s="1422">
        <v>0</v>
      </c>
      <c r="BM33" s="1422">
        <v>514352</v>
      </c>
      <c r="BN33" s="1422">
        <v>528770</v>
      </c>
      <c r="BO33" s="1420">
        <v>21441.17</v>
      </c>
      <c r="BP33" s="1420">
        <v>17537.12</v>
      </c>
      <c r="BQ33" s="1420">
        <v>47065.599999999999</v>
      </c>
      <c r="BR33" s="1420">
        <v>48236.92</v>
      </c>
      <c r="BS33" s="1420">
        <v>7148.91</v>
      </c>
      <c r="BT33" s="1422">
        <v>8000</v>
      </c>
      <c r="BU33" s="1422">
        <v>0</v>
      </c>
      <c r="BV33" s="1422">
        <v>0</v>
      </c>
      <c r="BW33" s="1422">
        <v>220173</v>
      </c>
      <c r="BX33" s="1422">
        <v>291600</v>
      </c>
      <c r="BY33" s="1422">
        <v>0</v>
      </c>
      <c r="BZ33" s="1422">
        <v>0</v>
      </c>
      <c r="CA33" s="1420">
        <v>90470.89</v>
      </c>
      <c r="CB33" s="1422">
        <v>76630</v>
      </c>
      <c r="CC33" s="1420">
        <v>1186363.93</v>
      </c>
      <c r="CD33" s="1420">
        <v>1211849.1100000001</v>
      </c>
      <c r="CE33" s="1420">
        <v>3741408.48</v>
      </c>
      <c r="CF33" s="1420">
        <v>3018416.81</v>
      </c>
      <c r="CG33" s="1422">
        <v>0</v>
      </c>
      <c r="CH33" s="1422">
        <v>0</v>
      </c>
      <c r="CI33" s="1422">
        <v>0</v>
      </c>
      <c r="CJ33" s="1422">
        <v>0</v>
      </c>
      <c r="CK33" s="1422">
        <v>27000</v>
      </c>
      <c r="CL33" s="1422">
        <v>22000</v>
      </c>
      <c r="CM33" s="1422">
        <v>0</v>
      </c>
      <c r="CN33" s="1422">
        <v>0</v>
      </c>
      <c r="CO33" s="1420">
        <v>621408.99</v>
      </c>
      <c r="CP33" s="1422">
        <v>0</v>
      </c>
      <c r="CQ33" s="1422">
        <v>0</v>
      </c>
      <c r="CR33" s="1422">
        <v>0</v>
      </c>
      <c r="CS33" s="1420">
        <v>648408.99</v>
      </c>
      <c r="CT33" s="1422">
        <v>22000</v>
      </c>
      <c r="CU33" s="1420">
        <v>20613607.559999999</v>
      </c>
      <c r="CV33" s="1420">
        <v>19172257.710000001</v>
      </c>
      <c r="CW33" s="1420">
        <v>7083917.5</v>
      </c>
      <c r="CX33" s="1420">
        <v>6667664.1600000001</v>
      </c>
      <c r="CY33" s="1420">
        <v>1417306.57</v>
      </c>
      <c r="CZ33" s="1420">
        <v>1382610.01</v>
      </c>
      <c r="DA33" s="1420">
        <v>624743.88</v>
      </c>
      <c r="DB33" s="1422">
        <v>597687</v>
      </c>
      <c r="DC33" s="1420">
        <v>168634.56</v>
      </c>
      <c r="DD33" s="1420">
        <v>148205.62</v>
      </c>
      <c r="DE33" s="1420">
        <v>637274.13</v>
      </c>
      <c r="DF33" s="1420">
        <v>564070.43999999994</v>
      </c>
      <c r="DG33" s="1420">
        <v>616505.54</v>
      </c>
      <c r="DH33" s="1422">
        <v>583384</v>
      </c>
      <c r="DI33" s="1420">
        <v>10548382.18</v>
      </c>
      <c r="DJ33" s="1420">
        <v>9943621.2300000004</v>
      </c>
      <c r="DK33" s="1420">
        <v>516266.94</v>
      </c>
      <c r="DL33" s="1420">
        <v>520215.44</v>
      </c>
      <c r="DM33" s="1420">
        <v>599926.06000000006</v>
      </c>
      <c r="DN33" s="1420">
        <v>537047.67000000004</v>
      </c>
      <c r="DO33" s="1420">
        <v>2267236.06</v>
      </c>
      <c r="DP33" s="1420">
        <v>1779115.61</v>
      </c>
      <c r="DQ33" s="1420">
        <v>763274.78</v>
      </c>
      <c r="DR33" s="1420">
        <v>800847.8</v>
      </c>
      <c r="DS33" s="1420">
        <v>40911.120000000003</v>
      </c>
      <c r="DT33" s="1422">
        <v>42000</v>
      </c>
      <c r="DU33" s="1420">
        <v>4187614.96</v>
      </c>
      <c r="DV33" s="1420">
        <v>3679226.52</v>
      </c>
      <c r="DW33" s="1420">
        <v>831795.19999999995</v>
      </c>
      <c r="DX33" s="1420">
        <v>996710.34</v>
      </c>
      <c r="DY33" s="1420">
        <v>1635794.73</v>
      </c>
      <c r="DZ33" s="1420">
        <v>1451193.25</v>
      </c>
      <c r="EA33" s="1420">
        <v>915552.12</v>
      </c>
      <c r="EB33" s="1422">
        <v>883560</v>
      </c>
      <c r="EC33" s="1420">
        <v>3383142.05</v>
      </c>
      <c r="ED33" s="1420">
        <v>3331463.59</v>
      </c>
      <c r="EE33" s="1420">
        <v>945844.92</v>
      </c>
      <c r="EF33" s="1422">
        <v>957480</v>
      </c>
      <c r="EG33" s="1422">
        <v>0</v>
      </c>
      <c r="EH33" s="1422">
        <v>0</v>
      </c>
      <c r="EI33" s="1420">
        <v>398558.49</v>
      </c>
      <c r="EJ33" s="1420">
        <v>627387.74</v>
      </c>
      <c r="EK33" s="1422">
        <v>0</v>
      </c>
      <c r="EL33" s="1422">
        <v>0</v>
      </c>
      <c r="EM33" s="1420">
        <v>1344403.41</v>
      </c>
      <c r="EN33" s="1420">
        <v>1584867.74</v>
      </c>
      <c r="EO33" s="1420">
        <v>536330.21</v>
      </c>
      <c r="EP33" s="1420">
        <v>518440.55</v>
      </c>
      <c r="EQ33" s="1420">
        <v>939945.5</v>
      </c>
      <c r="ER33" s="1422">
        <v>937908</v>
      </c>
      <c r="ES33" s="1422">
        <v>0</v>
      </c>
      <c r="ET33" s="1422">
        <v>0</v>
      </c>
      <c r="EU33" s="1420">
        <v>20939818.309999999</v>
      </c>
      <c r="EV33" s="1420">
        <v>19995527.629999999</v>
      </c>
      <c r="EW33" s="1420">
        <v>861262.6</v>
      </c>
      <c r="EX33" s="1420">
        <v>703475.27</v>
      </c>
      <c r="EY33" s="1420">
        <v>939945.5</v>
      </c>
      <c r="EZ33" s="1422">
        <v>937908</v>
      </c>
      <c r="FA33" s="1420">
        <v>19138610.210000001</v>
      </c>
      <c r="FB33" s="1420">
        <v>18354144.359999999</v>
      </c>
      <c r="FC33" s="1420">
        <v>1428551.33</v>
      </c>
      <c r="FD33" s="1439"/>
      <c r="FE33" s="1420">
        <v>17710058.879999999</v>
      </c>
      <c r="FF33" s="1439"/>
      <c r="FG33" s="1422">
        <v>9445</v>
      </c>
      <c r="FH33" s="1439"/>
      <c r="FI33" s="1420">
        <v>150.01</v>
      </c>
      <c r="FJ33" s="1439"/>
      <c r="FK33" s="1422">
        <v>41727</v>
      </c>
      <c r="FL33" s="1439"/>
      <c r="FM33" s="1420">
        <v>161.9</v>
      </c>
      <c r="FN33" s="1439"/>
      <c r="FO33" s="1422">
        <v>43649</v>
      </c>
      <c r="FP33" s="1439"/>
      <c r="FQ33" s="1420">
        <v>2889997.7</v>
      </c>
      <c r="FR33" s="1439"/>
      <c r="FS33" s="1420">
        <v>98965.99</v>
      </c>
      <c r="FT33" s="1439"/>
      <c r="FU33" s="1422">
        <v>0</v>
      </c>
      <c r="FV33" s="1439"/>
      <c r="FW33" s="1420">
        <v>2791031.71</v>
      </c>
      <c r="FX33" s="1439"/>
      <c r="FY33" s="1420">
        <v>126321.39</v>
      </c>
      <c r="FZ33" s="1439"/>
      <c r="GA33" s="1422">
        <v>0</v>
      </c>
      <c r="GB33" s="1439"/>
    </row>
    <row r="34" spans="1:184" ht="12.75" customHeight="1" thickBot="1">
      <c r="A34" s="1418" t="s">
        <v>643</v>
      </c>
      <c r="B34" s="1418" t="s">
        <v>644</v>
      </c>
      <c r="C34" s="1420">
        <v>339.62</v>
      </c>
      <c r="D34" s="1439"/>
      <c r="E34" s="1420">
        <v>706.87</v>
      </c>
      <c r="F34" s="1439"/>
      <c r="G34" s="1421">
        <v>-0.12</v>
      </c>
      <c r="H34" s="1439"/>
      <c r="I34" s="1420">
        <v>749.83</v>
      </c>
      <c r="J34" s="1439"/>
      <c r="K34" s="1420">
        <v>770.63</v>
      </c>
      <c r="L34" s="1439"/>
      <c r="M34" s="1422">
        <v>58642245</v>
      </c>
      <c r="N34" s="1439"/>
      <c r="O34" s="1422">
        <v>25</v>
      </c>
      <c r="P34" s="1439"/>
      <c r="Q34" s="1422">
        <v>25</v>
      </c>
      <c r="R34" s="1439"/>
      <c r="S34" s="1422">
        <v>0</v>
      </c>
      <c r="T34" s="1439"/>
      <c r="U34" s="1422">
        <v>0</v>
      </c>
      <c r="V34" s="1439"/>
      <c r="W34" s="1422">
        <v>11</v>
      </c>
      <c r="X34" s="1439"/>
      <c r="Y34" s="1422">
        <v>36</v>
      </c>
      <c r="Z34" s="1439"/>
      <c r="AA34" s="1422">
        <v>5802400</v>
      </c>
      <c r="AB34" s="1439"/>
      <c r="AC34" s="1420">
        <v>2048565.48</v>
      </c>
      <c r="AD34" s="1420">
        <v>2017293.23</v>
      </c>
      <c r="AE34" s="1420">
        <v>358622.43</v>
      </c>
      <c r="AF34" s="1422">
        <v>138300</v>
      </c>
      <c r="AG34" s="1420">
        <v>7385.19</v>
      </c>
      <c r="AH34" s="1422">
        <v>0</v>
      </c>
      <c r="AI34" s="1422">
        <v>3235662</v>
      </c>
      <c r="AJ34" s="1422">
        <v>3179928</v>
      </c>
      <c r="AK34" s="1422">
        <v>10821</v>
      </c>
      <c r="AL34" s="1422">
        <v>0</v>
      </c>
      <c r="AM34" s="1422">
        <v>0</v>
      </c>
      <c r="AN34" s="1422">
        <v>0</v>
      </c>
      <c r="AO34" s="1422">
        <v>21803</v>
      </c>
      <c r="AP34" s="1422">
        <v>59044</v>
      </c>
      <c r="AQ34" s="1422">
        <v>0</v>
      </c>
      <c r="AR34" s="1422">
        <v>0</v>
      </c>
      <c r="AS34" s="1422">
        <v>0</v>
      </c>
      <c r="AT34" s="1422">
        <v>0</v>
      </c>
      <c r="AU34" s="1422">
        <v>0</v>
      </c>
      <c r="AV34" s="1422">
        <v>0</v>
      </c>
      <c r="AW34" s="1422">
        <v>0</v>
      </c>
      <c r="AX34" s="1422">
        <v>0</v>
      </c>
      <c r="AY34" s="1420">
        <v>5682859.0999999996</v>
      </c>
      <c r="AZ34" s="1420">
        <v>5394565.2300000004</v>
      </c>
      <c r="BA34" s="1422">
        <v>0</v>
      </c>
      <c r="BB34" s="1422">
        <v>0</v>
      </c>
      <c r="BC34" s="1422">
        <v>31873</v>
      </c>
      <c r="BD34" s="1422">
        <v>31845</v>
      </c>
      <c r="BE34" s="1420">
        <v>37876.35</v>
      </c>
      <c r="BF34" s="1422">
        <v>3000</v>
      </c>
      <c r="BG34" s="1422">
        <v>150</v>
      </c>
      <c r="BH34" s="1422">
        <v>0</v>
      </c>
      <c r="BI34" s="1422">
        <v>42905</v>
      </c>
      <c r="BJ34" s="1422">
        <v>60558</v>
      </c>
      <c r="BK34" s="1422">
        <v>11134</v>
      </c>
      <c r="BL34" s="1422">
        <v>1000</v>
      </c>
      <c r="BM34" s="1422">
        <v>550560</v>
      </c>
      <c r="BN34" s="1422">
        <v>543444</v>
      </c>
      <c r="BO34" s="1420">
        <v>98882.35</v>
      </c>
      <c r="BP34" s="1422">
        <v>0</v>
      </c>
      <c r="BQ34" s="1420">
        <v>27833.58</v>
      </c>
      <c r="BR34" s="1420">
        <v>8666.7800000000007</v>
      </c>
      <c r="BS34" s="1420">
        <v>3148.4</v>
      </c>
      <c r="BT34" s="1422">
        <v>3500</v>
      </c>
      <c r="BU34" s="1422">
        <v>0</v>
      </c>
      <c r="BV34" s="1422">
        <v>0</v>
      </c>
      <c r="BW34" s="1422">
        <v>194400</v>
      </c>
      <c r="BX34" s="1422">
        <v>194400</v>
      </c>
      <c r="BY34" s="1422">
        <v>0</v>
      </c>
      <c r="BZ34" s="1422">
        <v>0</v>
      </c>
      <c r="CA34" s="1422">
        <v>210972</v>
      </c>
      <c r="CB34" s="1422">
        <v>230763</v>
      </c>
      <c r="CC34" s="1420">
        <v>1209734.68</v>
      </c>
      <c r="CD34" s="1420">
        <v>1077176.78</v>
      </c>
      <c r="CE34" s="1420">
        <v>1512779.17</v>
      </c>
      <c r="CF34" s="1420">
        <v>1208759.23</v>
      </c>
      <c r="CG34" s="1422">
        <v>0</v>
      </c>
      <c r="CH34" s="1422">
        <v>0</v>
      </c>
      <c r="CI34" s="1422">
        <v>0</v>
      </c>
      <c r="CJ34" s="1422">
        <v>0</v>
      </c>
      <c r="CK34" s="1420">
        <v>4625.4799999999996</v>
      </c>
      <c r="CL34" s="1422">
        <v>0</v>
      </c>
      <c r="CM34" s="1422">
        <v>0</v>
      </c>
      <c r="CN34" s="1422">
        <v>0</v>
      </c>
      <c r="CO34" s="1422">
        <v>0</v>
      </c>
      <c r="CP34" s="1422">
        <v>0</v>
      </c>
      <c r="CQ34" s="1422">
        <v>0</v>
      </c>
      <c r="CR34" s="1422">
        <v>0</v>
      </c>
      <c r="CS34" s="1420">
        <v>4625.4799999999996</v>
      </c>
      <c r="CT34" s="1422">
        <v>0</v>
      </c>
      <c r="CU34" s="1420">
        <v>8409998.4299999997</v>
      </c>
      <c r="CV34" s="1420">
        <v>7680501.2400000002</v>
      </c>
      <c r="CW34" s="1420">
        <v>2778061.24</v>
      </c>
      <c r="CX34" s="1420">
        <v>2723370.9</v>
      </c>
      <c r="CY34" s="1420">
        <v>451520.03</v>
      </c>
      <c r="CZ34" s="1420">
        <v>476959.3</v>
      </c>
      <c r="DA34" s="1420">
        <v>253742.39</v>
      </c>
      <c r="DB34" s="1420">
        <v>212866.04</v>
      </c>
      <c r="DC34" s="1422">
        <v>0</v>
      </c>
      <c r="DD34" s="1422">
        <v>0</v>
      </c>
      <c r="DE34" s="1420">
        <v>320382.59999999998</v>
      </c>
      <c r="DF34" s="1420">
        <v>429043.39</v>
      </c>
      <c r="DG34" s="1420">
        <v>153240.25</v>
      </c>
      <c r="DH34" s="1420">
        <v>151354.51999999999</v>
      </c>
      <c r="DI34" s="1420">
        <v>3956946.51</v>
      </c>
      <c r="DJ34" s="1420">
        <v>3993594.15</v>
      </c>
      <c r="DK34" s="1420">
        <v>235984.66</v>
      </c>
      <c r="DL34" s="1420">
        <v>237259.51999999999</v>
      </c>
      <c r="DM34" s="1420">
        <v>80354.990000000005</v>
      </c>
      <c r="DN34" s="1420">
        <v>81806.080000000002</v>
      </c>
      <c r="DO34" s="1420">
        <v>716088.94</v>
      </c>
      <c r="DP34" s="1420">
        <v>663156.26</v>
      </c>
      <c r="DQ34" s="1420">
        <v>433942.26</v>
      </c>
      <c r="DR34" s="1420">
        <v>349875.32</v>
      </c>
      <c r="DS34" s="1420">
        <v>13400.11</v>
      </c>
      <c r="DT34" s="1420">
        <v>10125.48</v>
      </c>
      <c r="DU34" s="1420">
        <v>1479770.96</v>
      </c>
      <c r="DV34" s="1420">
        <v>1342222.66</v>
      </c>
      <c r="DW34" s="1420">
        <v>426041.87</v>
      </c>
      <c r="DX34" s="1420">
        <v>446277.29</v>
      </c>
      <c r="DY34" s="1420">
        <v>993105.71</v>
      </c>
      <c r="DZ34" s="1420">
        <v>884576.64</v>
      </c>
      <c r="EA34" s="1420">
        <v>269410.56</v>
      </c>
      <c r="EB34" s="1420">
        <v>273595.51</v>
      </c>
      <c r="EC34" s="1420">
        <v>1688558.14</v>
      </c>
      <c r="ED34" s="1420">
        <v>1604449.44</v>
      </c>
      <c r="EE34" s="1420">
        <v>488746.27</v>
      </c>
      <c r="EF34" s="1422">
        <v>428325</v>
      </c>
      <c r="EG34" s="1422">
        <v>0</v>
      </c>
      <c r="EH34" s="1422">
        <v>0</v>
      </c>
      <c r="EI34" s="1420">
        <v>163.15</v>
      </c>
      <c r="EJ34" s="1422">
        <v>246</v>
      </c>
      <c r="EK34" s="1422">
        <v>0</v>
      </c>
      <c r="EL34" s="1422">
        <v>0</v>
      </c>
      <c r="EM34" s="1420">
        <v>488909.42</v>
      </c>
      <c r="EN34" s="1422">
        <v>428571</v>
      </c>
      <c r="EO34" s="1420">
        <v>1591.65</v>
      </c>
      <c r="EP34" s="1422">
        <v>0</v>
      </c>
      <c r="EQ34" s="1420">
        <v>456908.31</v>
      </c>
      <c r="ER34" s="1420">
        <v>458607.5</v>
      </c>
      <c r="ES34" s="1422">
        <v>0</v>
      </c>
      <c r="ET34" s="1422">
        <v>0</v>
      </c>
      <c r="EU34" s="1420">
        <v>8072684.9900000002</v>
      </c>
      <c r="EV34" s="1420">
        <v>7827444.75</v>
      </c>
      <c r="EW34" s="1420">
        <v>227738.29</v>
      </c>
      <c r="EX34" s="1420">
        <v>129781.64</v>
      </c>
      <c r="EY34" s="1420">
        <v>456908.31</v>
      </c>
      <c r="EZ34" s="1420">
        <v>458607.5</v>
      </c>
      <c r="FA34" s="1420">
        <v>7388038.3899999997</v>
      </c>
      <c r="FB34" s="1420">
        <v>7239055.6100000003</v>
      </c>
      <c r="FC34" s="1420">
        <v>371526.62</v>
      </c>
      <c r="FD34" s="1439"/>
      <c r="FE34" s="1420">
        <v>7016511.7699999996</v>
      </c>
      <c r="FF34" s="1439"/>
      <c r="FG34" s="1422">
        <v>9926</v>
      </c>
      <c r="FH34" s="1439"/>
      <c r="FI34" s="1420">
        <v>54.7</v>
      </c>
      <c r="FJ34" s="1439"/>
      <c r="FK34" s="1422">
        <v>44555</v>
      </c>
      <c r="FL34" s="1439"/>
      <c r="FM34" s="1420">
        <v>61.81</v>
      </c>
      <c r="FN34" s="1439"/>
      <c r="FO34" s="1422">
        <v>46977</v>
      </c>
      <c r="FP34" s="1439"/>
      <c r="FQ34" s="1420">
        <v>1026904.42</v>
      </c>
      <c r="FR34" s="1439"/>
      <c r="FS34" s="1420">
        <v>83338.66</v>
      </c>
      <c r="FT34" s="1439"/>
      <c r="FU34" s="1422">
        <v>0</v>
      </c>
      <c r="FV34" s="1439"/>
      <c r="FW34" s="1420">
        <v>943565.76</v>
      </c>
      <c r="FX34" s="1439"/>
      <c r="FY34" s="1422">
        <v>200000</v>
      </c>
      <c r="FZ34" s="1439"/>
      <c r="GA34" s="1422">
        <v>0</v>
      </c>
      <c r="GB34" s="1439"/>
    </row>
    <row r="35" spans="1:184" ht="12.75" customHeight="1" thickBot="1">
      <c r="A35" s="1418" t="s">
        <v>645</v>
      </c>
      <c r="B35" s="1418" t="s">
        <v>646</v>
      </c>
      <c r="C35" s="1420">
        <v>367.29</v>
      </c>
      <c r="D35" s="1439"/>
      <c r="E35" s="1420">
        <v>966.39</v>
      </c>
      <c r="F35" s="1439"/>
      <c r="G35" s="1421">
        <v>-0.13</v>
      </c>
      <c r="H35" s="1439"/>
      <c r="I35" s="1420">
        <v>1023.67</v>
      </c>
      <c r="J35" s="1439"/>
      <c r="K35" s="1420">
        <v>1056.26</v>
      </c>
      <c r="L35" s="1439"/>
      <c r="M35" s="1422">
        <v>88968822</v>
      </c>
      <c r="N35" s="1439"/>
      <c r="O35" s="1422">
        <v>25</v>
      </c>
      <c r="P35" s="1439"/>
      <c r="Q35" s="1422">
        <v>25</v>
      </c>
      <c r="R35" s="1439"/>
      <c r="S35" s="1422">
        <v>0</v>
      </c>
      <c r="T35" s="1439"/>
      <c r="U35" s="1422">
        <v>0</v>
      </c>
      <c r="V35" s="1439"/>
      <c r="W35" s="1420">
        <v>6.5</v>
      </c>
      <c r="X35" s="1439"/>
      <c r="Y35" s="1420">
        <v>31.5</v>
      </c>
      <c r="Z35" s="1439"/>
      <c r="AA35" s="1422">
        <v>4380000</v>
      </c>
      <c r="AB35" s="1439"/>
      <c r="AC35" s="1420">
        <v>2588320.0299999998</v>
      </c>
      <c r="AD35" s="1422">
        <v>2599000</v>
      </c>
      <c r="AE35" s="1420">
        <v>312980.56</v>
      </c>
      <c r="AF35" s="1422">
        <v>121800</v>
      </c>
      <c r="AG35" s="1422">
        <v>0</v>
      </c>
      <c r="AH35" s="1422">
        <v>0</v>
      </c>
      <c r="AI35" s="1422">
        <v>4248117</v>
      </c>
      <c r="AJ35" s="1422">
        <v>4117188</v>
      </c>
      <c r="AK35" s="1422">
        <v>82506</v>
      </c>
      <c r="AL35" s="1422">
        <v>0</v>
      </c>
      <c r="AM35" s="1422">
        <v>0</v>
      </c>
      <c r="AN35" s="1422">
        <v>0</v>
      </c>
      <c r="AO35" s="1422">
        <v>46437</v>
      </c>
      <c r="AP35" s="1422">
        <v>96369</v>
      </c>
      <c r="AQ35" s="1422">
        <v>0</v>
      </c>
      <c r="AR35" s="1422">
        <v>0</v>
      </c>
      <c r="AS35" s="1422">
        <v>0</v>
      </c>
      <c r="AT35" s="1422">
        <v>0</v>
      </c>
      <c r="AU35" s="1422">
        <v>0</v>
      </c>
      <c r="AV35" s="1422">
        <v>0</v>
      </c>
      <c r="AW35" s="1422">
        <v>0</v>
      </c>
      <c r="AX35" s="1422">
        <v>0</v>
      </c>
      <c r="AY35" s="1420">
        <v>7278360.5899999999</v>
      </c>
      <c r="AZ35" s="1422">
        <v>6934357</v>
      </c>
      <c r="BA35" s="1422">
        <v>0</v>
      </c>
      <c r="BB35" s="1422">
        <v>0</v>
      </c>
      <c r="BC35" s="1422">
        <v>43687</v>
      </c>
      <c r="BD35" s="1422">
        <v>43435</v>
      </c>
      <c r="BE35" s="1420">
        <v>1802.76</v>
      </c>
      <c r="BF35" s="1422">
        <v>6400</v>
      </c>
      <c r="BG35" s="1422">
        <v>50</v>
      </c>
      <c r="BH35" s="1422">
        <v>500</v>
      </c>
      <c r="BI35" s="1422">
        <v>30838</v>
      </c>
      <c r="BJ35" s="1422">
        <v>35191</v>
      </c>
      <c r="BK35" s="1422">
        <v>0</v>
      </c>
      <c r="BL35" s="1422">
        <v>0</v>
      </c>
      <c r="BM35" s="1422">
        <v>494014</v>
      </c>
      <c r="BN35" s="1422">
        <v>614795</v>
      </c>
      <c r="BO35" s="1420">
        <v>66408.56</v>
      </c>
      <c r="BP35" s="1422">
        <v>20000</v>
      </c>
      <c r="BQ35" s="1422">
        <v>0</v>
      </c>
      <c r="BR35" s="1422">
        <v>0</v>
      </c>
      <c r="BS35" s="1420">
        <v>4025.24</v>
      </c>
      <c r="BT35" s="1422">
        <v>4000</v>
      </c>
      <c r="BU35" s="1422">
        <v>0</v>
      </c>
      <c r="BV35" s="1422">
        <v>0</v>
      </c>
      <c r="BW35" s="1422">
        <v>0</v>
      </c>
      <c r="BX35" s="1422">
        <v>0</v>
      </c>
      <c r="BY35" s="1422">
        <v>0</v>
      </c>
      <c r="BZ35" s="1422">
        <v>0</v>
      </c>
      <c r="CA35" s="1422">
        <v>24317</v>
      </c>
      <c r="CB35" s="1422">
        <v>20632</v>
      </c>
      <c r="CC35" s="1420">
        <v>665142.56000000006</v>
      </c>
      <c r="CD35" s="1422">
        <v>744953</v>
      </c>
      <c r="CE35" s="1420">
        <v>1782302.07</v>
      </c>
      <c r="CF35" s="1420">
        <v>1533273.99</v>
      </c>
      <c r="CG35" s="1422">
        <v>0</v>
      </c>
      <c r="CH35" s="1422">
        <v>0</v>
      </c>
      <c r="CI35" s="1422">
        <v>0</v>
      </c>
      <c r="CJ35" s="1422">
        <v>0</v>
      </c>
      <c r="CK35" s="1422">
        <v>5500</v>
      </c>
      <c r="CL35" s="1422">
        <v>0</v>
      </c>
      <c r="CM35" s="1422">
        <v>0</v>
      </c>
      <c r="CN35" s="1422">
        <v>0</v>
      </c>
      <c r="CO35" s="1422">
        <v>0</v>
      </c>
      <c r="CP35" s="1422">
        <v>0</v>
      </c>
      <c r="CQ35" s="1422">
        <v>0</v>
      </c>
      <c r="CR35" s="1422">
        <v>0</v>
      </c>
      <c r="CS35" s="1422">
        <v>5500</v>
      </c>
      <c r="CT35" s="1422">
        <v>0</v>
      </c>
      <c r="CU35" s="1420">
        <v>9731305.2200000007</v>
      </c>
      <c r="CV35" s="1420">
        <v>9212583.9900000002</v>
      </c>
      <c r="CW35" s="1420">
        <v>3680043.65</v>
      </c>
      <c r="CX35" s="1420">
        <v>3514294.74</v>
      </c>
      <c r="CY35" s="1420">
        <v>877384.47</v>
      </c>
      <c r="CZ35" s="1420">
        <v>918664.32</v>
      </c>
      <c r="DA35" s="1420">
        <v>369465.56</v>
      </c>
      <c r="DB35" s="1422">
        <v>259667</v>
      </c>
      <c r="DC35" s="1422">
        <v>0</v>
      </c>
      <c r="DD35" s="1422">
        <v>0</v>
      </c>
      <c r="DE35" s="1420">
        <v>585029.97</v>
      </c>
      <c r="DF35" s="1420">
        <v>508329.3</v>
      </c>
      <c r="DG35" s="1420">
        <v>189592.34</v>
      </c>
      <c r="DH35" s="1422">
        <v>207602</v>
      </c>
      <c r="DI35" s="1420">
        <v>5701515.9900000002</v>
      </c>
      <c r="DJ35" s="1420">
        <v>5408557.3600000003</v>
      </c>
      <c r="DK35" s="1420">
        <v>293491.15000000002</v>
      </c>
      <c r="DL35" s="1420">
        <v>312751.96999999997</v>
      </c>
      <c r="DM35" s="1420">
        <v>96321.8</v>
      </c>
      <c r="DN35" s="1422">
        <v>91849</v>
      </c>
      <c r="DO35" s="1420">
        <v>1184382.1599999999</v>
      </c>
      <c r="DP35" s="1420">
        <v>2710688.07</v>
      </c>
      <c r="DQ35" s="1420">
        <v>310822.52</v>
      </c>
      <c r="DR35" s="1422">
        <v>435662</v>
      </c>
      <c r="DS35" s="1420">
        <v>22226.81</v>
      </c>
      <c r="DT35" s="1422">
        <v>9642</v>
      </c>
      <c r="DU35" s="1420">
        <v>1907244.44</v>
      </c>
      <c r="DV35" s="1420">
        <v>3560593.04</v>
      </c>
      <c r="DW35" s="1420">
        <v>364761.18</v>
      </c>
      <c r="DX35" s="1420">
        <v>428983.49</v>
      </c>
      <c r="DY35" s="1420">
        <v>557126.02</v>
      </c>
      <c r="DZ35" s="1420">
        <v>957622.85</v>
      </c>
      <c r="EA35" s="1420">
        <v>396075.8</v>
      </c>
      <c r="EB35" s="1422">
        <v>423775</v>
      </c>
      <c r="EC35" s="1422">
        <v>1317963</v>
      </c>
      <c r="ED35" s="1420">
        <v>1810381.34</v>
      </c>
      <c r="EE35" s="1420">
        <v>546292.46</v>
      </c>
      <c r="EF35" s="1422">
        <v>503521</v>
      </c>
      <c r="EG35" s="1422">
        <v>0</v>
      </c>
      <c r="EH35" s="1422">
        <v>0</v>
      </c>
      <c r="EI35" s="1420">
        <v>489.01</v>
      </c>
      <c r="EJ35" s="1422">
        <v>15649</v>
      </c>
      <c r="EK35" s="1422">
        <v>0</v>
      </c>
      <c r="EL35" s="1422">
        <v>0</v>
      </c>
      <c r="EM35" s="1420">
        <v>546781.47</v>
      </c>
      <c r="EN35" s="1422">
        <v>519170</v>
      </c>
      <c r="EO35" s="1420">
        <v>270705.75</v>
      </c>
      <c r="EP35" s="1422">
        <v>5200</v>
      </c>
      <c r="EQ35" s="1420">
        <v>379711.26</v>
      </c>
      <c r="ER35" s="1422">
        <v>382736</v>
      </c>
      <c r="ES35" s="1422">
        <v>0</v>
      </c>
      <c r="ET35" s="1422">
        <v>0</v>
      </c>
      <c r="EU35" s="1420">
        <v>10123921.91</v>
      </c>
      <c r="EV35" s="1420">
        <v>11686637.74</v>
      </c>
      <c r="EW35" s="1420">
        <v>475161.4</v>
      </c>
      <c r="EX35" s="1420">
        <v>351102.42</v>
      </c>
      <c r="EY35" s="1420">
        <v>379711.26</v>
      </c>
      <c r="EZ35" s="1422">
        <v>382736</v>
      </c>
      <c r="FA35" s="1420">
        <v>9269049.25</v>
      </c>
      <c r="FB35" s="1420">
        <v>10952799.32</v>
      </c>
      <c r="FC35" s="1420">
        <v>223068.66</v>
      </c>
      <c r="FD35" s="1439"/>
      <c r="FE35" s="1420">
        <v>9045980.5899999999</v>
      </c>
      <c r="FF35" s="1439"/>
      <c r="FG35" s="1422">
        <v>9360</v>
      </c>
      <c r="FH35" s="1439"/>
      <c r="FI35" s="1420">
        <v>80.98</v>
      </c>
      <c r="FJ35" s="1439"/>
      <c r="FK35" s="1422">
        <v>43292</v>
      </c>
      <c r="FL35" s="1439"/>
      <c r="FM35" s="1420">
        <v>87.48</v>
      </c>
      <c r="FN35" s="1439"/>
      <c r="FO35" s="1422">
        <v>45445</v>
      </c>
      <c r="FP35" s="1439"/>
      <c r="FQ35" s="1420">
        <v>1999124.93</v>
      </c>
      <c r="FR35" s="1439"/>
      <c r="FS35" s="1420">
        <v>176760.49</v>
      </c>
      <c r="FT35" s="1439"/>
      <c r="FU35" s="1422">
        <v>0</v>
      </c>
      <c r="FV35" s="1439"/>
      <c r="FW35" s="1420">
        <v>1822364.44</v>
      </c>
      <c r="FX35" s="1439"/>
      <c r="FY35" s="1420">
        <v>1934177.07</v>
      </c>
      <c r="FZ35" s="1439"/>
      <c r="GA35" s="1422">
        <v>0</v>
      </c>
      <c r="GB35" s="1439"/>
    </row>
    <row r="36" spans="1:184" ht="12.75" customHeight="1" thickBot="1">
      <c r="A36" s="1418" t="s">
        <v>647</v>
      </c>
      <c r="B36" s="1418" t="s">
        <v>648</v>
      </c>
      <c r="C36" s="1420">
        <v>147.04</v>
      </c>
      <c r="D36" s="1439"/>
      <c r="E36" s="1420">
        <v>920.85</v>
      </c>
      <c r="F36" s="1439"/>
      <c r="G36" s="1421">
        <v>-7.0000000000000007E-2</v>
      </c>
      <c r="H36" s="1439"/>
      <c r="I36" s="1420">
        <v>956.04</v>
      </c>
      <c r="J36" s="1439"/>
      <c r="K36" s="1420">
        <v>982.79</v>
      </c>
      <c r="L36" s="1439"/>
      <c r="M36" s="1422">
        <v>60040052</v>
      </c>
      <c r="N36" s="1439"/>
      <c r="O36" s="1422">
        <v>25</v>
      </c>
      <c r="P36" s="1439"/>
      <c r="Q36" s="1422">
        <v>25</v>
      </c>
      <c r="R36" s="1439"/>
      <c r="S36" s="1422">
        <v>0</v>
      </c>
      <c r="T36" s="1439"/>
      <c r="U36" s="1422">
        <v>0</v>
      </c>
      <c r="V36" s="1439"/>
      <c r="W36" s="1420">
        <v>10.44</v>
      </c>
      <c r="X36" s="1439"/>
      <c r="Y36" s="1420">
        <v>35.44</v>
      </c>
      <c r="Z36" s="1439"/>
      <c r="AA36" s="1420">
        <v>4392620.51</v>
      </c>
      <c r="AB36" s="1439"/>
      <c r="AC36" s="1420">
        <v>1980257.78</v>
      </c>
      <c r="AD36" s="1422">
        <v>1980400</v>
      </c>
      <c r="AE36" s="1420">
        <v>388217.18</v>
      </c>
      <c r="AF36" s="1422">
        <v>188780</v>
      </c>
      <c r="AG36" s="1422">
        <v>3900</v>
      </c>
      <c r="AH36" s="1422">
        <v>0</v>
      </c>
      <c r="AI36" s="1422">
        <v>4463835</v>
      </c>
      <c r="AJ36" s="1422">
        <v>4422896</v>
      </c>
      <c r="AK36" s="1422">
        <v>57118</v>
      </c>
      <c r="AL36" s="1422">
        <v>50000</v>
      </c>
      <c r="AM36" s="1422">
        <v>0</v>
      </c>
      <c r="AN36" s="1422">
        <v>0</v>
      </c>
      <c r="AO36" s="1422">
        <v>38607</v>
      </c>
      <c r="AP36" s="1422">
        <v>72192</v>
      </c>
      <c r="AQ36" s="1422">
        <v>0</v>
      </c>
      <c r="AR36" s="1422">
        <v>0</v>
      </c>
      <c r="AS36" s="1422">
        <v>0</v>
      </c>
      <c r="AT36" s="1422">
        <v>0</v>
      </c>
      <c r="AU36" s="1422">
        <v>0</v>
      </c>
      <c r="AV36" s="1422">
        <v>0</v>
      </c>
      <c r="AW36" s="1422">
        <v>0</v>
      </c>
      <c r="AX36" s="1422">
        <v>0</v>
      </c>
      <c r="AY36" s="1420">
        <v>6931934.96</v>
      </c>
      <c r="AZ36" s="1422">
        <v>6714268</v>
      </c>
      <c r="BA36" s="1422">
        <v>0</v>
      </c>
      <c r="BB36" s="1422">
        <v>0</v>
      </c>
      <c r="BC36" s="1422">
        <v>40648</v>
      </c>
      <c r="BD36" s="1422">
        <v>40655</v>
      </c>
      <c r="BE36" s="1420">
        <v>5572.81</v>
      </c>
      <c r="BF36" s="1422">
        <v>7400</v>
      </c>
      <c r="BG36" s="1422">
        <v>100</v>
      </c>
      <c r="BH36" s="1422">
        <v>50</v>
      </c>
      <c r="BI36" s="1422">
        <v>49650</v>
      </c>
      <c r="BJ36" s="1422">
        <v>19606</v>
      </c>
      <c r="BK36" s="1422">
        <v>0</v>
      </c>
      <c r="BL36" s="1422">
        <v>0</v>
      </c>
      <c r="BM36" s="1422">
        <v>277760</v>
      </c>
      <c r="BN36" s="1422">
        <v>274758</v>
      </c>
      <c r="BO36" s="1420">
        <v>23243.66</v>
      </c>
      <c r="BP36" s="1422">
        <v>19200</v>
      </c>
      <c r="BQ36" s="1422">
        <v>0</v>
      </c>
      <c r="BR36" s="1422">
        <v>0</v>
      </c>
      <c r="BS36" s="1420">
        <v>3376.13</v>
      </c>
      <c r="BT36" s="1422">
        <v>3400</v>
      </c>
      <c r="BU36" s="1422">
        <v>0</v>
      </c>
      <c r="BV36" s="1422">
        <v>0</v>
      </c>
      <c r="BW36" s="1422">
        <v>0</v>
      </c>
      <c r="BX36" s="1422">
        <v>0</v>
      </c>
      <c r="BY36" s="1422">
        <v>0</v>
      </c>
      <c r="BZ36" s="1422">
        <v>0</v>
      </c>
      <c r="CA36" s="1420">
        <v>90152.42</v>
      </c>
      <c r="CB36" s="1422">
        <v>80001</v>
      </c>
      <c r="CC36" s="1420">
        <v>490503.02</v>
      </c>
      <c r="CD36" s="1422">
        <v>445070</v>
      </c>
      <c r="CE36" s="1420">
        <v>1197561.57</v>
      </c>
      <c r="CF36" s="1420">
        <v>1410031.88</v>
      </c>
      <c r="CG36" s="1422">
        <v>0</v>
      </c>
      <c r="CH36" s="1422">
        <v>0</v>
      </c>
      <c r="CI36" s="1422">
        <v>0</v>
      </c>
      <c r="CJ36" s="1422">
        <v>0</v>
      </c>
      <c r="CK36" s="1422">
        <v>0</v>
      </c>
      <c r="CL36" s="1422">
        <v>0</v>
      </c>
      <c r="CM36" s="1422">
        <v>1530</v>
      </c>
      <c r="CN36" s="1422">
        <v>1000</v>
      </c>
      <c r="CO36" s="1422">
        <v>0</v>
      </c>
      <c r="CP36" s="1422">
        <v>0</v>
      </c>
      <c r="CQ36" s="1422">
        <v>0</v>
      </c>
      <c r="CR36" s="1422">
        <v>0</v>
      </c>
      <c r="CS36" s="1422">
        <v>1530</v>
      </c>
      <c r="CT36" s="1422">
        <v>1000</v>
      </c>
      <c r="CU36" s="1420">
        <v>8621529.5500000007</v>
      </c>
      <c r="CV36" s="1420">
        <v>8570369.8800000008</v>
      </c>
      <c r="CW36" s="1420">
        <v>3552788.11</v>
      </c>
      <c r="CX36" s="1422">
        <v>3515537</v>
      </c>
      <c r="CY36" s="1422">
        <v>754558</v>
      </c>
      <c r="CZ36" s="1422">
        <v>854021</v>
      </c>
      <c r="DA36" s="1420">
        <v>273541.78999999998</v>
      </c>
      <c r="DB36" s="1422">
        <v>287848</v>
      </c>
      <c r="DC36" s="1422">
        <v>0</v>
      </c>
      <c r="DD36" s="1422">
        <v>0</v>
      </c>
      <c r="DE36" s="1420">
        <v>205654.22</v>
      </c>
      <c r="DF36" s="1422">
        <v>290998</v>
      </c>
      <c r="DG36" s="1420">
        <v>232202.4</v>
      </c>
      <c r="DH36" s="1422">
        <v>253983</v>
      </c>
      <c r="DI36" s="1420">
        <v>5018744.5199999996</v>
      </c>
      <c r="DJ36" s="1422">
        <v>5202387</v>
      </c>
      <c r="DK36" s="1420">
        <v>178218.38</v>
      </c>
      <c r="DL36" s="1422">
        <v>202135</v>
      </c>
      <c r="DM36" s="1420">
        <v>112422.88</v>
      </c>
      <c r="DN36" s="1422">
        <v>183358</v>
      </c>
      <c r="DO36" s="1420">
        <v>849825.53</v>
      </c>
      <c r="DP36" s="1422">
        <v>884387</v>
      </c>
      <c r="DQ36" s="1420">
        <v>283694.99</v>
      </c>
      <c r="DR36" s="1422">
        <v>323009</v>
      </c>
      <c r="DS36" s="1420">
        <v>31537.97</v>
      </c>
      <c r="DT36" s="1422">
        <v>25000</v>
      </c>
      <c r="DU36" s="1420">
        <v>1455699.75</v>
      </c>
      <c r="DV36" s="1422">
        <v>1617889</v>
      </c>
      <c r="DW36" s="1420">
        <v>318818.45</v>
      </c>
      <c r="DX36" s="1422">
        <v>331994</v>
      </c>
      <c r="DY36" s="1420">
        <v>426349.41</v>
      </c>
      <c r="DZ36" s="1422">
        <v>523835</v>
      </c>
      <c r="EA36" s="1420">
        <v>363625.91</v>
      </c>
      <c r="EB36" s="1422">
        <v>369901</v>
      </c>
      <c r="EC36" s="1420">
        <v>1108793.77</v>
      </c>
      <c r="ED36" s="1422">
        <v>1225730</v>
      </c>
      <c r="EE36" s="1420">
        <v>538697.36</v>
      </c>
      <c r="EF36" s="1422">
        <v>526428</v>
      </c>
      <c r="EG36" s="1422">
        <v>0</v>
      </c>
      <c r="EH36" s="1422">
        <v>0</v>
      </c>
      <c r="EI36" s="1420">
        <v>736.33</v>
      </c>
      <c r="EJ36" s="1422">
        <v>2150</v>
      </c>
      <c r="EK36" s="1422">
        <v>0</v>
      </c>
      <c r="EL36" s="1422">
        <v>0</v>
      </c>
      <c r="EM36" s="1420">
        <v>539433.68999999994</v>
      </c>
      <c r="EN36" s="1422">
        <v>528578</v>
      </c>
      <c r="EO36" s="1420">
        <v>248140.16</v>
      </c>
      <c r="EP36" s="1422">
        <v>274368</v>
      </c>
      <c r="EQ36" s="1420">
        <v>495871.67</v>
      </c>
      <c r="ER36" s="1422">
        <v>495602</v>
      </c>
      <c r="ES36" s="1422">
        <v>0</v>
      </c>
      <c r="ET36" s="1422">
        <v>0</v>
      </c>
      <c r="EU36" s="1420">
        <v>8866683.5600000005</v>
      </c>
      <c r="EV36" s="1422">
        <v>9344554</v>
      </c>
      <c r="EW36" s="1422">
        <v>389881</v>
      </c>
      <c r="EX36" s="1422">
        <v>431968</v>
      </c>
      <c r="EY36" s="1420">
        <v>495871.67</v>
      </c>
      <c r="EZ36" s="1422">
        <v>495602</v>
      </c>
      <c r="FA36" s="1420">
        <v>7980930.8899999997</v>
      </c>
      <c r="FB36" s="1422">
        <v>8416984</v>
      </c>
      <c r="FC36" s="1420">
        <v>370170.11</v>
      </c>
      <c r="FD36" s="1439"/>
      <c r="FE36" s="1420">
        <v>7610760.7800000003</v>
      </c>
      <c r="FF36" s="1439"/>
      <c r="FG36" s="1422">
        <v>8264</v>
      </c>
      <c r="FH36" s="1439"/>
      <c r="FI36" s="1420">
        <v>76.209999999999994</v>
      </c>
      <c r="FJ36" s="1439"/>
      <c r="FK36" s="1422">
        <v>42520</v>
      </c>
      <c r="FL36" s="1439"/>
      <c r="FM36" s="1420">
        <v>81.87</v>
      </c>
      <c r="FN36" s="1439"/>
      <c r="FO36" s="1422">
        <v>43796</v>
      </c>
      <c r="FP36" s="1439"/>
      <c r="FQ36" s="1420">
        <v>1055445.79</v>
      </c>
      <c r="FR36" s="1439"/>
      <c r="FS36" s="1420">
        <v>196660.75</v>
      </c>
      <c r="FT36" s="1439"/>
      <c r="FU36" s="1422">
        <v>0</v>
      </c>
      <c r="FV36" s="1439"/>
      <c r="FW36" s="1420">
        <v>858785.04</v>
      </c>
      <c r="FX36" s="1439"/>
      <c r="FY36" s="1420">
        <v>192772.34</v>
      </c>
      <c r="FZ36" s="1439"/>
      <c r="GA36" s="1422">
        <v>0</v>
      </c>
      <c r="GB36" s="1439"/>
    </row>
    <row r="37" spans="1:184" ht="12.75" customHeight="1" thickBot="1">
      <c r="A37" s="1418" t="s">
        <v>649</v>
      </c>
      <c r="B37" s="1418" t="s">
        <v>650</v>
      </c>
      <c r="C37" s="1420">
        <v>179.43</v>
      </c>
      <c r="D37" s="1439"/>
      <c r="E37" s="1420">
        <v>564.83000000000004</v>
      </c>
      <c r="F37" s="1439"/>
      <c r="G37" s="1421">
        <v>-0.08</v>
      </c>
      <c r="H37" s="1439"/>
      <c r="I37" s="1420">
        <v>589.26</v>
      </c>
      <c r="J37" s="1439"/>
      <c r="K37" s="1420">
        <v>602.29</v>
      </c>
      <c r="L37" s="1439"/>
      <c r="M37" s="1422">
        <v>39406153</v>
      </c>
      <c r="N37" s="1439"/>
      <c r="O37" s="1422">
        <v>25</v>
      </c>
      <c r="P37" s="1439"/>
      <c r="Q37" s="1422">
        <v>25</v>
      </c>
      <c r="R37" s="1439"/>
      <c r="S37" s="1422">
        <v>0</v>
      </c>
      <c r="T37" s="1439"/>
      <c r="U37" s="1422">
        <v>0</v>
      </c>
      <c r="V37" s="1439"/>
      <c r="W37" s="1420">
        <v>13.49</v>
      </c>
      <c r="X37" s="1439"/>
      <c r="Y37" s="1420">
        <v>38.49</v>
      </c>
      <c r="Z37" s="1439"/>
      <c r="AA37" s="1422">
        <v>3585000</v>
      </c>
      <c r="AB37" s="1439"/>
      <c r="AC37" s="1420">
        <v>1399843.68</v>
      </c>
      <c r="AD37" s="1422">
        <v>1401900</v>
      </c>
      <c r="AE37" s="1420">
        <v>351912.81</v>
      </c>
      <c r="AF37" s="1420">
        <v>111999.37</v>
      </c>
      <c r="AG37" s="1422">
        <v>0</v>
      </c>
      <c r="AH37" s="1422">
        <v>0</v>
      </c>
      <c r="AI37" s="1422">
        <v>2679169</v>
      </c>
      <c r="AJ37" s="1422">
        <v>2661647</v>
      </c>
      <c r="AK37" s="1422">
        <v>23380</v>
      </c>
      <c r="AL37" s="1422">
        <v>0</v>
      </c>
      <c r="AM37" s="1422">
        <v>0</v>
      </c>
      <c r="AN37" s="1422">
        <v>0</v>
      </c>
      <c r="AO37" s="1422">
        <v>0</v>
      </c>
      <c r="AP37" s="1422">
        <v>34775</v>
      </c>
      <c r="AQ37" s="1422">
        <v>0</v>
      </c>
      <c r="AR37" s="1422">
        <v>0</v>
      </c>
      <c r="AS37" s="1422">
        <v>0</v>
      </c>
      <c r="AT37" s="1422">
        <v>0</v>
      </c>
      <c r="AU37" s="1422">
        <v>0</v>
      </c>
      <c r="AV37" s="1422">
        <v>0</v>
      </c>
      <c r="AW37" s="1422">
        <v>0</v>
      </c>
      <c r="AX37" s="1422">
        <v>0</v>
      </c>
      <c r="AY37" s="1420">
        <v>4454305.49</v>
      </c>
      <c r="AZ37" s="1420">
        <v>4210321.37</v>
      </c>
      <c r="BA37" s="1422">
        <v>0</v>
      </c>
      <c r="BB37" s="1422">
        <v>0</v>
      </c>
      <c r="BC37" s="1422">
        <v>24911</v>
      </c>
      <c r="BD37" s="1422">
        <v>25045</v>
      </c>
      <c r="BE37" s="1422">
        <v>2400</v>
      </c>
      <c r="BF37" s="1422">
        <v>0</v>
      </c>
      <c r="BG37" s="1422">
        <v>50</v>
      </c>
      <c r="BH37" s="1422">
        <v>0</v>
      </c>
      <c r="BI37" s="1422">
        <v>0</v>
      </c>
      <c r="BJ37" s="1422">
        <v>0</v>
      </c>
      <c r="BK37" s="1422">
        <v>0</v>
      </c>
      <c r="BL37" s="1422">
        <v>0</v>
      </c>
      <c r="BM37" s="1422">
        <v>181536</v>
      </c>
      <c r="BN37" s="1422">
        <v>171534</v>
      </c>
      <c r="BO37" s="1420">
        <v>20373.5</v>
      </c>
      <c r="BP37" s="1422">
        <v>24931</v>
      </c>
      <c r="BQ37" s="1422">
        <v>0</v>
      </c>
      <c r="BR37" s="1422">
        <v>0</v>
      </c>
      <c r="BS37" s="1420">
        <v>2411.44</v>
      </c>
      <c r="BT37" s="1422">
        <v>2300</v>
      </c>
      <c r="BU37" s="1422">
        <v>0</v>
      </c>
      <c r="BV37" s="1422">
        <v>0</v>
      </c>
      <c r="BW37" s="1422">
        <v>87077</v>
      </c>
      <c r="BX37" s="1422">
        <v>85000</v>
      </c>
      <c r="BY37" s="1422">
        <v>0</v>
      </c>
      <c r="BZ37" s="1422">
        <v>0</v>
      </c>
      <c r="CA37" s="1422">
        <v>33001</v>
      </c>
      <c r="CB37" s="1422">
        <v>30158</v>
      </c>
      <c r="CC37" s="1420">
        <v>351759.94</v>
      </c>
      <c r="CD37" s="1422">
        <v>338968</v>
      </c>
      <c r="CE37" s="1420">
        <v>783053.06</v>
      </c>
      <c r="CF37" s="1422">
        <v>1203582</v>
      </c>
      <c r="CG37" s="1422">
        <v>0</v>
      </c>
      <c r="CH37" s="1422">
        <v>0</v>
      </c>
      <c r="CI37" s="1422">
        <v>0</v>
      </c>
      <c r="CJ37" s="1422">
        <v>0</v>
      </c>
      <c r="CK37" s="1422">
        <v>0</v>
      </c>
      <c r="CL37" s="1422">
        <v>0</v>
      </c>
      <c r="CM37" s="1422">
        <v>1537</v>
      </c>
      <c r="CN37" s="1422">
        <v>0</v>
      </c>
      <c r="CO37" s="1422">
        <v>0</v>
      </c>
      <c r="CP37" s="1422">
        <v>0</v>
      </c>
      <c r="CQ37" s="1422">
        <v>0</v>
      </c>
      <c r="CR37" s="1422">
        <v>0</v>
      </c>
      <c r="CS37" s="1422">
        <v>1537</v>
      </c>
      <c r="CT37" s="1422">
        <v>0</v>
      </c>
      <c r="CU37" s="1420">
        <v>5590655.4900000002</v>
      </c>
      <c r="CV37" s="1420">
        <v>5752871.3700000001</v>
      </c>
      <c r="CW37" s="1420">
        <v>2392163.88</v>
      </c>
      <c r="CX37" s="1420">
        <v>1984801.77</v>
      </c>
      <c r="CY37" s="1420">
        <v>452223.57</v>
      </c>
      <c r="CZ37" s="1420">
        <v>499829.29</v>
      </c>
      <c r="DA37" s="1420">
        <v>297239.65999999997</v>
      </c>
      <c r="DB37" s="1420">
        <v>245420.06</v>
      </c>
      <c r="DC37" s="1422">
        <v>0</v>
      </c>
      <c r="DD37" s="1422">
        <v>0</v>
      </c>
      <c r="DE37" s="1420">
        <v>309692.69</v>
      </c>
      <c r="DF37" s="1420">
        <v>409458.98</v>
      </c>
      <c r="DG37" s="1420">
        <v>86613.61</v>
      </c>
      <c r="DH37" s="1420">
        <v>57459.87</v>
      </c>
      <c r="DI37" s="1420">
        <v>3537933.41</v>
      </c>
      <c r="DJ37" s="1420">
        <v>3196969.97</v>
      </c>
      <c r="DK37" s="1420">
        <v>155450.18</v>
      </c>
      <c r="DL37" s="1420">
        <v>132036.63</v>
      </c>
      <c r="DM37" s="1420">
        <v>51480.01</v>
      </c>
      <c r="DN37" s="1420">
        <v>50409.7</v>
      </c>
      <c r="DO37" s="1420">
        <v>484766.04</v>
      </c>
      <c r="DP37" s="1420">
        <v>454402.74</v>
      </c>
      <c r="DQ37" s="1420">
        <v>170535.07</v>
      </c>
      <c r="DR37" s="1420">
        <v>183153.96</v>
      </c>
      <c r="DS37" s="1420">
        <v>13766.19</v>
      </c>
      <c r="DT37" s="1422">
        <v>13766</v>
      </c>
      <c r="DU37" s="1420">
        <v>875997.49</v>
      </c>
      <c r="DV37" s="1420">
        <v>833769.03</v>
      </c>
      <c r="DW37" s="1420">
        <v>172736.97</v>
      </c>
      <c r="DX37" s="1422">
        <v>200960</v>
      </c>
      <c r="DY37" s="1420">
        <v>155845.79</v>
      </c>
      <c r="DZ37" s="1420">
        <v>230269.35</v>
      </c>
      <c r="EA37" s="1422">
        <v>207767</v>
      </c>
      <c r="EB37" s="1420">
        <v>205329.65</v>
      </c>
      <c r="EC37" s="1420">
        <v>536349.76</v>
      </c>
      <c r="ED37" s="1422">
        <v>636559</v>
      </c>
      <c r="EE37" s="1420">
        <v>325702.96000000002</v>
      </c>
      <c r="EF37" s="1420">
        <v>325151.06</v>
      </c>
      <c r="EG37" s="1422">
        <v>0</v>
      </c>
      <c r="EH37" s="1422">
        <v>0</v>
      </c>
      <c r="EI37" s="1422">
        <v>0</v>
      </c>
      <c r="EJ37" s="1422">
        <v>200</v>
      </c>
      <c r="EK37" s="1422">
        <v>0</v>
      </c>
      <c r="EL37" s="1422">
        <v>0</v>
      </c>
      <c r="EM37" s="1420">
        <v>325702.96000000002</v>
      </c>
      <c r="EN37" s="1420">
        <v>325351.06</v>
      </c>
      <c r="EO37" s="1420">
        <v>5278.85</v>
      </c>
      <c r="EP37" s="1422">
        <v>0</v>
      </c>
      <c r="EQ37" s="1420">
        <v>347656.46</v>
      </c>
      <c r="ER37" s="1422">
        <v>378549</v>
      </c>
      <c r="ES37" s="1422">
        <v>0</v>
      </c>
      <c r="ET37" s="1422">
        <v>0</v>
      </c>
      <c r="EU37" s="1420">
        <v>5628918.9299999997</v>
      </c>
      <c r="EV37" s="1420">
        <v>5371198.0599999996</v>
      </c>
      <c r="EW37" s="1420">
        <v>112635.27</v>
      </c>
      <c r="EX37" s="1422">
        <v>116942</v>
      </c>
      <c r="EY37" s="1420">
        <v>347656.46</v>
      </c>
      <c r="EZ37" s="1422">
        <v>378549</v>
      </c>
      <c r="FA37" s="1420">
        <v>5168627.2</v>
      </c>
      <c r="FB37" s="1420">
        <v>4875707.0599999996</v>
      </c>
      <c r="FC37" s="1420">
        <v>461304.19</v>
      </c>
      <c r="FD37" s="1439"/>
      <c r="FE37" s="1420">
        <v>4707323.01</v>
      </c>
      <c r="FF37" s="1439"/>
      <c r="FG37" s="1422">
        <v>8334</v>
      </c>
      <c r="FH37" s="1439"/>
      <c r="FI37" s="1420">
        <v>50.77</v>
      </c>
      <c r="FJ37" s="1439"/>
      <c r="FK37" s="1422">
        <v>41434</v>
      </c>
      <c r="FL37" s="1439"/>
      <c r="FM37" s="1420">
        <v>53.77</v>
      </c>
      <c r="FN37" s="1439"/>
      <c r="FO37" s="1422">
        <v>43404</v>
      </c>
      <c r="FP37" s="1439"/>
      <c r="FQ37" s="1420">
        <v>637078.30000000005</v>
      </c>
      <c r="FR37" s="1439"/>
      <c r="FS37" s="1420">
        <v>20821.099999999999</v>
      </c>
      <c r="FT37" s="1439"/>
      <c r="FU37" s="1422">
        <v>0</v>
      </c>
      <c r="FV37" s="1439"/>
      <c r="FW37" s="1420">
        <v>616257.19999999995</v>
      </c>
      <c r="FX37" s="1439"/>
      <c r="FY37" s="1422">
        <v>0</v>
      </c>
      <c r="FZ37" s="1439"/>
      <c r="GA37" s="1422">
        <v>0</v>
      </c>
      <c r="GB37" s="1439"/>
    </row>
    <row r="38" spans="1:184" ht="12.75" customHeight="1" thickBot="1">
      <c r="A38" s="1418" t="s">
        <v>651</v>
      </c>
      <c r="B38" s="1418" t="s">
        <v>652</v>
      </c>
      <c r="C38" s="1420">
        <v>203.3</v>
      </c>
      <c r="D38" s="1439"/>
      <c r="E38" s="1420">
        <v>431.47</v>
      </c>
      <c r="F38" s="1439"/>
      <c r="G38" s="1421">
        <v>-0.15</v>
      </c>
      <c r="H38" s="1439"/>
      <c r="I38" s="1420">
        <v>460.61</v>
      </c>
      <c r="J38" s="1439"/>
      <c r="K38" s="1420">
        <v>445.08</v>
      </c>
      <c r="L38" s="1439"/>
      <c r="M38" s="1422">
        <v>51362365</v>
      </c>
      <c r="N38" s="1439"/>
      <c r="O38" s="1422">
        <v>25</v>
      </c>
      <c r="P38" s="1439"/>
      <c r="Q38" s="1422">
        <v>25</v>
      </c>
      <c r="R38" s="1439"/>
      <c r="S38" s="1422">
        <v>0</v>
      </c>
      <c r="T38" s="1439"/>
      <c r="U38" s="1422">
        <v>0</v>
      </c>
      <c r="V38" s="1439"/>
      <c r="W38" s="1420">
        <v>11.6</v>
      </c>
      <c r="X38" s="1439"/>
      <c r="Y38" s="1420">
        <v>36.6</v>
      </c>
      <c r="Z38" s="1439"/>
      <c r="AA38" s="1422">
        <v>2758000</v>
      </c>
      <c r="AB38" s="1439"/>
      <c r="AC38" s="1420">
        <v>1588114.26</v>
      </c>
      <c r="AD38" s="1422">
        <v>1819471</v>
      </c>
      <c r="AE38" s="1420">
        <v>288408.01</v>
      </c>
      <c r="AF38" s="1422">
        <v>163400</v>
      </c>
      <c r="AG38" s="1420">
        <v>420.01</v>
      </c>
      <c r="AH38" s="1422">
        <v>0</v>
      </c>
      <c r="AI38" s="1422">
        <v>1653430</v>
      </c>
      <c r="AJ38" s="1422">
        <v>1552441</v>
      </c>
      <c r="AK38" s="1422">
        <v>23867</v>
      </c>
      <c r="AL38" s="1422">
        <v>0</v>
      </c>
      <c r="AM38" s="1422">
        <v>0</v>
      </c>
      <c r="AN38" s="1422">
        <v>0</v>
      </c>
      <c r="AO38" s="1422">
        <v>114046</v>
      </c>
      <c r="AP38" s="1422">
        <v>0</v>
      </c>
      <c r="AQ38" s="1422">
        <v>0</v>
      </c>
      <c r="AR38" s="1422">
        <v>0</v>
      </c>
      <c r="AS38" s="1422">
        <v>0</v>
      </c>
      <c r="AT38" s="1422">
        <v>0</v>
      </c>
      <c r="AU38" s="1422">
        <v>1701</v>
      </c>
      <c r="AV38" s="1422">
        <v>1361</v>
      </c>
      <c r="AW38" s="1422">
        <v>0</v>
      </c>
      <c r="AX38" s="1422">
        <v>0</v>
      </c>
      <c r="AY38" s="1420">
        <v>3669986.28</v>
      </c>
      <c r="AZ38" s="1422">
        <v>3536673</v>
      </c>
      <c r="BA38" s="1422">
        <v>0</v>
      </c>
      <c r="BB38" s="1422">
        <v>0</v>
      </c>
      <c r="BC38" s="1422">
        <v>18409</v>
      </c>
      <c r="BD38" s="1422">
        <v>19395</v>
      </c>
      <c r="BE38" s="1422">
        <v>0</v>
      </c>
      <c r="BF38" s="1422">
        <v>5000</v>
      </c>
      <c r="BG38" s="1422">
        <v>830</v>
      </c>
      <c r="BH38" s="1422">
        <v>0</v>
      </c>
      <c r="BI38" s="1422">
        <v>0</v>
      </c>
      <c r="BJ38" s="1422">
        <v>0</v>
      </c>
      <c r="BK38" s="1422">
        <v>0</v>
      </c>
      <c r="BL38" s="1422">
        <v>0</v>
      </c>
      <c r="BM38" s="1422">
        <v>138384</v>
      </c>
      <c r="BN38" s="1422">
        <v>135102</v>
      </c>
      <c r="BO38" s="1420">
        <v>1823.35</v>
      </c>
      <c r="BP38" s="1422">
        <v>0</v>
      </c>
      <c r="BQ38" s="1422">
        <v>0</v>
      </c>
      <c r="BR38" s="1422">
        <v>3250</v>
      </c>
      <c r="BS38" s="1420">
        <v>2021.63</v>
      </c>
      <c r="BT38" s="1422">
        <v>2100</v>
      </c>
      <c r="BU38" s="1422">
        <v>0</v>
      </c>
      <c r="BV38" s="1422">
        <v>0</v>
      </c>
      <c r="BW38" s="1422">
        <v>451994</v>
      </c>
      <c r="BX38" s="1422">
        <v>452480</v>
      </c>
      <c r="BY38" s="1422">
        <v>0</v>
      </c>
      <c r="BZ38" s="1422">
        <v>0</v>
      </c>
      <c r="CA38" s="1422">
        <v>11336</v>
      </c>
      <c r="CB38" s="1422">
        <v>7172</v>
      </c>
      <c r="CC38" s="1420">
        <v>624797.98</v>
      </c>
      <c r="CD38" s="1422">
        <v>624499</v>
      </c>
      <c r="CE38" s="1420">
        <v>1349712.07</v>
      </c>
      <c r="CF38" s="1420">
        <v>728620.84</v>
      </c>
      <c r="CG38" s="1422">
        <v>602700</v>
      </c>
      <c r="CH38" s="1422">
        <v>0</v>
      </c>
      <c r="CI38" s="1422">
        <v>0</v>
      </c>
      <c r="CJ38" s="1422">
        <v>0</v>
      </c>
      <c r="CK38" s="1422">
        <v>0</v>
      </c>
      <c r="CL38" s="1422">
        <v>0</v>
      </c>
      <c r="CM38" s="1422">
        <v>27001</v>
      </c>
      <c r="CN38" s="1422">
        <v>0</v>
      </c>
      <c r="CO38" s="1422">
        <v>0</v>
      </c>
      <c r="CP38" s="1422">
        <v>0</v>
      </c>
      <c r="CQ38" s="1422">
        <v>0</v>
      </c>
      <c r="CR38" s="1422">
        <v>0</v>
      </c>
      <c r="CS38" s="1422">
        <v>629701</v>
      </c>
      <c r="CT38" s="1422">
        <v>0</v>
      </c>
      <c r="CU38" s="1420">
        <v>6274197.3300000001</v>
      </c>
      <c r="CV38" s="1420">
        <v>4889792.84</v>
      </c>
      <c r="CW38" s="1420">
        <v>1925365.22</v>
      </c>
      <c r="CX38" s="1420">
        <v>1870313.12</v>
      </c>
      <c r="CY38" s="1420">
        <v>216826.49</v>
      </c>
      <c r="CZ38" s="1420">
        <v>236447.76</v>
      </c>
      <c r="DA38" s="1420">
        <v>185380.85</v>
      </c>
      <c r="DB38" s="1420">
        <v>168686.78</v>
      </c>
      <c r="DC38" s="1422">
        <v>0</v>
      </c>
      <c r="DD38" s="1422">
        <v>0</v>
      </c>
      <c r="DE38" s="1420">
        <v>242147.3</v>
      </c>
      <c r="DF38" s="1420">
        <v>167154.47</v>
      </c>
      <c r="DG38" s="1420">
        <v>40833.9</v>
      </c>
      <c r="DH38" s="1420">
        <v>41278.17</v>
      </c>
      <c r="DI38" s="1420">
        <v>2610553.7599999998</v>
      </c>
      <c r="DJ38" s="1420">
        <v>2483880.2999999998</v>
      </c>
      <c r="DK38" s="1420">
        <v>188075.01</v>
      </c>
      <c r="DL38" s="1420">
        <v>186550.22</v>
      </c>
      <c r="DM38" s="1420">
        <v>90481.77</v>
      </c>
      <c r="DN38" s="1420">
        <v>100321.29</v>
      </c>
      <c r="DO38" s="1420">
        <v>587452.21</v>
      </c>
      <c r="DP38" s="1420">
        <v>545842.18000000005</v>
      </c>
      <c r="DQ38" s="1420">
        <v>246313.18</v>
      </c>
      <c r="DR38" s="1420">
        <v>219992.52</v>
      </c>
      <c r="DS38" s="1420">
        <v>18703.96</v>
      </c>
      <c r="DT38" s="1422">
        <v>8500</v>
      </c>
      <c r="DU38" s="1420">
        <v>1131026.1299999999</v>
      </c>
      <c r="DV38" s="1420">
        <v>1061206.21</v>
      </c>
      <c r="DW38" s="1420">
        <v>308400.3</v>
      </c>
      <c r="DX38" s="1420">
        <v>231186.11</v>
      </c>
      <c r="DY38" s="1420">
        <v>334030.77</v>
      </c>
      <c r="DZ38" s="1420">
        <v>365373.62</v>
      </c>
      <c r="EA38" s="1420">
        <v>170161.26</v>
      </c>
      <c r="EB38" s="1420">
        <v>145144.5</v>
      </c>
      <c r="EC38" s="1420">
        <v>812592.33</v>
      </c>
      <c r="ED38" s="1420">
        <v>741704.23</v>
      </c>
      <c r="EE38" s="1420">
        <v>276366.24</v>
      </c>
      <c r="EF38" s="1420">
        <v>257547.54</v>
      </c>
      <c r="EG38" s="1420">
        <v>2944.15</v>
      </c>
      <c r="EH38" s="1422">
        <v>0</v>
      </c>
      <c r="EI38" s="1420">
        <v>126399.37</v>
      </c>
      <c r="EJ38" s="1420">
        <v>93660.69</v>
      </c>
      <c r="EK38" s="1422">
        <v>0</v>
      </c>
      <c r="EL38" s="1422">
        <v>0</v>
      </c>
      <c r="EM38" s="1420">
        <v>405709.76</v>
      </c>
      <c r="EN38" s="1420">
        <v>351208.23</v>
      </c>
      <c r="EO38" s="1420">
        <v>467088.05</v>
      </c>
      <c r="EP38" s="1422">
        <v>5000</v>
      </c>
      <c r="EQ38" s="1420">
        <v>192009.72</v>
      </c>
      <c r="ER38" s="1420">
        <v>246275.35</v>
      </c>
      <c r="ES38" s="1422">
        <v>0</v>
      </c>
      <c r="ET38" s="1422">
        <v>0</v>
      </c>
      <c r="EU38" s="1420">
        <v>5618979.75</v>
      </c>
      <c r="EV38" s="1420">
        <v>4889274.32</v>
      </c>
      <c r="EW38" s="1420">
        <v>658632.88</v>
      </c>
      <c r="EX38" s="1422">
        <v>130305</v>
      </c>
      <c r="EY38" s="1420">
        <v>192009.72</v>
      </c>
      <c r="EZ38" s="1420">
        <v>246275.35</v>
      </c>
      <c r="FA38" s="1420">
        <v>4768337.1500000004</v>
      </c>
      <c r="FB38" s="1420">
        <v>4512693.97</v>
      </c>
      <c r="FC38" s="1420">
        <v>700345.16</v>
      </c>
      <c r="FD38" s="1439"/>
      <c r="FE38" s="1420">
        <v>4067991.99</v>
      </c>
      <c r="FF38" s="1439"/>
      <c r="FG38" s="1422">
        <v>9428</v>
      </c>
      <c r="FH38" s="1439"/>
      <c r="FI38" s="1420">
        <v>34.18</v>
      </c>
      <c r="FJ38" s="1439"/>
      <c r="FK38" s="1422">
        <v>38832</v>
      </c>
      <c r="FL38" s="1439"/>
      <c r="FM38" s="1420">
        <v>38.22</v>
      </c>
      <c r="FN38" s="1439"/>
      <c r="FO38" s="1422">
        <v>41477</v>
      </c>
      <c r="FP38" s="1439"/>
      <c r="FQ38" s="1422">
        <v>1220793</v>
      </c>
      <c r="FR38" s="1439"/>
      <c r="FS38" s="1420">
        <v>5471.37</v>
      </c>
      <c r="FT38" s="1439"/>
      <c r="FU38" s="1422">
        <v>0</v>
      </c>
      <c r="FV38" s="1439"/>
      <c r="FW38" s="1420">
        <v>1215321.6299999999</v>
      </c>
      <c r="FX38" s="1439"/>
      <c r="FY38" s="1420">
        <v>1101157.57</v>
      </c>
      <c r="FZ38" s="1439"/>
      <c r="GA38" s="1422">
        <v>0</v>
      </c>
      <c r="GB38" s="1439"/>
    </row>
    <row r="39" spans="1:184" ht="12.75" customHeight="1" thickBot="1">
      <c r="A39" s="1418" t="s">
        <v>653</v>
      </c>
      <c r="B39" s="1418" t="s">
        <v>654</v>
      </c>
      <c r="C39" s="1420">
        <v>75.319999999999993</v>
      </c>
      <c r="D39" s="1439"/>
      <c r="E39" s="1420">
        <v>1633.87</v>
      </c>
      <c r="F39" s="1439"/>
      <c r="G39" s="1421">
        <v>0.02</v>
      </c>
      <c r="H39" s="1439"/>
      <c r="I39" s="1420">
        <v>1737.77</v>
      </c>
      <c r="J39" s="1439"/>
      <c r="K39" s="1420">
        <v>1713.35</v>
      </c>
      <c r="L39" s="1439"/>
      <c r="M39" s="1422">
        <v>235471967</v>
      </c>
      <c r="N39" s="1439"/>
      <c r="O39" s="1422">
        <v>25</v>
      </c>
      <c r="P39" s="1439"/>
      <c r="Q39" s="1422">
        <v>25</v>
      </c>
      <c r="R39" s="1439"/>
      <c r="S39" s="1422">
        <v>0</v>
      </c>
      <c r="T39" s="1439"/>
      <c r="U39" s="1422">
        <v>0</v>
      </c>
      <c r="V39" s="1439"/>
      <c r="W39" s="1420">
        <v>4.4000000000000004</v>
      </c>
      <c r="X39" s="1439"/>
      <c r="Y39" s="1420">
        <v>29.4</v>
      </c>
      <c r="Z39" s="1439"/>
      <c r="AA39" s="1420">
        <v>10410589.970000001</v>
      </c>
      <c r="AB39" s="1439"/>
      <c r="AC39" s="1420">
        <v>6387188.4199999999</v>
      </c>
      <c r="AD39" s="1422">
        <v>6320519</v>
      </c>
      <c r="AE39" s="1420">
        <v>822433.8</v>
      </c>
      <c r="AF39" s="1422">
        <v>438862</v>
      </c>
      <c r="AG39" s="1420">
        <v>1618.88</v>
      </c>
      <c r="AH39" s="1422">
        <v>1470</v>
      </c>
      <c r="AI39" s="1422">
        <v>4761625</v>
      </c>
      <c r="AJ39" s="1422">
        <v>4951152</v>
      </c>
      <c r="AK39" s="1422">
        <v>191760</v>
      </c>
      <c r="AL39" s="1422">
        <v>0</v>
      </c>
      <c r="AM39" s="1422">
        <v>155484</v>
      </c>
      <c r="AN39" s="1422">
        <v>0</v>
      </c>
      <c r="AO39" s="1422">
        <v>0</v>
      </c>
      <c r="AP39" s="1422">
        <v>0</v>
      </c>
      <c r="AQ39" s="1422">
        <v>0</v>
      </c>
      <c r="AR39" s="1422">
        <v>0</v>
      </c>
      <c r="AS39" s="1422">
        <v>0</v>
      </c>
      <c r="AT39" s="1422">
        <v>0</v>
      </c>
      <c r="AU39" s="1422">
        <v>0</v>
      </c>
      <c r="AV39" s="1422">
        <v>0</v>
      </c>
      <c r="AW39" s="1422">
        <v>0</v>
      </c>
      <c r="AX39" s="1422">
        <v>0</v>
      </c>
      <c r="AY39" s="1420">
        <v>12320110.1</v>
      </c>
      <c r="AZ39" s="1422">
        <v>11712003</v>
      </c>
      <c r="BA39" s="1422">
        <v>0</v>
      </c>
      <c r="BB39" s="1422">
        <v>0</v>
      </c>
      <c r="BC39" s="1422">
        <v>70864</v>
      </c>
      <c r="BD39" s="1422">
        <v>74053</v>
      </c>
      <c r="BE39" s="1420">
        <v>14287.55</v>
      </c>
      <c r="BF39" s="1422">
        <v>6200</v>
      </c>
      <c r="BG39" s="1422">
        <v>1000</v>
      </c>
      <c r="BH39" s="1422">
        <v>500</v>
      </c>
      <c r="BI39" s="1422">
        <v>75450</v>
      </c>
      <c r="BJ39" s="1422">
        <v>73491</v>
      </c>
      <c r="BK39" s="1422">
        <v>7911</v>
      </c>
      <c r="BL39" s="1422">
        <v>0</v>
      </c>
      <c r="BM39" s="1422">
        <v>424576</v>
      </c>
      <c r="BN39" s="1422">
        <v>468556</v>
      </c>
      <c r="BO39" s="1420">
        <v>132894.43</v>
      </c>
      <c r="BP39" s="1422">
        <v>114140</v>
      </c>
      <c r="BQ39" s="1420">
        <v>28438.16</v>
      </c>
      <c r="BR39" s="1420">
        <v>27625.33</v>
      </c>
      <c r="BS39" s="1420">
        <v>5259.9</v>
      </c>
      <c r="BT39" s="1422">
        <v>5340</v>
      </c>
      <c r="BU39" s="1422">
        <v>0</v>
      </c>
      <c r="BV39" s="1422">
        <v>0</v>
      </c>
      <c r="BW39" s="1422">
        <v>105000</v>
      </c>
      <c r="BX39" s="1422">
        <v>105000</v>
      </c>
      <c r="BY39" s="1422">
        <v>0</v>
      </c>
      <c r="BZ39" s="1422">
        <v>0</v>
      </c>
      <c r="CA39" s="1422">
        <v>3010</v>
      </c>
      <c r="CB39" s="1422">
        <v>70673</v>
      </c>
      <c r="CC39" s="1420">
        <v>868691.04</v>
      </c>
      <c r="CD39" s="1420">
        <v>945578.33</v>
      </c>
      <c r="CE39" s="1420">
        <v>2116138.54</v>
      </c>
      <c r="CF39" s="1422">
        <v>1874904</v>
      </c>
      <c r="CG39" s="1420">
        <v>10275.1</v>
      </c>
      <c r="CH39" s="1422">
        <v>0</v>
      </c>
      <c r="CI39" s="1422">
        <v>0</v>
      </c>
      <c r="CJ39" s="1422">
        <v>0</v>
      </c>
      <c r="CK39" s="1422">
        <v>2000</v>
      </c>
      <c r="CL39" s="1422">
        <v>0</v>
      </c>
      <c r="CM39" s="1422">
        <v>7226</v>
      </c>
      <c r="CN39" s="1422">
        <v>0</v>
      </c>
      <c r="CO39" s="1422">
        <v>0</v>
      </c>
      <c r="CP39" s="1422">
        <v>0</v>
      </c>
      <c r="CQ39" s="1422">
        <v>0</v>
      </c>
      <c r="CR39" s="1422">
        <v>0</v>
      </c>
      <c r="CS39" s="1420">
        <v>19501.099999999999</v>
      </c>
      <c r="CT39" s="1422">
        <v>0</v>
      </c>
      <c r="CU39" s="1420">
        <v>15324440.779999999</v>
      </c>
      <c r="CV39" s="1420">
        <v>14532485.33</v>
      </c>
      <c r="CW39" s="1420">
        <v>5902035.3399999999</v>
      </c>
      <c r="CX39" s="1420">
        <v>5474857.0099999998</v>
      </c>
      <c r="CY39" s="1420">
        <v>1439327.91</v>
      </c>
      <c r="CZ39" s="1420">
        <v>1397515.5</v>
      </c>
      <c r="DA39" s="1420">
        <v>490294.43</v>
      </c>
      <c r="DB39" s="1420">
        <v>501116.37</v>
      </c>
      <c r="DC39" s="1422">
        <v>0</v>
      </c>
      <c r="DD39" s="1422">
        <v>0</v>
      </c>
      <c r="DE39" s="1420">
        <v>359501.97</v>
      </c>
      <c r="DF39" s="1420">
        <v>427397.03</v>
      </c>
      <c r="DG39" s="1420">
        <v>539317.15</v>
      </c>
      <c r="DH39" s="1420">
        <v>388516.14</v>
      </c>
      <c r="DI39" s="1420">
        <v>8730476.8000000007</v>
      </c>
      <c r="DJ39" s="1420">
        <v>8189402.0499999998</v>
      </c>
      <c r="DK39" s="1420">
        <v>208825.83</v>
      </c>
      <c r="DL39" s="1420">
        <v>201749.74</v>
      </c>
      <c r="DM39" s="1420">
        <v>261520.05</v>
      </c>
      <c r="DN39" s="1420">
        <v>293075.39</v>
      </c>
      <c r="DO39" s="1420">
        <v>1522435.96</v>
      </c>
      <c r="DP39" s="1420">
        <v>1581361.69</v>
      </c>
      <c r="DQ39" s="1420">
        <v>447165.45</v>
      </c>
      <c r="DR39" s="1420">
        <v>419904.67</v>
      </c>
      <c r="DS39" s="1420">
        <v>42885.86</v>
      </c>
      <c r="DT39" s="1422">
        <v>26825</v>
      </c>
      <c r="DU39" s="1420">
        <v>2482833.15</v>
      </c>
      <c r="DV39" s="1420">
        <v>2522916.4900000002</v>
      </c>
      <c r="DW39" s="1420">
        <v>717774.29</v>
      </c>
      <c r="DX39" s="1420">
        <v>740146.39</v>
      </c>
      <c r="DY39" s="1420">
        <v>797269.45</v>
      </c>
      <c r="DZ39" s="1420">
        <v>780210.82</v>
      </c>
      <c r="EA39" s="1420">
        <v>709525.89</v>
      </c>
      <c r="EB39" s="1420">
        <v>623939.79</v>
      </c>
      <c r="EC39" s="1420">
        <v>2224569.63</v>
      </c>
      <c r="ED39" s="1422">
        <v>2144297</v>
      </c>
      <c r="EE39" s="1420">
        <v>892287.64</v>
      </c>
      <c r="EF39" s="1420">
        <v>833679.39</v>
      </c>
      <c r="EG39" s="1420">
        <v>32594.12</v>
      </c>
      <c r="EH39" s="1422">
        <v>0</v>
      </c>
      <c r="EI39" s="1420">
        <v>3485.03</v>
      </c>
      <c r="EJ39" s="1422">
        <v>0</v>
      </c>
      <c r="EK39" s="1422">
        <v>0</v>
      </c>
      <c r="EL39" s="1422">
        <v>0</v>
      </c>
      <c r="EM39" s="1420">
        <v>928366.79</v>
      </c>
      <c r="EN39" s="1420">
        <v>833679.39</v>
      </c>
      <c r="EO39" s="1420">
        <v>306220.36</v>
      </c>
      <c r="EP39" s="1420">
        <v>990691.95</v>
      </c>
      <c r="EQ39" s="1420">
        <v>552126.56999999995</v>
      </c>
      <c r="ER39" s="1420">
        <v>906304.56</v>
      </c>
      <c r="ES39" s="1420">
        <v>10571.64</v>
      </c>
      <c r="ET39" s="1422">
        <v>0</v>
      </c>
      <c r="EU39" s="1420">
        <v>15235164.939999999</v>
      </c>
      <c r="EV39" s="1420">
        <v>15587291.439999999</v>
      </c>
      <c r="EW39" s="1420">
        <v>498167.69</v>
      </c>
      <c r="EX39" s="1420">
        <v>1061241.95</v>
      </c>
      <c r="EY39" s="1420">
        <v>552126.56999999995</v>
      </c>
      <c r="EZ39" s="1420">
        <v>906304.56</v>
      </c>
      <c r="FA39" s="1420">
        <v>14184870.68</v>
      </c>
      <c r="FB39" s="1420">
        <v>13619744.93</v>
      </c>
      <c r="FC39" s="1420">
        <v>798827.36</v>
      </c>
      <c r="FD39" s="1439"/>
      <c r="FE39" s="1420">
        <v>13386043.32</v>
      </c>
      <c r="FF39" s="1439"/>
      <c r="FG39" s="1422">
        <v>8192</v>
      </c>
      <c r="FH39" s="1439"/>
      <c r="FI39" s="1420">
        <v>123.86</v>
      </c>
      <c r="FJ39" s="1439"/>
      <c r="FK39" s="1422">
        <v>42836</v>
      </c>
      <c r="FL39" s="1439"/>
      <c r="FM39" s="1420">
        <v>131.81</v>
      </c>
      <c r="FN39" s="1439"/>
      <c r="FO39" s="1422">
        <v>44489</v>
      </c>
      <c r="FP39" s="1439"/>
      <c r="FQ39" s="1420">
        <v>920776.46</v>
      </c>
      <c r="FR39" s="1439"/>
      <c r="FS39" s="1420">
        <v>31527.65</v>
      </c>
      <c r="FT39" s="1439"/>
      <c r="FU39" s="1422">
        <v>0</v>
      </c>
      <c r="FV39" s="1439"/>
      <c r="FW39" s="1420">
        <v>889248.81</v>
      </c>
      <c r="FX39" s="1439"/>
      <c r="FY39" s="1420">
        <v>522094.43</v>
      </c>
      <c r="FZ39" s="1439"/>
      <c r="GA39" s="1422">
        <v>0</v>
      </c>
      <c r="GB39" s="1439"/>
    </row>
    <row r="40" spans="1:184" ht="12.75" customHeight="1" thickBot="1">
      <c r="A40" s="1418" t="s">
        <v>655</v>
      </c>
      <c r="B40" s="1418" t="s">
        <v>656</v>
      </c>
      <c r="C40" s="1420">
        <v>158.55000000000001</v>
      </c>
      <c r="D40" s="1439"/>
      <c r="E40" s="1420">
        <v>567.78</v>
      </c>
      <c r="F40" s="1439"/>
      <c r="G40" s="1421">
        <v>0.03</v>
      </c>
      <c r="H40" s="1439"/>
      <c r="I40" s="1420">
        <v>603.97</v>
      </c>
      <c r="J40" s="1439"/>
      <c r="K40" s="1420">
        <v>613.75</v>
      </c>
      <c r="L40" s="1439"/>
      <c r="M40" s="1422">
        <v>134227849</v>
      </c>
      <c r="N40" s="1439"/>
      <c r="O40" s="1420">
        <v>26.24</v>
      </c>
      <c r="P40" s="1439"/>
      <c r="Q40" s="1422">
        <v>25</v>
      </c>
      <c r="R40" s="1439"/>
      <c r="S40" s="1420">
        <v>1.24</v>
      </c>
      <c r="T40" s="1439"/>
      <c r="U40" s="1422">
        <v>0</v>
      </c>
      <c r="V40" s="1439"/>
      <c r="W40" s="1420">
        <v>7.26</v>
      </c>
      <c r="X40" s="1439"/>
      <c r="Y40" s="1420">
        <v>33.5</v>
      </c>
      <c r="Z40" s="1439"/>
      <c r="AA40" s="1420">
        <v>3889281.27</v>
      </c>
      <c r="AB40" s="1439"/>
      <c r="AC40" s="1420">
        <v>3298234.23</v>
      </c>
      <c r="AD40" s="1420">
        <v>4489614.63</v>
      </c>
      <c r="AE40" s="1420">
        <v>423848.29</v>
      </c>
      <c r="AF40" s="1422">
        <v>290611</v>
      </c>
      <c r="AG40" s="1420">
        <v>576.71</v>
      </c>
      <c r="AH40" s="1422">
        <v>550</v>
      </c>
      <c r="AI40" s="1422">
        <v>1578708</v>
      </c>
      <c r="AJ40" s="1422">
        <v>435576</v>
      </c>
      <c r="AK40" s="1422">
        <v>11156</v>
      </c>
      <c r="AL40" s="1422">
        <v>0</v>
      </c>
      <c r="AM40" s="1422">
        <v>11308</v>
      </c>
      <c r="AN40" s="1422">
        <v>0</v>
      </c>
      <c r="AO40" s="1422">
        <v>0</v>
      </c>
      <c r="AP40" s="1422">
        <v>21719</v>
      </c>
      <c r="AQ40" s="1422">
        <v>0</v>
      </c>
      <c r="AR40" s="1422">
        <v>0</v>
      </c>
      <c r="AS40" s="1422">
        <v>0</v>
      </c>
      <c r="AT40" s="1422">
        <v>0</v>
      </c>
      <c r="AU40" s="1422">
        <v>0</v>
      </c>
      <c r="AV40" s="1422">
        <v>0</v>
      </c>
      <c r="AW40" s="1422">
        <v>0</v>
      </c>
      <c r="AX40" s="1422">
        <v>0</v>
      </c>
      <c r="AY40" s="1420">
        <v>5323831.2300000004</v>
      </c>
      <c r="AZ40" s="1420">
        <v>5238070.63</v>
      </c>
      <c r="BA40" s="1422">
        <v>0</v>
      </c>
      <c r="BB40" s="1422">
        <v>0</v>
      </c>
      <c r="BC40" s="1422">
        <v>25385</v>
      </c>
      <c r="BD40" s="1422">
        <v>25711</v>
      </c>
      <c r="BE40" s="1420">
        <v>2489.59</v>
      </c>
      <c r="BF40" s="1422">
        <v>0</v>
      </c>
      <c r="BG40" s="1422">
        <v>300</v>
      </c>
      <c r="BH40" s="1422">
        <v>0</v>
      </c>
      <c r="BI40" s="1422">
        <v>50544</v>
      </c>
      <c r="BJ40" s="1422">
        <v>23336</v>
      </c>
      <c r="BK40" s="1422">
        <v>0</v>
      </c>
      <c r="BL40" s="1422">
        <v>0</v>
      </c>
      <c r="BM40" s="1422">
        <v>158224</v>
      </c>
      <c r="BN40" s="1422">
        <v>166980</v>
      </c>
      <c r="BO40" s="1420">
        <v>2514.31</v>
      </c>
      <c r="BP40" s="1422">
        <v>0</v>
      </c>
      <c r="BQ40" s="1420">
        <v>45229.919999999998</v>
      </c>
      <c r="BR40" s="1422">
        <v>0</v>
      </c>
      <c r="BS40" s="1420">
        <v>2825.09</v>
      </c>
      <c r="BT40" s="1422">
        <v>3000</v>
      </c>
      <c r="BU40" s="1422">
        <v>0</v>
      </c>
      <c r="BV40" s="1422">
        <v>0</v>
      </c>
      <c r="BW40" s="1422">
        <v>0</v>
      </c>
      <c r="BX40" s="1422">
        <v>0</v>
      </c>
      <c r="BY40" s="1422">
        <v>0</v>
      </c>
      <c r="BZ40" s="1422">
        <v>0</v>
      </c>
      <c r="CA40" s="1420">
        <v>469383.55</v>
      </c>
      <c r="CB40" s="1422">
        <v>4096</v>
      </c>
      <c r="CC40" s="1420">
        <v>756895.46</v>
      </c>
      <c r="CD40" s="1422">
        <v>223123</v>
      </c>
      <c r="CE40" s="1420">
        <v>1049297.83</v>
      </c>
      <c r="CF40" s="1420">
        <v>894800.22</v>
      </c>
      <c r="CG40" s="1422">
        <v>0</v>
      </c>
      <c r="CH40" s="1422">
        <v>0</v>
      </c>
      <c r="CI40" s="1422">
        <v>0</v>
      </c>
      <c r="CJ40" s="1422">
        <v>0</v>
      </c>
      <c r="CK40" s="1422">
        <v>0</v>
      </c>
      <c r="CL40" s="1422">
        <v>0</v>
      </c>
      <c r="CM40" s="1420">
        <v>15388.19</v>
      </c>
      <c r="CN40" s="1422">
        <v>0</v>
      </c>
      <c r="CO40" s="1422">
        <v>0</v>
      </c>
      <c r="CP40" s="1422">
        <v>0</v>
      </c>
      <c r="CQ40" s="1422">
        <v>0</v>
      </c>
      <c r="CR40" s="1422">
        <v>0</v>
      </c>
      <c r="CS40" s="1420">
        <v>15388.19</v>
      </c>
      <c r="CT40" s="1422">
        <v>0</v>
      </c>
      <c r="CU40" s="1420">
        <v>7145412.71</v>
      </c>
      <c r="CV40" s="1420">
        <v>6355993.8499999996</v>
      </c>
      <c r="CW40" s="1420">
        <v>2385173.02</v>
      </c>
      <c r="CX40" s="1420">
        <v>2104506.23</v>
      </c>
      <c r="CY40" s="1420">
        <v>299792.62</v>
      </c>
      <c r="CZ40" s="1420">
        <v>282387.07</v>
      </c>
      <c r="DA40" s="1420">
        <v>229303.26</v>
      </c>
      <c r="DB40" s="1420">
        <v>189728.07</v>
      </c>
      <c r="DC40" s="1422">
        <v>0</v>
      </c>
      <c r="DD40" s="1422">
        <v>0</v>
      </c>
      <c r="DE40" s="1420">
        <v>277920.01</v>
      </c>
      <c r="DF40" s="1420">
        <v>124451.98</v>
      </c>
      <c r="DG40" s="1420">
        <v>289124.90000000002</v>
      </c>
      <c r="DH40" s="1420">
        <v>192747.41</v>
      </c>
      <c r="DI40" s="1420">
        <v>3481313.81</v>
      </c>
      <c r="DJ40" s="1420">
        <v>2893820.76</v>
      </c>
      <c r="DK40" s="1420">
        <v>195177.4</v>
      </c>
      <c r="DL40" s="1420">
        <v>202188.49</v>
      </c>
      <c r="DM40" s="1420">
        <v>192508.74</v>
      </c>
      <c r="DN40" s="1420">
        <v>186115.32</v>
      </c>
      <c r="DO40" s="1420">
        <v>587949.07999999996</v>
      </c>
      <c r="DP40" s="1420">
        <v>665113.74</v>
      </c>
      <c r="DQ40" s="1420">
        <v>378441.75</v>
      </c>
      <c r="DR40" s="1420">
        <v>345394.27</v>
      </c>
      <c r="DS40" s="1420">
        <v>3126.34</v>
      </c>
      <c r="DT40" s="1422">
        <v>3500</v>
      </c>
      <c r="DU40" s="1420">
        <v>1357203.31</v>
      </c>
      <c r="DV40" s="1420">
        <v>1402311.82</v>
      </c>
      <c r="DW40" s="1420">
        <v>235654.72</v>
      </c>
      <c r="DX40" s="1420">
        <v>242970.05</v>
      </c>
      <c r="DY40" s="1420">
        <v>499315.65</v>
      </c>
      <c r="DZ40" s="1420">
        <v>441289.79</v>
      </c>
      <c r="EA40" s="1420">
        <v>233949.7</v>
      </c>
      <c r="EB40" s="1420">
        <v>239925.73</v>
      </c>
      <c r="EC40" s="1420">
        <v>968920.07</v>
      </c>
      <c r="ED40" s="1420">
        <v>924185.57</v>
      </c>
      <c r="EE40" s="1420">
        <v>343488.05</v>
      </c>
      <c r="EF40" s="1420">
        <v>404371.61</v>
      </c>
      <c r="EG40" s="1422">
        <v>0</v>
      </c>
      <c r="EH40" s="1422">
        <v>0</v>
      </c>
      <c r="EI40" s="1420">
        <v>33.65</v>
      </c>
      <c r="EJ40" s="1422">
        <v>1500</v>
      </c>
      <c r="EK40" s="1422">
        <v>0</v>
      </c>
      <c r="EL40" s="1422">
        <v>0</v>
      </c>
      <c r="EM40" s="1420">
        <v>343521.7</v>
      </c>
      <c r="EN40" s="1420">
        <v>405871.61</v>
      </c>
      <c r="EO40" s="1420">
        <v>1503919.19</v>
      </c>
      <c r="EP40" s="1422">
        <v>331655</v>
      </c>
      <c r="EQ40" s="1420">
        <v>150627.12</v>
      </c>
      <c r="ER40" s="1420">
        <v>337555.64</v>
      </c>
      <c r="ES40" s="1422">
        <v>0</v>
      </c>
      <c r="ET40" s="1422">
        <v>0</v>
      </c>
      <c r="EU40" s="1420">
        <v>7805505.2000000002</v>
      </c>
      <c r="EV40" s="1420">
        <v>6295400.4000000004</v>
      </c>
      <c r="EW40" s="1420">
        <v>1636918.77</v>
      </c>
      <c r="EX40" s="1422">
        <v>470442</v>
      </c>
      <c r="EY40" s="1420">
        <v>150627.12</v>
      </c>
      <c r="EZ40" s="1420">
        <v>337555.64</v>
      </c>
      <c r="FA40" s="1420">
        <v>6017959.3099999996</v>
      </c>
      <c r="FB40" s="1420">
        <v>5487402.7599999998</v>
      </c>
      <c r="FC40" s="1420">
        <v>287096.56</v>
      </c>
      <c r="FD40" s="1439"/>
      <c r="FE40" s="1420">
        <v>5730862.75</v>
      </c>
      <c r="FF40" s="1439"/>
      <c r="FG40" s="1422">
        <v>10093</v>
      </c>
      <c r="FH40" s="1439"/>
      <c r="FI40" s="1420">
        <v>48.45</v>
      </c>
      <c r="FJ40" s="1439"/>
      <c r="FK40" s="1422">
        <v>38880</v>
      </c>
      <c r="FL40" s="1439"/>
      <c r="FM40" s="1420">
        <v>53.45</v>
      </c>
      <c r="FN40" s="1439"/>
      <c r="FO40" s="1422">
        <v>41237</v>
      </c>
      <c r="FP40" s="1439"/>
      <c r="FQ40" s="1420">
        <v>2321998.89</v>
      </c>
      <c r="FR40" s="1439"/>
      <c r="FS40" s="1420">
        <v>18134.37</v>
      </c>
      <c r="FT40" s="1439"/>
      <c r="FU40" s="1422">
        <v>0</v>
      </c>
      <c r="FV40" s="1439"/>
      <c r="FW40" s="1420">
        <v>2303864.52</v>
      </c>
      <c r="FX40" s="1439"/>
      <c r="FY40" s="1420">
        <v>627732.36</v>
      </c>
      <c r="FZ40" s="1439"/>
      <c r="GA40" s="1422">
        <v>0</v>
      </c>
      <c r="GB40" s="1439"/>
    </row>
    <row r="41" spans="1:184" ht="12.75" customHeight="1" thickBot="1">
      <c r="A41" s="1418" t="s">
        <v>657</v>
      </c>
      <c r="B41" s="1418" t="s">
        <v>658</v>
      </c>
      <c r="C41" s="1420">
        <v>181.23</v>
      </c>
      <c r="D41" s="1439"/>
      <c r="E41" s="1420">
        <v>467.85</v>
      </c>
      <c r="F41" s="1439"/>
      <c r="G41" s="1421">
        <v>-0.03</v>
      </c>
      <c r="H41" s="1439"/>
      <c r="I41" s="1420">
        <v>487.46</v>
      </c>
      <c r="J41" s="1439"/>
      <c r="K41" s="1420">
        <v>513.28</v>
      </c>
      <c r="L41" s="1439"/>
      <c r="M41" s="1422">
        <v>133683258</v>
      </c>
      <c r="N41" s="1439"/>
      <c r="O41" s="1420">
        <v>25.04</v>
      </c>
      <c r="P41" s="1439"/>
      <c r="Q41" s="1422">
        <v>25</v>
      </c>
      <c r="R41" s="1439"/>
      <c r="S41" s="1420">
        <v>0.04</v>
      </c>
      <c r="T41" s="1439"/>
      <c r="U41" s="1422">
        <v>0</v>
      </c>
      <c r="V41" s="1439"/>
      <c r="W41" s="1420">
        <v>3.66</v>
      </c>
      <c r="X41" s="1439"/>
      <c r="Y41" s="1420">
        <v>28.7</v>
      </c>
      <c r="Z41" s="1439"/>
      <c r="AA41" s="1420">
        <v>4452376.8099999996</v>
      </c>
      <c r="AB41" s="1439"/>
      <c r="AC41" s="1420">
        <v>3514424.32</v>
      </c>
      <c r="AD41" s="1422">
        <v>3169048</v>
      </c>
      <c r="AE41" s="1422">
        <v>309591</v>
      </c>
      <c r="AF41" s="1422">
        <v>145448</v>
      </c>
      <c r="AG41" s="1420">
        <v>482.61</v>
      </c>
      <c r="AH41" s="1422">
        <v>0</v>
      </c>
      <c r="AI41" s="1422">
        <v>0</v>
      </c>
      <c r="AJ41" s="1422">
        <v>0</v>
      </c>
      <c r="AK41" s="1422">
        <v>0</v>
      </c>
      <c r="AL41" s="1422">
        <v>0</v>
      </c>
      <c r="AM41" s="1422">
        <v>0</v>
      </c>
      <c r="AN41" s="1422">
        <v>0</v>
      </c>
      <c r="AO41" s="1422">
        <v>0</v>
      </c>
      <c r="AP41" s="1422">
        <v>68352</v>
      </c>
      <c r="AQ41" s="1422">
        <v>0</v>
      </c>
      <c r="AR41" s="1422">
        <v>0</v>
      </c>
      <c r="AS41" s="1422">
        <v>0</v>
      </c>
      <c r="AT41" s="1422">
        <v>0</v>
      </c>
      <c r="AU41" s="1422">
        <v>0</v>
      </c>
      <c r="AV41" s="1422">
        <v>0</v>
      </c>
      <c r="AW41" s="1422">
        <v>0</v>
      </c>
      <c r="AX41" s="1422">
        <v>0</v>
      </c>
      <c r="AY41" s="1420">
        <v>3824497.93</v>
      </c>
      <c r="AZ41" s="1422">
        <v>3382848</v>
      </c>
      <c r="BA41" s="1422">
        <v>0</v>
      </c>
      <c r="BB41" s="1422">
        <v>0</v>
      </c>
      <c r="BC41" s="1422">
        <v>21229</v>
      </c>
      <c r="BD41" s="1422">
        <v>20810</v>
      </c>
      <c r="BE41" s="1420">
        <v>16494.5</v>
      </c>
      <c r="BF41" s="1422">
        <v>2400</v>
      </c>
      <c r="BG41" s="1422">
        <v>1780</v>
      </c>
      <c r="BH41" s="1422">
        <v>0</v>
      </c>
      <c r="BI41" s="1422">
        <v>21534</v>
      </c>
      <c r="BJ41" s="1422">
        <v>7876</v>
      </c>
      <c r="BK41" s="1422">
        <v>0</v>
      </c>
      <c r="BL41" s="1422">
        <v>0</v>
      </c>
      <c r="BM41" s="1422">
        <v>144336</v>
      </c>
      <c r="BN41" s="1422">
        <v>149776</v>
      </c>
      <c r="BO41" s="1420">
        <v>2102.71</v>
      </c>
      <c r="BP41" s="1422">
        <v>0</v>
      </c>
      <c r="BQ41" s="1420">
        <v>52430.28</v>
      </c>
      <c r="BR41" s="1420">
        <v>9208.8799999999992</v>
      </c>
      <c r="BS41" s="1420">
        <v>1937.17</v>
      </c>
      <c r="BT41" s="1422">
        <v>1937</v>
      </c>
      <c r="BU41" s="1422">
        <v>0</v>
      </c>
      <c r="BV41" s="1422">
        <v>0</v>
      </c>
      <c r="BW41" s="1422">
        <v>46725</v>
      </c>
      <c r="BX41" s="1422">
        <v>47250</v>
      </c>
      <c r="BY41" s="1422">
        <v>0</v>
      </c>
      <c r="BZ41" s="1422">
        <v>0</v>
      </c>
      <c r="CA41" s="1422">
        <v>0</v>
      </c>
      <c r="CB41" s="1422">
        <v>0</v>
      </c>
      <c r="CC41" s="1420">
        <v>308568.65999999997</v>
      </c>
      <c r="CD41" s="1420">
        <v>239257.88</v>
      </c>
      <c r="CE41" s="1420">
        <v>1687421.43</v>
      </c>
      <c r="CF41" s="1420">
        <v>875088.15</v>
      </c>
      <c r="CG41" s="1422">
        <v>808900</v>
      </c>
      <c r="CH41" s="1422">
        <v>0</v>
      </c>
      <c r="CI41" s="1422">
        <v>0</v>
      </c>
      <c r="CJ41" s="1422">
        <v>0</v>
      </c>
      <c r="CK41" s="1422">
        <v>0</v>
      </c>
      <c r="CL41" s="1422">
        <v>0</v>
      </c>
      <c r="CM41" s="1422">
        <v>0</v>
      </c>
      <c r="CN41" s="1422">
        <v>0</v>
      </c>
      <c r="CO41" s="1422">
        <v>0</v>
      </c>
      <c r="CP41" s="1422">
        <v>0</v>
      </c>
      <c r="CQ41" s="1422">
        <v>0</v>
      </c>
      <c r="CR41" s="1422">
        <v>0</v>
      </c>
      <c r="CS41" s="1422">
        <v>808900</v>
      </c>
      <c r="CT41" s="1422">
        <v>0</v>
      </c>
      <c r="CU41" s="1420">
        <v>6629388.0199999996</v>
      </c>
      <c r="CV41" s="1420">
        <v>4497194.03</v>
      </c>
      <c r="CW41" s="1420">
        <v>2355648.44</v>
      </c>
      <c r="CX41" s="1420">
        <v>1514456.94</v>
      </c>
      <c r="CY41" s="1420">
        <v>327281.42</v>
      </c>
      <c r="CZ41" s="1420">
        <v>282321.06</v>
      </c>
      <c r="DA41" s="1420">
        <v>223388.69</v>
      </c>
      <c r="DB41" s="1420">
        <v>164915.17000000001</v>
      </c>
      <c r="DC41" s="1422">
        <v>0</v>
      </c>
      <c r="DD41" s="1422">
        <v>0</v>
      </c>
      <c r="DE41" s="1420">
        <v>142589.43</v>
      </c>
      <c r="DF41" s="1420">
        <v>215267.46</v>
      </c>
      <c r="DG41" s="1420">
        <v>151737.91</v>
      </c>
      <c r="DH41" s="1420">
        <v>73476.22</v>
      </c>
      <c r="DI41" s="1420">
        <v>3200645.89</v>
      </c>
      <c r="DJ41" s="1420">
        <v>2250436.85</v>
      </c>
      <c r="DK41" s="1420">
        <v>237564.01</v>
      </c>
      <c r="DL41" s="1420">
        <v>215418.93</v>
      </c>
      <c r="DM41" s="1420">
        <v>89746.01</v>
      </c>
      <c r="DN41" s="1420">
        <v>64986.19</v>
      </c>
      <c r="DO41" s="1420">
        <v>406435.04</v>
      </c>
      <c r="DP41" s="1420">
        <v>356070.2</v>
      </c>
      <c r="DQ41" s="1420">
        <v>192630.3</v>
      </c>
      <c r="DR41" s="1420">
        <v>172489.13</v>
      </c>
      <c r="DS41" s="1420">
        <v>13249.9</v>
      </c>
      <c r="DT41" s="1420">
        <v>8106.16</v>
      </c>
      <c r="DU41" s="1420">
        <v>939625.26</v>
      </c>
      <c r="DV41" s="1420">
        <v>817070.61</v>
      </c>
      <c r="DW41" s="1420">
        <v>224302.81</v>
      </c>
      <c r="DX41" s="1420">
        <v>176702.36</v>
      </c>
      <c r="DY41" s="1422">
        <v>225789</v>
      </c>
      <c r="DZ41" s="1420">
        <v>273204.09999999998</v>
      </c>
      <c r="EA41" s="1420">
        <v>269639.84999999998</v>
      </c>
      <c r="EB41" s="1420">
        <v>171765.87</v>
      </c>
      <c r="EC41" s="1420">
        <v>719731.66</v>
      </c>
      <c r="ED41" s="1420">
        <v>621672.32999999996</v>
      </c>
      <c r="EE41" s="1420">
        <v>271241.19</v>
      </c>
      <c r="EF41" s="1420">
        <v>237226.94</v>
      </c>
      <c r="EG41" s="1422">
        <v>0</v>
      </c>
      <c r="EH41" s="1422">
        <v>0</v>
      </c>
      <c r="EI41" s="1422">
        <v>0</v>
      </c>
      <c r="EJ41" s="1422">
        <v>1000</v>
      </c>
      <c r="EK41" s="1422">
        <v>0</v>
      </c>
      <c r="EL41" s="1422">
        <v>0</v>
      </c>
      <c r="EM41" s="1420">
        <v>271241.19</v>
      </c>
      <c r="EN41" s="1420">
        <v>238226.94</v>
      </c>
      <c r="EO41" s="1420">
        <v>1060713.54</v>
      </c>
      <c r="EP41" s="1420">
        <v>0.95</v>
      </c>
      <c r="EQ41" s="1422">
        <v>280595</v>
      </c>
      <c r="ER41" s="1420">
        <v>370306.42</v>
      </c>
      <c r="ES41" s="1420">
        <v>52459.5</v>
      </c>
      <c r="ET41" s="1422">
        <v>0</v>
      </c>
      <c r="EU41" s="1420">
        <v>6525012.04</v>
      </c>
      <c r="EV41" s="1420">
        <v>4297714.0999999996</v>
      </c>
      <c r="EW41" s="1420">
        <v>1183159.98</v>
      </c>
      <c r="EX41" s="1420">
        <v>9934.91</v>
      </c>
      <c r="EY41" s="1422">
        <v>280595</v>
      </c>
      <c r="EZ41" s="1420">
        <v>370306.42</v>
      </c>
      <c r="FA41" s="1420">
        <v>5061257.0599999996</v>
      </c>
      <c r="FB41" s="1420">
        <v>3917472.77</v>
      </c>
      <c r="FC41" s="1420">
        <v>380017.97</v>
      </c>
      <c r="FD41" s="1439"/>
      <c r="FE41" s="1420">
        <v>4681239.09</v>
      </c>
      <c r="FF41" s="1439"/>
      <c r="FG41" s="1422">
        <v>10005</v>
      </c>
      <c r="FH41" s="1439"/>
      <c r="FI41" s="1420">
        <v>37.58</v>
      </c>
      <c r="FJ41" s="1439"/>
      <c r="FK41" s="1422">
        <v>50939</v>
      </c>
      <c r="FL41" s="1439"/>
      <c r="FM41" s="1420">
        <v>40.68</v>
      </c>
      <c r="FN41" s="1439"/>
      <c r="FO41" s="1422">
        <v>53699</v>
      </c>
      <c r="FP41" s="1439"/>
      <c r="FQ41" s="1420">
        <v>1034790.68</v>
      </c>
      <c r="FR41" s="1439"/>
      <c r="FS41" s="1420">
        <v>19427.080000000002</v>
      </c>
      <c r="FT41" s="1439"/>
      <c r="FU41" s="1422">
        <v>0</v>
      </c>
      <c r="FV41" s="1439"/>
      <c r="FW41" s="1420">
        <v>1015363.6</v>
      </c>
      <c r="FX41" s="1439"/>
      <c r="FY41" s="1422">
        <v>0</v>
      </c>
      <c r="FZ41" s="1439"/>
      <c r="GA41" s="1422">
        <v>0</v>
      </c>
      <c r="GB41" s="1439"/>
    </row>
    <row r="42" spans="1:184" ht="12.75" customHeight="1" thickBot="1">
      <c r="A42" s="1418" t="s">
        <v>481</v>
      </c>
      <c r="B42" s="1418" t="s">
        <v>482</v>
      </c>
      <c r="C42" s="1420">
        <v>102.84</v>
      </c>
      <c r="D42" s="1439"/>
      <c r="E42" s="1420">
        <v>521.4</v>
      </c>
      <c r="F42" s="1439"/>
      <c r="G42" s="1421">
        <v>-0.06</v>
      </c>
      <c r="H42" s="1439"/>
      <c r="I42" s="1420">
        <v>550.17999999999995</v>
      </c>
      <c r="J42" s="1439"/>
      <c r="K42" s="1420">
        <v>551.95000000000005</v>
      </c>
      <c r="L42" s="1439"/>
      <c r="M42" s="1422">
        <v>25654954</v>
      </c>
      <c r="N42" s="1439"/>
      <c r="O42" s="1422">
        <v>25</v>
      </c>
      <c r="P42" s="1439"/>
      <c r="Q42" s="1422">
        <v>25</v>
      </c>
      <c r="R42" s="1439"/>
      <c r="S42" s="1422">
        <v>0</v>
      </c>
      <c r="T42" s="1439"/>
      <c r="U42" s="1422">
        <v>0</v>
      </c>
      <c r="V42" s="1439"/>
      <c r="W42" s="1422">
        <v>10</v>
      </c>
      <c r="X42" s="1439"/>
      <c r="Y42" s="1422">
        <v>35</v>
      </c>
      <c r="Z42" s="1439"/>
      <c r="AA42" s="1420">
        <v>2540492.92</v>
      </c>
      <c r="AB42" s="1439"/>
      <c r="AC42" s="1420">
        <v>821193.4</v>
      </c>
      <c r="AD42" s="1422">
        <v>850000</v>
      </c>
      <c r="AE42" s="1420">
        <v>370044.85</v>
      </c>
      <c r="AF42" s="1420">
        <v>121585.08</v>
      </c>
      <c r="AG42" s="1422">
        <v>0</v>
      </c>
      <c r="AH42" s="1422">
        <v>0</v>
      </c>
      <c r="AI42" s="1422">
        <v>2720420</v>
      </c>
      <c r="AJ42" s="1422">
        <v>2750285</v>
      </c>
      <c r="AK42" s="1422">
        <v>23846</v>
      </c>
      <c r="AL42" s="1422">
        <v>20000</v>
      </c>
      <c r="AM42" s="1422">
        <v>0</v>
      </c>
      <c r="AN42" s="1422">
        <v>0</v>
      </c>
      <c r="AO42" s="1422">
        <v>31982</v>
      </c>
      <c r="AP42" s="1422">
        <v>6175</v>
      </c>
      <c r="AQ42" s="1422">
        <v>0</v>
      </c>
      <c r="AR42" s="1422">
        <v>0</v>
      </c>
      <c r="AS42" s="1422">
        <v>0</v>
      </c>
      <c r="AT42" s="1422">
        <v>0</v>
      </c>
      <c r="AU42" s="1422">
        <v>38344</v>
      </c>
      <c r="AV42" s="1422">
        <v>30675</v>
      </c>
      <c r="AW42" s="1422">
        <v>0</v>
      </c>
      <c r="AX42" s="1422">
        <v>0</v>
      </c>
      <c r="AY42" s="1420">
        <v>4005830.25</v>
      </c>
      <c r="AZ42" s="1420">
        <v>3778720.08</v>
      </c>
      <c r="BA42" s="1422">
        <v>0</v>
      </c>
      <c r="BB42" s="1422">
        <v>0</v>
      </c>
      <c r="BC42" s="1422">
        <v>22829</v>
      </c>
      <c r="BD42" s="1422">
        <v>23306</v>
      </c>
      <c r="BE42" s="1420">
        <v>7044.69</v>
      </c>
      <c r="BF42" s="1422">
        <v>2000</v>
      </c>
      <c r="BG42" s="1422">
        <v>250</v>
      </c>
      <c r="BH42" s="1422">
        <v>250</v>
      </c>
      <c r="BI42" s="1422">
        <v>51113</v>
      </c>
      <c r="BJ42" s="1422">
        <v>16207</v>
      </c>
      <c r="BK42" s="1422">
        <v>0</v>
      </c>
      <c r="BL42" s="1422">
        <v>0</v>
      </c>
      <c r="BM42" s="1422">
        <v>96720</v>
      </c>
      <c r="BN42" s="1422">
        <v>105754</v>
      </c>
      <c r="BO42" s="1420">
        <v>2261.12</v>
      </c>
      <c r="BP42" s="1422">
        <v>0</v>
      </c>
      <c r="BQ42" s="1420">
        <v>39812.519999999997</v>
      </c>
      <c r="BR42" s="1420">
        <v>55791.61</v>
      </c>
      <c r="BS42" s="1422">
        <v>0</v>
      </c>
      <c r="BT42" s="1422">
        <v>0</v>
      </c>
      <c r="BU42" s="1422">
        <v>0</v>
      </c>
      <c r="BV42" s="1422">
        <v>0</v>
      </c>
      <c r="BW42" s="1422">
        <v>0</v>
      </c>
      <c r="BX42" s="1422">
        <v>0</v>
      </c>
      <c r="BY42" s="1422">
        <v>0</v>
      </c>
      <c r="BZ42" s="1422">
        <v>0</v>
      </c>
      <c r="CA42" s="1420">
        <v>135037.76000000001</v>
      </c>
      <c r="CB42" s="1422">
        <v>1282365</v>
      </c>
      <c r="CC42" s="1420">
        <v>355068.09</v>
      </c>
      <c r="CD42" s="1420">
        <v>1485673.61</v>
      </c>
      <c r="CE42" s="1420">
        <v>567482.64</v>
      </c>
      <c r="CF42" s="1420">
        <v>597041.18000000005</v>
      </c>
      <c r="CG42" s="1420">
        <v>714127.26</v>
      </c>
      <c r="CH42" s="1422">
        <v>0</v>
      </c>
      <c r="CI42" s="1422">
        <v>0</v>
      </c>
      <c r="CJ42" s="1422">
        <v>0</v>
      </c>
      <c r="CK42" s="1422">
        <v>0</v>
      </c>
      <c r="CL42" s="1422">
        <v>0</v>
      </c>
      <c r="CM42" s="1422">
        <v>0</v>
      </c>
      <c r="CN42" s="1422">
        <v>0</v>
      </c>
      <c r="CO42" s="1422">
        <v>0</v>
      </c>
      <c r="CP42" s="1422">
        <v>0</v>
      </c>
      <c r="CQ42" s="1422">
        <v>0</v>
      </c>
      <c r="CR42" s="1422">
        <v>0</v>
      </c>
      <c r="CS42" s="1420">
        <v>714127.26</v>
      </c>
      <c r="CT42" s="1422">
        <v>0</v>
      </c>
      <c r="CU42" s="1420">
        <v>5642508.2400000002</v>
      </c>
      <c r="CV42" s="1420">
        <v>5861434.8700000001</v>
      </c>
      <c r="CW42" s="1420">
        <v>2211764.84</v>
      </c>
      <c r="CX42" s="1420">
        <v>2058188.14</v>
      </c>
      <c r="CY42" s="1420">
        <v>218223.59</v>
      </c>
      <c r="CZ42" s="1420">
        <v>331484.5</v>
      </c>
      <c r="DA42" s="1420">
        <v>95159.61</v>
      </c>
      <c r="DB42" s="1420">
        <v>100815.02</v>
      </c>
      <c r="DC42" s="1422">
        <v>0</v>
      </c>
      <c r="DD42" s="1422">
        <v>0</v>
      </c>
      <c r="DE42" s="1420">
        <v>65949.27</v>
      </c>
      <c r="DF42" s="1420">
        <v>162232.56</v>
      </c>
      <c r="DG42" s="1420">
        <v>66285.72</v>
      </c>
      <c r="DH42" s="1420">
        <v>40074.53</v>
      </c>
      <c r="DI42" s="1420">
        <v>2657383.0299999998</v>
      </c>
      <c r="DJ42" s="1420">
        <v>2692794.75</v>
      </c>
      <c r="DK42" s="1420">
        <v>247139.39</v>
      </c>
      <c r="DL42" s="1420">
        <v>218878.52</v>
      </c>
      <c r="DM42" s="1420">
        <v>29480.46</v>
      </c>
      <c r="DN42" s="1420">
        <v>43185.61</v>
      </c>
      <c r="DO42" s="1420">
        <v>419119.66</v>
      </c>
      <c r="DP42" s="1420">
        <v>482996.55</v>
      </c>
      <c r="DQ42" s="1420">
        <v>254347.89</v>
      </c>
      <c r="DR42" s="1420">
        <v>164921.37</v>
      </c>
      <c r="DS42" s="1420">
        <v>4013.07</v>
      </c>
      <c r="DT42" s="1420">
        <v>11954.99</v>
      </c>
      <c r="DU42" s="1420">
        <v>954100.47</v>
      </c>
      <c r="DV42" s="1420">
        <v>921937.04</v>
      </c>
      <c r="DW42" s="1420">
        <v>167767.41</v>
      </c>
      <c r="DX42" s="1420">
        <v>225349.54</v>
      </c>
      <c r="DY42" s="1420">
        <v>212202.14</v>
      </c>
      <c r="DZ42" s="1420">
        <v>252879.13</v>
      </c>
      <c r="EA42" s="1420">
        <v>231607.84</v>
      </c>
      <c r="EB42" s="1420">
        <v>223744.79</v>
      </c>
      <c r="EC42" s="1420">
        <v>611577.39</v>
      </c>
      <c r="ED42" s="1420">
        <v>701973.46</v>
      </c>
      <c r="EE42" s="1420">
        <v>232631.2</v>
      </c>
      <c r="EF42" s="1420">
        <v>112665.87</v>
      </c>
      <c r="EG42" s="1422">
        <v>0</v>
      </c>
      <c r="EH42" s="1422">
        <v>0</v>
      </c>
      <c r="EI42" s="1420">
        <v>39.28</v>
      </c>
      <c r="EJ42" s="1422">
        <v>500</v>
      </c>
      <c r="EK42" s="1422">
        <v>0</v>
      </c>
      <c r="EL42" s="1422">
        <v>0</v>
      </c>
      <c r="EM42" s="1420">
        <v>232670.48</v>
      </c>
      <c r="EN42" s="1420">
        <v>113165.87</v>
      </c>
      <c r="EO42" s="1420">
        <v>154856.57</v>
      </c>
      <c r="EP42" s="1422">
        <v>1857519</v>
      </c>
      <c r="EQ42" s="1420">
        <v>64838.92</v>
      </c>
      <c r="ER42" s="1420">
        <v>123022.5</v>
      </c>
      <c r="ES42" s="1422">
        <v>0</v>
      </c>
      <c r="ET42" s="1422">
        <v>0</v>
      </c>
      <c r="EU42" s="1420">
        <v>4675426.8600000003</v>
      </c>
      <c r="EV42" s="1420">
        <v>6410412.6200000001</v>
      </c>
      <c r="EW42" s="1420">
        <v>286148.39</v>
      </c>
      <c r="EX42" s="1422">
        <v>1952449</v>
      </c>
      <c r="EY42" s="1420">
        <v>64838.92</v>
      </c>
      <c r="EZ42" s="1420">
        <v>123022.5</v>
      </c>
      <c r="FA42" s="1420">
        <v>4324439.55</v>
      </c>
      <c r="FB42" s="1420">
        <v>4334941.12</v>
      </c>
      <c r="FC42" s="1420">
        <v>303601.78999999998</v>
      </c>
      <c r="FD42" s="1439"/>
      <c r="FE42" s="1420">
        <v>4020837.76</v>
      </c>
      <c r="FF42" s="1439"/>
      <c r="FG42" s="1422">
        <v>7711</v>
      </c>
      <c r="FH42" s="1439"/>
      <c r="FI42" s="1420">
        <v>34.6</v>
      </c>
      <c r="FJ42" s="1439"/>
      <c r="FK42" s="1422">
        <v>44351</v>
      </c>
      <c r="FL42" s="1439"/>
      <c r="FM42" s="1420">
        <v>38.67</v>
      </c>
      <c r="FN42" s="1439"/>
      <c r="FO42" s="1422">
        <v>46724</v>
      </c>
      <c r="FP42" s="1439"/>
      <c r="FQ42" s="1420">
        <v>932383.13</v>
      </c>
      <c r="FR42" s="1439"/>
      <c r="FS42" s="1420">
        <v>11619.35</v>
      </c>
      <c r="FT42" s="1439"/>
      <c r="FU42" s="1422">
        <v>0</v>
      </c>
      <c r="FV42" s="1439"/>
      <c r="FW42" s="1420">
        <v>920763.78</v>
      </c>
      <c r="FX42" s="1439"/>
      <c r="FY42" s="1420">
        <v>924624.21</v>
      </c>
      <c r="FZ42" s="1439"/>
      <c r="GA42" s="1422">
        <v>0</v>
      </c>
      <c r="GB42" s="1439"/>
    </row>
    <row r="43" spans="1:184" ht="12.75" customHeight="1" thickBot="1">
      <c r="A43" s="1418" t="s">
        <v>483</v>
      </c>
      <c r="B43" s="1418" t="s">
        <v>484</v>
      </c>
      <c r="C43" s="1420">
        <v>467.75</v>
      </c>
      <c r="D43" s="1439"/>
      <c r="E43" s="1420">
        <v>810.84</v>
      </c>
      <c r="F43" s="1439"/>
      <c r="G43" s="1421">
        <v>-0.02</v>
      </c>
      <c r="H43" s="1439"/>
      <c r="I43" s="1420">
        <v>846.77</v>
      </c>
      <c r="J43" s="1439"/>
      <c r="K43" s="1420">
        <v>894.25</v>
      </c>
      <c r="L43" s="1439"/>
      <c r="M43" s="1422">
        <v>53565172</v>
      </c>
      <c r="N43" s="1439"/>
      <c r="O43" s="1422">
        <v>28</v>
      </c>
      <c r="P43" s="1439"/>
      <c r="Q43" s="1422">
        <v>25</v>
      </c>
      <c r="R43" s="1439"/>
      <c r="S43" s="1422">
        <v>3</v>
      </c>
      <c r="T43" s="1439"/>
      <c r="U43" s="1422">
        <v>0</v>
      </c>
      <c r="V43" s="1439"/>
      <c r="W43" s="1420">
        <v>10.1</v>
      </c>
      <c r="X43" s="1439"/>
      <c r="Y43" s="1420">
        <v>38.1</v>
      </c>
      <c r="Z43" s="1439"/>
      <c r="AA43" s="1422">
        <v>4632000</v>
      </c>
      <c r="AB43" s="1439"/>
      <c r="AC43" s="1420">
        <v>1799810.06</v>
      </c>
      <c r="AD43" s="1420">
        <v>2083322.34</v>
      </c>
      <c r="AE43" s="1420">
        <v>467375.76</v>
      </c>
      <c r="AF43" s="1420">
        <v>137153.95000000001</v>
      </c>
      <c r="AG43" s="1422">
        <v>0</v>
      </c>
      <c r="AH43" s="1422">
        <v>0</v>
      </c>
      <c r="AI43" s="1422">
        <v>4137037</v>
      </c>
      <c r="AJ43" s="1422">
        <v>3876691</v>
      </c>
      <c r="AK43" s="1422">
        <v>54026</v>
      </c>
      <c r="AL43" s="1422">
        <v>0</v>
      </c>
      <c r="AM43" s="1422">
        <v>46133</v>
      </c>
      <c r="AN43" s="1422">
        <v>0</v>
      </c>
      <c r="AO43" s="1422">
        <v>0</v>
      </c>
      <c r="AP43" s="1422">
        <v>152617</v>
      </c>
      <c r="AQ43" s="1422">
        <v>0</v>
      </c>
      <c r="AR43" s="1422">
        <v>0</v>
      </c>
      <c r="AS43" s="1422">
        <v>60975</v>
      </c>
      <c r="AT43" s="1422">
        <v>0</v>
      </c>
      <c r="AU43" s="1422">
        <v>11100</v>
      </c>
      <c r="AV43" s="1422">
        <v>8880</v>
      </c>
      <c r="AW43" s="1422">
        <v>0</v>
      </c>
      <c r="AX43" s="1422">
        <v>0</v>
      </c>
      <c r="AY43" s="1420">
        <v>6576456.8200000003</v>
      </c>
      <c r="AZ43" s="1420">
        <v>6258664.29</v>
      </c>
      <c r="BA43" s="1422">
        <v>0</v>
      </c>
      <c r="BB43" s="1422">
        <v>0</v>
      </c>
      <c r="BC43" s="1422">
        <v>36986</v>
      </c>
      <c r="BD43" s="1422">
        <v>35793</v>
      </c>
      <c r="BE43" s="1420">
        <v>30814.06</v>
      </c>
      <c r="BF43" s="1422">
        <v>7800</v>
      </c>
      <c r="BG43" s="1422">
        <v>2500</v>
      </c>
      <c r="BH43" s="1422">
        <v>0</v>
      </c>
      <c r="BI43" s="1422">
        <v>26206</v>
      </c>
      <c r="BJ43" s="1422">
        <v>26404</v>
      </c>
      <c r="BK43" s="1422">
        <v>1172</v>
      </c>
      <c r="BL43" s="1422">
        <v>0</v>
      </c>
      <c r="BM43" s="1422">
        <v>247504</v>
      </c>
      <c r="BN43" s="1422">
        <v>240350</v>
      </c>
      <c r="BO43" s="1420">
        <v>7134.53</v>
      </c>
      <c r="BP43" s="1422">
        <v>0</v>
      </c>
      <c r="BQ43" s="1420">
        <v>22750.32</v>
      </c>
      <c r="BR43" s="1422">
        <v>22000</v>
      </c>
      <c r="BS43" s="1420">
        <v>3042.04</v>
      </c>
      <c r="BT43" s="1422">
        <v>0</v>
      </c>
      <c r="BU43" s="1422">
        <v>0</v>
      </c>
      <c r="BV43" s="1422">
        <v>0</v>
      </c>
      <c r="BW43" s="1422">
        <v>136080</v>
      </c>
      <c r="BX43" s="1422">
        <v>136080</v>
      </c>
      <c r="BY43" s="1422">
        <v>0</v>
      </c>
      <c r="BZ43" s="1422">
        <v>0</v>
      </c>
      <c r="CA43" s="1420">
        <v>78351.11</v>
      </c>
      <c r="CB43" s="1422">
        <v>63657</v>
      </c>
      <c r="CC43" s="1420">
        <v>592540.06000000006</v>
      </c>
      <c r="CD43" s="1422">
        <v>532084</v>
      </c>
      <c r="CE43" s="1420">
        <v>2479054.87</v>
      </c>
      <c r="CF43" s="1420">
        <v>1928623.74</v>
      </c>
      <c r="CG43" s="1420">
        <v>3831.29</v>
      </c>
      <c r="CH43" s="1422">
        <v>32618</v>
      </c>
      <c r="CI43" s="1422">
        <v>0</v>
      </c>
      <c r="CJ43" s="1422">
        <v>0</v>
      </c>
      <c r="CK43" s="1422">
        <v>0</v>
      </c>
      <c r="CL43" s="1422">
        <v>0</v>
      </c>
      <c r="CM43" s="1422">
        <v>0</v>
      </c>
      <c r="CN43" s="1422">
        <v>0</v>
      </c>
      <c r="CO43" s="1422">
        <v>0</v>
      </c>
      <c r="CP43" s="1422">
        <v>0</v>
      </c>
      <c r="CQ43" s="1422">
        <v>0</v>
      </c>
      <c r="CR43" s="1422">
        <v>0</v>
      </c>
      <c r="CS43" s="1420">
        <v>3831.29</v>
      </c>
      <c r="CT43" s="1422">
        <v>32618</v>
      </c>
      <c r="CU43" s="1420">
        <v>9651883.0399999991</v>
      </c>
      <c r="CV43" s="1420">
        <v>8751990.0299999993</v>
      </c>
      <c r="CW43" s="1420">
        <v>3210569.46</v>
      </c>
      <c r="CX43" s="1420">
        <v>3569269.59</v>
      </c>
      <c r="CY43" s="1420">
        <v>409674.1</v>
      </c>
      <c r="CZ43" s="1420">
        <v>440961.7</v>
      </c>
      <c r="DA43" s="1420">
        <v>230231.67999999999</v>
      </c>
      <c r="DB43" s="1420">
        <v>217093.84</v>
      </c>
      <c r="DC43" s="1422">
        <v>0</v>
      </c>
      <c r="DD43" s="1422">
        <v>0</v>
      </c>
      <c r="DE43" s="1420">
        <v>274787.15000000002</v>
      </c>
      <c r="DF43" s="1420">
        <v>275589.63</v>
      </c>
      <c r="DG43" s="1420">
        <v>118337.07</v>
      </c>
      <c r="DH43" s="1422">
        <v>0</v>
      </c>
      <c r="DI43" s="1420">
        <v>4243599.46</v>
      </c>
      <c r="DJ43" s="1420">
        <v>4502914.76</v>
      </c>
      <c r="DK43" s="1420">
        <v>292838.08</v>
      </c>
      <c r="DL43" s="1420">
        <v>227050.09</v>
      </c>
      <c r="DM43" s="1420">
        <v>242785.46</v>
      </c>
      <c r="DN43" s="1420">
        <v>296216.90000000002</v>
      </c>
      <c r="DO43" s="1420">
        <v>923273.27</v>
      </c>
      <c r="DP43" s="1420">
        <v>591893.43999999994</v>
      </c>
      <c r="DQ43" s="1420">
        <v>482482.37</v>
      </c>
      <c r="DR43" s="1420">
        <v>330057.46999999997</v>
      </c>
      <c r="DS43" s="1420">
        <v>7278.8</v>
      </c>
      <c r="DT43" s="1422">
        <v>3250</v>
      </c>
      <c r="DU43" s="1420">
        <v>1948657.98</v>
      </c>
      <c r="DV43" s="1420">
        <v>1448467.9</v>
      </c>
      <c r="DW43" s="1420">
        <v>599652.52</v>
      </c>
      <c r="DX43" s="1420">
        <v>577640.74</v>
      </c>
      <c r="DY43" s="1420">
        <v>541177.1</v>
      </c>
      <c r="DZ43" s="1420">
        <v>506239.36</v>
      </c>
      <c r="EA43" s="1420">
        <v>389167.37</v>
      </c>
      <c r="EB43" s="1420">
        <v>431385.46</v>
      </c>
      <c r="EC43" s="1420">
        <v>1529996.99</v>
      </c>
      <c r="ED43" s="1420">
        <v>1515265.56</v>
      </c>
      <c r="EE43" s="1420">
        <v>499412.99</v>
      </c>
      <c r="EF43" s="1420">
        <v>455607.73</v>
      </c>
      <c r="EG43" s="1422">
        <v>0</v>
      </c>
      <c r="EH43" s="1422">
        <v>0</v>
      </c>
      <c r="EI43" s="1420">
        <v>545022.1</v>
      </c>
      <c r="EJ43" s="1420">
        <v>597167.63</v>
      </c>
      <c r="EK43" s="1422">
        <v>0</v>
      </c>
      <c r="EL43" s="1422">
        <v>0</v>
      </c>
      <c r="EM43" s="1420">
        <v>1044435.09</v>
      </c>
      <c r="EN43" s="1420">
        <v>1052775.3600000001</v>
      </c>
      <c r="EO43" s="1420">
        <v>498849.31</v>
      </c>
      <c r="EP43" s="1420">
        <v>141694.64000000001</v>
      </c>
      <c r="EQ43" s="1420">
        <v>139422.22</v>
      </c>
      <c r="ER43" s="1420">
        <v>156739.13</v>
      </c>
      <c r="ES43" s="1422">
        <v>0</v>
      </c>
      <c r="ET43" s="1422">
        <v>0</v>
      </c>
      <c r="EU43" s="1420">
        <v>9404961.0500000007</v>
      </c>
      <c r="EV43" s="1420">
        <v>8817857.3499999996</v>
      </c>
      <c r="EW43" s="1420">
        <v>860318.51</v>
      </c>
      <c r="EX43" s="1420">
        <v>238148.54</v>
      </c>
      <c r="EY43" s="1420">
        <v>139422.22</v>
      </c>
      <c r="EZ43" s="1420">
        <v>156739.13</v>
      </c>
      <c r="FA43" s="1420">
        <v>8405220.3200000003</v>
      </c>
      <c r="FB43" s="1420">
        <v>8422969.6799999997</v>
      </c>
      <c r="FC43" s="1420">
        <v>877603.74</v>
      </c>
      <c r="FD43" s="1439"/>
      <c r="FE43" s="1420">
        <v>7527616.5800000001</v>
      </c>
      <c r="FF43" s="1439"/>
      <c r="FG43" s="1422">
        <v>9283</v>
      </c>
      <c r="FH43" s="1439"/>
      <c r="FI43" s="1420">
        <v>65.47</v>
      </c>
      <c r="FJ43" s="1439"/>
      <c r="FK43" s="1422">
        <v>40820</v>
      </c>
      <c r="FL43" s="1439"/>
      <c r="FM43" s="1420">
        <v>70.260000000000005</v>
      </c>
      <c r="FN43" s="1439"/>
      <c r="FO43" s="1422">
        <v>43818</v>
      </c>
      <c r="FP43" s="1439"/>
      <c r="FQ43" s="1420">
        <v>1804447.11</v>
      </c>
      <c r="FR43" s="1439"/>
      <c r="FS43" s="1420">
        <v>51839.49</v>
      </c>
      <c r="FT43" s="1439"/>
      <c r="FU43" s="1422">
        <v>0</v>
      </c>
      <c r="FV43" s="1439"/>
      <c r="FW43" s="1420">
        <v>1752607.62</v>
      </c>
      <c r="FX43" s="1439"/>
      <c r="FY43" s="1422">
        <v>0</v>
      </c>
      <c r="FZ43" s="1439"/>
      <c r="GA43" s="1422">
        <v>0</v>
      </c>
      <c r="GB43" s="1439"/>
    </row>
    <row r="44" spans="1:184" ht="12.75" customHeight="1" thickBot="1">
      <c r="A44" s="1418" t="s">
        <v>485</v>
      </c>
      <c r="B44" s="1418" t="s">
        <v>486</v>
      </c>
      <c r="C44" s="1420">
        <v>380.27</v>
      </c>
      <c r="D44" s="1439"/>
      <c r="E44" s="1420">
        <v>2599.9699999999998</v>
      </c>
      <c r="F44" s="1439"/>
      <c r="G44" s="1421">
        <v>-0.13</v>
      </c>
      <c r="H44" s="1439"/>
      <c r="I44" s="1420">
        <v>2758.03</v>
      </c>
      <c r="J44" s="1439"/>
      <c r="K44" s="1420">
        <v>2857.8</v>
      </c>
      <c r="L44" s="1439"/>
      <c r="M44" s="1422">
        <v>245726881</v>
      </c>
      <c r="N44" s="1439"/>
      <c r="O44" s="1422">
        <v>25</v>
      </c>
      <c r="P44" s="1439"/>
      <c r="Q44" s="1422">
        <v>25</v>
      </c>
      <c r="R44" s="1439"/>
      <c r="S44" s="1422">
        <v>0</v>
      </c>
      <c r="T44" s="1439"/>
      <c r="U44" s="1422">
        <v>0</v>
      </c>
      <c r="V44" s="1439"/>
      <c r="W44" s="1420">
        <v>4.5999999999999996</v>
      </c>
      <c r="X44" s="1439"/>
      <c r="Y44" s="1420">
        <v>29.6</v>
      </c>
      <c r="Z44" s="1439"/>
      <c r="AA44" s="1422">
        <v>9805000</v>
      </c>
      <c r="AB44" s="1439"/>
      <c r="AC44" s="1420">
        <v>6805219.5899999999</v>
      </c>
      <c r="AD44" s="1422">
        <v>6195309</v>
      </c>
      <c r="AE44" s="1420">
        <v>866415.2</v>
      </c>
      <c r="AF44" s="1420">
        <v>558235.43999999994</v>
      </c>
      <c r="AG44" s="1420">
        <v>538260.89</v>
      </c>
      <c r="AH44" s="1422">
        <v>350000</v>
      </c>
      <c r="AI44" s="1422">
        <v>11041299</v>
      </c>
      <c r="AJ44" s="1422">
        <v>10622157</v>
      </c>
      <c r="AK44" s="1422">
        <v>170916</v>
      </c>
      <c r="AL44" s="1422">
        <v>0</v>
      </c>
      <c r="AM44" s="1422">
        <v>0</v>
      </c>
      <c r="AN44" s="1422">
        <v>0</v>
      </c>
      <c r="AO44" s="1422">
        <v>172619</v>
      </c>
      <c r="AP44" s="1422">
        <v>246712</v>
      </c>
      <c r="AQ44" s="1422">
        <v>0</v>
      </c>
      <c r="AR44" s="1422">
        <v>0</v>
      </c>
      <c r="AS44" s="1422">
        <v>8804</v>
      </c>
      <c r="AT44" s="1422">
        <v>8804</v>
      </c>
      <c r="AU44" s="1422">
        <v>0</v>
      </c>
      <c r="AV44" s="1422">
        <v>0</v>
      </c>
      <c r="AW44" s="1422">
        <v>0</v>
      </c>
      <c r="AX44" s="1422">
        <v>0</v>
      </c>
      <c r="AY44" s="1420">
        <v>19603533.68</v>
      </c>
      <c r="AZ44" s="1420">
        <v>17981217.440000001</v>
      </c>
      <c r="BA44" s="1420">
        <v>233623.91</v>
      </c>
      <c r="BB44" s="1422">
        <v>0</v>
      </c>
      <c r="BC44" s="1422">
        <v>118199</v>
      </c>
      <c r="BD44" s="1422">
        <v>117710</v>
      </c>
      <c r="BE44" s="1422">
        <v>7400</v>
      </c>
      <c r="BF44" s="1422">
        <v>18200</v>
      </c>
      <c r="BG44" s="1422">
        <v>3400</v>
      </c>
      <c r="BH44" s="1422">
        <v>0</v>
      </c>
      <c r="BI44" s="1422">
        <v>158538</v>
      </c>
      <c r="BJ44" s="1422">
        <v>136702</v>
      </c>
      <c r="BK44" s="1422">
        <v>10255</v>
      </c>
      <c r="BL44" s="1422">
        <v>9000</v>
      </c>
      <c r="BM44" s="1422">
        <v>948848</v>
      </c>
      <c r="BN44" s="1422">
        <v>961400</v>
      </c>
      <c r="BO44" s="1420">
        <v>54022.84</v>
      </c>
      <c r="BP44" s="1422">
        <v>0</v>
      </c>
      <c r="BQ44" s="1420">
        <v>101293.41</v>
      </c>
      <c r="BR44" s="1422">
        <v>100000</v>
      </c>
      <c r="BS44" s="1420">
        <v>10445.68</v>
      </c>
      <c r="BT44" s="1422">
        <v>7500</v>
      </c>
      <c r="BU44" s="1422">
        <v>0</v>
      </c>
      <c r="BV44" s="1422">
        <v>0</v>
      </c>
      <c r="BW44" s="1420">
        <v>583576.9</v>
      </c>
      <c r="BX44" s="1422">
        <v>583200</v>
      </c>
      <c r="BY44" s="1422">
        <v>0</v>
      </c>
      <c r="BZ44" s="1422">
        <v>0</v>
      </c>
      <c r="CA44" s="1420">
        <v>751603.29</v>
      </c>
      <c r="CB44" s="1422">
        <v>1178807</v>
      </c>
      <c r="CC44" s="1420">
        <v>2981206.03</v>
      </c>
      <c r="CD44" s="1422">
        <v>3112519</v>
      </c>
      <c r="CE44" s="1420">
        <v>6218935.9100000001</v>
      </c>
      <c r="CF44" s="1420">
        <v>4447053.25</v>
      </c>
      <c r="CG44" s="1420">
        <v>1021419.05</v>
      </c>
      <c r="CH44" s="1422">
        <v>0</v>
      </c>
      <c r="CI44" s="1422">
        <v>0</v>
      </c>
      <c r="CJ44" s="1422">
        <v>0</v>
      </c>
      <c r="CK44" s="1420">
        <v>145651.67000000001</v>
      </c>
      <c r="CL44" s="1422">
        <v>0</v>
      </c>
      <c r="CM44" s="1420">
        <v>30667.33</v>
      </c>
      <c r="CN44" s="1422">
        <v>13950</v>
      </c>
      <c r="CO44" s="1420">
        <v>9673.94</v>
      </c>
      <c r="CP44" s="1422">
        <v>0</v>
      </c>
      <c r="CQ44" s="1422">
        <v>0</v>
      </c>
      <c r="CR44" s="1422">
        <v>0</v>
      </c>
      <c r="CS44" s="1420">
        <v>1207411.99</v>
      </c>
      <c r="CT44" s="1422">
        <v>13950</v>
      </c>
      <c r="CU44" s="1420">
        <v>30011087.609999999</v>
      </c>
      <c r="CV44" s="1420">
        <v>25554739.690000001</v>
      </c>
      <c r="CW44" s="1420">
        <v>10038374.109999999</v>
      </c>
      <c r="CX44" s="1422">
        <v>9604908</v>
      </c>
      <c r="CY44" s="1420">
        <v>1503346.14</v>
      </c>
      <c r="CZ44" s="1420">
        <v>1537325.04</v>
      </c>
      <c r="DA44" s="1420">
        <v>839888.2</v>
      </c>
      <c r="DB44" s="1420">
        <v>895567.75</v>
      </c>
      <c r="DC44" s="1420">
        <v>294153.49</v>
      </c>
      <c r="DD44" s="1422">
        <v>0</v>
      </c>
      <c r="DE44" s="1420">
        <v>1887631.27</v>
      </c>
      <c r="DF44" s="1420">
        <v>1773151.71</v>
      </c>
      <c r="DG44" s="1420">
        <v>511600.39</v>
      </c>
      <c r="DH44" s="1420">
        <v>547515.81000000006</v>
      </c>
      <c r="DI44" s="1420">
        <v>15074993.6</v>
      </c>
      <c r="DJ44" s="1420">
        <v>14358468.310000001</v>
      </c>
      <c r="DK44" s="1420">
        <v>445195.11</v>
      </c>
      <c r="DL44" s="1420">
        <v>471811.15</v>
      </c>
      <c r="DM44" s="1420">
        <v>595121.31999999995</v>
      </c>
      <c r="DN44" s="1420">
        <v>653631.18999999994</v>
      </c>
      <c r="DO44" s="1420">
        <v>2325506.79</v>
      </c>
      <c r="DP44" s="1420">
        <v>3654918.04</v>
      </c>
      <c r="DQ44" s="1420">
        <v>1073198.78</v>
      </c>
      <c r="DR44" s="1422">
        <v>1327613</v>
      </c>
      <c r="DS44" s="1420">
        <v>177872.33</v>
      </c>
      <c r="DT44" s="1420">
        <v>146319.51999999999</v>
      </c>
      <c r="DU44" s="1420">
        <v>4616894.33</v>
      </c>
      <c r="DV44" s="1420">
        <v>6254292.9000000004</v>
      </c>
      <c r="DW44" s="1420">
        <v>1001297.92</v>
      </c>
      <c r="DX44" s="1420">
        <v>949131.09</v>
      </c>
      <c r="DY44" s="1420">
        <v>1300600.2</v>
      </c>
      <c r="DZ44" s="1420">
        <v>1848149.7</v>
      </c>
      <c r="EA44" s="1420">
        <v>1534419.91</v>
      </c>
      <c r="EB44" s="1420">
        <v>1486911.2</v>
      </c>
      <c r="EC44" s="1420">
        <v>3836318.03</v>
      </c>
      <c r="ED44" s="1420">
        <v>4284191.99</v>
      </c>
      <c r="EE44" s="1420">
        <v>1454090.67</v>
      </c>
      <c r="EF44" s="1422">
        <v>1501068</v>
      </c>
      <c r="EG44" s="1422">
        <v>0</v>
      </c>
      <c r="EH44" s="1422">
        <v>0</v>
      </c>
      <c r="EI44" s="1422">
        <v>0</v>
      </c>
      <c r="EJ44" s="1422">
        <v>1500</v>
      </c>
      <c r="EK44" s="1422">
        <v>0</v>
      </c>
      <c r="EL44" s="1422">
        <v>0</v>
      </c>
      <c r="EM44" s="1420">
        <v>1454090.67</v>
      </c>
      <c r="EN44" s="1422">
        <v>1502568</v>
      </c>
      <c r="EO44" s="1420">
        <v>3265348.73</v>
      </c>
      <c r="EP44" s="1420">
        <v>1446575.16</v>
      </c>
      <c r="EQ44" s="1420">
        <v>229809.63</v>
      </c>
      <c r="ER44" s="1420">
        <v>425018.76</v>
      </c>
      <c r="ES44" s="1422">
        <v>0</v>
      </c>
      <c r="ET44" s="1420">
        <v>29884.55</v>
      </c>
      <c r="EU44" s="1420">
        <v>28477454.989999998</v>
      </c>
      <c r="EV44" s="1420">
        <v>28300999.670000002</v>
      </c>
      <c r="EW44" s="1420">
        <v>3667809.9</v>
      </c>
      <c r="EX44" s="1420">
        <v>2102665.0299999998</v>
      </c>
      <c r="EY44" s="1420">
        <v>229809.63</v>
      </c>
      <c r="EZ44" s="1420">
        <v>425018.76</v>
      </c>
      <c r="FA44" s="1420">
        <v>24579835.460000001</v>
      </c>
      <c r="FB44" s="1420">
        <v>25773315.879999999</v>
      </c>
      <c r="FC44" s="1420">
        <v>1486044.4</v>
      </c>
      <c r="FD44" s="1439"/>
      <c r="FE44" s="1420">
        <v>23093791.059999999</v>
      </c>
      <c r="FF44" s="1439"/>
      <c r="FG44" s="1422">
        <v>8882</v>
      </c>
      <c r="FH44" s="1439"/>
      <c r="FI44" s="1420">
        <v>198.77</v>
      </c>
      <c r="FJ44" s="1439"/>
      <c r="FK44" s="1422">
        <v>44130</v>
      </c>
      <c r="FL44" s="1439"/>
      <c r="FM44" s="1422">
        <v>219</v>
      </c>
      <c r="FN44" s="1439"/>
      <c r="FO44" s="1422">
        <v>46830</v>
      </c>
      <c r="FP44" s="1439"/>
      <c r="FQ44" s="1420">
        <v>3684474.8</v>
      </c>
      <c r="FR44" s="1439"/>
      <c r="FS44" s="1420">
        <v>104841.97</v>
      </c>
      <c r="FT44" s="1439"/>
      <c r="FU44" s="1422">
        <v>0</v>
      </c>
      <c r="FV44" s="1439"/>
      <c r="FW44" s="1420">
        <v>3579632.83</v>
      </c>
      <c r="FX44" s="1439"/>
      <c r="FY44" s="1420">
        <v>4506611.1399999997</v>
      </c>
      <c r="FZ44" s="1439"/>
      <c r="GA44" s="1422">
        <v>0</v>
      </c>
      <c r="GB44" s="1439"/>
    </row>
    <row r="45" spans="1:184" ht="12.75" customHeight="1" thickBot="1">
      <c r="A45" s="1418" t="s">
        <v>487</v>
      </c>
      <c r="B45" s="1418" t="s">
        <v>488</v>
      </c>
      <c r="C45" s="1420">
        <v>291.64999999999998</v>
      </c>
      <c r="D45" s="1439"/>
      <c r="E45" s="1420">
        <v>575.98</v>
      </c>
      <c r="F45" s="1439"/>
      <c r="G45" s="1421">
        <v>-0.1</v>
      </c>
      <c r="H45" s="1439"/>
      <c r="I45" s="1420">
        <v>613.47</v>
      </c>
      <c r="J45" s="1439"/>
      <c r="K45" s="1420">
        <v>622.33000000000004</v>
      </c>
      <c r="L45" s="1439"/>
      <c r="M45" s="1422">
        <v>69247514</v>
      </c>
      <c r="N45" s="1439"/>
      <c r="O45" s="1420">
        <v>29.9</v>
      </c>
      <c r="P45" s="1439"/>
      <c r="Q45" s="1422">
        <v>25</v>
      </c>
      <c r="R45" s="1439"/>
      <c r="S45" s="1420">
        <v>4.9000000000000004</v>
      </c>
      <c r="T45" s="1439"/>
      <c r="U45" s="1422">
        <v>0</v>
      </c>
      <c r="V45" s="1439"/>
      <c r="W45" s="1420">
        <v>7.5</v>
      </c>
      <c r="X45" s="1439"/>
      <c r="Y45" s="1420">
        <v>37.4</v>
      </c>
      <c r="Z45" s="1439"/>
      <c r="AA45" s="1422">
        <v>6160596</v>
      </c>
      <c r="AB45" s="1439"/>
      <c r="AC45" s="1420">
        <v>2328121.5699999998</v>
      </c>
      <c r="AD45" s="1422">
        <v>2121000</v>
      </c>
      <c r="AE45" s="1420">
        <v>386476.72</v>
      </c>
      <c r="AF45" s="1420">
        <v>329986.63</v>
      </c>
      <c r="AG45" s="1420">
        <v>116868.14</v>
      </c>
      <c r="AH45" s="1422">
        <v>110000</v>
      </c>
      <c r="AI45" s="1422">
        <v>2158864</v>
      </c>
      <c r="AJ45" s="1422">
        <v>2004970</v>
      </c>
      <c r="AK45" s="1422">
        <v>44176</v>
      </c>
      <c r="AL45" s="1422">
        <v>0</v>
      </c>
      <c r="AM45" s="1422">
        <v>0</v>
      </c>
      <c r="AN45" s="1422">
        <v>70000</v>
      </c>
      <c r="AO45" s="1422">
        <v>0</v>
      </c>
      <c r="AP45" s="1422">
        <v>0</v>
      </c>
      <c r="AQ45" s="1422">
        <v>0</v>
      </c>
      <c r="AR45" s="1422">
        <v>0</v>
      </c>
      <c r="AS45" s="1422">
        <v>294309</v>
      </c>
      <c r="AT45" s="1422">
        <v>295000</v>
      </c>
      <c r="AU45" s="1422">
        <v>6320</v>
      </c>
      <c r="AV45" s="1422">
        <v>0</v>
      </c>
      <c r="AW45" s="1422">
        <v>0</v>
      </c>
      <c r="AX45" s="1422">
        <v>0</v>
      </c>
      <c r="AY45" s="1420">
        <v>5335135.43</v>
      </c>
      <c r="AZ45" s="1420">
        <v>4930956.63</v>
      </c>
      <c r="BA45" s="1422">
        <v>0</v>
      </c>
      <c r="BB45" s="1422">
        <v>0</v>
      </c>
      <c r="BC45" s="1422">
        <v>25740</v>
      </c>
      <c r="BD45" s="1422">
        <v>26016</v>
      </c>
      <c r="BE45" s="1420">
        <v>387594.85</v>
      </c>
      <c r="BF45" s="1422">
        <v>393200</v>
      </c>
      <c r="BG45" s="1422">
        <v>200</v>
      </c>
      <c r="BH45" s="1422">
        <v>0</v>
      </c>
      <c r="BI45" s="1422">
        <v>9711</v>
      </c>
      <c r="BJ45" s="1422">
        <v>5306</v>
      </c>
      <c r="BK45" s="1422">
        <v>0</v>
      </c>
      <c r="BL45" s="1422">
        <v>0</v>
      </c>
      <c r="BM45" s="1422">
        <v>137888</v>
      </c>
      <c r="BN45" s="1422">
        <v>135102</v>
      </c>
      <c r="BO45" s="1420">
        <v>2549.4899999999998</v>
      </c>
      <c r="BP45" s="1420">
        <v>18551.41</v>
      </c>
      <c r="BQ45" s="1420">
        <v>9244.25</v>
      </c>
      <c r="BR45" s="1420">
        <v>30068.25</v>
      </c>
      <c r="BS45" s="1420">
        <v>2216.48</v>
      </c>
      <c r="BT45" s="1422">
        <v>2000</v>
      </c>
      <c r="BU45" s="1422">
        <v>0</v>
      </c>
      <c r="BV45" s="1422">
        <v>0</v>
      </c>
      <c r="BW45" s="1422">
        <v>0</v>
      </c>
      <c r="BX45" s="1422">
        <v>0</v>
      </c>
      <c r="BY45" s="1422">
        <v>0</v>
      </c>
      <c r="BZ45" s="1422">
        <v>0</v>
      </c>
      <c r="CA45" s="1420">
        <v>493815.21</v>
      </c>
      <c r="CB45" s="1422">
        <v>5013</v>
      </c>
      <c r="CC45" s="1420">
        <v>1068959.28</v>
      </c>
      <c r="CD45" s="1420">
        <v>615256.66</v>
      </c>
      <c r="CE45" s="1420">
        <v>788018.31</v>
      </c>
      <c r="CF45" s="1420">
        <v>755340.24</v>
      </c>
      <c r="CG45" s="1420">
        <v>983677.2</v>
      </c>
      <c r="CH45" s="1422">
        <v>0</v>
      </c>
      <c r="CI45" s="1422">
        <v>0</v>
      </c>
      <c r="CJ45" s="1422">
        <v>0</v>
      </c>
      <c r="CK45" s="1422">
        <v>0</v>
      </c>
      <c r="CL45" s="1422">
        <v>0</v>
      </c>
      <c r="CM45" s="1422">
        <v>0</v>
      </c>
      <c r="CN45" s="1422">
        <v>0</v>
      </c>
      <c r="CO45" s="1422">
        <v>0</v>
      </c>
      <c r="CP45" s="1422">
        <v>0</v>
      </c>
      <c r="CQ45" s="1422">
        <v>0</v>
      </c>
      <c r="CR45" s="1422">
        <v>0</v>
      </c>
      <c r="CS45" s="1420">
        <v>983677.2</v>
      </c>
      <c r="CT45" s="1422">
        <v>0</v>
      </c>
      <c r="CU45" s="1420">
        <v>8175790.2199999997</v>
      </c>
      <c r="CV45" s="1420">
        <v>6301553.5300000003</v>
      </c>
      <c r="CW45" s="1420">
        <v>2308739.46</v>
      </c>
      <c r="CX45" s="1420">
        <v>2284590.46</v>
      </c>
      <c r="CY45" s="1420">
        <v>348521.57</v>
      </c>
      <c r="CZ45" s="1420">
        <v>395151.37</v>
      </c>
      <c r="DA45" s="1420">
        <v>380308.93</v>
      </c>
      <c r="DB45" s="1420">
        <v>395619.82</v>
      </c>
      <c r="DC45" s="1422">
        <v>0</v>
      </c>
      <c r="DD45" s="1422">
        <v>0</v>
      </c>
      <c r="DE45" s="1420">
        <v>151103.92000000001</v>
      </c>
      <c r="DF45" s="1420">
        <v>123113.26</v>
      </c>
      <c r="DG45" s="1420">
        <v>230856.43</v>
      </c>
      <c r="DH45" s="1420">
        <v>222629.59</v>
      </c>
      <c r="DI45" s="1420">
        <v>3419530.31</v>
      </c>
      <c r="DJ45" s="1420">
        <v>3421104.5</v>
      </c>
      <c r="DK45" s="1420">
        <v>130989.58</v>
      </c>
      <c r="DL45" s="1420">
        <v>141359.32999999999</v>
      </c>
      <c r="DM45" s="1420">
        <v>125870.29</v>
      </c>
      <c r="DN45" s="1420">
        <v>148551.41</v>
      </c>
      <c r="DO45" s="1420">
        <v>543501.23</v>
      </c>
      <c r="DP45" s="1420">
        <v>949956.18</v>
      </c>
      <c r="DQ45" s="1420">
        <v>225876.75</v>
      </c>
      <c r="DR45" s="1420">
        <v>502006.09</v>
      </c>
      <c r="DS45" s="1420">
        <v>26207.99</v>
      </c>
      <c r="DT45" s="1420">
        <v>46790.79</v>
      </c>
      <c r="DU45" s="1420">
        <v>1052445.8400000001</v>
      </c>
      <c r="DV45" s="1420">
        <v>1788663.8</v>
      </c>
      <c r="DW45" s="1420">
        <v>217461.45</v>
      </c>
      <c r="DX45" s="1420">
        <v>239031.09</v>
      </c>
      <c r="DY45" s="1420">
        <v>436627.8</v>
      </c>
      <c r="DZ45" s="1420">
        <v>462246.36</v>
      </c>
      <c r="EA45" s="1420">
        <v>436732.29</v>
      </c>
      <c r="EB45" s="1420">
        <v>442106.89</v>
      </c>
      <c r="EC45" s="1420">
        <v>1090821.54</v>
      </c>
      <c r="ED45" s="1420">
        <v>1143384.3400000001</v>
      </c>
      <c r="EE45" s="1420">
        <v>310120.3</v>
      </c>
      <c r="EF45" s="1422">
        <v>317295</v>
      </c>
      <c r="EG45" s="1422">
        <v>0</v>
      </c>
      <c r="EH45" s="1422">
        <v>0</v>
      </c>
      <c r="EI45" s="1420">
        <v>4044.08</v>
      </c>
      <c r="EJ45" s="1422">
        <v>1500</v>
      </c>
      <c r="EK45" s="1422">
        <v>0</v>
      </c>
      <c r="EL45" s="1422">
        <v>0</v>
      </c>
      <c r="EM45" s="1420">
        <v>314164.38</v>
      </c>
      <c r="EN45" s="1422">
        <v>318795</v>
      </c>
      <c r="EO45" s="1420">
        <v>1841511.29</v>
      </c>
      <c r="EP45" s="1420">
        <v>746988.54</v>
      </c>
      <c r="EQ45" s="1422">
        <v>357543</v>
      </c>
      <c r="ER45" s="1420">
        <v>614473.5</v>
      </c>
      <c r="ES45" s="1422">
        <v>0</v>
      </c>
      <c r="ET45" s="1422">
        <v>0</v>
      </c>
      <c r="EU45" s="1420">
        <v>8076016.3600000003</v>
      </c>
      <c r="EV45" s="1420">
        <v>8033409.6799999997</v>
      </c>
      <c r="EW45" s="1420">
        <v>1885222.43</v>
      </c>
      <c r="EX45" s="1420">
        <v>1053808.3799999999</v>
      </c>
      <c r="EY45" s="1422">
        <v>357543</v>
      </c>
      <c r="EZ45" s="1420">
        <v>614473.5</v>
      </c>
      <c r="FA45" s="1420">
        <v>5833250.9299999997</v>
      </c>
      <c r="FB45" s="1420">
        <v>6365127.7999999998</v>
      </c>
      <c r="FC45" s="1420">
        <v>305675.01</v>
      </c>
      <c r="FD45" s="1439"/>
      <c r="FE45" s="1420">
        <v>5527575.9199999999</v>
      </c>
      <c r="FF45" s="1439"/>
      <c r="FG45" s="1422">
        <v>9596</v>
      </c>
      <c r="FH45" s="1439"/>
      <c r="FI45" s="1420">
        <v>55.84</v>
      </c>
      <c r="FJ45" s="1439"/>
      <c r="FK45" s="1422">
        <v>40756</v>
      </c>
      <c r="FL45" s="1439"/>
      <c r="FM45" s="1420">
        <v>61.5</v>
      </c>
      <c r="FN45" s="1439"/>
      <c r="FO45" s="1422">
        <v>43540</v>
      </c>
      <c r="FP45" s="1439"/>
      <c r="FQ45" s="1420">
        <v>3547196.18</v>
      </c>
      <c r="FR45" s="1439"/>
      <c r="FS45" s="1420">
        <v>46034.85</v>
      </c>
      <c r="FT45" s="1439"/>
      <c r="FU45" s="1420">
        <v>225437.84</v>
      </c>
      <c r="FV45" s="1439"/>
      <c r="FW45" s="1420">
        <v>3275723.49</v>
      </c>
      <c r="FX45" s="1439"/>
      <c r="FY45" s="1420">
        <v>949266.43</v>
      </c>
      <c r="FZ45" s="1439"/>
      <c r="GA45" s="1422">
        <v>0</v>
      </c>
      <c r="GB45" s="1439"/>
    </row>
    <row r="46" spans="1:184" ht="12.75" customHeight="1" thickBot="1">
      <c r="A46" s="1418" t="s">
        <v>489</v>
      </c>
      <c r="B46" s="1418" t="s">
        <v>490</v>
      </c>
      <c r="C46" s="1420">
        <v>106.57</v>
      </c>
      <c r="D46" s="1439"/>
      <c r="E46" s="1420">
        <v>462.99</v>
      </c>
      <c r="F46" s="1439"/>
      <c r="G46" s="1421">
        <v>0.08</v>
      </c>
      <c r="H46" s="1439"/>
      <c r="I46" s="1420">
        <v>490.49</v>
      </c>
      <c r="J46" s="1439"/>
      <c r="K46" s="1420">
        <v>495.63</v>
      </c>
      <c r="L46" s="1439"/>
      <c r="M46" s="1422">
        <v>139456568</v>
      </c>
      <c r="N46" s="1439"/>
      <c r="O46" s="1420">
        <v>26.6</v>
      </c>
      <c r="P46" s="1439"/>
      <c r="Q46" s="1422">
        <v>25</v>
      </c>
      <c r="R46" s="1439"/>
      <c r="S46" s="1420">
        <v>1.6</v>
      </c>
      <c r="T46" s="1439"/>
      <c r="U46" s="1422">
        <v>0</v>
      </c>
      <c r="V46" s="1439"/>
      <c r="W46" s="1420">
        <v>11.7</v>
      </c>
      <c r="X46" s="1439"/>
      <c r="Y46" s="1420">
        <v>38.299999999999997</v>
      </c>
      <c r="Z46" s="1439"/>
      <c r="AA46" s="1422">
        <v>2103897</v>
      </c>
      <c r="AB46" s="1439"/>
      <c r="AC46" s="1420">
        <v>4565124.95</v>
      </c>
      <c r="AD46" s="1422">
        <v>4119035</v>
      </c>
      <c r="AE46" s="1420">
        <v>212749.11</v>
      </c>
      <c r="AF46" s="1422">
        <v>99050</v>
      </c>
      <c r="AG46" s="1420">
        <v>52913.89</v>
      </c>
      <c r="AH46" s="1422">
        <v>700</v>
      </c>
      <c r="AI46" s="1422">
        <v>236256</v>
      </c>
      <c r="AJ46" s="1422">
        <v>0</v>
      </c>
      <c r="AK46" s="1422">
        <v>62488</v>
      </c>
      <c r="AL46" s="1422">
        <v>0</v>
      </c>
      <c r="AM46" s="1422">
        <v>0</v>
      </c>
      <c r="AN46" s="1422">
        <v>0</v>
      </c>
      <c r="AO46" s="1422">
        <v>22104</v>
      </c>
      <c r="AP46" s="1422">
        <v>14961</v>
      </c>
      <c r="AQ46" s="1422">
        <v>0</v>
      </c>
      <c r="AR46" s="1422">
        <v>0</v>
      </c>
      <c r="AS46" s="1422">
        <v>0</v>
      </c>
      <c r="AT46" s="1422">
        <v>0</v>
      </c>
      <c r="AU46" s="1422">
        <v>31398</v>
      </c>
      <c r="AV46" s="1422">
        <v>25118</v>
      </c>
      <c r="AW46" s="1422">
        <v>0</v>
      </c>
      <c r="AX46" s="1422">
        <v>0</v>
      </c>
      <c r="AY46" s="1420">
        <v>5183033.95</v>
      </c>
      <c r="AZ46" s="1422">
        <v>4258864</v>
      </c>
      <c r="BA46" s="1422">
        <v>0</v>
      </c>
      <c r="BB46" s="1422">
        <v>0</v>
      </c>
      <c r="BC46" s="1422">
        <v>20499</v>
      </c>
      <c r="BD46" s="1422">
        <v>20798</v>
      </c>
      <c r="BE46" s="1422">
        <v>3800</v>
      </c>
      <c r="BF46" s="1422">
        <v>2600</v>
      </c>
      <c r="BG46" s="1422">
        <v>100</v>
      </c>
      <c r="BH46" s="1422">
        <v>0</v>
      </c>
      <c r="BI46" s="1422">
        <v>27628</v>
      </c>
      <c r="BJ46" s="1422">
        <v>30134</v>
      </c>
      <c r="BK46" s="1422">
        <v>586</v>
      </c>
      <c r="BL46" s="1422">
        <v>598</v>
      </c>
      <c r="BM46" s="1422">
        <v>160704</v>
      </c>
      <c r="BN46" s="1422">
        <v>154330</v>
      </c>
      <c r="BO46" s="1420">
        <v>2030.41</v>
      </c>
      <c r="BP46" s="1422">
        <v>0</v>
      </c>
      <c r="BQ46" s="1420">
        <v>2978.97</v>
      </c>
      <c r="BR46" s="1422">
        <v>2979</v>
      </c>
      <c r="BS46" s="1420">
        <v>1923.93</v>
      </c>
      <c r="BT46" s="1422">
        <v>2000</v>
      </c>
      <c r="BU46" s="1422">
        <v>0</v>
      </c>
      <c r="BV46" s="1422">
        <v>0</v>
      </c>
      <c r="BW46" s="1422">
        <v>97200</v>
      </c>
      <c r="BX46" s="1422">
        <v>98000</v>
      </c>
      <c r="BY46" s="1422">
        <v>0</v>
      </c>
      <c r="BZ46" s="1422">
        <v>0</v>
      </c>
      <c r="CA46" s="1422">
        <v>5595</v>
      </c>
      <c r="CB46" s="1422">
        <v>14064</v>
      </c>
      <c r="CC46" s="1420">
        <v>323045.31</v>
      </c>
      <c r="CD46" s="1422">
        <v>325503</v>
      </c>
      <c r="CE46" s="1420">
        <v>784643.09</v>
      </c>
      <c r="CF46" s="1422">
        <v>716348</v>
      </c>
      <c r="CG46" s="1422">
        <v>0</v>
      </c>
      <c r="CH46" s="1422">
        <v>0</v>
      </c>
      <c r="CI46" s="1422">
        <v>0</v>
      </c>
      <c r="CJ46" s="1422">
        <v>0</v>
      </c>
      <c r="CK46" s="1422">
        <v>0</v>
      </c>
      <c r="CL46" s="1422">
        <v>0</v>
      </c>
      <c r="CM46" s="1422">
        <v>0</v>
      </c>
      <c r="CN46" s="1422">
        <v>0</v>
      </c>
      <c r="CO46" s="1422">
        <v>0</v>
      </c>
      <c r="CP46" s="1422">
        <v>0</v>
      </c>
      <c r="CQ46" s="1422">
        <v>0</v>
      </c>
      <c r="CR46" s="1422">
        <v>0</v>
      </c>
      <c r="CS46" s="1422">
        <v>0</v>
      </c>
      <c r="CT46" s="1422">
        <v>0</v>
      </c>
      <c r="CU46" s="1420">
        <v>6290722.3499999996</v>
      </c>
      <c r="CV46" s="1422">
        <v>5300715</v>
      </c>
      <c r="CW46" s="1420">
        <v>1885874.33</v>
      </c>
      <c r="CX46" s="1422">
        <v>1875643</v>
      </c>
      <c r="CY46" s="1420">
        <v>294993.40999999997</v>
      </c>
      <c r="CZ46" s="1422">
        <v>264706</v>
      </c>
      <c r="DA46" s="1420">
        <v>180434.39</v>
      </c>
      <c r="DB46" s="1422">
        <v>186487</v>
      </c>
      <c r="DC46" s="1422">
        <v>0</v>
      </c>
      <c r="DD46" s="1422">
        <v>0</v>
      </c>
      <c r="DE46" s="1420">
        <v>181695.77</v>
      </c>
      <c r="DF46" s="1422">
        <v>156272</v>
      </c>
      <c r="DG46" s="1420">
        <v>97715.97</v>
      </c>
      <c r="DH46" s="1422">
        <v>90961</v>
      </c>
      <c r="DI46" s="1420">
        <v>2640713.87</v>
      </c>
      <c r="DJ46" s="1422">
        <v>2574069</v>
      </c>
      <c r="DK46" s="1420">
        <v>209588.48000000001</v>
      </c>
      <c r="DL46" s="1422">
        <v>230538</v>
      </c>
      <c r="DM46" s="1420">
        <v>54448.59</v>
      </c>
      <c r="DN46" s="1422">
        <v>76816</v>
      </c>
      <c r="DO46" s="1420">
        <v>514043.83</v>
      </c>
      <c r="DP46" s="1422">
        <v>695076</v>
      </c>
      <c r="DQ46" s="1420">
        <v>255799.65</v>
      </c>
      <c r="DR46" s="1422">
        <v>274305</v>
      </c>
      <c r="DS46" s="1420">
        <v>28465.96</v>
      </c>
      <c r="DT46" s="1422">
        <v>20000</v>
      </c>
      <c r="DU46" s="1420">
        <v>1062346.51</v>
      </c>
      <c r="DV46" s="1422">
        <v>1296735</v>
      </c>
      <c r="DW46" s="1420">
        <v>358464.26</v>
      </c>
      <c r="DX46" s="1422">
        <v>417486</v>
      </c>
      <c r="DY46" s="1420">
        <v>235821.88</v>
      </c>
      <c r="DZ46" s="1422">
        <v>307242</v>
      </c>
      <c r="EA46" s="1420">
        <v>251656.97</v>
      </c>
      <c r="EB46" s="1422">
        <v>277820</v>
      </c>
      <c r="EC46" s="1420">
        <v>845943.11</v>
      </c>
      <c r="ED46" s="1422">
        <v>1002548</v>
      </c>
      <c r="EE46" s="1420">
        <v>294489.13</v>
      </c>
      <c r="EF46" s="1422">
        <v>296232</v>
      </c>
      <c r="EG46" s="1420">
        <v>18305.580000000002</v>
      </c>
      <c r="EH46" s="1422">
        <v>0</v>
      </c>
      <c r="EI46" s="1420">
        <v>535.27</v>
      </c>
      <c r="EJ46" s="1422">
        <v>5076</v>
      </c>
      <c r="EK46" s="1422">
        <v>0</v>
      </c>
      <c r="EL46" s="1422">
        <v>0</v>
      </c>
      <c r="EM46" s="1420">
        <v>313329.98</v>
      </c>
      <c r="EN46" s="1422">
        <v>301308</v>
      </c>
      <c r="EO46" s="1420">
        <v>222320.86</v>
      </c>
      <c r="EP46" s="1422">
        <v>763651</v>
      </c>
      <c r="EQ46" s="1420">
        <v>215100.57</v>
      </c>
      <c r="ER46" s="1422">
        <v>210527</v>
      </c>
      <c r="ES46" s="1422">
        <v>0</v>
      </c>
      <c r="ET46" s="1422">
        <v>0</v>
      </c>
      <c r="EU46" s="1420">
        <v>5299754.9000000004</v>
      </c>
      <c r="EV46" s="1422">
        <v>6148838</v>
      </c>
      <c r="EW46" s="1420">
        <v>379751.59</v>
      </c>
      <c r="EX46" s="1422">
        <v>823747</v>
      </c>
      <c r="EY46" s="1420">
        <v>215100.57</v>
      </c>
      <c r="EZ46" s="1422">
        <v>210527</v>
      </c>
      <c r="FA46" s="1420">
        <v>4704902.74</v>
      </c>
      <c r="FB46" s="1422">
        <v>5114564</v>
      </c>
      <c r="FC46" s="1420">
        <v>278241.36</v>
      </c>
      <c r="FD46" s="1439"/>
      <c r="FE46" s="1420">
        <v>4426661.38</v>
      </c>
      <c r="FF46" s="1439"/>
      <c r="FG46" s="1422">
        <v>9561</v>
      </c>
      <c r="FH46" s="1439"/>
      <c r="FI46" s="1420">
        <v>40.090000000000003</v>
      </c>
      <c r="FJ46" s="1439"/>
      <c r="FK46" s="1422">
        <v>38706</v>
      </c>
      <c r="FL46" s="1439"/>
      <c r="FM46" s="1420">
        <v>43.57</v>
      </c>
      <c r="FN46" s="1439"/>
      <c r="FO46" s="1422">
        <v>41680</v>
      </c>
      <c r="FP46" s="1439"/>
      <c r="FQ46" s="1420">
        <v>3751511.73</v>
      </c>
      <c r="FR46" s="1439"/>
      <c r="FS46" s="1420">
        <v>11688.42</v>
      </c>
      <c r="FT46" s="1439"/>
      <c r="FU46" s="1422">
        <v>0</v>
      </c>
      <c r="FV46" s="1439"/>
      <c r="FW46" s="1420">
        <v>3739823.31</v>
      </c>
      <c r="FX46" s="1439"/>
      <c r="FY46" s="1420">
        <v>231188.92</v>
      </c>
      <c r="FZ46" s="1439"/>
      <c r="GA46" s="1422">
        <v>0</v>
      </c>
      <c r="GB46" s="1439"/>
    </row>
    <row r="47" spans="1:184" ht="12.75" customHeight="1" thickBot="1">
      <c r="A47" s="1418" t="s">
        <v>491</v>
      </c>
      <c r="B47" s="1418" t="s">
        <v>492</v>
      </c>
      <c r="C47" s="1420">
        <v>161.09</v>
      </c>
      <c r="D47" s="1439"/>
      <c r="E47" s="1420">
        <v>391.68</v>
      </c>
      <c r="F47" s="1439"/>
      <c r="G47" s="1421">
        <v>0</v>
      </c>
      <c r="H47" s="1439"/>
      <c r="I47" s="1420">
        <v>411.35</v>
      </c>
      <c r="J47" s="1439"/>
      <c r="K47" s="1420">
        <v>412.05</v>
      </c>
      <c r="L47" s="1439"/>
      <c r="M47" s="1422">
        <v>70606416</v>
      </c>
      <c r="N47" s="1439"/>
      <c r="O47" s="1422">
        <v>25</v>
      </c>
      <c r="P47" s="1439"/>
      <c r="Q47" s="1422">
        <v>25</v>
      </c>
      <c r="R47" s="1439"/>
      <c r="S47" s="1422">
        <v>0</v>
      </c>
      <c r="T47" s="1439"/>
      <c r="U47" s="1422">
        <v>0</v>
      </c>
      <c r="V47" s="1439"/>
      <c r="W47" s="1420">
        <v>11.2</v>
      </c>
      <c r="X47" s="1439"/>
      <c r="Y47" s="1420">
        <v>36.200000000000003</v>
      </c>
      <c r="Z47" s="1439"/>
      <c r="AA47" s="1422">
        <v>4675000</v>
      </c>
      <c r="AB47" s="1439"/>
      <c r="AC47" s="1420">
        <v>2225620.11</v>
      </c>
      <c r="AD47" s="1422">
        <v>2430000</v>
      </c>
      <c r="AE47" s="1420">
        <v>225217.26</v>
      </c>
      <c r="AF47" s="1422">
        <v>50000</v>
      </c>
      <c r="AG47" s="1420">
        <v>475.41</v>
      </c>
      <c r="AH47" s="1422">
        <v>0</v>
      </c>
      <c r="AI47" s="1422">
        <v>1027823</v>
      </c>
      <c r="AJ47" s="1422">
        <v>679706</v>
      </c>
      <c r="AK47" s="1422">
        <v>24991</v>
      </c>
      <c r="AL47" s="1422">
        <v>0</v>
      </c>
      <c r="AM47" s="1422">
        <v>9622</v>
      </c>
      <c r="AN47" s="1422">
        <v>0</v>
      </c>
      <c r="AO47" s="1422">
        <v>0</v>
      </c>
      <c r="AP47" s="1422">
        <v>0</v>
      </c>
      <c r="AQ47" s="1422">
        <v>0</v>
      </c>
      <c r="AR47" s="1422">
        <v>0</v>
      </c>
      <c r="AS47" s="1422">
        <v>0</v>
      </c>
      <c r="AT47" s="1422">
        <v>0</v>
      </c>
      <c r="AU47" s="1422">
        <v>16258</v>
      </c>
      <c r="AV47" s="1422">
        <v>13007</v>
      </c>
      <c r="AW47" s="1422">
        <v>0</v>
      </c>
      <c r="AX47" s="1422">
        <v>0</v>
      </c>
      <c r="AY47" s="1420">
        <v>3530006.78</v>
      </c>
      <c r="AZ47" s="1422">
        <v>3172713</v>
      </c>
      <c r="BA47" s="1422">
        <v>0</v>
      </c>
      <c r="BB47" s="1422">
        <v>0</v>
      </c>
      <c r="BC47" s="1422">
        <v>17042</v>
      </c>
      <c r="BD47" s="1422">
        <v>17501</v>
      </c>
      <c r="BE47" s="1422">
        <v>6400</v>
      </c>
      <c r="BF47" s="1422">
        <v>0</v>
      </c>
      <c r="BG47" s="1422">
        <v>0</v>
      </c>
      <c r="BH47" s="1422">
        <v>0</v>
      </c>
      <c r="BI47" s="1422">
        <v>32585</v>
      </c>
      <c r="BJ47" s="1422">
        <v>37471</v>
      </c>
      <c r="BK47" s="1422">
        <v>0</v>
      </c>
      <c r="BL47" s="1422">
        <v>0</v>
      </c>
      <c r="BM47" s="1422">
        <v>102672</v>
      </c>
      <c r="BN47" s="1422">
        <v>106260</v>
      </c>
      <c r="BO47" s="1420">
        <v>30348.13</v>
      </c>
      <c r="BP47" s="1422">
        <v>29000</v>
      </c>
      <c r="BQ47" s="1422">
        <v>0</v>
      </c>
      <c r="BR47" s="1422">
        <v>0</v>
      </c>
      <c r="BS47" s="1420">
        <v>1642.21</v>
      </c>
      <c r="BT47" s="1422">
        <v>0</v>
      </c>
      <c r="BU47" s="1422">
        <v>0</v>
      </c>
      <c r="BV47" s="1422">
        <v>0</v>
      </c>
      <c r="BW47" s="1422">
        <v>97200</v>
      </c>
      <c r="BX47" s="1422">
        <v>97200</v>
      </c>
      <c r="BY47" s="1422">
        <v>0</v>
      </c>
      <c r="BZ47" s="1422">
        <v>0</v>
      </c>
      <c r="CA47" s="1420">
        <v>378994.94</v>
      </c>
      <c r="CB47" s="1422">
        <v>4367</v>
      </c>
      <c r="CC47" s="1420">
        <v>666884.28</v>
      </c>
      <c r="CD47" s="1422">
        <v>291799</v>
      </c>
      <c r="CE47" s="1420">
        <v>1162004.1299999999</v>
      </c>
      <c r="CF47" s="1420">
        <v>411203.46</v>
      </c>
      <c r="CG47" s="1420">
        <v>1820179.23</v>
      </c>
      <c r="CH47" s="1422">
        <v>250000</v>
      </c>
      <c r="CI47" s="1422">
        <v>0</v>
      </c>
      <c r="CJ47" s="1422">
        <v>0</v>
      </c>
      <c r="CK47" s="1422">
        <v>0</v>
      </c>
      <c r="CL47" s="1422">
        <v>0</v>
      </c>
      <c r="CM47" s="1422">
        <v>0</v>
      </c>
      <c r="CN47" s="1422">
        <v>0</v>
      </c>
      <c r="CO47" s="1422">
        <v>0</v>
      </c>
      <c r="CP47" s="1422">
        <v>0</v>
      </c>
      <c r="CQ47" s="1422">
        <v>0</v>
      </c>
      <c r="CR47" s="1422">
        <v>0</v>
      </c>
      <c r="CS47" s="1420">
        <v>1820179.23</v>
      </c>
      <c r="CT47" s="1422">
        <v>250000</v>
      </c>
      <c r="CU47" s="1420">
        <v>7179074.4199999999</v>
      </c>
      <c r="CV47" s="1420">
        <v>4125715.46</v>
      </c>
      <c r="CW47" s="1420">
        <v>1751799.39</v>
      </c>
      <c r="CX47" s="1420">
        <v>1444736.06</v>
      </c>
      <c r="CY47" s="1420">
        <v>250759.18</v>
      </c>
      <c r="CZ47" s="1420">
        <v>264915.83</v>
      </c>
      <c r="DA47" s="1420">
        <v>178106.84</v>
      </c>
      <c r="DB47" s="1420">
        <v>153260.09</v>
      </c>
      <c r="DC47" s="1422">
        <v>0</v>
      </c>
      <c r="DD47" s="1422">
        <v>0</v>
      </c>
      <c r="DE47" s="1420">
        <v>124972.4</v>
      </c>
      <c r="DF47" s="1420">
        <v>96362.22</v>
      </c>
      <c r="DG47" s="1420">
        <v>136919.25</v>
      </c>
      <c r="DH47" s="1420">
        <v>135838.32999999999</v>
      </c>
      <c r="DI47" s="1420">
        <v>2442557.06</v>
      </c>
      <c r="DJ47" s="1420">
        <v>2095112.53</v>
      </c>
      <c r="DK47" s="1420">
        <v>197062.92</v>
      </c>
      <c r="DL47" s="1420">
        <v>186198.11</v>
      </c>
      <c r="DM47" s="1420">
        <v>189537.86</v>
      </c>
      <c r="DN47" s="1420">
        <v>95501.119999999995</v>
      </c>
      <c r="DO47" s="1420">
        <v>411146.43</v>
      </c>
      <c r="DP47" s="1420">
        <v>316456.55</v>
      </c>
      <c r="DQ47" s="1420">
        <v>167162.97</v>
      </c>
      <c r="DR47" s="1420">
        <v>153283.56</v>
      </c>
      <c r="DS47" s="1420">
        <v>10410.200000000001</v>
      </c>
      <c r="DT47" s="1422">
        <v>0</v>
      </c>
      <c r="DU47" s="1420">
        <v>975320.38</v>
      </c>
      <c r="DV47" s="1420">
        <v>751439.34</v>
      </c>
      <c r="DW47" s="1420">
        <v>136980.63</v>
      </c>
      <c r="DX47" s="1420">
        <v>129108.35</v>
      </c>
      <c r="DY47" s="1420">
        <v>146699.85</v>
      </c>
      <c r="DZ47" s="1420">
        <v>122092.97</v>
      </c>
      <c r="EA47" s="1420">
        <v>217511.13</v>
      </c>
      <c r="EB47" s="1420">
        <v>196718.2</v>
      </c>
      <c r="EC47" s="1420">
        <v>501191.61</v>
      </c>
      <c r="ED47" s="1420">
        <v>447919.52</v>
      </c>
      <c r="EE47" s="1420">
        <v>237833.54</v>
      </c>
      <c r="EF47" s="1420">
        <v>190297.3</v>
      </c>
      <c r="EG47" s="1422">
        <v>0</v>
      </c>
      <c r="EH47" s="1422">
        <v>0</v>
      </c>
      <c r="EI47" s="1420">
        <v>1000.93</v>
      </c>
      <c r="EJ47" s="1422">
        <v>0</v>
      </c>
      <c r="EK47" s="1422">
        <v>0</v>
      </c>
      <c r="EL47" s="1422">
        <v>0</v>
      </c>
      <c r="EM47" s="1420">
        <v>238834.47</v>
      </c>
      <c r="EN47" s="1420">
        <v>190297.3</v>
      </c>
      <c r="EO47" s="1420">
        <v>3092460.32</v>
      </c>
      <c r="EP47" s="1422">
        <v>200000</v>
      </c>
      <c r="EQ47" s="1420">
        <v>219868.64</v>
      </c>
      <c r="ER47" s="1422">
        <v>302000</v>
      </c>
      <c r="ES47" s="1422">
        <v>38900</v>
      </c>
      <c r="ET47" s="1422">
        <v>0</v>
      </c>
      <c r="EU47" s="1420">
        <v>7509132.4800000004</v>
      </c>
      <c r="EV47" s="1420">
        <v>3986768.69</v>
      </c>
      <c r="EW47" s="1420">
        <v>3183608.37</v>
      </c>
      <c r="EX47" s="1422">
        <v>235000</v>
      </c>
      <c r="EY47" s="1420">
        <v>219868.64</v>
      </c>
      <c r="EZ47" s="1422">
        <v>302000</v>
      </c>
      <c r="FA47" s="1420">
        <v>4105655.47</v>
      </c>
      <c r="FB47" s="1420">
        <v>3449768.69</v>
      </c>
      <c r="FC47" s="1420">
        <v>315890.42</v>
      </c>
      <c r="FD47" s="1439"/>
      <c r="FE47" s="1420">
        <v>3789765.05</v>
      </c>
      <c r="FF47" s="1439"/>
      <c r="FG47" s="1422">
        <v>9675</v>
      </c>
      <c r="FH47" s="1439"/>
      <c r="FI47" s="1420">
        <v>37.97</v>
      </c>
      <c r="FJ47" s="1439"/>
      <c r="FK47" s="1422">
        <v>36161</v>
      </c>
      <c r="FL47" s="1439"/>
      <c r="FM47" s="1420">
        <v>40.799999999999997</v>
      </c>
      <c r="FN47" s="1439"/>
      <c r="FO47" s="1422">
        <v>38194</v>
      </c>
      <c r="FP47" s="1439"/>
      <c r="FQ47" s="1420">
        <v>987808.77</v>
      </c>
      <c r="FR47" s="1439"/>
      <c r="FS47" s="1420">
        <v>18506.5</v>
      </c>
      <c r="FT47" s="1439"/>
      <c r="FU47" s="1422">
        <v>0</v>
      </c>
      <c r="FV47" s="1439"/>
      <c r="FW47" s="1420">
        <v>969302.27</v>
      </c>
      <c r="FX47" s="1439"/>
      <c r="FY47" s="1420">
        <v>1550652.7</v>
      </c>
      <c r="FZ47" s="1439"/>
      <c r="GA47" s="1422">
        <v>0</v>
      </c>
      <c r="GB47" s="1439"/>
    </row>
    <row r="48" spans="1:184" ht="12.75" customHeight="1" thickBot="1">
      <c r="A48" s="1418" t="s">
        <v>493</v>
      </c>
      <c r="B48" s="1418" t="s">
        <v>494</v>
      </c>
      <c r="C48" s="1420">
        <v>274.06</v>
      </c>
      <c r="D48" s="1439"/>
      <c r="E48" s="1420">
        <v>2105.8200000000002</v>
      </c>
      <c r="F48" s="1439"/>
      <c r="G48" s="1421">
        <v>-0.04</v>
      </c>
      <c r="H48" s="1439"/>
      <c r="I48" s="1420">
        <v>2227.21</v>
      </c>
      <c r="J48" s="1439"/>
      <c r="K48" s="1420">
        <v>2281.88</v>
      </c>
      <c r="L48" s="1439"/>
      <c r="M48" s="1422">
        <v>197354704</v>
      </c>
      <c r="N48" s="1439"/>
      <c r="O48" s="1422">
        <v>25</v>
      </c>
      <c r="P48" s="1439"/>
      <c r="Q48" s="1422">
        <v>25</v>
      </c>
      <c r="R48" s="1439"/>
      <c r="S48" s="1422">
        <v>0</v>
      </c>
      <c r="T48" s="1439"/>
      <c r="U48" s="1422">
        <v>0</v>
      </c>
      <c r="V48" s="1439"/>
      <c r="W48" s="1420">
        <v>10.4</v>
      </c>
      <c r="X48" s="1439"/>
      <c r="Y48" s="1420">
        <v>35.4</v>
      </c>
      <c r="Z48" s="1439"/>
      <c r="AA48" s="1422">
        <v>18415176</v>
      </c>
      <c r="AB48" s="1439"/>
      <c r="AC48" s="1420">
        <v>6590488.2999999998</v>
      </c>
      <c r="AD48" s="1422">
        <v>6606675</v>
      </c>
      <c r="AE48" s="1420">
        <v>1160743.74</v>
      </c>
      <c r="AF48" s="1420">
        <v>627888.13</v>
      </c>
      <c r="AG48" s="1420">
        <v>6296.77</v>
      </c>
      <c r="AH48" s="1422">
        <v>6500</v>
      </c>
      <c r="AI48" s="1422">
        <v>8923664</v>
      </c>
      <c r="AJ48" s="1422">
        <v>8829817</v>
      </c>
      <c r="AK48" s="1422">
        <v>228356</v>
      </c>
      <c r="AL48" s="1422">
        <v>0</v>
      </c>
      <c r="AM48" s="1422">
        <v>0</v>
      </c>
      <c r="AN48" s="1422">
        <v>0</v>
      </c>
      <c r="AO48" s="1422">
        <v>61615</v>
      </c>
      <c r="AP48" s="1422">
        <v>161864</v>
      </c>
      <c r="AQ48" s="1422">
        <v>0</v>
      </c>
      <c r="AR48" s="1422">
        <v>0</v>
      </c>
      <c r="AS48" s="1422">
        <v>0</v>
      </c>
      <c r="AT48" s="1422">
        <v>0</v>
      </c>
      <c r="AU48" s="1422">
        <v>0</v>
      </c>
      <c r="AV48" s="1422">
        <v>0</v>
      </c>
      <c r="AW48" s="1422">
        <v>0</v>
      </c>
      <c r="AX48" s="1422">
        <v>600</v>
      </c>
      <c r="AY48" s="1420">
        <v>16971163.809999999</v>
      </c>
      <c r="AZ48" s="1420">
        <v>16233344.130000001</v>
      </c>
      <c r="BA48" s="1422">
        <v>0</v>
      </c>
      <c r="BB48" s="1422">
        <v>0</v>
      </c>
      <c r="BC48" s="1422">
        <v>94379</v>
      </c>
      <c r="BD48" s="1422">
        <v>94473</v>
      </c>
      <c r="BE48" s="1420">
        <v>6070.78</v>
      </c>
      <c r="BF48" s="1422">
        <v>12000</v>
      </c>
      <c r="BG48" s="1422">
        <v>1950</v>
      </c>
      <c r="BH48" s="1422">
        <v>2000</v>
      </c>
      <c r="BI48" s="1422">
        <v>48756</v>
      </c>
      <c r="BJ48" s="1422">
        <v>58859</v>
      </c>
      <c r="BK48" s="1422">
        <v>16408</v>
      </c>
      <c r="BL48" s="1422">
        <v>0</v>
      </c>
      <c r="BM48" s="1422">
        <v>707296</v>
      </c>
      <c r="BN48" s="1422">
        <v>705364</v>
      </c>
      <c r="BO48" s="1420">
        <v>20842.11</v>
      </c>
      <c r="BP48" s="1422">
        <v>0</v>
      </c>
      <c r="BQ48" s="1420">
        <v>638729.69999999995</v>
      </c>
      <c r="BR48" s="1422">
        <v>501059</v>
      </c>
      <c r="BS48" s="1420">
        <v>800142.21</v>
      </c>
      <c r="BT48" s="1422">
        <v>805000</v>
      </c>
      <c r="BU48" s="1422">
        <v>0</v>
      </c>
      <c r="BV48" s="1422">
        <v>0</v>
      </c>
      <c r="BW48" s="1422">
        <v>388800</v>
      </c>
      <c r="BX48" s="1422">
        <v>388800</v>
      </c>
      <c r="BY48" s="1422">
        <v>0</v>
      </c>
      <c r="BZ48" s="1422">
        <v>0</v>
      </c>
      <c r="CA48" s="1422">
        <v>130260</v>
      </c>
      <c r="CB48" s="1422">
        <v>360776</v>
      </c>
      <c r="CC48" s="1420">
        <v>2853633.8</v>
      </c>
      <c r="CD48" s="1422">
        <v>2928331</v>
      </c>
      <c r="CE48" s="1420">
        <v>4241649.3499999996</v>
      </c>
      <c r="CF48" s="1420">
        <v>2964687.92</v>
      </c>
      <c r="CG48" s="1420">
        <v>1274573.3500000001</v>
      </c>
      <c r="CH48" s="1422">
        <v>0</v>
      </c>
      <c r="CI48" s="1422">
        <v>0</v>
      </c>
      <c r="CJ48" s="1422">
        <v>0</v>
      </c>
      <c r="CK48" s="1422">
        <v>20546</v>
      </c>
      <c r="CL48" s="1422">
        <v>18500</v>
      </c>
      <c r="CM48" s="1422">
        <v>0</v>
      </c>
      <c r="CN48" s="1422">
        <v>0</v>
      </c>
      <c r="CO48" s="1420">
        <v>6068.89</v>
      </c>
      <c r="CP48" s="1422">
        <v>0</v>
      </c>
      <c r="CQ48" s="1420">
        <v>87447.6</v>
      </c>
      <c r="CR48" s="1422">
        <v>85000</v>
      </c>
      <c r="CS48" s="1420">
        <v>1388635.84</v>
      </c>
      <c r="CT48" s="1422">
        <v>103500</v>
      </c>
      <c r="CU48" s="1420">
        <v>25455082.800000001</v>
      </c>
      <c r="CV48" s="1420">
        <v>22229863.050000001</v>
      </c>
      <c r="CW48" s="1420">
        <v>7677577.4199999999</v>
      </c>
      <c r="CX48" s="1420">
        <v>7352398.7300000004</v>
      </c>
      <c r="CY48" s="1420">
        <v>1220880.0900000001</v>
      </c>
      <c r="CZ48" s="1420">
        <v>1108171.68</v>
      </c>
      <c r="DA48" s="1420">
        <v>1045348.28</v>
      </c>
      <c r="DB48" s="1420">
        <v>990957.53</v>
      </c>
      <c r="DC48" s="1422">
        <v>0</v>
      </c>
      <c r="DD48" s="1422">
        <v>0</v>
      </c>
      <c r="DE48" s="1420">
        <v>519391.57</v>
      </c>
      <c r="DF48" s="1420">
        <v>678877.54</v>
      </c>
      <c r="DG48" s="1420">
        <v>1020914.29</v>
      </c>
      <c r="DH48" s="1420">
        <v>1114093.8400000001</v>
      </c>
      <c r="DI48" s="1420">
        <v>11484111.65</v>
      </c>
      <c r="DJ48" s="1420">
        <v>11244499.32</v>
      </c>
      <c r="DK48" s="1420">
        <v>484533.8</v>
      </c>
      <c r="DL48" s="1420">
        <v>403112.01</v>
      </c>
      <c r="DM48" s="1420">
        <v>412845.81</v>
      </c>
      <c r="DN48" s="1420">
        <v>536672.07999999996</v>
      </c>
      <c r="DO48" s="1420">
        <v>2134232.6</v>
      </c>
      <c r="DP48" s="1420">
        <v>1982615.14</v>
      </c>
      <c r="DQ48" s="1420">
        <v>1349361.45</v>
      </c>
      <c r="DR48" s="1420">
        <v>1320598.8500000001</v>
      </c>
      <c r="DS48" s="1420">
        <v>106750.37</v>
      </c>
      <c r="DT48" s="1422">
        <v>91482</v>
      </c>
      <c r="DU48" s="1420">
        <v>4487724.03</v>
      </c>
      <c r="DV48" s="1420">
        <v>4334480.08</v>
      </c>
      <c r="DW48" s="1420">
        <v>1102235.83</v>
      </c>
      <c r="DX48" s="1420">
        <v>1238382.22</v>
      </c>
      <c r="DY48" s="1420">
        <v>1543818.37</v>
      </c>
      <c r="DZ48" s="1420">
        <v>1690969.47</v>
      </c>
      <c r="EA48" s="1420">
        <v>1049553.96</v>
      </c>
      <c r="EB48" s="1420">
        <v>1023573.63</v>
      </c>
      <c r="EC48" s="1420">
        <v>3695608.16</v>
      </c>
      <c r="ED48" s="1420">
        <v>3952925.32</v>
      </c>
      <c r="EE48" s="1420">
        <v>1067112.5</v>
      </c>
      <c r="EF48" s="1420">
        <v>1081593.47</v>
      </c>
      <c r="EG48" s="1422">
        <v>0</v>
      </c>
      <c r="EH48" s="1422">
        <v>0</v>
      </c>
      <c r="EI48" s="1420">
        <v>5621.59</v>
      </c>
      <c r="EJ48" s="1422">
        <v>10000</v>
      </c>
      <c r="EK48" s="1422">
        <v>0</v>
      </c>
      <c r="EL48" s="1422">
        <v>0</v>
      </c>
      <c r="EM48" s="1420">
        <v>1072734.0900000001</v>
      </c>
      <c r="EN48" s="1420">
        <v>1091593.47</v>
      </c>
      <c r="EO48" s="1420">
        <v>3342789.73</v>
      </c>
      <c r="EP48" s="1420">
        <v>1851830.06</v>
      </c>
      <c r="EQ48" s="1422">
        <v>757962</v>
      </c>
      <c r="ER48" s="1422">
        <v>1287678</v>
      </c>
      <c r="ES48" s="1422">
        <v>0</v>
      </c>
      <c r="ET48" s="1422">
        <v>0</v>
      </c>
      <c r="EU48" s="1420">
        <v>24840929.66</v>
      </c>
      <c r="EV48" s="1420">
        <v>23763006.25</v>
      </c>
      <c r="EW48" s="1420">
        <v>4075885.61</v>
      </c>
      <c r="EX48" s="1420">
        <v>2589128.02</v>
      </c>
      <c r="EY48" s="1422">
        <v>757962</v>
      </c>
      <c r="EZ48" s="1422">
        <v>1287678</v>
      </c>
      <c r="FA48" s="1420">
        <v>20007082.050000001</v>
      </c>
      <c r="FB48" s="1420">
        <v>19886200.23</v>
      </c>
      <c r="FC48" s="1420">
        <v>1260452.19</v>
      </c>
      <c r="FD48" s="1439"/>
      <c r="FE48" s="1420">
        <v>18746629.859999999</v>
      </c>
      <c r="FF48" s="1439"/>
      <c r="FG48" s="1422">
        <v>8902</v>
      </c>
      <c r="FH48" s="1439"/>
      <c r="FI48" s="1420">
        <v>169.67</v>
      </c>
      <c r="FJ48" s="1439"/>
      <c r="FK48" s="1422">
        <v>42991</v>
      </c>
      <c r="FL48" s="1439"/>
      <c r="FM48" s="1420">
        <v>182.38</v>
      </c>
      <c r="FN48" s="1439"/>
      <c r="FO48" s="1422">
        <v>45256</v>
      </c>
      <c r="FP48" s="1439"/>
      <c r="FQ48" s="1420">
        <v>2522663.34</v>
      </c>
      <c r="FR48" s="1439"/>
      <c r="FS48" s="1420">
        <v>57997.2</v>
      </c>
      <c r="FT48" s="1439"/>
      <c r="FU48" s="1422">
        <v>0</v>
      </c>
      <c r="FV48" s="1439"/>
      <c r="FW48" s="1420">
        <v>2464666.14</v>
      </c>
      <c r="FX48" s="1439"/>
      <c r="FY48" s="1420">
        <v>961902.07</v>
      </c>
      <c r="FZ48" s="1439"/>
      <c r="GA48" s="1422">
        <v>0</v>
      </c>
      <c r="GB48" s="1439"/>
    </row>
    <row r="49" spans="1:184" ht="12.75" customHeight="1" thickBot="1">
      <c r="A49" s="1418" t="s">
        <v>495</v>
      </c>
      <c r="B49" s="1418" t="s">
        <v>496</v>
      </c>
      <c r="C49" s="1420">
        <v>64.650000000000006</v>
      </c>
      <c r="D49" s="1439"/>
      <c r="E49" s="1420">
        <v>531.74</v>
      </c>
      <c r="F49" s="1439"/>
      <c r="G49" s="1421">
        <v>-0.03</v>
      </c>
      <c r="H49" s="1439"/>
      <c r="I49" s="1420">
        <v>566.29</v>
      </c>
      <c r="J49" s="1439"/>
      <c r="K49" s="1420">
        <v>532.98</v>
      </c>
      <c r="L49" s="1439"/>
      <c r="M49" s="1422">
        <v>29732090</v>
      </c>
      <c r="N49" s="1439"/>
      <c r="O49" s="1422">
        <v>25</v>
      </c>
      <c r="P49" s="1439"/>
      <c r="Q49" s="1422">
        <v>25</v>
      </c>
      <c r="R49" s="1439"/>
      <c r="S49" s="1422">
        <v>0</v>
      </c>
      <c r="T49" s="1439"/>
      <c r="U49" s="1422">
        <v>0</v>
      </c>
      <c r="V49" s="1439"/>
      <c r="W49" s="1420">
        <v>12.7</v>
      </c>
      <c r="X49" s="1439"/>
      <c r="Y49" s="1420">
        <v>37.700000000000003</v>
      </c>
      <c r="Z49" s="1439"/>
      <c r="AA49" s="1422">
        <v>2802600</v>
      </c>
      <c r="AB49" s="1439"/>
      <c r="AC49" s="1420">
        <v>1037657.29</v>
      </c>
      <c r="AD49" s="1422">
        <v>1032439</v>
      </c>
      <c r="AE49" s="1420">
        <v>395548.47</v>
      </c>
      <c r="AF49" s="1422">
        <v>118731</v>
      </c>
      <c r="AG49" s="1422">
        <v>0</v>
      </c>
      <c r="AH49" s="1422">
        <v>0</v>
      </c>
      <c r="AI49" s="1422">
        <v>2477120</v>
      </c>
      <c r="AJ49" s="1422">
        <v>2744214</v>
      </c>
      <c r="AK49" s="1422">
        <v>36525</v>
      </c>
      <c r="AL49" s="1422">
        <v>0</v>
      </c>
      <c r="AM49" s="1422">
        <v>200024</v>
      </c>
      <c r="AN49" s="1422">
        <v>0</v>
      </c>
      <c r="AO49" s="1422">
        <v>0</v>
      </c>
      <c r="AP49" s="1422">
        <v>0</v>
      </c>
      <c r="AQ49" s="1422">
        <v>0</v>
      </c>
      <c r="AR49" s="1422">
        <v>0</v>
      </c>
      <c r="AS49" s="1422">
        <v>0</v>
      </c>
      <c r="AT49" s="1422">
        <v>0</v>
      </c>
      <c r="AU49" s="1422">
        <v>23555</v>
      </c>
      <c r="AV49" s="1422">
        <v>9422</v>
      </c>
      <c r="AW49" s="1422">
        <v>0</v>
      </c>
      <c r="AX49" s="1422">
        <v>0</v>
      </c>
      <c r="AY49" s="1420">
        <v>4170429.76</v>
      </c>
      <c r="AZ49" s="1422">
        <v>3904806</v>
      </c>
      <c r="BA49" s="1422">
        <v>0</v>
      </c>
      <c r="BB49" s="1422">
        <v>0</v>
      </c>
      <c r="BC49" s="1422">
        <v>22044</v>
      </c>
      <c r="BD49" s="1422">
        <v>23954</v>
      </c>
      <c r="BE49" s="1422">
        <v>100</v>
      </c>
      <c r="BF49" s="1422">
        <v>0</v>
      </c>
      <c r="BG49" s="1422">
        <v>100</v>
      </c>
      <c r="BH49" s="1422">
        <v>0</v>
      </c>
      <c r="BI49" s="1422">
        <v>7842</v>
      </c>
      <c r="BJ49" s="1422">
        <v>5679</v>
      </c>
      <c r="BK49" s="1422">
        <v>0</v>
      </c>
      <c r="BL49" s="1422">
        <v>0</v>
      </c>
      <c r="BM49" s="1422">
        <v>143344</v>
      </c>
      <c r="BN49" s="1422">
        <v>154836</v>
      </c>
      <c r="BO49" s="1420">
        <v>24960.13</v>
      </c>
      <c r="BP49" s="1422">
        <v>18256</v>
      </c>
      <c r="BQ49" s="1420">
        <v>8937.52</v>
      </c>
      <c r="BR49" s="1422">
        <v>1625</v>
      </c>
      <c r="BS49" s="1420">
        <v>1903.2</v>
      </c>
      <c r="BT49" s="1422">
        <v>1600</v>
      </c>
      <c r="BU49" s="1422">
        <v>0</v>
      </c>
      <c r="BV49" s="1422">
        <v>0</v>
      </c>
      <c r="BW49" s="1422">
        <v>0</v>
      </c>
      <c r="BX49" s="1422">
        <v>0</v>
      </c>
      <c r="BY49" s="1422">
        <v>0</v>
      </c>
      <c r="BZ49" s="1422">
        <v>0</v>
      </c>
      <c r="CA49" s="1422">
        <v>27623</v>
      </c>
      <c r="CB49" s="1422">
        <v>14557</v>
      </c>
      <c r="CC49" s="1420">
        <v>236853.85</v>
      </c>
      <c r="CD49" s="1422">
        <v>220507</v>
      </c>
      <c r="CE49" s="1420">
        <v>810724.85</v>
      </c>
      <c r="CF49" s="1420">
        <v>739196.53</v>
      </c>
      <c r="CG49" s="1422">
        <v>0</v>
      </c>
      <c r="CH49" s="1422">
        <v>0</v>
      </c>
      <c r="CI49" s="1422">
        <v>0</v>
      </c>
      <c r="CJ49" s="1422">
        <v>0</v>
      </c>
      <c r="CK49" s="1422">
        <v>0</v>
      </c>
      <c r="CL49" s="1422">
        <v>0</v>
      </c>
      <c r="CM49" s="1422">
        <v>2450</v>
      </c>
      <c r="CN49" s="1422">
        <v>0</v>
      </c>
      <c r="CO49" s="1422">
        <v>0</v>
      </c>
      <c r="CP49" s="1422">
        <v>0</v>
      </c>
      <c r="CQ49" s="1422">
        <v>0</v>
      </c>
      <c r="CR49" s="1422">
        <v>0</v>
      </c>
      <c r="CS49" s="1422">
        <v>2450</v>
      </c>
      <c r="CT49" s="1422">
        <v>0</v>
      </c>
      <c r="CU49" s="1420">
        <v>5220458.46</v>
      </c>
      <c r="CV49" s="1420">
        <v>4864509.53</v>
      </c>
      <c r="CW49" s="1420">
        <v>1892757.5</v>
      </c>
      <c r="CX49" s="1420">
        <v>1740810.2</v>
      </c>
      <c r="CY49" s="1420">
        <v>433771.9</v>
      </c>
      <c r="CZ49" s="1420">
        <v>420068.81</v>
      </c>
      <c r="DA49" s="1420">
        <v>199357.91</v>
      </c>
      <c r="DB49" s="1420">
        <v>284738.06</v>
      </c>
      <c r="DC49" s="1422">
        <v>0</v>
      </c>
      <c r="DD49" s="1422">
        <v>0</v>
      </c>
      <c r="DE49" s="1420">
        <v>259963.68</v>
      </c>
      <c r="DF49" s="1420">
        <v>168229.08</v>
      </c>
      <c r="DG49" s="1420">
        <v>213906.97</v>
      </c>
      <c r="DH49" s="1422">
        <v>240300</v>
      </c>
      <c r="DI49" s="1420">
        <v>2999757.96</v>
      </c>
      <c r="DJ49" s="1420">
        <v>2854146.15</v>
      </c>
      <c r="DK49" s="1420">
        <v>204406.57</v>
      </c>
      <c r="DL49" s="1422">
        <v>223840</v>
      </c>
      <c r="DM49" s="1420">
        <v>102586.99</v>
      </c>
      <c r="DN49" s="1420">
        <v>106228.54</v>
      </c>
      <c r="DO49" s="1420">
        <v>513709.9</v>
      </c>
      <c r="DP49" s="1422">
        <v>522643</v>
      </c>
      <c r="DQ49" s="1420">
        <v>126267.36</v>
      </c>
      <c r="DR49" s="1422">
        <v>209742</v>
      </c>
      <c r="DS49" s="1420">
        <v>22144.2</v>
      </c>
      <c r="DT49" s="1422">
        <v>7700</v>
      </c>
      <c r="DU49" s="1420">
        <v>969115.02</v>
      </c>
      <c r="DV49" s="1420">
        <v>1070153.54</v>
      </c>
      <c r="DW49" s="1420">
        <v>156554.35</v>
      </c>
      <c r="DX49" s="1422">
        <v>191164</v>
      </c>
      <c r="DY49" s="1420">
        <v>367089.32</v>
      </c>
      <c r="DZ49" s="1420">
        <v>402439.2</v>
      </c>
      <c r="EA49" s="1420">
        <v>324165.69</v>
      </c>
      <c r="EB49" s="1422">
        <v>247206</v>
      </c>
      <c r="EC49" s="1420">
        <v>847809.36</v>
      </c>
      <c r="ED49" s="1420">
        <v>840809.2</v>
      </c>
      <c r="EE49" s="1420">
        <v>302971.28000000003</v>
      </c>
      <c r="EF49" s="1422">
        <v>311585</v>
      </c>
      <c r="EG49" s="1422">
        <v>0</v>
      </c>
      <c r="EH49" s="1422">
        <v>0</v>
      </c>
      <c r="EI49" s="1422">
        <v>0</v>
      </c>
      <c r="EJ49" s="1422">
        <v>1000</v>
      </c>
      <c r="EK49" s="1422">
        <v>0</v>
      </c>
      <c r="EL49" s="1422">
        <v>0</v>
      </c>
      <c r="EM49" s="1420">
        <v>302971.28000000003</v>
      </c>
      <c r="EN49" s="1422">
        <v>312585</v>
      </c>
      <c r="EO49" s="1422">
        <v>6212</v>
      </c>
      <c r="EP49" s="1422">
        <v>26968</v>
      </c>
      <c r="EQ49" s="1420">
        <v>209559.55</v>
      </c>
      <c r="ER49" s="1422">
        <v>205131</v>
      </c>
      <c r="ES49" s="1422">
        <v>0</v>
      </c>
      <c r="ET49" s="1422">
        <v>0</v>
      </c>
      <c r="EU49" s="1420">
        <v>5335425.17</v>
      </c>
      <c r="EV49" s="1420">
        <v>5309792.8899999997</v>
      </c>
      <c r="EW49" s="1420">
        <v>68085.03</v>
      </c>
      <c r="EX49" s="1420">
        <v>144888.79</v>
      </c>
      <c r="EY49" s="1420">
        <v>209559.55</v>
      </c>
      <c r="EZ49" s="1422">
        <v>205131</v>
      </c>
      <c r="FA49" s="1420">
        <v>5057780.59</v>
      </c>
      <c r="FB49" s="1420">
        <v>4959773.0999999996</v>
      </c>
      <c r="FC49" s="1420">
        <v>298233.59999999998</v>
      </c>
      <c r="FD49" s="1439"/>
      <c r="FE49" s="1420">
        <v>4759546.99</v>
      </c>
      <c r="FF49" s="1439"/>
      <c r="FG49" s="1422">
        <v>8950</v>
      </c>
      <c r="FH49" s="1439"/>
      <c r="FI49" s="1420">
        <v>45.4</v>
      </c>
      <c r="FJ49" s="1439"/>
      <c r="FK49" s="1422">
        <v>38558</v>
      </c>
      <c r="FL49" s="1439"/>
      <c r="FM49" s="1420">
        <v>51.45</v>
      </c>
      <c r="FN49" s="1439"/>
      <c r="FO49" s="1422">
        <v>40602</v>
      </c>
      <c r="FP49" s="1439"/>
      <c r="FQ49" s="1420">
        <v>1762002.26</v>
      </c>
      <c r="FR49" s="1439"/>
      <c r="FS49" s="1420">
        <v>45203.54</v>
      </c>
      <c r="FT49" s="1439"/>
      <c r="FU49" s="1422">
        <v>0</v>
      </c>
      <c r="FV49" s="1439"/>
      <c r="FW49" s="1420">
        <v>1716798.72</v>
      </c>
      <c r="FX49" s="1439"/>
      <c r="FY49" s="1420">
        <v>56941.51</v>
      </c>
      <c r="FZ49" s="1439"/>
      <c r="GA49" s="1422">
        <v>0</v>
      </c>
      <c r="GB49" s="1439"/>
    </row>
    <row r="50" spans="1:184" ht="12.75" customHeight="1" thickBot="1">
      <c r="A50" s="1418" t="s">
        <v>497</v>
      </c>
      <c r="B50" s="1418" t="s">
        <v>498</v>
      </c>
      <c r="C50" s="1420">
        <v>208.99</v>
      </c>
      <c r="D50" s="1439"/>
      <c r="E50" s="1420">
        <v>1535.1</v>
      </c>
      <c r="F50" s="1439"/>
      <c r="G50" s="1421">
        <v>-0.03</v>
      </c>
      <c r="H50" s="1439"/>
      <c r="I50" s="1420">
        <v>1619.97</v>
      </c>
      <c r="J50" s="1439"/>
      <c r="K50" s="1420">
        <v>1598.06</v>
      </c>
      <c r="L50" s="1439"/>
      <c r="M50" s="1422">
        <v>97151883</v>
      </c>
      <c r="N50" s="1439"/>
      <c r="O50" s="1422">
        <v>25</v>
      </c>
      <c r="P50" s="1439"/>
      <c r="Q50" s="1422">
        <v>25</v>
      </c>
      <c r="R50" s="1439"/>
      <c r="S50" s="1422">
        <v>0</v>
      </c>
      <c r="T50" s="1439"/>
      <c r="U50" s="1422">
        <v>0</v>
      </c>
      <c r="V50" s="1439"/>
      <c r="W50" s="1420">
        <v>7.17</v>
      </c>
      <c r="X50" s="1439"/>
      <c r="Y50" s="1420">
        <v>32.17</v>
      </c>
      <c r="Z50" s="1439"/>
      <c r="AA50" s="1420">
        <v>6342416.7199999997</v>
      </c>
      <c r="AB50" s="1439"/>
      <c r="AC50" s="1420">
        <v>2732964.25</v>
      </c>
      <c r="AD50" s="1422">
        <v>3404624</v>
      </c>
      <c r="AE50" s="1420">
        <v>878723.72</v>
      </c>
      <c r="AF50" s="1422">
        <v>648697</v>
      </c>
      <c r="AG50" s="1422">
        <v>0</v>
      </c>
      <c r="AH50" s="1422">
        <v>0</v>
      </c>
      <c r="AI50" s="1422">
        <v>7347520</v>
      </c>
      <c r="AJ50" s="1422">
        <v>7580800</v>
      </c>
      <c r="AK50" s="1422">
        <v>37124</v>
      </c>
      <c r="AL50" s="1422">
        <v>0</v>
      </c>
      <c r="AM50" s="1422">
        <v>129796</v>
      </c>
      <c r="AN50" s="1422">
        <v>0</v>
      </c>
      <c r="AO50" s="1422">
        <v>0</v>
      </c>
      <c r="AP50" s="1422">
        <v>0</v>
      </c>
      <c r="AQ50" s="1422">
        <v>0</v>
      </c>
      <c r="AR50" s="1422">
        <v>0</v>
      </c>
      <c r="AS50" s="1422">
        <v>0</v>
      </c>
      <c r="AT50" s="1422">
        <v>0</v>
      </c>
      <c r="AU50" s="1422">
        <v>12477</v>
      </c>
      <c r="AV50" s="1422">
        <v>9981</v>
      </c>
      <c r="AW50" s="1422">
        <v>31422</v>
      </c>
      <c r="AX50" s="1422">
        <v>0</v>
      </c>
      <c r="AY50" s="1420">
        <v>11170026.970000001</v>
      </c>
      <c r="AZ50" s="1422">
        <v>11644102</v>
      </c>
      <c r="BA50" s="1422">
        <v>0</v>
      </c>
      <c r="BB50" s="1422">
        <v>0</v>
      </c>
      <c r="BC50" s="1422">
        <v>66096</v>
      </c>
      <c r="BD50" s="1422">
        <v>68709</v>
      </c>
      <c r="BE50" s="1422">
        <v>1940</v>
      </c>
      <c r="BF50" s="1422">
        <v>0</v>
      </c>
      <c r="BG50" s="1422">
        <v>900</v>
      </c>
      <c r="BH50" s="1422">
        <v>0</v>
      </c>
      <c r="BI50" s="1422">
        <v>22753</v>
      </c>
      <c r="BJ50" s="1422">
        <v>18570</v>
      </c>
      <c r="BK50" s="1422">
        <v>0</v>
      </c>
      <c r="BL50" s="1422">
        <v>0</v>
      </c>
      <c r="BM50" s="1422">
        <v>428544</v>
      </c>
      <c r="BN50" s="1422">
        <v>446292</v>
      </c>
      <c r="BO50" s="1420">
        <v>343238.33</v>
      </c>
      <c r="BP50" s="1422">
        <v>0</v>
      </c>
      <c r="BQ50" s="1420">
        <v>68791.759999999995</v>
      </c>
      <c r="BR50" s="1422">
        <v>50375</v>
      </c>
      <c r="BS50" s="1420">
        <v>6520.13</v>
      </c>
      <c r="BT50" s="1422">
        <v>6500</v>
      </c>
      <c r="BU50" s="1422">
        <v>0</v>
      </c>
      <c r="BV50" s="1422">
        <v>0</v>
      </c>
      <c r="BW50" s="1422">
        <v>169846</v>
      </c>
      <c r="BX50" s="1422">
        <v>170000</v>
      </c>
      <c r="BY50" s="1422">
        <v>0</v>
      </c>
      <c r="BZ50" s="1422">
        <v>0</v>
      </c>
      <c r="CA50" s="1422">
        <v>109821</v>
      </c>
      <c r="CB50" s="1422">
        <v>102544</v>
      </c>
      <c r="CC50" s="1420">
        <v>1218450.22</v>
      </c>
      <c r="CD50" s="1422">
        <v>862990</v>
      </c>
      <c r="CE50" s="1420">
        <v>2391888.52</v>
      </c>
      <c r="CF50" s="1420">
        <v>2033553.69</v>
      </c>
      <c r="CG50" s="1422">
        <v>178520</v>
      </c>
      <c r="CH50" s="1422">
        <v>0</v>
      </c>
      <c r="CI50" s="1422">
        <v>0</v>
      </c>
      <c r="CJ50" s="1422">
        <v>0</v>
      </c>
      <c r="CK50" s="1422">
        <v>0</v>
      </c>
      <c r="CL50" s="1422">
        <v>0</v>
      </c>
      <c r="CM50" s="1422">
        <v>0</v>
      </c>
      <c r="CN50" s="1422">
        <v>0</v>
      </c>
      <c r="CO50" s="1422">
        <v>53075</v>
      </c>
      <c r="CP50" s="1422">
        <v>0</v>
      </c>
      <c r="CQ50" s="1422">
        <v>0</v>
      </c>
      <c r="CR50" s="1422">
        <v>0</v>
      </c>
      <c r="CS50" s="1422">
        <v>231595</v>
      </c>
      <c r="CT50" s="1422">
        <v>0</v>
      </c>
      <c r="CU50" s="1420">
        <v>15011960.710000001</v>
      </c>
      <c r="CV50" s="1420">
        <v>14540645.689999999</v>
      </c>
      <c r="CW50" s="1420">
        <v>5645400.8499999996</v>
      </c>
      <c r="CX50" s="1420">
        <v>5228843.01</v>
      </c>
      <c r="CY50" s="1420">
        <v>1287067.93</v>
      </c>
      <c r="CZ50" s="1420">
        <v>1059476.92</v>
      </c>
      <c r="DA50" s="1420">
        <v>333807.2</v>
      </c>
      <c r="DB50" s="1422">
        <v>350289</v>
      </c>
      <c r="DC50" s="1422">
        <v>0</v>
      </c>
      <c r="DD50" s="1422">
        <v>0</v>
      </c>
      <c r="DE50" s="1420">
        <v>464368.59</v>
      </c>
      <c r="DF50" s="1420">
        <v>467445.81</v>
      </c>
      <c r="DG50" s="1420">
        <v>538408.31000000006</v>
      </c>
      <c r="DH50" s="1422">
        <v>584190</v>
      </c>
      <c r="DI50" s="1420">
        <v>8269052.8799999999</v>
      </c>
      <c r="DJ50" s="1420">
        <v>7690244.7400000002</v>
      </c>
      <c r="DK50" s="1420">
        <v>188158.75</v>
      </c>
      <c r="DL50" s="1422">
        <v>193034</v>
      </c>
      <c r="DM50" s="1420">
        <v>410147.83</v>
      </c>
      <c r="DN50" s="1420">
        <v>390446.77</v>
      </c>
      <c r="DO50" s="1420">
        <v>1370866.08</v>
      </c>
      <c r="DP50" s="1422">
        <v>1446533</v>
      </c>
      <c r="DQ50" s="1420">
        <v>672238.1</v>
      </c>
      <c r="DR50" s="1422">
        <v>727147</v>
      </c>
      <c r="DS50" s="1420">
        <v>41243.96</v>
      </c>
      <c r="DT50" s="1422">
        <v>26300</v>
      </c>
      <c r="DU50" s="1420">
        <v>2682654.7200000002</v>
      </c>
      <c r="DV50" s="1420">
        <v>2783460.77</v>
      </c>
      <c r="DW50" s="1420">
        <v>635269.4</v>
      </c>
      <c r="DX50" s="1422">
        <v>703601</v>
      </c>
      <c r="DY50" s="1420">
        <v>703764.52</v>
      </c>
      <c r="DZ50" s="1420">
        <v>754615.78</v>
      </c>
      <c r="EA50" s="1420">
        <v>555143.73</v>
      </c>
      <c r="EB50" s="1422">
        <v>551405</v>
      </c>
      <c r="EC50" s="1420">
        <v>1894177.65</v>
      </c>
      <c r="ED50" s="1420">
        <v>2009621.78</v>
      </c>
      <c r="EE50" s="1420">
        <v>796851.47</v>
      </c>
      <c r="EF50" s="1422">
        <v>656924</v>
      </c>
      <c r="EG50" s="1422">
        <v>0</v>
      </c>
      <c r="EH50" s="1422">
        <v>0</v>
      </c>
      <c r="EI50" s="1420">
        <v>73017.19</v>
      </c>
      <c r="EJ50" s="1422">
        <v>80350</v>
      </c>
      <c r="EK50" s="1422">
        <v>0</v>
      </c>
      <c r="EL50" s="1422">
        <v>0</v>
      </c>
      <c r="EM50" s="1420">
        <v>869868.66</v>
      </c>
      <c r="EN50" s="1422">
        <v>737274</v>
      </c>
      <c r="EO50" s="1420">
        <v>456240.7</v>
      </c>
      <c r="EP50" s="1420">
        <v>116544.45</v>
      </c>
      <c r="EQ50" s="1420">
        <v>647732.73</v>
      </c>
      <c r="ER50" s="1420">
        <v>572733.32999999996</v>
      </c>
      <c r="ES50" s="1422">
        <v>0</v>
      </c>
      <c r="ET50" s="1422">
        <v>0</v>
      </c>
      <c r="EU50" s="1420">
        <v>14819727.34</v>
      </c>
      <c r="EV50" s="1420">
        <v>13909879.07</v>
      </c>
      <c r="EW50" s="1420">
        <v>753120.98</v>
      </c>
      <c r="EX50" s="1420">
        <v>176234.45</v>
      </c>
      <c r="EY50" s="1420">
        <v>647732.73</v>
      </c>
      <c r="EZ50" s="1420">
        <v>572733.32999999996</v>
      </c>
      <c r="FA50" s="1420">
        <v>13418873.630000001</v>
      </c>
      <c r="FB50" s="1420">
        <v>13160911.289999999</v>
      </c>
      <c r="FC50" s="1420">
        <v>1080611.67</v>
      </c>
      <c r="FD50" s="1439"/>
      <c r="FE50" s="1420">
        <v>12338261.960000001</v>
      </c>
      <c r="FF50" s="1439"/>
      <c r="FG50" s="1422">
        <v>8037</v>
      </c>
      <c r="FH50" s="1439"/>
      <c r="FI50" s="1420">
        <v>114.46</v>
      </c>
      <c r="FJ50" s="1439"/>
      <c r="FK50" s="1422">
        <v>40653</v>
      </c>
      <c r="FL50" s="1439"/>
      <c r="FM50" s="1420">
        <v>123.52</v>
      </c>
      <c r="FN50" s="1439"/>
      <c r="FO50" s="1422">
        <v>42478</v>
      </c>
      <c r="FP50" s="1439"/>
      <c r="FQ50" s="1420">
        <v>1678623.26</v>
      </c>
      <c r="FR50" s="1439"/>
      <c r="FS50" s="1420">
        <v>49667.59</v>
      </c>
      <c r="FT50" s="1439"/>
      <c r="FU50" s="1420">
        <v>148620.54</v>
      </c>
      <c r="FV50" s="1439"/>
      <c r="FW50" s="1420">
        <v>1480335.13</v>
      </c>
      <c r="FX50" s="1439"/>
      <c r="FY50" s="1420">
        <v>223304.05</v>
      </c>
      <c r="FZ50" s="1439"/>
      <c r="GA50" s="1422">
        <v>0</v>
      </c>
      <c r="GB50" s="1439"/>
    </row>
    <row r="51" spans="1:184" ht="12.75" customHeight="1" thickBot="1">
      <c r="A51" s="1418" t="s">
        <v>499</v>
      </c>
      <c r="B51" s="1418" t="s">
        <v>500</v>
      </c>
      <c r="C51" s="1420">
        <v>113.04</v>
      </c>
      <c r="D51" s="1439"/>
      <c r="E51" s="1420">
        <v>1567.46</v>
      </c>
      <c r="F51" s="1439"/>
      <c r="G51" s="1421">
        <v>0.24</v>
      </c>
      <c r="H51" s="1439"/>
      <c r="I51" s="1420">
        <v>1625.27</v>
      </c>
      <c r="J51" s="1439"/>
      <c r="K51" s="1420">
        <v>1574.01</v>
      </c>
      <c r="L51" s="1439"/>
      <c r="M51" s="1422">
        <v>97971832</v>
      </c>
      <c r="N51" s="1439"/>
      <c r="O51" s="1422">
        <v>25</v>
      </c>
      <c r="P51" s="1439"/>
      <c r="Q51" s="1422">
        <v>25</v>
      </c>
      <c r="R51" s="1439"/>
      <c r="S51" s="1422">
        <v>0</v>
      </c>
      <c r="T51" s="1439"/>
      <c r="U51" s="1422">
        <v>0</v>
      </c>
      <c r="V51" s="1439"/>
      <c r="W51" s="1420">
        <v>12.01</v>
      </c>
      <c r="X51" s="1439"/>
      <c r="Y51" s="1420">
        <v>37.01</v>
      </c>
      <c r="Z51" s="1439"/>
      <c r="AA51" s="1420">
        <v>10690489.32</v>
      </c>
      <c r="AB51" s="1439"/>
      <c r="AC51" s="1420">
        <v>3342596.4</v>
      </c>
      <c r="AD51" s="1422">
        <v>3807454</v>
      </c>
      <c r="AE51" s="1420">
        <v>1007765.11</v>
      </c>
      <c r="AF51" s="1422">
        <v>588214</v>
      </c>
      <c r="AG51" s="1422">
        <v>0</v>
      </c>
      <c r="AH51" s="1422">
        <v>0</v>
      </c>
      <c r="AI51" s="1422">
        <v>7220250</v>
      </c>
      <c r="AJ51" s="1422">
        <v>7533248</v>
      </c>
      <c r="AK51" s="1422">
        <v>43611</v>
      </c>
      <c r="AL51" s="1422">
        <v>0</v>
      </c>
      <c r="AM51" s="1422">
        <v>323931</v>
      </c>
      <c r="AN51" s="1422">
        <v>200000</v>
      </c>
      <c r="AO51" s="1422">
        <v>0</v>
      </c>
      <c r="AP51" s="1422">
        <v>0</v>
      </c>
      <c r="AQ51" s="1422">
        <v>0</v>
      </c>
      <c r="AR51" s="1422">
        <v>0</v>
      </c>
      <c r="AS51" s="1422">
        <v>0</v>
      </c>
      <c r="AT51" s="1422">
        <v>0</v>
      </c>
      <c r="AU51" s="1422">
        <v>0</v>
      </c>
      <c r="AV51" s="1422">
        <v>0</v>
      </c>
      <c r="AW51" s="1422">
        <v>18007</v>
      </c>
      <c r="AX51" s="1422">
        <v>18007</v>
      </c>
      <c r="AY51" s="1420">
        <v>11956160.51</v>
      </c>
      <c r="AZ51" s="1422">
        <v>12146923</v>
      </c>
      <c r="BA51" s="1422">
        <v>0</v>
      </c>
      <c r="BB51" s="1422">
        <v>360</v>
      </c>
      <c r="BC51" s="1422">
        <v>65101</v>
      </c>
      <c r="BD51" s="1422">
        <v>68520</v>
      </c>
      <c r="BE51" s="1420">
        <v>6691.02</v>
      </c>
      <c r="BF51" s="1422">
        <v>7200</v>
      </c>
      <c r="BG51" s="1422">
        <v>1000</v>
      </c>
      <c r="BH51" s="1422">
        <v>0</v>
      </c>
      <c r="BI51" s="1422">
        <v>28360</v>
      </c>
      <c r="BJ51" s="1422">
        <v>33409</v>
      </c>
      <c r="BK51" s="1422">
        <v>4102</v>
      </c>
      <c r="BL51" s="1422">
        <v>0</v>
      </c>
      <c r="BM51" s="1422">
        <v>313328</v>
      </c>
      <c r="BN51" s="1422">
        <v>314226</v>
      </c>
      <c r="BO51" s="1420">
        <v>57430.32</v>
      </c>
      <c r="BP51" s="1420">
        <v>35610.65</v>
      </c>
      <c r="BQ51" s="1420">
        <v>52678.879999999997</v>
      </c>
      <c r="BR51" s="1422">
        <v>24375</v>
      </c>
      <c r="BS51" s="1420">
        <v>5918.71</v>
      </c>
      <c r="BT51" s="1422">
        <v>6200</v>
      </c>
      <c r="BU51" s="1422">
        <v>0</v>
      </c>
      <c r="BV51" s="1422">
        <v>0</v>
      </c>
      <c r="BW51" s="1422">
        <v>296460</v>
      </c>
      <c r="BX51" s="1422">
        <v>296460</v>
      </c>
      <c r="BY51" s="1422">
        <v>0</v>
      </c>
      <c r="BZ51" s="1422">
        <v>0</v>
      </c>
      <c r="CA51" s="1420">
        <v>365777.05</v>
      </c>
      <c r="CB51" s="1422">
        <v>616325</v>
      </c>
      <c r="CC51" s="1420">
        <v>1196846.98</v>
      </c>
      <c r="CD51" s="1420">
        <v>1402685.65</v>
      </c>
      <c r="CE51" s="1420">
        <v>1839145.65</v>
      </c>
      <c r="CF51" s="1420">
        <v>1458382.9</v>
      </c>
      <c r="CG51" s="1422">
        <v>510761</v>
      </c>
      <c r="CH51" s="1422">
        <v>188409</v>
      </c>
      <c r="CI51" s="1422">
        <v>0</v>
      </c>
      <c r="CJ51" s="1422">
        <v>0</v>
      </c>
      <c r="CK51" s="1422">
        <v>0</v>
      </c>
      <c r="CL51" s="1422">
        <v>0</v>
      </c>
      <c r="CM51" s="1422">
        <v>0</v>
      </c>
      <c r="CN51" s="1422">
        <v>0</v>
      </c>
      <c r="CO51" s="1422">
        <v>0</v>
      </c>
      <c r="CP51" s="1422">
        <v>0</v>
      </c>
      <c r="CQ51" s="1422">
        <v>0</v>
      </c>
      <c r="CR51" s="1422">
        <v>0</v>
      </c>
      <c r="CS51" s="1422">
        <v>510761</v>
      </c>
      <c r="CT51" s="1422">
        <v>188409</v>
      </c>
      <c r="CU51" s="1420">
        <v>15502914.140000001</v>
      </c>
      <c r="CV51" s="1420">
        <v>15196400.550000001</v>
      </c>
      <c r="CW51" s="1420">
        <v>5782408.6500000004</v>
      </c>
      <c r="CX51" s="1420">
        <v>5936539.0700000003</v>
      </c>
      <c r="CY51" s="1420">
        <v>1064273.69</v>
      </c>
      <c r="CZ51" s="1420">
        <v>1157600.56</v>
      </c>
      <c r="DA51" s="1420">
        <v>339343.18</v>
      </c>
      <c r="DB51" s="1422">
        <v>356294</v>
      </c>
      <c r="DC51" s="1422">
        <v>0</v>
      </c>
      <c r="DD51" s="1422">
        <v>360</v>
      </c>
      <c r="DE51" s="1420">
        <v>324871.62</v>
      </c>
      <c r="DF51" s="1420">
        <v>298506.13</v>
      </c>
      <c r="DG51" s="1420">
        <v>330179.93</v>
      </c>
      <c r="DH51" s="1422">
        <v>302246</v>
      </c>
      <c r="DI51" s="1420">
        <v>7841077.0700000003</v>
      </c>
      <c r="DJ51" s="1420">
        <v>8051545.7599999998</v>
      </c>
      <c r="DK51" s="1420">
        <v>308028.46999999997</v>
      </c>
      <c r="DL51" s="1420">
        <v>348492.77</v>
      </c>
      <c r="DM51" s="1420">
        <v>159241.1</v>
      </c>
      <c r="DN51" s="1420">
        <v>147275.45000000001</v>
      </c>
      <c r="DO51" s="1420">
        <v>1150616.51</v>
      </c>
      <c r="DP51" s="1422">
        <v>1324391</v>
      </c>
      <c r="DQ51" s="1420">
        <v>471104.86</v>
      </c>
      <c r="DR51" s="1420">
        <v>583151.65</v>
      </c>
      <c r="DS51" s="1420">
        <v>13302.75</v>
      </c>
      <c r="DT51" s="1422">
        <v>20838</v>
      </c>
      <c r="DU51" s="1420">
        <v>2102293.69</v>
      </c>
      <c r="DV51" s="1420">
        <v>2424148.87</v>
      </c>
      <c r="DW51" s="1420">
        <v>503146.43</v>
      </c>
      <c r="DX51" s="1420">
        <v>563782.05000000005</v>
      </c>
      <c r="DY51" s="1420">
        <v>890587.52</v>
      </c>
      <c r="DZ51" s="1420">
        <v>810621.96</v>
      </c>
      <c r="EA51" s="1420">
        <v>621774.49</v>
      </c>
      <c r="EB51" s="1420">
        <v>695957.19</v>
      </c>
      <c r="EC51" s="1420">
        <v>2015508.44</v>
      </c>
      <c r="ED51" s="1420">
        <v>2070361.2</v>
      </c>
      <c r="EE51" s="1420">
        <v>649675.5</v>
      </c>
      <c r="EF51" s="1422">
        <v>654913</v>
      </c>
      <c r="EG51" s="1420">
        <v>642.03</v>
      </c>
      <c r="EH51" s="1422">
        <v>0</v>
      </c>
      <c r="EI51" s="1420">
        <v>143233.16</v>
      </c>
      <c r="EJ51" s="1422">
        <v>146554</v>
      </c>
      <c r="EK51" s="1422">
        <v>0</v>
      </c>
      <c r="EL51" s="1422">
        <v>0</v>
      </c>
      <c r="EM51" s="1420">
        <v>793550.69</v>
      </c>
      <c r="EN51" s="1422">
        <v>801467</v>
      </c>
      <c r="EO51" s="1420">
        <v>727762.65</v>
      </c>
      <c r="EP51" s="1422">
        <v>1049472</v>
      </c>
      <c r="EQ51" s="1420">
        <v>1075416.26</v>
      </c>
      <c r="ER51" s="1420">
        <v>887033.62</v>
      </c>
      <c r="ES51" s="1422">
        <v>0</v>
      </c>
      <c r="ET51" s="1422">
        <v>1144</v>
      </c>
      <c r="EU51" s="1420">
        <v>14555608.800000001</v>
      </c>
      <c r="EV51" s="1420">
        <v>15285172.449999999</v>
      </c>
      <c r="EW51" s="1420">
        <v>826275.76</v>
      </c>
      <c r="EX51" s="1422">
        <v>1257922</v>
      </c>
      <c r="EY51" s="1420">
        <v>1075416.26</v>
      </c>
      <c r="EZ51" s="1420">
        <v>887033.62</v>
      </c>
      <c r="FA51" s="1420">
        <v>12653916.779999999</v>
      </c>
      <c r="FB51" s="1420">
        <v>13140216.83</v>
      </c>
      <c r="FC51" s="1420">
        <v>1163512.46</v>
      </c>
      <c r="FD51" s="1439"/>
      <c r="FE51" s="1420">
        <v>11490404.32</v>
      </c>
      <c r="FF51" s="1439"/>
      <c r="FG51" s="1422">
        <v>7330</v>
      </c>
      <c r="FH51" s="1439"/>
      <c r="FI51" s="1420">
        <v>113.39</v>
      </c>
      <c r="FJ51" s="1439"/>
      <c r="FK51" s="1422">
        <v>42002</v>
      </c>
      <c r="FL51" s="1439"/>
      <c r="FM51" s="1420">
        <v>124.5</v>
      </c>
      <c r="FN51" s="1439"/>
      <c r="FO51" s="1422">
        <v>43311</v>
      </c>
      <c r="FP51" s="1439"/>
      <c r="FQ51" s="1420">
        <v>2054439.33</v>
      </c>
      <c r="FR51" s="1439"/>
      <c r="FS51" s="1420">
        <v>19623.45</v>
      </c>
      <c r="FT51" s="1439"/>
      <c r="FU51" s="1422">
        <v>0</v>
      </c>
      <c r="FV51" s="1439"/>
      <c r="FW51" s="1420">
        <v>2034815.88</v>
      </c>
      <c r="FX51" s="1439"/>
      <c r="FY51" s="1420">
        <v>886271.66</v>
      </c>
      <c r="FZ51" s="1439"/>
      <c r="GA51" s="1422">
        <v>0</v>
      </c>
      <c r="GB51" s="1439"/>
    </row>
    <row r="52" spans="1:184" ht="12.75" customHeight="1" thickBot="1">
      <c r="A52" s="1418" t="s">
        <v>501</v>
      </c>
      <c r="B52" s="1418" t="s">
        <v>502</v>
      </c>
      <c r="C52" s="1420">
        <v>137.56</v>
      </c>
      <c r="D52" s="1439"/>
      <c r="E52" s="1420">
        <v>773.94</v>
      </c>
      <c r="F52" s="1439"/>
      <c r="G52" s="1421">
        <v>-0.01</v>
      </c>
      <c r="H52" s="1439"/>
      <c r="I52" s="1420">
        <v>821.9</v>
      </c>
      <c r="J52" s="1439"/>
      <c r="K52" s="1420">
        <v>806.92</v>
      </c>
      <c r="L52" s="1439"/>
      <c r="M52" s="1422">
        <v>51082096</v>
      </c>
      <c r="N52" s="1439"/>
      <c r="O52" s="1422">
        <v>25</v>
      </c>
      <c r="P52" s="1439"/>
      <c r="Q52" s="1422">
        <v>25</v>
      </c>
      <c r="R52" s="1439"/>
      <c r="S52" s="1422">
        <v>0</v>
      </c>
      <c r="T52" s="1439"/>
      <c r="U52" s="1422">
        <v>0</v>
      </c>
      <c r="V52" s="1439"/>
      <c r="W52" s="1422">
        <v>8</v>
      </c>
      <c r="X52" s="1439"/>
      <c r="Y52" s="1422">
        <v>33</v>
      </c>
      <c r="Z52" s="1439"/>
      <c r="AA52" s="1422">
        <v>3515000</v>
      </c>
      <c r="AB52" s="1439"/>
      <c r="AC52" s="1420">
        <v>1357398.96</v>
      </c>
      <c r="AD52" s="1422">
        <v>1578810</v>
      </c>
      <c r="AE52" s="1420">
        <v>742672.05</v>
      </c>
      <c r="AF52" s="1422">
        <v>163350</v>
      </c>
      <c r="AG52" s="1422">
        <v>0</v>
      </c>
      <c r="AH52" s="1422">
        <v>0</v>
      </c>
      <c r="AI52" s="1422">
        <v>3678213</v>
      </c>
      <c r="AJ52" s="1422">
        <v>3791603</v>
      </c>
      <c r="AK52" s="1422">
        <v>23318</v>
      </c>
      <c r="AL52" s="1422">
        <v>0</v>
      </c>
      <c r="AM52" s="1422">
        <v>0</v>
      </c>
      <c r="AN52" s="1422">
        <v>0</v>
      </c>
      <c r="AO52" s="1422">
        <v>93688</v>
      </c>
      <c r="AP52" s="1422">
        <v>0</v>
      </c>
      <c r="AQ52" s="1422">
        <v>0</v>
      </c>
      <c r="AR52" s="1422">
        <v>0</v>
      </c>
      <c r="AS52" s="1422">
        <v>0</v>
      </c>
      <c r="AT52" s="1422">
        <v>0</v>
      </c>
      <c r="AU52" s="1422">
        <v>173</v>
      </c>
      <c r="AV52" s="1422">
        <v>0</v>
      </c>
      <c r="AW52" s="1422">
        <v>0</v>
      </c>
      <c r="AX52" s="1422">
        <v>0</v>
      </c>
      <c r="AY52" s="1420">
        <v>5895463.0099999998</v>
      </c>
      <c r="AZ52" s="1422">
        <v>5533763</v>
      </c>
      <c r="BA52" s="1422">
        <v>0</v>
      </c>
      <c r="BB52" s="1422">
        <v>0</v>
      </c>
      <c r="BC52" s="1422">
        <v>33374</v>
      </c>
      <c r="BD52" s="1422">
        <v>34831</v>
      </c>
      <c r="BE52" s="1422">
        <v>0</v>
      </c>
      <c r="BF52" s="1422">
        <v>2400</v>
      </c>
      <c r="BG52" s="1422">
        <v>100</v>
      </c>
      <c r="BH52" s="1422">
        <v>0</v>
      </c>
      <c r="BI52" s="1422">
        <v>0</v>
      </c>
      <c r="BJ52" s="1422">
        <v>0</v>
      </c>
      <c r="BK52" s="1422">
        <v>15236</v>
      </c>
      <c r="BL52" s="1422">
        <v>7500</v>
      </c>
      <c r="BM52" s="1422">
        <v>257920</v>
      </c>
      <c r="BN52" s="1422">
        <v>280324</v>
      </c>
      <c r="BO52" s="1420">
        <v>3305.61</v>
      </c>
      <c r="BP52" s="1422">
        <v>0</v>
      </c>
      <c r="BQ52" s="1422">
        <v>0</v>
      </c>
      <c r="BR52" s="1422">
        <v>0</v>
      </c>
      <c r="BS52" s="1420">
        <v>2939.74</v>
      </c>
      <c r="BT52" s="1422">
        <v>2750</v>
      </c>
      <c r="BU52" s="1422">
        <v>0</v>
      </c>
      <c r="BV52" s="1422">
        <v>0</v>
      </c>
      <c r="BW52" s="1420">
        <v>145320.20000000001</v>
      </c>
      <c r="BX52" s="1422">
        <v>145000</v>
      </c>
      <c r="BY52" s="1422">
        <v>0</v>
      </c>
      <c r="BZ52" s="1422">
        <v>0</v>
      </c>
      <c r="CA52" s="1420">
        <v>67936.639999999999</v>
      </c>
      <c r="CB52" s="1422">
        <v>47934</v>
      </c>
      <c r="CC52" s="1420">
        <v>526132.18999999994</v>
      </c>
      <c r="CD52" s="1422">
        <v>520739</v>
      </c>
      <c r="CE52" s="1420">
        <v>1639759.89</v>
      </c>
      <c r="CF52" s="1422">
        <v>876736</v>
      </c>
      <c r="CG52" s="1422">
        <v>0</v>
      </c>
      <c r="CH52" s="1422">
        <v>0</v>
      </c>
      <c r="CI52" s="1422">
        <v>0</v>
      </c>
      <c r="CJ52" s="1422">
        <v>0</v>
      </c>
      <c r="CK52" s="1422">
        <v>0</v>
      </c>
      <c r="CL52" s="1422">
        <v>0</v>
      </c>
      <c r="CM52" s="1422">
        <v>0</v>
      </c>
      <c r="CN52" s="1422">
        <v>0</v>
      </c>
      <c r="CO52" s="1422">
        <v>0</v>
      </c>
      <c r="CP52" s="1422">
        <v>0</v>
      </c>
      <c r="CQ52" s="1422">
        <v>0</v>
      </c>
      <c r="CR52" s="1422">
        <v>0</v>
      </c>
      <c r="CS52" s="1422">
        <v>0</v>
      </c>
      <c r="CT52" s="1422">
        <v>0</v>
      </c>
      <c r="CU52" s="1420">
        <v>8061355.0899999999</v>
      </c>
      <c r="CV52" s="1422">
        <v>6931238</v>
      </c>
      <c r="CW52" s="1420">
        <v>4052629.85</v>
      </c>
      <c r="CX52" s="1422">
        <v>3451804</v>
      </c>
      <c r="CY52" s="1420">
        <v>576636.14</v>
      </c>
      <c r="CZ52" s="1422">
        <v>548319</v>
      </c>
      <c r="DA52" s="1420">
        <v>255097.95</v>
      </c>
      <c r="DB52" s="1422">
        <v>264780</v>
      </c>
      <c r="DC52" s="1422">
        <v>0</v>
      </c>
      <c r="DD52" s="1422">
        <v>0</v>
      </c>
      <c r="DE52" s="1420">
        <v>399393.92</v>
      </c>
      <c r="DF52" s="1422">
        <v>290418</v>
      </c>
      <c r="DG52" s="1420">
        <v>66206.899999999994</v>
      </c>
      <c r="DH52" s="1422">
        <v>69155</v>
      </c>
      <c r="DI52" s="1420">
        <v>5349964.76</v>
      </c>
      <c r="DJ52" s="1422">
        <v>4624476</v>
      </c>
      <c r="DK52" s="1420">
        <v>226194.2</v>
      </c>
      <c r="DL52" s="1422">
        <v>229110</v>
      </c>
      <c r="DM52" s="1420">
        <v>38459.89</v>
      </c>
      <c r="DN52" s="1422">
        <v>39150</v>
      </c>
      <c r="DO52" s="1420">
        <v>710084.76</v>
      </c>
      <c r="DP52" s="1422">
        <v>769946</v>
      </c>
      <c r="DQ52" s="1420">
        <v>266847.2</v>
      </c>
      <c r="DR52" s="1422">
        <v>232730</v>
      </c>
      <c r="DS52" s="1420">
        <v>5017.4799999999996</v>
      </c>
      <c r="DT52" s="1422">
        <v>5000</v>
      </c>
      <c r="DU52" s="1420">
        <v>1246603.53</v>
      </c>
      <c r="DV52" s="1422">
        <v>1275936</v>
      </c>
      <c r="DW52" s="1420">
        <v>217091.55</v>
      </c>
      <c r="DX52" s="1422">
        <v>229710</v>
      </c>
      <c r="DY52" s="1420">
        <v>258480.2</v>
      </c>
      <c r="DZ52" s="1422">
        <v>287315</v>
      </c>
      <c r="EA52" s="1420">
        <v>424033.97</v>
      </c>
      <c r="EB52" s="1422">
        <v>416245</v>
      </c>
      <c r="EC52" s="1420">
        <v>899605.72</v>
      </c>
      <c r="ED52" s="1422">
        <v>933270</v>
      </c>
      <c r="EE52" s="1420">
        <v>368402.9</v>
      </c>
      <c r="EF52" s="1422">
        <v>377200</v>
      </c>
      <c r="EG52" s="1422">
        <v>0</v>
      </c>
      <c r="EH52" s="1422">
        <v>0</v>
      </c>
      <c r="EI52" s="1420">
        <v>717.82</v>
      </c>
      <c r="EJ52" s="1422">
        <v>0</v>
      </c>
      <c r="EK52" s="1422">
        <v>0</v>
      </c>
      <c r="EL52" s="1422">
        <v>0</v>
      </c>
      <c r="EM52" s="1420">
        <v>369120.72</v>
      </c>
      <c r="EN52" s="1422">
        <v>377200</v>
      </c>
      <c r="EO52" s="1420">
        <v>64433.5</v>
      </c>
      <c r="EP52" s="1422">
        <v>0</v>
      </c>
      <c r="EQ52" s="1420">
        <v>117556.75</v>
      </c>
      <c r="ER52" s="1420">
        <v>232156.26</v>
      </c>
      <c r="ES52" s="1422">
        <v>0</v>
      </c>
      <c r="ET52" s="1422">
        <v>0</v>
      </c>
      <c r="EU52" s="1420">
        <v>8047284.9800000004</v>
      </c>
      <c r="EV52" s="1420">
        <v>7443038.2599999998</v>
      </c>
      <c r="EW52" s="1420">
        <v>319173.84999999998</v>
      </c>
      <c r="EX52" s="1422">
        <v>106000</v>
      </c>
      <c r="EY52" s="1420">
        <v>117556.75</v>
      </c>
      <c r="EZ52" s="1420">
        <v>232156.26</v>
      </c>
      <c r="FA52" s="1420">
        <v>7610554.3799999999</v>
      </c>
      <c r="FB52" s="1422">
        <v>7104882</v>
      </c>
      <c r="FC52" s="1422">
        <v>695250</v>
      </c>
      <c r="FD52" s="1439"/>
      <c r="FE52" s="1420">
        <v>6915304.3799999999</v>
      </c>
      <c r="FF52" s="1439"/>
      <c r="FG52" s="1422">
        <v>8935</v>
      </c>
      <c r="FH52" s="1439"/>
      <c r="FI52" s="1422">
        <v>71</v>
      </c>
      <c r="FJ52" s="1439"/>
      <c r="FK52" s="1422">
        <v>40580</v>
      </c>
      <c r="FL52" s="1439"/>
      <c r="FM52" s="1422">
        <v>76</v>
      </c>
      <c r="FN52" s="1439"/>
      <c r="FO52" s="1422">
        <v>42534</v>
      </c>
      <c r="FP52" s="1439"/>
      <c r="FQ52" s="1420">
        <v>1168519.6299999999</v>
      </c>
      <c r="FR52" s="1439"/>
      <c r="FS52" s="1420">
        <v>134609.63</v>
      </c>
      <c r="FT52" s="1439"/>
      <c r="FU52" s="1422">
        <v>0</v>
      </c>
      <c r="FV52" s="1439"/>
      <c r="FW52" s="1422">
        <v>1033910</v>
      </c>
      <c r="FX52" s="1439"/>
      <c r="FY52" s="1420">
        <v>134333.07999999999</v>
      </c>
      <c r="FZ52" s="1439"/>
      <c r="GA52" s="1422">
        <v>0</v>
      </c>
      <c r="GB52" s="1439"/>
    </row>
    <row r="53" spans="1:184" ht="12.75" customHeight="1" thickBot="1">
      <c r="A53" s="1418" t="s">
        <v>503</v>
      </c>
      <c r="B53" s="1418" t="s">
        <v>504</v>
      </c>
      <c r="C53" s="1420">
        <v>36.47</v>
      </c>
      <c r="D53" s="1439"/>
      <c r="E53" s="1420">
        <v>4911.8500000000004</v>
      </c>
      <c r="F53" s="1439"/>
      <c r="G53" s="1421">
        <v>0.12</v>
      </c>
      <c r="H53" s="1439"/>
      <c r="I53" s="1420">
        <v>5315.11</v>
      </c>
      <c r="J53" s="1439"/>
      <c r="K53" s="1420">
        <v>5214.8</v>
      </c>
      <c r="L53" s="1439"/>
      <c r="M53" s="1422">
        <v>505829513</v>
      </c>
      <c r="N53" s="1439"/>
      <c r="O53" s="1420">
        <v>25.4</v>
      </c>
      <c r="P53" s="1439"/>
      <c r="Q53" s="1422">
        <v>25</v>
      </c>
      <c r="R53" s="1439"/>
      <c r="S53" s="1420">
        <v>0.4</v>
      </c>
      <c r="T53" s="1439"/>
      <c r="U53" s="1422">
        <v>0</v>
      </c>
      <c r="V53" s="1439"/>
      <c r="W53" s="1420">
        <v>7.7</v>
      </c>
      <c r="X53" s="1439"/>
      <c r="Y53" s="1420">
        <v>33.1</v>
      </c>
      <c r="Z53" s="1439"/>
      <c r="AA53" s="1420">
        <v>43182475.390000001</v>
      </c>
      <c r="AB53" s="1439"/>
      <c r="AC53" s="1420">
        <v>14164337.76</v>
      </c>
      <c r="AD53" s="1420">
        <v>15386988.189999999</v>
      </c>
      <c r="AE53" s="1420">
        <v>2142165.5699999998</v>
      </c>
      <c r="AF53" s="1420">
        <v>1640141.86</v>
      </c>
      <c r="AG53" s="1422">
        <v>0</v>
      </c>
      <c r="AH53" s="1422">
        <v>0</v>
      </c>
      <c r="AI53" s="1422">
        <v>19439646</v>
      </c>
      <c r="AJ53" s="1422">
        <v>20294847</v>
      </c>
      <c r="AK53" s="1422">
        <v>291130</v>
      </c>
      <c r="AL53" s="1420">
        <v>389491.98</v>
      </c>
      <c r="AM53" s="1422">
        <v>714051</v>
      </c>
      <c r="AN53" s="1422">
        <v>0</v>
      </c>
      <c r="AO53" s="1422">
        <v>0</v>
      </c>
      <c r="AP53" s="1422">
        <v>0</v>
      </c>
      <c r="AQ53" s="1422">
        <v>0</v>
      </c>
      <c r="AR53" s="1422">
        <v>0</v>
      </c>
      <c r="AS53" s="1422">
        <v>0</v>
      </c>
      <c r="AT53" s="1422">
        <v>0</v>
      </c>
      <c r="AU53" s="1422">
        <v>0</v>
      </c>
      <c r="AV53" s="1422">
        <v>0</v>
      </c>
      <c r="AW53" s="1422">
        <v>0</v>
      </c>
      <c r="AX53" s="1422">
        <v>0</v>
      </c>
      <c r="AY53" s="1420">
        <v>36751330.329999998</v>
      </c>
      <c r="AZ53" s="1420">
        <v>37711469.030000001</v>
      </c>
      <c r="BA53" s="1422">
        <v>0</v>
      </c>
      <c r="BB53" s="1422">
        <v>0</v>
      </c>
      <c r="BC53" s="1422">
        <v>215684</v>
      </c>
      <c r="BD53" s="1422">
        <v>225592</v>
      </c>
      <c r="BE53" s="1420">
        <v>27794.26</v>
      </c>
      <c r="BF53" s="1422">
        <v>24000</v>
      </c>
      <c r="BG53" s="1422">
        <v>14150</v>
      </c>
      <c r="BH53" s="1422">
        <v>0</v>
      </c>
      <c r="BI53" s="1422">
        <v>427265</v>
      </c>
      <c r="BJ53" s="1422">
        <v>445712</v>
      </c>
      <c r="BK53" s="1422">
        <v>70320</v>
      </c>
      <c r="BL53" s="1422">
        <v>70320</v>
      </c>
      <c r="BM53" s="1422">
        <v>1797411</v>
      </c>
      <c r="BN53" s="1422">
        <v>2704725</v>
      </c>
      <c r="BO53" s="1420">
        <v>272778.64</v>
      </c>
      <c r="BP53" s="1422">
        <v>0</v>
      </c>
      <c r="BQ53" s="1420">
        <v>273766.48</v>
      </c>
      <c r="BR53" s="1420">
        <v>323080.5</v>
      </c>
      <c r="BS53" s="1420">
        <v>20089.310000000001</v>
      </c>
      <c r="BT53" s="1422">
        <v>20000</v>
      </c>
      <c r="BU53" s="1422">
        <v>0</v>
      </c>
      <c r="BV53" s="1422">
        <v>0</v>
      </c>
      <c r="BW53" s="1420">
        <v>398505.24</v>
      </c>
      <c r="BX53" s="1422">
        <v>397800</v>
      </c>
      <c r="BY53" s="1422">
        <v>0</v>
      </c>
      <c r="BZ53" s="1422">
        <v>0</v>
      </c>
      <c r="CA53" s="1422">
        <v>140395</v>
      </c>
      <c r="CB53" s="1422">
        <v>333766</v>
      </c>
      <c r="CC53" s="1420">
        <v>3658158.93</v>
      </c>
      <c r="CD53" s="1420">
        <v>4544995.5</v>
      </c>
      <c r="CE53" s="1420">
        <v>11966386.16</v>
      </c>
      <c r="CF53" s="1420">
        <v>7361157.4000000004</v>
      </c>
      <c r="CG53" s="1420">
        <v>18625037.850000001</v>
      </c>
      <c r="CH53" s="1422">
        <v>0</v>
      </c>
      <c r="CI53" s="1422">
        <v>0</v>
      </c>
      <c r="CJ53" s="1422">
        <v>0</v>
      </c>
      <c r="CK53" s="1420">
        <v>82564.759999999995</v>
      </c>
      <c r="CL53" s="1422">
        <v>57410</v>
      </c>
      <c r="CM53" s="1420">
        <v>2830.03</v>
      </c>
      <c r="CN53" s="1422">
        <v>0</v>
      </c>
      <c r="CO53" s="1422">
        <v>0</v>
      </c>
      <c r="CP53" s="1422">
        <v>0</v>
      </c>
      <c r="CQ53" s="1422">
        <v>0</v>
      </c>
      <c r="CR53" s="1422">
        <v>0</v>
      </c>
      <c r="CS53" s="1420">
        <v>18710432.640000001</v>
      </c>
      <c r="CT53" s="1422">
        <v>57410</v>
      </c>
      <c r="CU53" s="1420">
        <v>71086308.060000002</v>
      </c>
      <c r="CV53" s="1420">
        <v>49675031.93</v>
      </c>
      <c r="CW53" s="1420">
        <v>16559992.810000001</v>
      </c>
      <c r="CX53" s="1420">
        <v>16267093.91</v>
      </c>
      <c r="CY53" s="1420">
        <v>3595203.1</v>
      </c>
      <c r="CZ53" s="1420">
        <v>3194926.39</v>
      </c>
      <c r="DA53" s="1420">
        <v>1237109.05</v>
      </c>
      <c r="DB53" s="1420">
        <v>1196042.6599999999</v>
      </c>
      <c r="DC53" s="1422">
        <v>0</v>
      </c>
      <c r="DD53" s="1422">
        <v>0</v>
      </c>
      <c r="DE53" s="1420">
        <v>2146138.0699999998</v>
      </c>
      <c r="DF53" s="1420">
        <v>2260932.34</v>
      </c>
      <c r="DG53" s="1420">
        <v>3483484.48</v>
      </c>
      <c r="DH53" s="1420">
        <v>3316711.94</v>
      </c>
      <c r="DI53" s="1420">
        <v>27021927.510000002</v>
      </c>
      <c r="DJ53" s="1420">
        <v>26235707.239999998</v>
      </c>
      <c r="DK53" s="1420">
        <v>917452.58</v>
      </c>
      <c r="DL53" s="1420">
        <v>866025.83</v>
      </c>
      <c r="DM53" s="1420">
        <v>578769.93999999994</v>
      </c>
      <c r="DN53" s="1420">
        <v>571629.88</v>
      </c>
      <c r="DO53" s="1420">
        <v>4524983.5999999996</v>
      </c>
      <c r="DP53" s="1420">
        <v>4663688.5199999996</v>
      </c>
      <c r="DQ53" s="1420">
        <v>1582847.08</v>
      </c>
      <c r="DR53" s="1420">
        <v>1744738.5</v>
      </c>
      <c r="DS53" s="1420">
        <v>206137.91</v>
      </c>
      <c r="DT53" s="1420">
        <v>163653.98000000001</v>
      </c>
      <c r="DU53" s="1420">
        <v>7810191.1100000003</v>
      </c>
      <c r="DV53" s="1420">
        <v>8009736.71</v>
      </c>
      <c r="DW53" s="1420">
        <v>1568677.7</v>
      </c>
      <c r="DX53" s="1420">
        <v>1608017.25</v>
      </c>
      <c r="DY53" s="1420">
        <v>4659669.62</v>
      </c>
      <c r="DZ53" s="1420">
        <v>4679599.4000000004</v>
      </c>
      <c r="EA53" s="1420">
        <v>2543582.9500000002</v>
      </c>
      <c r="EB53" s="1420">
        <v>2469400.61</v>
      </c>
      <c r="EC53" s="1420">
        <v>8771930.2699999996</v>
      </c>
      <c r="ED53" s="1420">
        <v>8757017.2599999998</v>
      </c>
      <c r="EE53" s="1420">
        <v>2882964.16</v>
      </c>
      <c r="EF53" s="1420">
        <v>3631317.98</v>
      </c>
      <c r="EG53" s="1422">
        <v>0</v>
      </c>
      <c r="EH53" s="1422">
        <v>0</v>
      </c>
      <c r="EI53" s="1420">
        <v>11498.07</v>
      </c>
      <c r="EJ53" s="1422">
        <v>12480</v>
      </c>
      <c r="EK53" s="1422">
        <v>0</v>
      </c>
      <c r="EL53" s="1422">
        <v>0</v>
      </c>
      <c r="EM53" s="1420">
        <v>2894462.23</v>
      </c>
      <c r="EN53" s="1420">
        <v>3643797.98</v>
      </c>
      <c r="EO53" s="1420">
        <v>5632971.4000000004</v>
      </c>
      <c r="EP53" s="1420">
        <v>14920541.390000001</v>
      </c>
      <c r="EQ53" s="1420">
        <v>2045918.42</v>
      </c>
      <c r="ER53" s="1420">
        <v>3122712.26</v>
      </c>
      <c r="ES53" s="1420">
        <v>48868.81</v>
      </c>
      <c r="ET53" s="1422">
        <v>0</v>
      </c>
      <c r="EU53" s="1420">
        <v>54226269.75</v>
      </c>
      <c r="EV53" s="1420">
        <v>64689512.840000004</v>
      </c>
      <c r="EW53" s="1420">
        <v>7021350.4000000004</v>
      </c>
      <c r="EX53" s="1420">
        <v>16152774.880000001</v>
      </c>
      <c r="EY53" s="1420">
        <v>2045918.42</v>
      </c>
      <c r="EZ53" s="1420">
        <v>3122712.26</v>
      </c>
      <c r="FA53" s="1420">
        <v>45159000.93</v>
      </c>
      <c r="FB53" s="1420">
        <v>45414025.700000003</v>
      </c>
      <c r="FC53" s="1420">
        <v>2181816.87</v>
      </c>
      <c r="FD53" s="1439"/>
      <c r="FE53" s="1420">
        <v>42977184.060000002</v>
      </c>
      <c r="FF53" s="1439"/>
      <c r="FG53" s="1422">
        <v>8749</v>
      </c>
      <c r="FH53" s="1439"/>
      <c r="FI53" s="1420">
        <v>315.33</v>
      </c>
      <c r="FJ53" s="1439"/>
      <c r="FK53" s="1422">
        <v>45539</v>
      </c>
      <c r="FL53" s="1439"/>
      <c r="FM53" s="1420">
        <v>341.06</v>
      </c>
      <c r="FN53" s="1439"/>
      <c r="FO53" s="1422">
        <v>48132</v>
      </c>
      <c r="FP53" s="1439"/>
      <c r="FQ53" s="1420">
        <v>10005217.92</v>
      </c>
      <c r="FR53" s="1439"/>
      <c r="FS53" s="1420">
        <v>966449.31</v>
      </c>
      <c r="FT53" s="1439"/>
      <c r="FU53" s="1420">
        <v>300317.32</v>
      </c>
      <c r="FV53" s="1439"/>
      <c r="FW53" s="1420">
        <v>8738451.2899999991</v>
      </c>
      <c r="FX53" s="1439"/>
      <c r="FY53" s="1420">
        <v>20138746.73</v>
      </c>
      <c r="FZ53" s="1439"/>
      <c r="GA53" s="1422">
        <v>0</v>
      </c>
      <c r="GB53" s="1439"/>
    </row>
    <row r="54" spans="1:184" ht="12.75" customHeight="1" thickBot="1">
      <c r="A54" s="1418" t="s">
        <v>505</v>
      </c>
      <c r="B54" s="1418" t="s">
        <v>506</v>
      </c>
      <c r="C54" s="1420">
        <v>41.54</v>
      </c>
      <c r="D54" s="1439"/>
      <c r="E54" s="1420">
        <v>3010.36</v>
      </c>
      <c r="F54" s="1439"/>
      <c r="G54" s="1421">
        <v>0.09</v>
      </c>
      <c r="H54" s="1439"/>
      <c r="I54" s="1420">
        <v>3149.23</v>
      </c>
      <c r="J54" s="1439"/>
      <c r="K54" s="1420">
        <v>3114.91</v>
      </c>
      <c r="L54" s="1439"/>
      <c r="M54" s="1422">
        <v>375717359</v>
      </c>
      <c r="N54" s="1439"/>
      <c r="O54" s="1422">
        <v>26</v>
      </c>
      <c r="P54" s="1439"/>
      <c r="Q54" s="1422">
        <v>25</v>
      </c>
      <c r="R54" s="1439"/>
      <c r="S54" s="1422">
        <v>1</v>
      </c>
      <c r="T54" s="1439"/>
      <c r="U54" s="1422">
        <v>0</v>
      </c>
      <c r="V54" s="1439"/>
      <c r="W54" s="1422">
        <v>9</v>
      </c>
      <c r="X54" s="1439"/>
      <c r="Y54" s="1422">
        <v>35</v>
      </c>
      <c r="Z54" s="1439"/>
      <c r="AA54" s="1420">
        <v>25795116.780000001</v>
      </c>
      <c r="AB54" s="1439"/>
      <c r="AC54" s="1420">
        <v>12359185.869999999</v>
      </c>
      <c r="AD54" s="1420">
        <v>12857297.449999999</v>
      </c>
      <c r="AE54" s="1420">
        <v>1576575.66</v>
      </c>
      <c r="AF54" s="1420">
        <v>466735.05</v>
      </c>
      <c r="AG54" s="1422">
        <v>12106</v>
      </c>
      <c r="AH54" s="1422">
        <v>0</v>
      </c>
      <c r="AI54" s="1422">
        <v>9856446</v>
      </c>
      <c r="AJ54" s="1422">
        <v>10147982</v>
      </c>
      <c r="AK54" s="1422">
        <v>121568</v>
      </c>
      <c r="AL54" s="1422">
        <v>0</v>
      </c>
      <c r="AM54" s="1422">
        <v>210905</v>
      </c>
      <c r="AN54" s="1422">
        <v>0</v>
      </c>
      <c r="AO54" s="1422">
        <v>0</v>
      </c>
      <c r="AP54" s="1422">
        <v>0</v>
      </c>
      <c r="AQ54" s="1422">
        <v>0</v>
      </c>
      <c r="AR54" s="1422">
        <v>0</v>
      </c>
      <c r="AS54" s="1422">
        <v>0</v>
      </c>
      <c r="AT54" s="1422">
        <v>0</v>
      </c>
      <c r="AU54" s="1422">
        <v>0</v>
      </c>
      <c r="AV54" s="1422">
        <v>0</v>
      </c>
      <c r="AW54" s="1422">
        <v>0</v>
      </c>
      <c r="AX54" s="1422">
        <v>0</v>
      </c>
      <c r="AY54" s="1420">
        <v>24136786.530000001</v>
      </c>
      <c r="AZ54" s="1420">
        <v>23472014.5</v>
      </c>
      <c r="BA54" s="1422">
        <v>0</v>
      </c>
      <c r="BB54" s="1422">
        <v>0</v>
      </c>
      <c r="BC54" s="1422">
        <v>128833</v>
      </c>
      <c r="BD54" s="1422">
        <v>133616</v>
      </c>
      <c r="BE54" s="1420">
        <v>17010.28</v>
      </c>
      <c r="BF54" s="1422">
        <v>0</v>
      </c>
      <c r="BG54" s="1422">
        <v>1550</v>
      </c>
      <c r="BH54" s="1422">
        <v>0</v>
      </c>
      <c r="BI54" s="1422">
        <v>165649</v>
      </c>
      <c r="BJ54" s="1422">
        <v>165649</v>
      </c>
      <c r="BK54" s="1422">
        <v>39262</v>
      </c>
      <c r="BL54" s="1420">
        <v>39261.040000000001</v>
      </c>
      <c r="BM54" s="1422">
        <v>898752</v>
      </c>
      <c r="BN54" s="1422">
        <v>925980</v>
      </c>
      <c r="BO54" s="1420">
        <v>225043.11</v>
      </c>
      <c r="BP54" s="1422">
        <v>0</v>
      </c>
      <c r="BQ54" s="1420">
        <v>130030.52</v>
      </c>
      <c r="BR54" s="1422">
        <v>0</v>
      </c>
      <c r="BS54" s="1420">
        <v>11587.19</v>
      </c>
      <c r="BT54" s="1422">
        <v>11700</v>
      </c>
      <c r="BU54" s="1422">
        <v>0</v>
      </c>
      <c r="BV54" s="1422">
        <v>0</v>
      </c>
      <c r="BW54" s="1422">
        <v>437303</v>
      </c>
      <c r="BX54" s="1422">
        <v>437400</v>
      </c>
      <c r="BY54" s="1422">
        <v>0</v>
      </c>
      <c r="BZ54" s="1422">
        <v>0</v>
      </c>
      <c r="CA54" s="1420">
        <v>83852.429999999993</v>
      </c>
      <c r="CB54" s="1422">
        <v>30953</v>
      </c>
      <c r="CC54" s="1420">
        <v>2138872.5299999998</v>
      </c>
      <c r="CD54" s="1420">
        <v>1744559.04</v>
      </c>
      <c r="CE54" s="1420">
        <v>4548959.26</v>
      </c>
      <c r="CF54" s="1420">
        <v>2958154.26</v>
      </c>
      <c r="CG54" s="1420">
        <v>587681.26</v>
      </c>
      <c r="CH54" s="1422">
        <v>0</v>
      </c>
      <c r="CI54" s="1422">
        <v>0</v>
      </c>
      <c r="CJ54" s="1422">
        <v>0</v>
      </c>
      <c r="CK54" s="1420">
        <v>11116.11</v>
      </c>
      <c r="CL54" s="1422">
        <v>0</v>
      </c>
      <c r="CM54" s="1422">
        <v>0</v>
      </c>
      <c r="CN54" s="1422">
        <v>0</v>
      </c>
      <c r="CO54" s="1420">
        <v>15537.93</v>
      </c>
      <c r="CP54" s="1422">
        <v>0</v>
      </c>
      <c r="CQ54" s="1422">
        <v>0</v>
      </c>
      <c r="CR54" s="1422">
        <v>0</v>
      </c>
      <c r="CS54" s="1420">
        <v>614335.30000000005</v>
      </c>
      <c r="CT54" s="1422">
        <v>0</v>
      </c>
      <c r="CU54" s="1420">
        <v>31438953.620000001</v>
      </c>
      <c r="CV54" s="1420">
        <v>28174727.800000001</v>
      </c>
      <c r="CW54" s="1420">
        <v>10755279.199999999</v>
      </c>
      <c r="CX54" s="1420">
        <v>10470572.529999999</v>
      </c>
      <c r="CY54" s="1420">
        <v>2381541.5499999998</v>
      </c>
      <c r="CZ54" s="1420">
        <v>2255600.89</v>
      </c>
      <c r="DA54" s="1420">
        <v>746908.39</v>
      </c>
      <c r="DB54" s="1420">
        <v>560044.78</v>
      </c>
      <c r="DC54" s="1422">
        <v>0</v>
      </c>
      <c r="DD54" s="1422">
        <v>0</v>
      </c>
      <c r="DE54" s="1420">
        <v>914842.08</v>
      </c>
      <c r="DF54" s="1420">
        <v>766107.53</v>
      </c>
      <c r="DG54" s="1420">
        <v>1440820.08</v>
      </c>
      <c r="DH54" s="1420">
        <v>1305470.3799999999</v>
      </c>
      <c r="DI54" s="1420">
        <v>16239391.300000001</v>
      </c>
      <c r="DJ54" s="1420">
        <v>15357796.109999999</v>
      </c>
      <c r="DK54" s="1420">
        <v>449910.63</v>
      </c>
      <c r="DL54" s="1420">
        <v>415657.25</v>
      </c>
      <c r="DM54" s="1420">
        <v>288715.46999999997</v>
      </c>
      <c r="DN54" s="1420">
        <v>300031.28000000003</v>
      </c>
      <c r="DO54" s="1420">
        <v>2755713.72</v>
      </c>
      <c r="DP54" s="1420">
        <v>2675774.04</v>
      </c>
      <c r="DQ54" s="1420">
        <v>1326268.24</v>
      </c>
      <c r="DR54" s="1420">
        <v>941001.11</v>
      </c>
      <c r="DS54" s="1420">
        <v>95025.91</v>
      </c>
      <c r="DT54" s="1420">
        <v>84296.81</v>
      </c>
      <c r="DU54" s="1420">
        <v>4915633.97</v>
      </c>
      <c r="DV54" s="1420">
        <v>4416760.49</v>
      </c>
      <c r="DW54" s="1420">
        <v>1403101.37</v>
      </c>
      <c r="DX54" s="1420">
        <v>1453393.83</v>
      </c>
      <c r="DY54" s="1420">
        <v>2265286.67</v>
      </c>
      <c r="DZ54" s="1420">
        <v>1874004.9</v>
      </c>
      <c r="EA54" s="1420">
        <v>1684993.76</v>
      </c>
      <c r="EB54" s="1420">
        <v>1665156.84</v>
      </c>
      <c r="EC54" s="1420">
        <v>5353381.8</v>
      </c>
      <c r="ED54" s="1420">
        <v>4992555.57</v>
      </c>
      <c r="EE54" s="1420">
        <v>1520235.09</v>
      </c>
      <c r="EF54" s="1420">
        <v>1396002.71</v>
      </c>
      <c r="EG54" s="1422">
        <v>0</v>
      </c>
      <c r="EH54" s="1422">
        <v>0</v>
      </c>
      <c r="EI54" s="1420">
        <v>444190.06</v>
      </c>
      <c r="EJ54" s="1420">
        <v>130877.71</v>
      </c>
      <c r="EK54" s="1422">
        <v>0</v>
      </c>
      <c r="EL54" s="1422">
        <v>0</v>
      </c>
      <c r="EM54" s="1420">
        <v>1964425.15</v>
      </c>
      <c r="EN54" s="1420">
        <v>1526880.42</v>
      </c>
      <c r="EO54" s="1420">
        <v>718778.97</v>
      </c>
      <c r="EP54" s="1422">
        <v>0</v>
      </c>
      <c r="EQ54" s="1420">
        <v>2351131.4700000002</v>
      </c>
      <c r="ER54" s="1420">
        <v>2442139.36</v>
      </c>
      <c r="ES54" s="1422">
        <v>0</v>
      </c>
      <c r="ET54" s="1422">
        <v>0</v>
      </c>
      <c r="EU54" s="1420">
        <v>31542742.66</v>
      </c>
      <c r="EV54" s="1420">
        <v>28736131.949999999</v>
      </c>
      <c r="EW54" s="1420">
        <v>1488551.4</v>
      </c>
      <c r="EX54" s="1420">
        <v>174446.24</v>
      </c>
      <c r="EY54" s="1420">
        <v>2351131.4700000002</v>
      </c>
      <c r="EZ54" s="1420">
        <v>2442139.36</v>
      </c>
      <c r="FA54" s="1420">
        <v>27703059.789999999</v>
      </c>
      <c r="FB54" s="1420">
        <v>26119546.350000001</v>
      </c>
      <c r="FC54" s="1420">
        <v>1778416.57</v>
      </c>
      <c r="FD54" s="1439"/>
      <c r="FE54" s="1420">
        <v>25924643.219999999</v>
      </c>
      <c r="FF54" s="1439"/>
      <c r="FG54" s="1422">
        <v>8611</v>
      </c>
      <c r="FH54" s="1439"/>
      <c r="FI54" s="1420">
        <v>216.8</v>
      </c>
      <c r="FJ54" s="1439"/>
      <c r="FK54" s="1422">
        <v>45144</v>
      </c>
      <c r="FL54" s="1439"/>
      <c r="FM54" s="1420">
        <v>234.87</v>
      </c>
      <c r="FN54" s="1439"/>
      <c r="FO54" s="1422">
        <v>47296</v>
      </c>
      <c r="FP54" s="1439"/>
      <c r="FQ54" s="1420">
        <v>1737391.08</v>
      </c>
      <c r="FR54" s="1439"/>
      <c r="FS54" s="1420">
        <v>618.46</v>
      </c>
      <c r="FT54" s="1439"/>
      <c r="FU54" s="1422">
        <v>0</v>
      </c>
      <c r="FV54" s="1439"/>
      <c r="FW54" s="1420">
        <v>1736772.62</v>
      </c>
      <c r="FX54" s="1439"/>
      <c r="FY54" s="1420">
        <v>592417.63</v>
      </c>
      <c r="FZ54" s="1439"/>
      <c r="GA54" s="1422">
        <v>0</v>
      </c>
      <c r="GB54" s="1439"/>
    </row>
    <row r="55" spans="1:184" ht="12.75" customHeight="1" thickBot="1">
      <c r="A55" s="1418" t="s">
        <v>507</v>
      </c>
      <c r="B55" s="1418" t="s">
        <v>508</v>
      </c>
      <c r="C55" s="1420">
        <v>106.46</v>
      </c>
      <c r="D55" s="1439"/>
      <c r="E55" s="1420">
        <v>2264.75</v>
      </c>
      <c r="F55" s="1439"/>
      <c r="G55" s="1421">
        <v>0.28999999999999998</v>
      </c>
      <c r="H55" s="1439"/>
      <c r="I55" s="1420">
        <v>2349.21</v>
      </c>
      <c r="J55" s="1439"/>
      <c r="K55" s="1420">
        <v>2278.88</v>
      </c>
      <c r="L55" s="1439"/>
      <c r="M55" s="1422">
        <v>159845670</v>
      </c>
      <c r="N55" s="1439"/>
      <c r="O55" s="1422">
        <v>25</v>
      </c>
      <c r="P55" s="1439"/>
      <c r="Q55" s="1422">
        <v>25</v>
      </c>
      <c r="R55" s="1439"/>
      <c r="S55" s="1422">
        <v>0</v>
      </c>
      <c r="T55" s="1439"/>
      <c r="U55" s="1422">
        <v>0</v>
      </c>
      <c r="V55" s="1439"/>
      <c r="W55" s="1420">
        <v>12.6</v>
      </c>
      <c r="X55" s="1439"/>
      <c r="Y55" s="1420">
        <v>37.6</v>
      </c>
      <c r="Z55" s="1439"/>
      <c r="AA55" s="1420">
        <v>37204838.899999999</v>
      </c>
      <c r="AB55" s="1439"/>
      <c r="AC55" s="1420">
        <v>5538221.0599999996</v>
      </c>
      <c r="AD55" s="1420">
        <v>5869871.1600000001</v>
      </c>
      <c r="AE55" s="1420">
        <v>1432244.62</v>
      </c>
      <c r="AF55" s="1422">
        <v>900150</v>
      </c>
      <c r="AG55" s="1422">
        <v>0</v>
      </c>
      <c r="AH55" s="1422">
        <v>0</v>
      </c>
      <c r="AI55" s="1422">
        <v>10040060</v>
      </c>
      <c r="AJ55" s="1422">
        <v>10496561</v>
      </c>
      <c r="AK55" s="1422">
        <v>60272</v>
      </c>
      <c r="AL55" s="1422">
        <v>0</v>
      </c>
      <c r="AM55" s="1422">
        <v>441084</v>
      </c>
      <c r="AN55" s="1422">
        <v>500000</v>
      </c>
      <c r="AO55" s="1422">
        <v>0</v>
      </c>
      <c r="AP55" s="1422">
        <v>0</v>
      </c>
      <c r="AQ55" s="1422">
        <v>0</v>
      </c>
      <c r="AR55" s="1422">
        <v>0</v>
      </c>
      <c r="AS55" s="1422">
        <v>0</v>
      </c>
      <c r="AT55" s="1422">
        <v>0</v>
      </c>
      <c r="AU55" s="1422">
        <v>0</v>
      </c>
      <c r="AV55" s="1422">
        <v>0</v>
      </c>
      <c r="AW55" s="1422">
        <v>22190</v>
      </c>
      <c r="AX55" s="1422">
        <v>0</v>
      </c>
      <c r="AY55" s="1420">
        <v>17534071.68</v>
      </c>
      <c r="AZ55" s="1420">
        <v>17766582.16</v>
      </c>
      <c r="BA55" s="1420">
        <v>538258.21</v>
      </c>
      <c r="BB55" s="1420">
        <v>534812.11</v>
      </c>
      <c r="BC55" s="1422">
        <v>94254</v>
      </c>
      <c r="BD55" s="1422">
        <v>99416</v>
      </c>
      <c r="BE55" s="1420">
        <v>41030.28</v>
      </c>
      <c r="BF55" s="1422">
        <v>4600</v>
      </c>
      <c r="BG55" s="1422">
        <v>4533</v>
      </c>
      <c r="BH55" s="1422">
        <v>0</v>
      </c>
      <c r="BI55" s="1422">
        <v>12392</v>
      </c>
      <c r="BJ55" s="1422">
        <v>10197</v>
      </c>
      <c r="BK55" s="1422">
        <v>12599</v>
      </c>
      <c r="BL55" s="1422">
        <v>0</v>
      </c>
      <c r="BM55" s="1422">
        <v>279903</v>
      </c>
      <c r="BN55" s="1422">
        <v>285467</v>
      </c>
      <c r="BO55" s="1420">
        <v>159866.76999999999</v>
      </c>
      <c r="BP55" s="1420">
        <v>110297.32</v>
      </c>
      <c r="BQ55" s="1420">
        <v>47937.52</v>
      </c>
      <c r="BR55" s="1422">
        <v>37375</v>
      </c>
      <c r="BS55" s="1420">
        <v>8789.6200000000008</v>
      </c>
      <c r="BT55" s="1422">
        <v>8700</v>
      </c>
      <c r="BU55" s="1422">
        <v>0</v>
      </c>
      <c r="BV55" s="1422">
        <v>0</v>
      </c>
      <c r="BW55" s="1422">
        <v>288198</v>
      </c>
      <c r="BX55" s="1422">
        <v>291600</v>
      </c>
      <c r="BY55" s="1422">
        <v>0</v>
      </c>
      <c r="BZ55" s="1422">
        <v>0</v>
      </c>
      <c r="CA55" s="1420">
        <v>319268.14</v>
      </c>
      <c r="CB55" s="1420">
        <v>5917842.8600000003</v>
      </c>
      <c r="CC55" s="1420">
        <v>1807029.54</v>
      </c>
      <c r="CD55" s="1420">
        <v>7300307.29</v>
      </c>
      <c r="CE55" s="1420">
        <v>1658537.6</v>
      </c>
      <c r="CF55" s="1420">
        <v>1571577.96</v>
      </c>
      <c r="CG55" s="1420">
        <v>16426857.83</v>
      </c>
      <c r="CH55" s="1422">
        <v>112000</v>
      </c>
      <c r="CI55" s="1422">
        <v>0</v>
      </c>
      <c r="CJ55" s="1422">
        <v>0</v>
      </c>
      <c r="CK55" s="1420">
        <v>760.6</v>
      </c>
      <c r="CL55" s="1420">
        <v>1002.63</v>
      </c>
      <c r="CM55" s="1422">
        <v>0</v>
      </c>
      <c r="CN55" s="1422">
        <v>0</v>
      </c>
      <c r="CO55" s="1422">
        <v>14695</v>
      </c>
      <c r="CP55" s="1422">
        <v>0</v>
      </c>
      <c r="CQ55" s="1422">
        <v>0</v>
      </c>
      <c r="CR55" s="1422">
        <v>0</v>
      </c>
      <c r="CS55" s="1420">
        <v>16442313.43</v>
      </c>
      <c r="CT55" s="1420">
        <v>113002.63</v>
      </c>
      <c r="CU55" s="1420">
        <v>37441952.25</v>
      </c>
      <c r="CV55" s="1420">
        <v>26751470.039999999</v>
      </c>
      <c r="CW55" s="1420">
        <v>8360193.5599999996</v>
      </c>
      <c r="CX55" s="1420">
        <v>8386858.71</v>
      </c>
      <c r="CY55" s="1420">
        <v>1099227.3400000001</v>
      </c>
      <c r="CZ55" s="1420">
        <v>1049865.99</v>
      </c>
      <c r="DA55" s="1420">
        <v>611459.55000000005</v>
      </c>
      <c r="DB55" s="1420">
        <v>572296.61</v>
      </c>
      <c r="DC55" s="1420">
        <v>649446.03</v>
      </c>
      <c r="DD55" s="1420">
        <v>571827.72</v>
      </c>
      <c r="DE55" s="1420">
        <v>153696.4</v>
      </c>
      <c r="DF55" s="1420">
        <v>141137.78</v>
      </c>
      <c r="DG55" s="1420">
        <v>1019955.09</v>
      </c>
      <c r="DH55" s="1420">
        <v>991893.27</v>
      </c>
      <c r="DI55" s="1420">
        <v>11893977.970000001</v>
      </c>
      <c r="DJ55" s="1420">
        <v>11713880.08</v>
      </c>
      <c r="DK55" s="1420">
        <v>379409.37</v>
      </c>
      <c r="DL55" s="1420">
        <v>429585.34</v>
      </c>
      <c r="DM55" s="1420">
        <v>198543.56</v>
      </c>
      <c r="DN55" s="1420">
        <v>548508.73</v>
      </c>
      <c r="DO55" s="1420">
        <v>1865284.5</v>
      </c>
      <c r="DP55" s="1420">
        <v>1850281.87</v>
      </c>
      <c r="DQ55" s="1420">
        <v>615674.94999999995</v>
      </c>
      <c r="DR55" s="1420">
        <v>723026.4</v>
      </c>
      <c r="DS55" s="1420">
        <v>52619.02</v>
      </c>
      <c r="DT55" s="1420">
        <v>52046.43</v>
      </c>
      <c r="DU55" s="1420">
        <v>3111531.4</v>
      </c>
      <c r="DV55" s="1420">
        <v>3603448.77</v>
      </c>
      <c r="DW55" s="1420">
        <v>736632.43</v>
      </c>
      <c r="DX55" s="1420">
        <v>736707.81</v>
      </c>
      <c r="DY55" s="1420">
        <v>860110.19</v>
      </c>
      <c r="DZ55" s="1420">
        <v>808119.71</v>
      </c>
      <c r="EA55" s="1420">
        <v>857152.54</v>
      </c>
      <c r="EB55" s="1420">
        <v>880023.13</v>
      </c>
      <c r="EC55" s="1420">
        <v>2453895.16</v>
      </c>
      <c r="ED55" s="1420">
        <v>2424850.65</v>
      </c>
      <c r="EE55" s="1420">
        <v>1146035.3400000001</v>
      </c>
      <c r="EF55" s="1420">
        <v>1078388.99</v>
      </c>
      <c r="EG55" s="1422">
        <v>0</v>
      </c>
      <c r="EH55" s="1422">
        <v>0</v>
      </c>
      <c r="EI55" s="1422">
        <v>0</v>
      </c>
      <c r="EJ55" s="1420">
        <v>1340.24</v>
      </c>
      <c r="EK55" s="1422">
        <v>0</v>
      </c>
      <c r="EL55" s="1422">
        <v>0</v>
      </c>
      <c r="EM55" s="1420">
        <v>1146035.3400000001</v>
      </c>
      <c r="EN55" s="1420">
        <v>1079729.23</v>
      </c>
      <c r="EO55" s="1420">
        <v>2737089.31</v>
      </c>
      <c r="EP55" s="1420">
        <v>22307069.43</v>
      </c>
      <c r="EQ55" s="1420">
        <v>1562609.75</v>
      </c>
      <c r="ER55" s="1420">
        <v>2194925.96</v>
      </c>
      <c r="ES55" s="1420">
        <v>2631.99</v>
      </c>
      <c r="ET55" s="1422">
        <v>0</v>
      </c>
      <c r="EU55" s="1420">
        <v>22907770.920000002</v>
      </c>
      <c r="EV55" s="1420">
        <v>43323904.119999997</v>
      </c>
      <c r="EW55" s="1420">
        <v>2956814.49</v>
      </c>
      <c r="EX55" s="1420">
        <v>22722095.800000001</v>
      </c>
      <c r="EY55" s="1420">
        <v>1562609.75</v>
      </c>
      <c r="EZ55" s="1420">
        <v>2194925.96</v>
      </c>
      <c r="FA55" s="1420">
        <v>18388346.68</v>
      </c>
      <c r="FB55" s="1420">
        <v>18406882.359999999</v>
      </c>
      <c r="FC55" s="1420">
        <v>2287922.87</v>
      </c>
      <c r="FD55" s="1439"/>
      <c r="FE55" s="1420">
        <v>16100423.810000001</v>
      </c>
      <c r="FF55" s="1439"/>
      <c r="FG55" s="1422">
        <v>7109</v>
      </c>
      <c r="FH55" s="1439"/>
      <c r="FI55" s="1420">
        <v>158.6</v>
      </c>
      <c r="FJ55" s="1439"/>
      <c r="FK55" s="1422">
        <v>44170</v>
      </c>
      <c r="FL55" s="1439"/>
      <c r="FM55" s="1420">
        <v>168.17</v>
      </c>
      <c r="FN55" s="1439"/>
      <c r="FO55" s="1422">
        <v>46260</v>
      </c>
      <c r="FP55" s="1439"/>
      <c r="FQ55" s="1420">
        <v>2675541.06</v>
      </c>
      <c r="FR55" s="1439"/>
      <c r="FS55" s="1420">
        <v>26929.14</v>
      </c>
      <c r="FT55" s="1439"/>
      <c r="FU55" s="1422">
        <v>0</v>
      </c>
      <c r="FV55" s="1439"/>
      <c r="FW55" s="1420">
        <v>2648611.92</v>
      </c>
      <c r="FX55" s="1439"/>
      <c r="FY55" s="1420">
        <v>16863269.859999999</v>
      </c>
      <c r="FZ55" s="1439"/>
      <c r="GA55" s="1422">
        <v>0</v>
      </c>
      <c r="GB55" s="1439"/>
    </row>
    <row r="56" spans="1:184" ht="12.75" customHeight="1" thickBot="1">
      <c r="A56" s="1418" t="s">
        <v>509</v>
      </c>
      <c r="B56" s="1418" t="s">
        <v>510</v>
      </c>
      <c r="C56" s="1420">
        <v>100.31</v>
      </c>
      <c r="D56" s="1439"/>
      <c r="E56" s="1420">
        <v>762.97</v>
      </c>
      <c r="F56" s="1439"/>
      <c r="G56" s="1421">
        <v>0.04</v>
      </c>
      <c r="H56" s="1439"/>
      <c r="I56" s="1420">
        <v>811.51</v>
      </c>
      <c r="J56" s="1439"/>
      <c r="K56" s="1420">
        <v>803.52</v>
      </c>
      <c r="L56" s="1439"/>
      <c r="M56" s="1422">
        <v>37673394</v>
      </c>
      <c r="N56" s="1439"/>
      <c r="O56" s="1422">
        <v>25</v>
      </c>
      <c r="P56" s="1439"/>
      <c r="Q56" s="1422">
        <v>25</v>
      </c>
      <c r="R56" s="1439"/>
      <c r="S56" s="1422">
        <v>0</v>
      </c>
      <c r="T56" s="1439"/>
      <c r="U56" s="1422">
        <v>0</v>
      </c>
      <c r="V56" s="1439"/>
      <c r="W56" s="1420">
        <v>16.059999999999999</v>
      </c>
      <c r="X56" s="1439"/>
      <c r="Y56" s="1420">
        <v>41.06</v>
      </c>
      <c r="Z56" s="1439"/>
      <c r="AA56" s="1420">
        <v>5425185.2599999998</v>
      </c>
      <c r="AB56" s="1439"/>
      <c r="AC56" s="1420">
        <v>1472367.09</v>
      </c>
      <c r="AD56" s="1422">
        <v>1480000</v>
      </c>
      <c r="AE56" s="1420">
        <v>421157.78</v>
      </c>
      <c r="AF56" s="1422">
        <v>142572</v>
      </c>
      <c r="AG56" s="1422">
        <v>0</v>
      </c>
      <c r="AH56" s="1422">
        <v>0</v>
      </c>
      <c r="AI56" s="1422">
        <v>3937362</v>
      </c>
      <c r="AJ56" s="1422">
        <v>4048682</v>
      </c>
      <c r="AK56" s="1422">
        <v>3697</v>
      </c>
      <c r="AL56" s="1422">
        <v>4000</v>
      </c>
      <c r="AM56" s="1422">
        <v>46076</v>
      </c>
      <c r="AN56" s="1422">
        <v>40685</v>
      </c>
      <c r="AO56" s="1422">
        <v>0</v>
      </c>
      <c r="AP56" s="1422">
        <v>0</v>
      </c>
      <c r="AQ56" s="1422">
        <v>0</v>
      </c>
      <c r="AR56" s="1422">
        <v>0</v>
      </c>
      <c r="AS56" s="1422">
        <v>0</v>
      </c>
      <c r="AT56" s="1422">
        <v>0</v>
      </c>
      <c r="AU56" s="1422">
        <v>23622</v>
      </c>
      <c r="AV56" s="1422">
        <v>18898</v>
      </c>
      <c r="AW56" s="1422">
        <v>0</v>
      </c>
      <c r="AX56" s="1422">
        <v>0</v>
      </c>
      <c r="AY56" s="1420">
        <v>5904281.8700000001</v>
      </c>
      <c r="AZ56" s="1422">
        <v>5734837</v>
      </c>
      <c r="BA56" s="1422">
        <v>0</v>
      </c>
      <c r="BB56" s="1422">
        <v>0</v>
      </c>
      <c r="BC56" s="1422">
        <v>33234</v>
      </c>
      <c r="BD56" s="1422">
        <v>34324</v>
      </c>
      <c r="BE56" s="1420">
        <v>5767.86</v>
      </c>
      <c r="BF56" s="1422">
        <v>0</v>
      </c>
      <c r="BG56" s="1422">
        <v>300</v>
      </c>
      <c r="BH56" s="1422">
        <v>0</v>
      </c>
      <c r="BI56" s="1422">
        <v>0</v>
      </c>
      <c r="BJ56" s="1422">
        <v>0</v>
      </c>
      <c r="BK56" s="1422">
        <v>0</v>
      </c>
      <c r="BL56" s="1422">
        <v>0</v>
      </c>
      <c r="BM56" s="1422">
        <v>252960</v>
      </c>
      <c r="BN56" s="1422">
        <v>259578</v>
      </c>
      <c r="BO56" s="1420">
        <v>60069.25</v>
      </c>
      <c r="BP56" s="1422">
        <v>3000</v>
      </c>
      <c r="BQ56" s="1420">
        <v>38925.300000000003</v>
      </c>
      <c r="BR56" s="1422">
        <v>43875</v>
      </c>
      <c r="BS56" s="1420">
        <v>3250.22</v>
      </c>
      <c r="BT56" s="1422">
        <v>2000</v>
      </c>
      <c r="BU56" s="1422">
        <v>0</v>
      </c>
      <c r="BV56" s="1422">
        <v>0</v>
      </c>
      <c r="BW56" s="1422">
        <v>0</v>
      </c>
      <c r="BX56" s="1422">
        <v>0</v>
      </c>
      <c r="BY56" s="1422">
        <v>0</v>
      </c>
      <c r="BZ56" s="1422">
        <v>0</v>
      </c>
      <c r="CA56" s="1420">
        <v>5764701.0700000003</v>
      </c>
      <c r="CB56" s="1422">
        <v>23495</v>
      </c>
      <c r="CC56" s="1420">
        <v>6159207.7000000002</v>
      </c>
      <c r="CD56" s="1422">
        <v>366272</v>
      </c>
      <c r="CE56" s="1420">
        <v>1409228.02</v>
      </c>
      <c r="CF56" s="1422">
        <v>1798147</v>
      </c>
      <c r="CG56" s="1422">
        <v>0</v>
      </c>
      <c r="CH56" s="1422">
        <v>0</v>
      </c>
      <c r="CI56" s="1422">
        <v>0</v>
      </c>
      <c r="CJ56" s="1422">
        <v>0</v>
      </c>
      <c r="CK56" s="1422">
        <v>0</v>
      </c>
      <c r="CL56" s="1422">
        <v>0</v>
      </c>
      <c r="CM56" s="1422">
        <v>0</v>
      </c>
      <c r="CN56" s="1422">
        <v>0</v>
      </c>
      <c r="CO56" s="1422">
        <v>0</v>
      </c>
      <c r="CP56" s="1422">
        <v>0</v>
      </c>
      <c r="CQ56" s="1422">
        <v>0</v>
      </c>
      <c r="CR56" s="1422">
        <v>0</v>
      </c>
      <c r="CS56" s="1422">
        <v>0</v>
      </c>
      <c r="CT56" s="1422">
        <v>0</v>
      </c>
      <c r="CU56" s="1420">
        <v>13472717.59</v>
      </c>
      <c r="CV56" s="1422">
        <v>7899256</v>
      </c>
      <c r="CW56" s="1420">
        <v>3166915.21</v>
      </c>
      <c r="CX56" s="1422">
        <v>2716358</v>
      </c>
      <c r="CY56" s="1420">
        <v>580621.75</v>
      </c>
      <c r="CZ56" s="1422">
        <v>744199</v>
      </c>
      <c r="DA56" s="1420">
        <v>245991.84</v>
      </c>
      <c r="DB56" s="1422">
        <v>294700</v>
      </c>
      <c r="DC56" s="1422">
        <v>0</v>
      </c>
      <c r="DD56" s="1422">
        <v>0</v>
      </c>
      <c r="DE56" s="1420">
        <v>385236.92</v>
      </c>
      <c r="DF56" s="1422">
        <v>440207</v>
      </c>
      <c r="DG56" s="1420">
        <v>94285.08</v>
      </c>
      <c r="DH56" s="1422">
        <v>106135</v>
      </c>
      <c r="DI56" s="1420">
        <v>4473050.8</v>
      </c>
      <c r="DJ56" s="1422">
        <v>4301599</v>
      </c>
      <c r="DK56" s="1420">
        <v>240084.47</v>
      </c>
      <c r="DL56" s="1422">
        <v>217972</v>
      </c>
      <c r="DM56" s="1420">
        <v>52339.199999999997</v>
      </c>
      <c r="DN56" s="1422">
        <v>88511</v>
      </c>
      <c r="DO56" s="1420">
        <v>546665.06000000006</v>
      </c>
      <c r="DP56" s="1422">
        <v>741864</v>
      </c>
      <c r="DQ56" s="1420">
        <v>253376.01</v>
      </c>
      <c r="DR56" s="1422">
        <v>408691</v>
      </c>
      <c r="DS56" s="1420">
        <v>28394.11</v>
      </c>
      <c r="DT56" s="1422">
        <v>10000</v>
      </c>
      <c r="DU56" s="1420">
        <v>1120858.8500000001</v>
      </c>
      <c r="DV56" s="1422">
        <v>1467038</v>
      </c>
      <c r="DW56" s="1420">
        <v>185799.43</v>
      </c>
      <c r="DX56" s="1422">
        <v>247260</v>
      </c>
      <c r="DY56" s="1420">
        <v>728437.39</v>
      </c>
      <c r="DZ56" s="1422">
        <v>706405</v>
      </c>
      <c r="EA56" s="1420">
        <v>395148.64</v>
      </c>
      <c r="EB56" s="1422">
        <v>378973</v>
      </c>
      <c r="EC56" s="1420">
        <v>1309385.46</v>
      </c>
      <c r="ED56" s="1422">
        <v>1332638</v>
      </c>
      <c r="EE56" s="1420">
        <v>373814.43</v>
      </c>
      <c r="EF56" s="1420">
        <v>425544.44</v>
      </c>
      <c r="EG56" s="1422">
        <v>0</v>
      </c>
      <c r="EH56" s="1422">
        <v>0</v>
      </c>
      <c r="EI56" s="1422">
        <v>0</v>
      </c>
      <c r="EJ56" s="1422">
        <v>0</v>
      </c>
      <c r="EK56" s="1422">
        <v>0</v>
      </c>
      <c r="EL56" s="1422">
        <v>0</v>
      </c>
      <c r="EM56" s="1420">
        <v>373814.43</v>
      </c>
      <c r="EN56" s="1420">
        <v>425544.44</v>
      </c>
      <c r="EO56" s="1420">
        <v>8143042.0700000003</v>
      </c>
      <c r="EP56" s="1422">
        <v>805000</v>
      </c>
      <c r="EQ56" s="1420">
        <v>403778.65</v>
      </c>
      <c r="ER56" s="1422">
        <v>418777</v>
      </c>
      <c r="ES56" s="1420">
        <v>59632.5</v>
      </c>
      <c r="ET56" s="1422">
        <v>0</v>
      </c>
      <c r="EU56" s="1420">
        <v>15883562.76</v>
      </c>
      <c r="EV56" s="1420">
        <v>8750596.4399999995</v>
      </c>
      <c r="EW56" s="1420">
        <v>8342807.29</v>
      </c>
      <c r="EX56" s="1422">
        <v>1143080</v>
      </c>
      <c r="EY56" s="1420">
        <v>403778.65</v>
      </c>
      <c r="EZ56" s="1422">
        <v>418777</v>
      </c>
      <c r="FA56" s="1420">
        <v>7136976.8200000003</v>
      </c>
      <c r="FB56" s="1420">
        <v>7188739.4400000004</v>
      </c>
      <c r="FC56" s="1420">
        <v>403317.38</v>
      </c>
      <c r="FD56" s="1439"/>
      <c r="FE56" s="1420">
        <v>6733659.4400000004</v>
      </c>
      <c r="FF56" s="1439"/>
      <c r="FG56" s="1422">
        <v>8825</v>
      </c>
      <c r="FH56" s="1439"/>
      <c r="FI56" s="1420">
        <v>64.55</v>
      </c>
      <c r="FJ56" s="1439"/>
      <c r="FK56" s="1422">
        <v>40589</v>
      </c>
      <c r="FL56" s="1439"/>
      <c r="FM56" s="1420">
        <v>69.58</v>
      </c>
      <c r="FN56" s="1439"/>
      <c r="FO56" s="1422">
        <v>42401</v>
      </c>
      <c r="FP56" s="1439"/>
      <c r="FQ56" s="1420">
        <v>920004.31</v>
      </c>
      <c r="FR56" s="1439"/>
      <c r="FS56" s="1420">
        <v>119162.32</v>
      </c>
      <c r="FT56" s="1439"/>
      <c r="FU56" s="1422">
        <v>0</v>
      </c>
      <c r="FV56" s="1439"/>
      <c r="FW56" s="1420">
        <v>800841.99</v>
      </c>
      <c r="FX56" s="1439"/>
      <c r="FY56" s="1420">
        <v>1188895.5900000001</v>
      </c>
      <c r="FZ56" s="1439"/>
      <c r="GA56" s="1422">
        <v>0</v>
      </c>
      <c r="GB56" s="1439"/>
    </row>
    <row r="57" spans="1:184" ht="12.75" customHeight="1" thickBot="1">
      <c r="A57" s="1418" t="s">
        <v>511</v>
      </c>
      <c r="B57" s="1418" t="s">
        <v>512</v>
      </c>
      <c r="C57" s="1420">
        <v>102.41</v>
      </c>
      <c r="D57" s="1439"/>
      <c r="E57" s="1420">
        <v>3261.51</v>
      </c>
      <c r="F57" s="1439"/>
      <c r="G57" s="1421">
        <v>7.0000000000000007E-2</v>
      </c>
      <c r="H57" s="1439"/>
      <c r="I57" s="1420">
        <v>3405.6</v>
      </c>
      <c r="J57" s="1439"/>
      <c r="K57" s="1420">
        <v>3431.79</v>
      </c>
      <c r="L57" s="1439"/>
      <c r="M57" s="1422">
        <v>164383418</v>
      </c>
      <c r="N57" s="1439"/>
      <c r="O57" s="1422">
        <v>25</v>
      </c>
      <c r="P57" s="1439"/>
      <c r="Q57" s="1422">
        <v>25</v>
      </c>
      <c r="R57" s="1439"/>
      <c r="S57" s="1422">
        <v>0</v>
      </c>
      <c r="T57" s="1439"/>
      <c r="U57" s="1422">
        <v>0</v>
      </c>
      <c r="V57" s="1439"/>
      <c r="W57" s="1420">
        <v>18.399999999999999</v>
      </c>
      <c r="X57" s="1439"/>
      <c r="Y57" s="1420">
        <v>43.4</v>
      </c>
      <c r="Z57" s="1439"/>
      <c r="AA57" s="1422">
        <v>53585000</v>
      </c>
      <c r="AB57" s="1439"/>
      <c r="AC57" s="1420">
        <v>6588614.4699999997</v>
      </c>
      <c r="AD57" s="1422">
        <v>7041183</v>
      </c>
      <c r="AE57" s="1420">
        <v>1802327.13</v>
      </c>
      <c r="AF57" s="1422">
        <v>88843</v>
      </c>
      <c r="AG57" s="1420">
        <v>2264.37</v>
      </c>
      <c r="AH57" s="1422">
        <v>2000</v>
      </c>
      <c r="AI57" s="1422">
        <v>16753036</v>
      </c>
      <c r="AJ57" s="1422">
        <v>16921998</v>
      </c>
      <c r="AK57" s="1422">
        <v>67487</v>
      </c>
      <c r="AL57" s="1422">
        <v>0</v>
      </c>
      <c r="AM57" s="1422">
        <v>0</v>
      </c>
      <c r="AN57" s="1422">
        <v>0</v>
      </c>
      <c r="AO57" s="1422">
        <v>0</v>
      </c>
      <c r="AP57" s="1422">
        <v>62822</v>
      </c>
      <c r="AQ57" s="1422">
        <v>0</v>
      </c>
      <c r="AR57" s="1422">
        <v>0</v>
      </c>
      <c r="AS57" s="1422">
        <v>0</v>
      </c>
      <c r="AT57" s="1422">
        <v>0</v>
      </c>
      <c r="AU57" s="1422">
        <v>0</v>
      </c>
      <c r="AV57" s="1422">
        <v>0</v>
      </c>
      <c r="AW57" s="1420">
        <v>23774.68</v>
      </c>
      <c r="AX57" s="1422">
        <v>0</v>
      </c>
      <c r="AY57" s="1420">
        <v>25237503.649999999</v>
      </c>
      <c r="AZ57" s="1422">
        <v>24116846</v>
      </c>
      <c r="BA57" s="1422">
        <v>0</v>
      </c>
      <c r="BB57" s="1422">
        <v>0</v>
      </c>
      <c r="BC57" s="1422">
        <v>141939</v>
      </c>
      <c r="BD57" s="1422">
        <v>144573</v>
      </c>
      <c r="BE57" s="1420">
        <v>19750.45</v>
      </c>
      <c r="BF57" s="1422">
        <v>11600</v>
      </c>
      <c r="BG57" s="1422">
        <v>5350</v>
      </c>
      <c r="BH57" s="1422">
        <v>5000</v>
      </c>
      <c r="BI57" s="1422">
        <v>93571</v>
      </c>
      <c r="BJ57" s="1422">
        <v>191250</v>
      </c>
      <c r="BK57" s="1422">
        <v>1172</v>
      </c>
      <c r="BL57" s="1422">
        <v>1000</v>
      </c>
      <c r="BM57" s="1422">
        <v>860064</v>
      </c>
      <c r="BN57" s="1422">
        <v>882464</v>
      </c>
      <c r="BO57" s="1420">
        <v>33066.79</v>
      </c>
      <c r="BP57" s="1422">
        <v>19500</v>
      </c>
      <c r="BQ57" s="1420">
        <v>174406.87</v>
      </c>
      <c r="BR57" s="1422">
        <v>173594</v>
      </c>
      <c r="BS57" s="1420">
        <v>12208.78</v>
      </c>
      <c r="BT57" s="1422">
        <v>0</v>
      </c>
      <c r="BU57" s="1422">
        <v>0</v>
      </c>
      <c r="BV57" s="1422">
        <v>0</v>
      </c>
      <c r="BW57" s="1422">
        <v>0</v>
      </c>
      <c r="BX57" s="1422">
        <v>0</v>
      </c>
      <c r="BY57" s="1422">
        <v>0</v>
      </c>
      <c r="BZ57" s="1422">
        <v>0</v>
      </c>
      <c r="CA57" s="1420">
        <v>2320375.7999999998</v>
      </c>
      <c r="CB57" s="1420">
        <v>1975613.2</v>
      </c>
      <c r="CC57" s="1420">
        <v>3661904.69</v>
      </c>
      <c r="CD57" s="1420">
        <v>3404594.2</v>
      </c>
      <c r="CE57" s="1420">
        <v>3825118.59</v>
      </c>
      <c r="CF57" s="1420">
        <v>1833637.83</v>
      </c>
      <c r="CG57" s="1420">
        <v>2895012.56</v>
      </c>
      <c r="CH57" s="1422">
        <v>0</v>
      </c>
      <c r="CI57" s="1422">
        <v>0</v>
      </c>
      <c r="CJ57" s="1422">
        <v>0</v>
      </c>
      <c r="CK57" s="1422">
        <v>0</v>
      </c>
      <c r="CL57" s="1422">
        <v>0</v>
      </c>
      <c r="CM57" s="1422">
        <v>0</v>
      </c>
      <c r="CN57" s="1422">
        <v>0</v>
      </c>
      <c r="CO57" s="1422">
        <v>0</v>
      </c>
      <c r="CP57" s="1422">
        <v>0</v>
      </c>
      <c r="CQ57" s="1422">
        <v>0</v>
      </c>
      <c r="CR57" s="1422">
        <v>0</v>
      </c>
      <c r="CS57" s="1420">
        <v>2895012.56</v>
      </c>
      <c r="CT57" s="1422">
        <v>0</v>
      </c>
      <c r="CU57" s="1420">
        <v>35619539.490000002</v>
      </c>
      <c r="CV57" s="1420">
        <v>29355078.030000001</v>
      </c>
      <c r="CW57" s="1420">
        <v>12150843.220000001</v>
      </c>
      <c r="CX57" s="1420">
        <v>10881290.25</v>
      </c>
      <c r="CY57" s="1420">
        <v>2334872.46</v>
      </c>
      <c r="CZ57" s="1420">
        <v>2335196.88</v>
      </c>
      <c r="DA57" s="1420">
        <v>603475.34</v>
      </c>
      <c r="DB57" s="1420">
        <v>653552.55000000005</v>
      </c>
      <c r="DC57" s="1422">
        <v>0</v>
      </c>
      <c r="DD57" s="1422">
        <v>0</v>
      </c>
      <c r="DE57" s="1420">
        <v>1487323.77</v>
      </c>
      <c r="DF57" s="1420">
        <v>1451973.94</v>
      </c>
      <c r="DG57" s="1420">
        <v>870835.51</v>
      </c>
      <c r="DH57" s="1420">
        <v>932077.77</v>
      </c>
      <c r="DI57" s="1420">
        <v>17447350.300000001</v>
      </c>
      <c r="DJ57" s="1420">
        <v>16254091.390000001</v>
      </c>
      <c r="DK57" s="1420">
        <v>891029.82</v>
      </c>
      <c r="DL57" s="1420">
        <v>934191.88</v>
      </c>
      <c r="DM57" s="1420">
        <v>595715.66</v>
      </c>
      <c r="DN57" s="1420">
        <v>632134.02</v>
      </c>
      <c r="DO57" s="1420">
        <v>2804662.24</v>
      </c>
      <c r="DP57" s="1420">
        <v>2527085.39</v>
      </c>
      <c r="DQ57" s="1420">
        <v>1316114.3600000001</v>
      </c>
      <c r="DR57" s="1420">
        <v>1377259.81</v>
      </c>
      <c r="DS57" s="1420">
        <v>46441.3</v>
      </c>
      <c r="DT57" s="1422">
        <v>50799</v>
      </c>
      <c r="DU57" s="1420">
        <v>5653963.3799999999</v>
      </c>
      <c r="DV57" s="1420">
        <v>5521470.0999999996</v>
      </c>
      <c r="DW57" s="1420">
        <v>1033241.49</v>
      </c>
      <c r="DX57" s="1420">
        <v>1026642.43</v>
      </c>
      <c r="DY57" s="1420">
        <v>1259746.27</v>
      </c>
      <c r="DZ57" s="1420">
        <v>1109561.49</v>
      </c>
      <c r="EA57" s="1420">
        <v>1295708.22</v>
      </c>
      <c r="EB57" s="1420">
        <v>1290173.3799999999</v>
      </c>
      <c r="EC57" s="1420">
        <v>3588695.98</v>
      </c>
      <c r="ED57" s="1420">
        <v>3426377.3</v>
      </c>
      <c r="EE57" s="1420">
        <v>1672169.66</v>
      </c>
      <c r="EF57" s="1420">
        <v>13868.1</v>
      </c>
      <c r="EG57" s="1422">
        <v>0</v>
      </c>
      <c r="EH57" s="1422">
        <v>0</v>
      </c>
      <c r="EI57" s="1422">
        <v>0</v>
      </c>
      <c r="EJ57" s="1422">
        <v>2200</v>
      </c>
      <c r="EK57" s="1422">
        <v>0</v>
      </c>
      <c r="EL57" s="1422">
        <v>0</v>
      </c>
      <c r="EM57" s="1420">
        <v>1672169.66</v>
      </c>
      <c r="EN57" s="1420">
        <v>16068.1</v>
      </c>
      <c r="EO57" s="1420">
        <v>4288535.91</v>
      </c>
      <c r="EP57" s="1422">
        <v>1890000</v>
      </c>
      <c r="EQ57" s="1420">
        <v>2301209.63</v>
      </c>
      <c r="ER57" s="1420">
        <v>2766853.59</v>
      </c>
      <c r="ES57" s="1422">
        <v>57943</v>
      </c>
      <c r="ET57" s="1422">
        <v>0</v>
      </c>
      <c r="EU57" s="1420">
        <v>35009867.859999999</v>
      </c>
      <c r="EV57" s="1420">
        <v>29874860.48</v>
      </c>
      <c r="EW57" s="1420">
        <v>4517164.24</v>
      </c>
      <c r="EX57" s="1420">
        <v>2023910.72</v>
      </c>
      <c r="EY57" s="1420">
        <v>2301209.63</v>
      </c>
      <c r="EZ57" s="1420">
        <v>2766853.59</v>
      </c>
      <c r="FA57" s="1420">
        <v>28191493.989999998</v>
      </c>
      <c r="FB57" s="1420">
        <v>25084096.170000002</v>
      </c>
      <c r="FC57" s="1420">
        <v>1827193.34</v>
      </c>
      <c r="FD57" s="1439"/>
      <c r="FE57" s="1420">
        <v>26364300.649999999</v>
      </c>
      <c r="FF57" s="1439"/>
      <c r="FG57" s="1422">
        <v>8083</v>
      </c>
      <c r="FH57" s="1439"/>
      <c r="FI57" s="1420">
        <v>230.11</v>
      </c>
      <c r="FJ57" s="1439"/>
      <c r="FK57" s="1422">
        <v>45383</v>
      </c>
      <c r="FL57" s="1439"/>
      <c r="FM57" s="1420">
        <v>249.39</v>
      </c>
      <c r="FN57" s="1439"/>
      <c r="FO57" s="1422">
        <v>48715</v>
      </c>
      <c r="FP57" s="1439"/>
      <c r="FQ57" s="1420">
        <v>298076.12</v>
      </c>
      <c r="FR57" s="1439"/>
      <c r="FS57" s="1422">
        <v>0</v>
      </c>
      <c r="FT57" s="1439"/>
      <c r="FU57" s="1422">
        <v>0</v>
      </c>
      <c r="FV57" s="1439"/>
      <c r="FW57" s="1420">
        <v>298076.12</v>
      </c>
      <c r="FX57" s="1439"/>
      <c r="FY57" s="1420">
        <v>617974.92000000004</v>
      </c>
      <c r="FZ57" s="1439"/>
      <c r="GA57" s="1422">
        <v>0</v>
      </c>
      <c r="GB57" s="1439"/>
    </row>
    <row r="58" spans="1:184" ht="12.75" customHeight="1" thickBot="1">
      <c r="A58" s="1418" t="s">
        <v>513</v>
      </c>
      <c r="B58" s="1418" t="s">
        <v>514</v>
      </c>
      <c r="C58" s="1420">
        <v>151.63</v>
      </c>
      <c r="D58" s="1439"/>
      <c r="E58" s="1420">
        <v>856.09</v>
      </c>
      <c r="F58" s="1439"/>
      <c r="G58" s="1421">
        <v>-0.02</v>
      </c>
      <c r="H58" s="1439"/>
      <c r="I58" s="1420">
        <v>925.32</v>
      </c>
      <c r="J58" s="1439"/>
      <c r="K58" s="1420">
        <v>935.14</v>
      </c>
      <c r="L58" s="1439"/>
      <c r="M58" s="1422">
        <v>38831631</v>
      </c>
      <c r="N58" s="1439"/>
      <c r="O58" s="1422">
        <v>25</v>
      </c>
      <c r="P58" s="1439"/>
      <c r="Q58" s="1422">
        <v>25</v>
      </c>
      <c r="R58" s="1439"/>
      <c r="S58" s="1422">
        <v>0</v>
      </c>
      <c r="T58" s="1439"/>
      <c r="U58" s="1422">
        <v>0</v>
      </c>
      <c r="V58" s="1439"/>
      <c r="W58" s="1422">
        <v>11</v>
      </c>
      <c r="X58" s="1439"/>
      <c r="Y58" s="1422">
        <v>36</v>
      </c>
      <c r="Z58" s="1439"/>
      <c r="AA58" s="1420">
        <v>6392403.3700000001</v>
      </c>
      <c r="AB58" s="1439"/>
      <c r="AC58" s="1420">
        <v>1401521.29</v>
      </c>
      <c r="AD58" s="1422">
        <v>1360000</v>
      </c>
      <c r="AE58" s="1420">
        <v>410045.86</v>
      </c>
      <c r="AF58" s="1422">
        <v>325316</v>
      </c>
      <c r="AG58" s="1420">
        <v>603.21</v>
      </c>
      <c r="AH58" s="1422">
        <v>0</v>
      </c>
      <c r="AI58" s="1422">
        <v>4642375</v>
      </c>
      <c r="AJ58" s="1422">
        <v>4217599</v>
      </c>
      <c r="AK58" s="1422">
        <v>10923</v>
      </c>
      <c r="AL58" s="1422">
        <v>0</v>
      </c>
      <c r="AM58" s="1422">
        <v>0</v>
      </c>
      <c r="AN58" s="1422">
        <v>0</v>
      </c>
      <c r="AO58" s="1422">
        <v>4758</v>
      </c>
      <c r="AP58" s="1422">
        <v>22733</v>
      </c>
      <c r="AQ58" s="1422">
        <v>0</v>
      </c>
      <c r="AR58" s="1422">
        <v>0</v>
      </c>
      <c r="AS58" s="1422">
        <v>0</v>
      </c>
      <c r="AT58" s="1422">
        <v>0</v>
      </c>
      <c r="AU58" s="1422">
        <v>14335</v>
      </c>
      <c r="AV58" s="1422">
        <v>11468</v>
      </c>
      <c r="AW58" s="1422">
        <v>0</v>
      </c>
      <c r="AX58" s="1422">
        <v>0</v>
      </c>
      <c r="AY58" s="1420">
        <v>6484561.3600000003</v>
      </c>
      <c r="AZ58" s="1422">
        <v>5937116</v>
      </c>
      <c r="BA58" s="1422">
        <v>0</v>
      </c>
      <c r="BB58" s="1422">
        <v>0</v>
      </c>
      <c r="BC58" s="1422">
        <v>38677</v>
      </c>
      <c r="BD58" s="1422">
        <v>40233</v>
      </c>
      <c r="BE58" s="1420">
        <v>699.24</v>
      </c>
      <c r="BF58" s="1422">
        <v>0</v>
      </c>
      <c r="BG58" s="1422">
        <v>150</v>
      </c>
      <c r="BH58" s="1422">
        <v>0</v>
      </c>
      <c r="BI58" s="1422">
        <v>51194</v>
      </c>
      <c r="BJ58" s="1422">
        <v>100392</v>
      </c>
      <c r="BK58" s="1422">
        <v>0</v>
      </c>
      <c r="BL58" s="1422">
        <v>0</v>
      </c>
      <c r="BM58" s="1422">
        <v>557169</v>
      </c>
      <c r="BN58" s="1422">
        <v>684112</v>
      </c>
      <c r="BO58" s="1420">
        <v>4190.9399999999996</v>
      </c>
      <c r="BP58" s="1422">
        <v>0</v>
      </c>
      <c r="BQ58" s="1422">
        <v>17875</v>
      </c>
      <c r="BR58" s="1422">
        <v>22000</v>
      </c>
      <c r="BS58" s="1420">
        <v>3512.34</v>
      </c>
      <c r="BT58" s="1422">
        <v>3500</v>
      </c>
      <c r="BU58" s="1422">
        <v>0</v>
      </c>
      <c r="BV58" s="1422">
        <v>0</v>
      </c>
      <c r="BW58" s="1422">
        <v>0</v>
      </c>
      <c r="BX58" s="1422">
        <v>0</v>
      </c>
      <c r="BY58" s="1422">
        <v>0</v>
      </c>
      <c r="BZ58" s="1422">
        <v>0</v>
      </c>
      <c r="CA58" s="1420">
        <v>4334489.1100000003</v>
      </c>
      <c r="CB58" s="1422">
        <v>1544203</v>
      </c>
      <c r="CC58" s="1420">
        <v>5007956.63</v>
      </c>
      <c r="CD58" s="1422">
        <v>2394440</v>
      </c>
      <c r="CE58" s="1420">
        <v>3710188.27</v>
      </c>
      <c r="CF58" s="1422">
        <v>1935176</v>
      </c>
      <c r="CG58" s="1420">
        <v>5113782.6900000004</v>
      </c>
      <c r="CH58" s="1422">
        <v>897090</v>
      </c>
      <c r="CI58" s="1422">
        <v>0</v>
      </c>
      <c r="CJ58" s="1422">
        <v>0</v>
      </c>
      <c r="CK58" s="1422">
        <v>4778</v>
      </c>
      <c r="CL58" s="1422">
        <v>0</v>
      </c>
      <c r="CM58" s="1420">
        <v>7975.59</v>
      </c>
      <c r="CN58" s="1422">
        <v>0</v>
      </c>
      <c r="CO58" s="1420">
        <v>158641.26</v>
      </c>
      <c r="CP58" s="1422">
        <v>0</v>
      </c>
      <c r="CQ58" s="1422">
        <v>0</v>
      </c>
      <c r="CR58" s="1422">
        <v>0</v>
      </c>
      <c r="CS58" s="1420">
        <v>5285177.54</v>
      </c>
      <c r="CT58" s="1422">
        <v>897090</v>
      </c>
      <c r="CU58" s="1420">
        <v>20487883.800000001</v>
      </c>
      <c r="CV58" s="1422">
        <v>11163822</v>
      </c>
      <c r="CW58" s="1420">
        <v>2939683.97</v>
      </c>
      <c r="CX58" s="1422">
        <v>3206354</v>
      </c>
      <c r="CY58" s="1420">
        <v>249700.01</v>
      </c>
      <c r="CZ58" s="1422">
        <v>306289</v>
      </c>
      <c r="DA58" s="1420">
        <v>180197.48</v>
      </c>
      <c r="DB58" s="1422">
        <v>183173</v>
      </c>
      <c r="DC58" s="1422">
        <v>0</v>
      </c>
      <c r="DD58" s="1422">
        <v>0</v>
      </c>
      <c r="DE58" s="1420">
        <v>311374.17</v>
      </c>
      <c r="DF58" s="1422">
        <v>250638</v>
      </c>
      <c r="DG58" s="1420">
        <v>192712.25</v>
      </c>
      <c r="DH58" s="1422">
        <v>175603</v>
      </c>
      <c r="DI58" s="1420">
        <v>3873667.88</v>
      </c>
      <c r="DJ58" s="1422">
        <v>4122057</v>
      </c>
      <c r="DK58" s="1420">
        <v>246207.72</v>
      </c>
      <c r="DL58" s="1422">
        <v>262515</v>
      </c>
      <c r="DM58" s="1420">
        <v>126909.07</v>
      </c>
      <c r="DN58" s="1422">
        <v>125532</v>
      </c>
      <c r="DO58" s="1420">
        <v>827560.41</v>
      </c>
      <c r="DP58" s="1422">
        <v>869094</v>
      </c>
      <c r="DQ58" s="1420">
        <v>406580.45</v>
      </c>
      <c r="DR58" s="1422">
        <v>463306</v>
      </c>
      <c r="DS58" s="1420">
        <v>15528.86</v>
      </c>
      <c r="DT58" s="1422">
        <v>16000</v>
      </c>
      <c r="DU58" s="1420">
        <v>1622786.51</v>
      </c>
      <c r="DV58" s="1422">
        <v>1736447</v>
      </c>
      <c r="DW58" s="1420">
        <v>395148.62</v>
      </c>
      <c r="DX58" s="1422">
        <v>436373</v>
      </c>
      <c r="DY58" s="1420">
        <v>839851.73</v>
      </c>
      <c r="DZ58" s="1422">
        <v>892749</v>
      </c>
      <c r="EA58" s="1420">
        <v>442103.38</v>
      </c>
      <c r="EB58" s="1422">
        <v>436902</v>
      </c>
      <c r="EC58" s="1420">
        <v>1677103.73</v>
      </c>
      <c r="ED58" s="1422">
        <v>1766024</v>
      </c>
      <c r="EE58" s="1420">
        <v>569492.89</v>
      </c>
      <c r="EF58" s="1422">
        <v>605832</v>
      </c>
      <c r="EG58" s="1422">
        <v>0</v>
      </c>
      <c r="EH58" s="1422">
        <v>0</v>
      </c>
      <c r="EI58" s="1420">
        <v>554.07000000000005</v>
      </c>
      <c r="EJ58" s="1422">
        <v>6000</v>
      </c>
      <c r="EK58" s="1422">
        <v>0</v>
      </c>
      <c r="EL58" s="1422">
        <v>0</v>
      </c>
      <c r="EM58" s="1420">
        <v>570046.96</v>
      </c>
      <c r="EN58" s="1422">
        <v>611832</v>
      </c>
      <c r="EO58" s="1420">
        <v>7194044.2199999997</v>
      </c>
      <c r="EP58" s="1422">
        <v>7060334</v>
      </c>
      <c r="EQ58" s="1420">
        <v>368040.36</v>
      </c>
      <c r="ER58" s="1422">
        <v>406942</v>
      </c>
      <c r="ES58" s="1420">
        <v>24413.06</v>
      </c>
      <c r="ET58" s="1422">
        <v>8198</v>
      </c>
      <c r="EU58" s="1420">
        <v>15330102.720000001</v>
      </c>
      <c r="EV58" s="1422">
        <v>15711834</v>
      </c>
      <c r="EW58" s="1420">
        <v>7493433.1699999999</v>
      </c>
      <c r="EX58" s="1422">
        <v>7280963</v>
      </c>
      <c r="EY58" s="1420">
        <v>368040.36</v>
      </c>
      <c r="EZ58" s="1422">
        <v>406942</v>
      </c>
      <c r="FA58" s="1420">
        <v>7468629.1900000004</v>
      </c>
      <c r="FB58" s="1422">
        <v>8023929</v>
      </c>
      <c r="FC58" s="1420">
        <v>363620.36</v>
      </c>
      <c r="FD58" s="1439"/>
      <c r="FE58" s="1420">
        <v>7105008.8300000001</v>
      </c>
      <c r="FF58" s="1439"/>
      <c r="FG58" s="1422">
        <v>8299</v>
      </c>
      <c r="FH58" s="1439"/>
      <c r="FI58" s="1420">
        <v>56.89</v>
      </c>
      <c r="FJ58" s="1439"/>
      <c r="FK58" s="1422">
        <v>44597</v>
      </c>
      <c r="FL58" s="1439"/>
      <c r="FM58" s="1420">
        <v>63.21</v>
      </c>
      <c r="FN58" s="1439"/>
      <c r="FO58" s="1422">
        <v>48172</v>
      </c>
      <c r="FP58" s="1439"/>
      <c r="FQ58" s="1420">
        <v>3236902.56</v>
      </c>
      <c r="FR58" s="1439"/>
      <c r="FS58" s="1420">
        <v>65366.06</v>
      </c>
      <c r="FT58" s="1439"/>
      <c r="FU58" s="1422">
        <v>0</v>
      </c>
      <c r="FV58" s="1439"/>
      <c r="FW58" s="1420">
        <v>3171536.5</v>
      </c>
      <c r="FX58" s="1439"/>
      <c r="FY58" s="1420">
        <v>4486326.4000000004</v>
      </c>
      <c r="FZ58" s="1439"/>
      <c r="GA58" s="1422">
        <v>0</v>
      </c>
      <c r="GB58" s="1439"/>
    </row>
    <row r="59" spans="1:184" ht="12.75" customHeight="1" thickBot="1">
      <c r="A59" s="1418" t="s">
        <v>515</v>
      </c>
      <c r="B59" s="1418" t="s">
        <v>516</v>
      </c>
      <c r="C59" s="1420">
        <v>196.32</v>
      </c>
      <c r="D59" s="1439"/>
      <c r="E59" s="1420">
        <v>647.98</v>
      </c>
      <c r="F59" s="1439"/>
      <c r="G59" s="1421">
        <v>-7.0000000000000007E-2</v>
      </c>
      <c r="H59" s="1439"/>
      <c r="I59" s="1420">
        <v>692.48</v>
      </c>
      <c r="J59" s="1439"/>
      <c r="K59" s="1420">
        <v>680.23</v>
      </c>
      <c r="L59" s="1439"/>
      <c r="M59" s="1422">
        <v>34401881</v>
      </c>
      <c r="N59" s="1439"/>
      <c r="O59" s="1422">
        <v>25</v>
      </c>
      <c r="P59" s="1439"/>
      <c r="Q59" s="1422">
        <v>25</v>
      </c>
      <c r="R59" s="1439"/>
      <c r="S59" s="1422">
        <v>0</v>
      </c>
      <c r="T59" s="1439"/>
      <c r="U59" s="1422">
        <v>0</v>
      </c>
      <c r="V59" s="1439"/>
      <c r="W59" s="1420">
        <v>14.1</v>
      </c>
      <c r="X59" s="1439"/>
      <c r="Y59" s="1420">
        <v>39.1</v>
      </c>
      <c r="Z59" s="1439"/>
      <c r="AA59" s="1420">
        <v>2678705.0499999998</v>
      </c>
      <c r="AB59" s="1439"/>
      <c r="AC59" s="1420">
        <v>1262598.7</v>
      </c>
      <c r="AD59" s="1422">
        <v>1259167</v>
      </c>
      <c r="AE59" s="1420">
        <v>323001.40999999997</v>
      </c>
      <c r="AF59" s="1422">
        <v>136596</v>
      </c>
      <c r="AG59" s="1420">
        <v>448.41</v>
      </c>
      <c r="AH59" s="1422">
        <v>440</v>
      </c>
      <c r="AI59" s="1422">
        <v>3215394</v>
      </c>
      <c r="AJ59" s="1422">
        <v>3347407</v>
      </c>
      <c r="AK59" s="1422">
        <v>680</v>
      </c>
      <c r="AL59" s="1422">
        <v>0</v>
      </c>
      <c r="AM59" s="1422">
        <v>0</v>
      </c>
      <c r="AN59" s="1422">
        <v>0</v>
      </c>
      <c r="AO59" s="1422">
        <v>79684</v>
      </c>
      <c r="AP59" s="1422">
        <v>0</v>
      </c>
      <c r="AQ59" s="1422">
        <v>0</v>
      </c>
      <c r="AR59" s="1422">
        <v>0</v>
      </c>
      <c r="AS59" s="1422">
        <v>0</v>
      </c>
      <c r="AT59" s="1422">
        <v>0</v>
      </c>
      <c r="AU59" s="1422">
        <v>31274</v>
      </c>
      <c r="AV59" s="1422">
        <v>25019</v>
      </c>
      <c r="AW59" s="1422">
        <v>0</v>
      </c>
      <c r="AX59" s="1422">
        <v>0</v>
      </c>
      <c r="AY59" s="1420">
        <v>4913080.5199999996</v>
      </c>
      <c r="AZ59" s="1422">
        <v>4768629</v>
      </c>
      <c r="BA59" s="1422">
        <v>0</v>
      </c>
      <c r="BB59" s="1422">
        <v>0</v>
      </c>
      <c r="BC59" s="1422">
        <v>28134</v>
      </c>
      <c r="BD59" s="1422">
        <v>29450</v>
      </c>
      <c r="BE59" s="1420">
        <v>5263.09</v>
      </c>
      <c r="BF59" s="1422">
        <v>7850</v>
      </c>
      <c r="BG59" s="1422">
        <v>982</v>
      </c>
      <c r="BH59" s="1422">
        <v>0</v>
      </c>
      <c r="BI59" s="1422">
        <v>0</v>
      </c>
      <c r="BJ59" s="1422">
        <v>3565</v>
      </c>
      <c r="BK59" s="1422">
        <v>0</v>
      </c>
      <c r="BL59" s="1422">
        <v>0</v>
      </c>
      <c r="BM59" s="1422">
        <v>322068</v>
      </c>
      <c r="BN59" s="1422">
        <v>433477</v>
      </c>
      <c r="BO59" s="1420">
        <v>4562.6099999999997</v>
      </c>
      <c r="BP59" s="1422">
        <v>5550</v>
      </c>
      <c r="BQ59" s="1422">
        <v>14625</v>
      </c>
      <c r="BR59" s="1420">
        <v>13812.5</v>
      </c>
      <c r="BS59" s="1420">
        <v>6738.44</v>
      </c>
      <c r="BT59" s="1422">
        <v>6599</v>
      </c>
      <c r="BU59" s="1422">
        <v>0</v>
      </c>
      <c r="BV59" s="1422">
        <v>0</v>
      </c>
      <c r="BW59" s="1422">
        <v>84901</v>
      </c>
      <c r="BX59" s="1422">
        <v>97200</v>
      </c>
      <c r="BY59" s="1422">
        <v>0</v>
      </c>
      <c r="BZ59" s="1422">
        <v>0</v>
      </c>
      <c r="CA59" s="1422">
        <v>78775</v>
      </c>
      <c r="CB59" s="1422">
        <v>77795</v>
      </c>
      <c r="CC59" s="1420">
        <v>546049.14</v>
      </c>
      <c r="CD59" s="1420">
        <v>675298.5</v>
      </c>
      <c r="CE59" s="1420">
        <v>1334283.51</v>
      </c>
      <c r="CF59" s="1420">
        <v>1059099.02</v>
      </c>
      <c r="CG59" s="1420">
        <v>5170.07</v>
      </c>
      <c r="CH59" s="1422">
        <v>0</v>
      </c>
      <c r="CI59" s="1422">
        <v>0</v>
      </c>
      <c r="CJ59" s="1422">
        <v>0</v>
      </c>
      <c r="CK59" s="1420">
        <v>5691.75</v>
      </c>
      <c r="CL59" s="1422">
        <v>5500</v>
      </c>
      <c r="CM59" s="1422">
        <v>0</v>
      </c>
      <c r="CN59" s="1422">
        <v>0</v>
      </c>
      <c r="CO59" s="1420">
        <v>6785.45</v>
      </c>
      <c r="CP59" s="1422">
        <v>0</v>
      </c>
      <c r="CQ59" s="1422">
        <v>0</v>
      </c>
      <c r="CR59" s="1422">
        <v>0</v>
      </c>
      <c r="CS59" s="1420">
        <v>17647.27</v>
      </c>
      <c r="CT59" s="1422">
        <v>5500</v>
      </c>
      <c r="CU59" s="1420">
        <v>6811060.4400000004</v>
      </c>
      <c r="CV59" s="1420">
        <v>6508526.5199999996</v>
      </c>
      <c r="CW59" s="1420">
        <v>2333515.86</v>
      </c>
      <c r="CX59" s="1420">
        <v>2350965.94</v>
      </c>
      <c r="CY59" s="1420">
        <v>398877.53</v>
      </c>
      <c r="CZ59" s="1420">
        <v>387259.25</v>
      </c>
      <c r="DA59" s="1420">
        <v>216259.14</v>
      </c>
      <c r="DB59" s="1420">
        <v>181401.77</v>
      </c>
      <c r="DC59" s="1422">
        <v>0</v>
      </c>
      <c r="DD59" s="1422">
        <v>0</v>
      </c>
      <c r="DE59" s="1420">
        <v>236347.19</v>
      </c>
      <c r="DF59" s="1420">
        <v>243615.29</v>
      </c>
      <c r="DG59" s="1420">
        <v>56545.54</v>
      </c>
      <c r="DH59" s="1420">
        <v>167823.13</v>
      </c>
      <c r="DI59" s="1420">
        <v>3241545.26</v>
      </c>
      <c r="DJ59" s="1420">
        <v>3331065.38</v>
      </c>
      <c r="DK59" s="1420">
        <v>204183.62</v>
      </c>
      <c r="DL59" s="1420">
        <v>191326.6</v>
      </c>
      <c r="DM59" s="1420">
        <v>133659.91</v>
      </c>
      <c r="DN59" s="1420">
        <v>107653.62</v>
      </c>
      <c r="DO59" s="1420">
        <v>659979.48</v>
      </c>
      <c r="DP59" s="1420">
        <v>687247.8</v>
      </c>
      <c r="DQ59" s="1420">
        <v>386285.28</v>
      </c>
      <c r="DR59" s="1420">
        <v>412118.93</v>
      </c>
      <c r="DS59" s="1420">
        <v>57649.03</v>
      </c>
      <c r="DT59" s="1422">
        <v>27762</v>
      </c>
      <c r="DU59" s="1420">
        <v>1441757.32</v>
      </c>
      <c r="DV59" s="1420">
        <v>1426108.95</v>
      </c>
      <c r="DW59" s="1420">
        <v>375300.61</v>
      </c>
      <c r="DX59" s="1420">
        <v>382267.65</v>
      </c>
      <c r="DY59" s="1420">
        <v>370579.28</v>
      </c>
      <c r="DZ59" s="1420">
        <v>424327.96</v>
      </c>
      <c r="EA59" s="1420">
        <v>311644.09000000003</v>
      </c>
      <c r="EB59" s="1420">
        <v>266759.69</v>
      </c>
      <c r="EC59" s="1420">
        <v>1057523.98</v>
      </c>
      <c r="ED59" s="1420">
        <v>1073355.3</v>
      </c>
      <c r="EE59" s="1420">
        <v>355244.84</v>
      </c>
      <c r="EF59" s="1422">
        <v>352631</v>
      </c>
      <c r="EG59" s="1420">
        <v>34564.79</v>
      </c>
      <c r="EH59" s="1422">
        <v>0</v>
      </c>
      <c r="EI59" s="1420">
        <v>1782.15</v>
      </c>
      <c r="EJ59" s="1422">
        <v>2200</v>
      </c>
      <c r="EK59" s="1422">
        <v>0</v>
      </c>
      <c r="EL59" s="1422">
        <v>0</v>
      </c>
      <c r="EM59" s="1420">
        <v>391591.78</v>
      </c>
      <c r="EN59" s="1422">
        <v>354831</v>
      </c>
      <c r="EO59" s="1420">
        <v>397714.9</v>
      </c>
      <c r="EP59" s="1422">
        <v>15648</v>
      </c>
      <c r="EQ59" s="1420">
        <v>255978.52</v>
      </c>
      <c r="ER59" s="1422">
        <v>334635</v>
      </c>
      <c r="ES59" s="1420">
        <v>71.28</v>
      </c>
      <c r="ET59" s="1422">
        <v>0</v>
      </c>
      <c r="EU59" s="1420">
        <v>6786183.04</v>
      </c>
      <c r="EV59" s="1420">
        <v>6535643.6299999999</v>
      </c>
      <c r="EW59" s="1420">
        <v>449118.64</v>
      </c>
      <c r="EX59" s="1420">
        <v>115329.99</v>
      </c>
      <c r="EY59" s="1420">
        <v>255978.52</v>
      </c>
      <c r="EZ59" s="1422">
        <v>334635</v>
      </c>
      <c r="FA59" s="1420">
        <v>6081085.8799999999</v>
      </c>
      <c r="FB59" s="1420">
        <v>6085678.6399999997</v>
      </c>
      <c r="FC59" s="1420">
        <v>291704.23</v>
      </c>
      <c r="FD59" s="1439"/>
      <c r="FE59" s="1420">
        <v>5789381.6500000004</v>
      </c>
      <c r="FF59" s="1439"/>
      <c r="FG59" s="1422">
        <v>8934</v>
      </c>
      <c r="FH59" s="1439"/>
      <c r="FI59" s="1420">
        <v>52.68</v>
      </c>
      <c r="FJ59" s="1439"/>
      <c r="FK59" s="1422">
        <v>39482</v>
      </c>
      <c r="FL59" s="1439"/>
      <c r="FM59" s="1420">
        <v>57.09</v>
      </c>
      <c r="FN59" s="1439"/>
      <c r="FO59" s="1422">
        <v>42411</v>
      </c>
      <c r="FP59" s="1439"/>
      <c r="FQ59" s="1420">
        <v>655073.97</v>
      </c>
      <c r="FR59" s="1439"/>
      <c r="FS59" s="1420">
        <v>57305.88</v>
      </c>
      <c r="FT59" s="1439"/>
      <c r="FU59" s="1422">
        <v>0</v>
      </c>
      <c r="FV59" s="1439"/>
      <c r="FW59" s="1420">
        <v>597768.09</v>
      </c>
      <c r="FX59" s="1439"/>
      <c r="FY59" s="1420">
        <v>137029.82999999999</v>
      </c>
      <c r="FZ59" s="1439"/>
      <c r="GA59" s="1422">
        <v>0</v>
      </c>
      <c r="GB59" s="1439"/>
    </row>
    <row r="60" spans="1:184" ht="12.75" customHeight="1" thickBot="1">
      <c r="A60" s="1418" t="s">
        <v>517</v>
      </c>
      <c r="B60" s="1418" t="s">
        <v>518</v>
      </c>
      <c r="C60" s="1420">
        <v>125.22</v>
      </c>
      <c r="D60" s="1439"/>
      <c r="E60" s="1420">
        <v>365.7</v>
      </c>
      <c r="F60" s="1439"/>
      <c r="G60" s="1421">
        <v>-0.33</v>
      </c>
      <c r="H60" s="1439"/>
      <c r="I60" s="1420">
        <v>392.55</v>
      </c>
      <c r="J60" s="1439"/>
      <c r="K60" s="1420">
        <v>402.46</v>
      </c>
      <c r="L60" s="1439"/>
      <c r="M60" s="1422">
        <v>43246128</v>
      </c>
      <c r="N60" s="1439"/>
      <c r="O60" s="1422">
        <v>25</v>
      </c>
      <c r="P60" s="1439"/>
      <c r="Q60" s="1422">
        <v>25</v>
      </c>
      <c r="R60" s="1439"/>
      <c r="S60" s="1422">
        <v>0</v>
      </c>
      <c r="T60" s="1439"/>
      <c r="U60" s="1422">
        <v>0</v>
      </c>
      <c r="V60" s="1439"/>
      <c r="W60" s="1420">
        <v>11.4</v>
      </c>
      <c r="X60" s="1439"/>
      <c r="Y60" s="1420">
        <v>36.4</v>
      </c>
      <c r="Z60" s="1439"/>
      <c r="AA60" s="1420">
        <v>1417709.63</v>
      </c>
      <c r="AB60" s="1439"/>
      <c r="AC60" s="1420">
        <v>1513276.45</v>
      </c>
      <c r="AD60" s="1422">
        <v>1511500</v>
      </c>
      <c r="AE60" s="1420">
        <v>288503.15000000002</v>
      </c>
      <c r="AF60" s="1422">
        <v>73180</v>
      </c>
      <c r="AG60" s="1420">
        <v>262.19</v>
      </c>
      <c r="AH60" s="1422">
        <v>250</v>
      </c>
      <c r="AI60" s="1422">
        <v>1297472</v>
      </c>
      <c r="AJ60" s="1422">
        <v>1310694</v>
      </c>
      <c r="AK60" s="1422">
        <v>11860</v>
      </c>
      <c r="AL60" s="1422">
        <v>10000</v>
      </c>
      <c r="AM60" s="1422">
        <v>0</v>
      </c>
      <c r="AN60" s="1422">
        <v>0</v>
      </c>
      <c r="AO60" s="1422">
        <v>37885</v>
      </c>
      <c r="AP60" s="1422">
        <v>33884</v>
      </c>
      <c r="AQ60" s="1422">
        <v>0</v>
      </c>
      <c r="AR60" s="1422">
        <v>0</v>
      </c>
      <c r="AS60" s="1422">
        <v>116944</v>
      </c>
      <c r="AT60" s="1422">
        <v>101000</v>
      </c>
      <c r="AU60" s="1422">
        <v>0</v>
      </c>
      <c r="AV60" s="1422">
        <v>0</v>
      </c>
      <c r="AW60" s="1422">
        <v>0</v>
      </c>
      <c r="AX60" s="1422">
        <v>0</v>
      </c>
      <c r="AY60" s="1420">
        <v>3266202.79</v>
      </c>
      <c r="AZ60" s="1422">
        <v>3040508</v>
      </c>
      <c r="BA60" s="1422">
        <v>0</v>
      </c>
      <c r="BB60" s="1422">
        <v>0</v>
      </c>
      <c r="BC60" s="1422">
        <v>16646</v>
      </c>
      <c r="BD60" s="1422">
        <v>16589</v>
      </c>
      <c r="BE60" s="1420">
        <v>4380.26</v>
      </c>
      <c r="BF60" s="1422">
        <v>9200</v>
      </c>
      <c r="BG60" s="1422">
        <v>962</v>
      </c>
      <c r="BH60" s="1422">
        <v>0</v>
      </c>
      <c r="BI60" s="1422">
        <v>28644</v>
      </c>
      <c r="BJ60" s="1422">
        <v>22507</v>
      </c>
      <c r="BK60" s="1422">
        <v>0</v>
      </c>
      <c r="BL60" s="1422">
        <v>0</v>
      </c>
      <c r="BM60" s="1422">
        <v>237251</v>
      </c>
      <c r="BN60" s="1422">
        <v>314732</v>
      </c>
      <c r="BO60" s="1420">
        <v>11008.76</v>
      </c>
      <c r="BP60" s="1422">
        <v>0</v>
      </c>
      <c r="BQ60" s="1420">
        <v>5687.52</v>
      </c>
      <c r="BR60" s="1422">
        <v>1265</v>
      </c>
      <c r="BS60" s="1420">
        <v>1585.36</v>
      </c>
      <c r="BT60" s="1422">
        <v>1600</v>
      </c>
      <c r="BU60" s="1422">
        <v>0</v>
      </c>
      <c r="BV60" s="1422">
        <v>0</v>
      </c>
      <c r="BW60" s="1422">
        <v>0</v>
      </c>
      <c r="BX60" s="1422">
        <v>0</v>
      </c>
      <c r="BY60" s="1422">
        <v>0</v>
      </c>
      <c r="BZ60" s="1422">
        <v>0</v>
      </c>
      <c r="CA60" s="1420">
        <v>99721.5</v>
      </c>
      <c r="CB60" s="1422">
        <v>9403</v>
      </c>
      <c r="CC60" s="1420">
        <v>405886.4</v>
      </c>
      <c r="CD60" s="1422">
        <v>375296</v>
      </c>
      <c r="CE60" s="1422">
        <v>1298886</v>
      </c>
      <c r="CF60" s="1422">
        <v>765172</v>
      </c>
      <c r="CG60" s="1422">
        <v>0</v>
      </c>
      <c r="CH60" s="1422">
        <v>0</v>
      </c>
      <c r="CI60" s="1422">
        <v>0</v>
      </c>
      <c r="CJ60" s="1422">
        <v>0</v>
      </c>
      <c r="CK60" s="1420">
        <v>2182.56</v>
      </c>
      <c r="CL60" s="1422">
        <v>0</v>
      </c>
      <c r="CM60" s="1422">
        <v>711</v>
      </c>
      <c r="CN60" s="1422">
        <v>0</v>
      </c>
      <c r="CO60" s="1420">
        <v>8395.9</v>
      </c>
      <c r="CP60" s="1422">
        <v>0</v>
      </c>
      <c r="CQ60" s="1422">
        <v>0</v>
      </c>
      <c r="CR60" s="1422">
        <v>0</v>
      </c>
      <c r="CS60" s="1420">
        <v>11289.46</v>
      </c>
      <c r="CT60" s="1422">
        <v>0</v>
      </c>
      <c r="CU60" s="1420">
        <v>4982264.6500000004</v>
      </c>
      <c r="CV60" s="1422">
        <v>4180976</v>
      </c>
      <c r="CW60" s="1420">
        <v>1499879.05</v>
      </c>
      <c r="CX60" s="1420">
        <v>1286044.19</v>
      </c>
      <c r="CY60" s="1420">
        <v>256376.67</v>
      </c>
      <c r="CZ60" s="1420">
        <v>198009.67</v>
      </c>
      <c r="DA60" s="1420">
        <v>143606.6</v>
      </c>
      <c r="DB60" s="1420">
        <v>154801.49</v>
      </c>
      <c r="DC60" s="1422">
        <v>0</v>
      </c>
      <c r="DD60" s="1422">
        <v>0</v>
      </c>
      <c r="DE60" s="1420">
        <v>240688.1</v>
      </c>
      <c r="DF60" s="1420">
        <v>154702.76999999999</v>
      </c>
      <c r="DG60" s="1420">
        <v>62442.71</v>
      </c>
      <c r="DH60" s="1420">
        <v>73429.52</v>
      </c>
      <c r="DI60" s="1420">
        <v>2202993.13</v>
      </c>
      <c r="DJ60" s="1420">
        <v>1866987.64</v>
      </c>
      <c r="DK60" s="1420">
        <v>127871.76</v>
      </c>
      <c r="DL60" s="1420">
        <v>119401.75</v>
      </c>
      <c r="DM60" s="1420">
        <v>70921.47</v>
      </c>
      <c r="DN60" s="1420">
        <v>92477.97</v>
      </c>
      <c r="DO60" s="1420">
        <v>324461.92</v>
      </c>
      <c r="DP60" s="1420">
        <v>337101.14</v>
      </c>
      <c r="DQ60" s="1420">
        <v>134594.65</v>
      </c>
      <c r="DR60" s="1420">
        <v>147215.5</v>
      </c>
      <c r="DS60" s="1420">
        <v>23685.02</v>
      </c>
      <c r="DT60" s="1422">
        <v>6399</v>
      </c>
      <c r="DU60" s="1420">
        <v>681534.82</v>
      </c>
      <c r="DV60" s="1420">
        <v>702595.36</v>
      </c>
      <c r="DW60" s="1420">
        <v>174568.39</v>
      </c>
      <c r="DX60" s="1420">
        <v>189997.54</v>
      </c>
      <c r="DY60" s="1420">
        <v>506319.17</v>
      </c>
      <c r="DZ60" s="1420">
        <v>537187.72</v>
      </c>
      <c r="EA60" s="1420">
        <v>278278.46999999997</v>
      </c>
      <c r="EB60" s="1420">
        <v>261634.49</v>
      </c>
      <c r="EC60" s="1420">
        <v>959166.03</v>
      </c>
      <c r="ED60" s="1420">
        <v>988819.75</v>
      </c>
      <c r="EE60" s="1420">
        <v>233094.09</v>
      </c>
      <c r="EF60" s="1420">
        <v>217497.53</v>
      </c>
      <c r="EG60" s="1420">
        <v>19968.150000000001</v>
      </c>
      <c r="EH60" s="1422">
        <v>0</v>
      </c>
      <c r="EI60" s="1422">
        <v>0</v>
      </c>
      <c r="EJ60" s="1422">
        <v>450</v>
      </c>
      <c r="EK60" s="1422">
        <v>0</v>
      </c>
      <c r="EL60" s="1422">
        <v>0</v>
      </c>
      <c r="EM60" s="1420">
        <v>253062.24</v>
      </c>
      <c r="EN60" s="1420">
        <v>217947.53</v>
      </c>
      <c r="EO60" s="1420">
        <v>778984.92</v>
      </c>
      <c r="EP60" s="1422">
        <v>96464</v>
      </c>
      <c r="EQ60" s="1420">
        <v>278471.34999999998</v>
      </c>
      <c r="ER60" s="1422">
        <v>280691</v>
      </c>
      <c r="ES60" s="1422">
        <v>0</v>
      </c>
      <c r="ET60" s="1422">
        <v>0</v>
      </c>
      <c r="EU60" s="1420">
        <v>5154212.49</v>
      </c>
      <c r="EV60" s="1420">
        <v>4153505.28</v>
      </c>
      <c r="EW60" s="1420">
        <v>822629.9</v>
      </c>
      <c r="EX60" s="1422">
        <v>121894</v>
      </c>
      <c r="EY60" s="1420">
        <v>278471.34999999998</v>
      </c>
      <c r="EZ60" s="1422">
        <v>280691</v>
      </c>
      <c r="FA60" s="1420">
        <v>4053111.24</v>
      </c>
      <c r="FB60" s="1420">
        <v>3750920.28</v>
      </c>
      <c r="FC60" s="1420">
        <v>104259.14</v>
      </c>
      <c r="FD60" s="1439"/>
      <c r="FE60" s="1420">
        <v>3948852.1</v>
      </c>
      <c r="FF60" s="1439"/>
      <c r="FG60" s="1422">
        <v>10798</v>
      </c>
      <c r="FH60" s="1439"/>
      <c r="FI60" s="1420">
        <v>35.14</v>
      </c>
      <c r="FJ60" s="1439"/>
      <c r="FK60" s="1422">
        <v>41060</v>
      </c>
      <c r="FL60" s="1439"/>
      <c r="FM60" s="1420">
        <v>39.69</v>
      </c>
      <c r="FN60" s="1439"/>
      <c r="FO60" s="1422">
        <v>43771</v>
      </c>
      <c r="FP60" s="1439"/>
      <c r="FQ60" s="1420">
        <v>596334.02</v>
      </c>
      <c r="FR60" s="1439"/>
      <c r="FS60" s="1420">
        <v>5779.93</v>
      </c>
      <c r="FT60" s="1439"/>
      <c r="FU60" s="1420">
        <v>80533.37</v>
      </c>
      <c r="FV60" s="1439"/>
      <c r="FW60" s="1420">
        <v>510020.72</v>
      </c>
      <c r="FX60" s="1439"/>
      <c r="FY60" s="1422">
        <v>0</v>
      </c>
      <c r="FZ60" s="1439"/>
      <c r="GA60" s="1422">
        <v>0</v>
      </c>
      <c r="GB60" s="1439"/>
    </row>
    <row r="61" spans="1:184" ht="12.75" customHeight="1" thickBot="1">
      <c r="A61" s="1418" t="s">
        <v>519</v>
      </c>
      <c r="B61" s="1418" t="s">
        <v>520</v>
      </c>
      <c r="C61" s="1420">
        <v>116.11</v>
      </c>
      <c r="D61" s="1439"/>
      <c r="E61" s="1420">
        <v>5591.12</v>
      </c>
      <c r="F61" s="1439"/>
      <c r="G61" s="1421">
        <v>0.02</v>
      </c>
      <c r="H61" s="1439"/>
      <c r="I61" s="1420">
        <v>5880.08</v>
      </c>
      <c r="J61" s="1439"/>
      <c r="K61" s="1420">
        <v>5821.77</v>
      </c>
      <c r="L61" s="1439"/>
      <c r="M61" s="1422">
        <v>405182443</v>
      </c>
      <c r="N61" s="1439"/>
      <c r="O61" s="1422">
        <v>25</v>
      </c>
      <c r="P61" s="1439"/>
      <c r="Q61" s="1422">
        <v>25</v>
      </c>
      <c r="R61" s="1439"/>
      <c r="S61" s="1422">
        <v>0</v>
      </c>
      <c r="T61" s="1439"/>
      <c r="U61" s="1422">
        <v>0</v>
      </c>
      <c r="V61" s="1439"/>
      <c r="W61" s="1420">
        <v>14.6</v>
      </c>
      <c r="X61" s="1439"/>
      <c r="Y61" s="1420">
        <v>39.6</v>
      </c>
      <c r="Z61" s="1439"/>
      <c r="AA61" s="1422">
        <v>76745000</v>
      </c>
      <c r="AB61" s="1439"/>
      <c r="AC61" s="1420">
        <v>15289326.560000001</v>
      </c>
      <c r="AD61" s="1422">
        <v>15724320</v>
      </c>
      <c r="AE61" s="1420">
        <v>2420493.5299999998</v>
      </c>
      <c r="AF61" s="1422">
        <v>1318000</v>
      </c>
      <c r="AG61" s="1420">
        <v>3865.28</v>
      </c>
      <c r="AH61" s="1422">
        <v>0</v>
      </c>
      <c r="AI61" s="1422">
        <v>25278733</v>
      </c>
      <c r="AJ61" s="1422">
        <v>26249549</v>
      </c>
      <c r="AK61" s="1422">
        <v>135424</v>
      </c>
      <c r="AL61" s="1422">
        <v>0</v>
      </c>
      <c r="AM61" s="1422">
        <v>362208</v>
      </c>
      <c r="AN61" s="1422">
        <v>0</v>
      </c>
      <c r="AO61" s="1422">
        <v>0</v>
      </c>
      <c r="AP61" s="1422">
        <v>0</v>
      </c>
      <c r="AQ61" s="1422">
        <v>0</v>
      </c>
      <c r="AR61" s="1422">
        <v>0</v>
      </c>
      <c r="AS61" s="1422">
        <v>0</v>
      </c>
      <c r="AT61" s="1422">
        <v>0</v>
      </c>
      <c r="AU61" s="1422">
        <v>0</v>
      </c>
      <c r="AV61" s="1422">
        <v>0</v>
      </c>
      <c r="AW61" s="1422">
        <v>0</v>
      </c>
      <c r="AX61" s="1422">
        <v>0</v>
      </c>
      <c r="AY61" s="1420">
        <v>43490050.369999997</v>
      </c>
      <c r="AZ61" s="1422">
        <v>43291869</v>
      </c>
      <c r="BA61" s="1420">
        <v>540611.25</v>
      </c>
      <c r="BB61" s="1420">
        <v>520003.9</v>
      </c>
      <c r="BC61" s="1422">
        <v>240788</v>
      </c>
      <c r="BD61" s="1422">
        <v>249661</v>
      </c>
      <c r="BE61" s="1420">
        <v>70984.52</v>
      </c>
      <c r="BF61" s="1422">
        <v>55985</v>
      </c>
      <c r="BG61" s="1422">
        <v>7219</v>
      </c>
      <c r="BH61" s="1422">
        <v>4900</v>
      </c>
      <c r="BI61" s="1422">
        <v>232566</v>
      </c>
      <c r="BJ61" s="1422">
        <v>348553</v>
      </c>
      <c r="BK61" s="1422">
        <v>138882</v>
      </c>
      <c r="BL61" s="1422">
        <v>138000</v>
      </c>
      <c r="BM61" s="1422">
        <v>1557936</v>
      </c>
      <c r="BN61" s="1422">
        <v>1671824</v>
      </c>
      <c r="BO61" s="1420">
        <v>158988.48000000001</v>
      </c>
      <c r="BP61" s="1422">
        <v>132710</v>
      </c>
      <c r="BQ61" s="1420">
        <v>92067.28</v>
      </c>
      <c r="BR61" s="1422">
        <v>69188</v>
      </c>
      <c r="BS61" s="1420">
        <v>27019.08</v>
      </c>
      <c r="BT61" s="1422">
        <v>25000</v>
      </c>
      <c r="BU61" s="1422">
        <v>0</v>
      </c>
      <c r="BV61" s="1422">
        <v>0</v>
      </c>
      <c r="BW61" s="1422">
        <v>388800</v>
      </c>
      <c r="BX61" s="1422">
        <v>388800</v>
      </c>
      <c r="BY61" s="1422">
        <v>0</v>
      </c>
      <c r="BZ61" s="1422">
        <v>0</v>
      </c>
      <c r="CA61" s="1420">
        <v>6813837.4800000004</v>
      </c>
      <c r="CB61" s="1422">
        <v>615573</v>
      </c>
      <c r="CC61" s="1420">
        <v>10269699.09</v>
      </c>
      <c r="CD61" s="1420">
        <v>4220197.9000000004</v>
      </c>
      <c r="CE61" s="1420">
        <v>10189409.73</v>
      </c>
      <c r="CF61" s="1420">
        <v>7827730.9000000004</v>
      </c>
      <c r="CG61" s="1420">
        <v>3107003.22</v>
      </c>
      <c r="CH61" s="1420">
        <v>1327263.28</v>
      </c>
      <c r="CI61" s="1422">
        <v>0</v>
      </c>
      <c r="CJ61" s="1422">
        <v>0</v>
      </c>
      <c r="CK61" s="1422">
        <v>28766</v>
      </c>
      <c r="CL61" s="1422">
        <v>28766</v>
      </c>
      <c r="CM61" s="1420">
        <v>4171.5</v>
      </c>
      <c r="CN61" s="1422">
        <v>0</v>
      </c>
      <c r="CO61" s="1420">
        <v>43052.14</v>
      </c>
      <c r="CP61" s="1422">
        <v>0</v>
      </c>
      <c r="CQ61" s="1422">
        <v>0</v>
      </c>
      <c r="CR61" s="1422">
        <v>0</v>
      </c>
      <c r="CS61" s="1420">
        <v>3182992.86</v>
      </c>
      <c r="CT61" s="1420">
        <v>1356029.28</v>
      </c>
      <c r="CU61" s="1420">
        <v>67132152.049999997</v>
      </c>
      <c r="CV61" s="1420">
        <v>56695827.079999998</v>
      </c>
      <c r="CW61" s="1420">
        <v>20134342.66</v>
      </c>
      <c r="CX61" s="1420">
        <v>19594196.23</v>
      </c>
      <c r="CY61" s="1420">
        <v>4003514.15</v>
      </c>
      <c r="CZ61" s="1420">
        <v>4326874.75</v>
      </c>
      <c r="DA61" s="1420">
        <v>1109062.79</v>
      </c>
      <c r="DB61" s="1420">
        <v>1079140.53</v>
      </c>
      <c r="DC61" s="1420">
        <v>575220.68000000005</v>
      </c>
      <c r="DD61" s="1420">
        <v>578860.73</v>
      </c>
      <c r="DE61" s="1420">
        <v>1627116.72</v>
      </c>
      <c r="DF61" s="1420">
        <v>1672130.18</v>
      </c>
      <c r="DG61" s="1420">
        <v>978869.45</v>
      </c>
      <c r="DH61" s="1420">
        <v>1151858.94</v>
      </c>
      <c r="DI61" s="1420">
        <v>28428126.449999999</v>
      </c>
      <c r="DJ61" s="1420">
        <v>28403061.359999999</v>
      </c>
      <c r="DK61" s="1420">
        <v>1069803.18</v>
      </c>
      <c r="DL61" s="1420">
        <v>1148660.3999999999</v>
      </c>
      <c r="DM61" s="1420">
        <v>907337.25</v>
      </c>
      <c r="DN61" s="1420">
        <v>903847.69</v>
      </c>
      <c r="DO61" s="1422">
        <v>4935752</v>
      </c>
      <c r="DP61" s="1420">
        <v>4820422.51</v>
      </c>
      <c r="DQ61" s="1420">
        <v>2023382.45</v>
      </c>
      <c r="DR61" s="1420">
        <v>1745091.14</v>
      </c>
      <c r="DS61" s="1420">
        <v>108996.22</v>
      </c>
      <c r="DT61" s="1422">
        <v>46766</v>
      </c>
      <c r="DU61" s="1420">
        <v>9045271.0999999996</v>
      </c>
      <c r="DV61" s="1420">
        <v>8664787.7400000002</v>
      </c>
      <c r="DW61" s="1420">
        <v>2163499.17</v>
      </c>
      <c r="DX61" s="1420">
        <v>2346853.58</v>
      </c>
      <c r="DY61" s="1420">
        <v>6289096.2000000002</v>
      </c>
      <c r="DZ61" s="1420">
        <v>5294037.6900000004</v>
      </c>
      <c r="EA61" s="1420">
        <v>2418396.0299999998</v>
      </c>
      <c r="EB61" s="1420">
        <v>2569392.37</v>
      </c>
      <c r="EC61" s="1420">
        <v>10870991.4</v>
      </c>
      <c r="ED61" s="1420">
        <v>10210283.640000001</v>
      </c>
      <c r="EE61" s="1420">
        <v>2636443.66</v>
      </c>
      <c r="EF61" s="1420">
        <v>2447140.64</v>
      </c>
      <c r="EG61" s="1420">
        <v>100053.68</v>
      </c>
      <c r="EH61" s="1422">
        <v>0</v>
      </c>
      <c r="EI61" s="1420">
        <v>1034808.82</v>
      </c>
      <c r="EJ61" s="1420">
        <v>834669.78</v>
      </c>
      <c r="EK61" s="1422">
        <v>0</v>
      </c>
      <c r="EL61" s="1422">
        <v>0</v>
      </c>
      <c r="EM61" s="1420">
        <v>3771306.16</v>
      </c>
      <c r="EN61" s="1420">
        <v>3281810.42</v>
      </c>
      <c r="EO61" s="1420">
        <v>15998995.09</v>
      </c>
      <c r="EP61" s="1420">
        <v>8141138.9699999997</v>
      </c>
      <c r="EQ61" s="1420">
        <v>5272109.9000000004</v>
      </c>
      <c r="ER61" s="1420">
        <v>5741765.21</v>
      </c>
      <c r="ES61" s="1420">
        <v>144.41</v>
      </c>
      <c r="ET61" s="1422">
        <v>0</v>
      </c>
      <c r="EU61" s="1420">
        <v>73386944.510000005</v>
      </c>
      <c r="EV61" s="1420">
        <v>64442847.340000004</v>
      </c>
      <c r="EW61" s="1420">
        <v>17119324.199999999</v>
      </c>
      <c r="EX61" s="1420">
        <v>8454172.1600000001</v>
      </c>
      <c r="EY61" s="1420">
        <v>5272109.9000000004</v>
      </c>
      <c r="EZ61" s="1420">
        <v>5741765.21</v>
      </c>
      <c r="FA61" s="1420">
        <v>50995510.409999996</v>
      </c>
      <c r="FB61" s="1420">
        <v>50246909.969999999</v>
      </c>
      <c r="FC61" s="1420">
        <v>2996443.92</v>
      </c>
      <c r="FD61" s="1439"/>
      <c r="FE61" s="1420">
        <v>47999066.490000002</v>
      </c>
      <c r="FF61" s="1439"/>
      <c r="FG61" s="1422">
        <v>8584</v>
      </c>
      <c r="FH61" s="1439"/>
      <c r="FI61" s="1420">
        <v>403.65</v>
      </c>
      <c r="FJ61" s="1439"/>
      <c r="FK61" s="1422">
        <v>46548</v>
      </c>
      <c r="FL61" s="1439"/>
      <c r="FM61" s="1420">
        <v>441.01</v>
      </c>
      <c r="FN61" s="1439"/>
      <c r="FO61" s="1422">
        <v>49298</v>
      </c>
      <c r="FP61" s="1439"/>
      <c r="FQ61" s="1420">
        <v>6060391.5999999996</v>
      </c>
      <c r="FR61" s="1439"/>
      <c r="FS61" s="1420">
        <v>134712.78</v>
      </c>
      <c r="FT61" s="1439"/>
      <c r="FU61" s="1422">
        <v>0</v>
      </c>
      <c r="FV61" s="1439"/>
      <c r="FW61" s="1420">
        <v>5925678.8200000003</v>
      </c>
      <c r="FX61" s="1439"/>
      <c r="FY61" s="1420">
        <v>6686869.8600000003</v>
      </c>
      <c r="FZ61" s="1439"/>
      <c r="GA61" s="1422">
        <v>0</v>
      </c>
      <c r="GB61" s="1439"/>
    </row>
    <row r="62" spans="1:184" ht="12.75" customHeight="1" thickBot="1">
      <c r="A62" s="1418" t="s">
        <v>521</v>
      </c>
      <c r="B62" s="1418" t="s">
        <v>522</v>
      </c>
      <c r="C62" s="1420">
        <v>136.44999999999999</v>
      </c>
      <c r="D62" s="1439"/>
      <c r="E62" s="1420">
        <v>670.91</v>
      </c>
      <c r="F62" s="1439"/>
      <c r="G62" s="1421">
        <v>-0.17</v>
      </c>
      <c r="H62" s="1439"/>
      <c r="I62" s="1420">
        <v>693.93</v>
      </c>
      <c r="J62" s="1439"/>
      <c r="K62" s="1420">
        <v>755.21</v>
      </c>
      <c r="L62" s="1439"/>
      <c r="M62" s="1422">
        <v>24330476</v>
      </c>
      <c r="N62" s="1439"/>
      <c r="O62" s="1422">
        <v>25</v>
      </c>
      <c r="P62" s="1439"/>
      <c r="Q62" s="1422">
        <v>25</v>
      </c>
      <c r="R62" s="1439"/>
      <c r="S62" s="1422">
        <v>0</v>
      </c>
      <c r="T62" s="1439"/>
      <c r="U62" s="1422">
        <v>0</v>
      </c>
      <c r="V62" s="1439"/>
      <c r="W62" s="1420">
        <v>19.8</v>
      </c>
      <c r="X62" s="1439"/>
      <c r="Y62" s="1420">
        <v>44.8</v>
      </c>
      <c r="Z62" s="1439"/>
      <c r="AA62" s="1420">
        <v>7956454.9699999997</v>
      </c>
      <c r="AB62" s="1439"/>
      <c r="AC62" s="1420">
        <v>1059801.23</v>
      </c>
      <c r="AD62" s="1420">
        <v>964315.54</v>
      </c>
      <c r="AE62" s="1420">
        <v>2172685.2799999998</v>
      </c>
      <c r="AF62" s="1422">
        <v>89972</v>
      </c>
      <c r="AG62" s="1422">
        <v>0</v>
      </c>
      <c r="AH62" s="1422">
        <v>0</v>
      </c>
      <c r="AI62" s="1422">
        <v>3949343</v>
      </c>
      <c r="AJ62" s="1422">
        <v>3679845</v>
      </c>
      <c r="AK62" s="1422">
        <v>34582</v>
      </c>
      <c r="AL62" s="1422">
        <v>0</v>
      </c>
      <c r="AM62" s="1422">
        <v>0</v>
      </c>
      <c r="AN62" s="1422">
        <v>0</v>
      </c>
      <c r="AO62" s="1422">
        <v>69867</v>
      </c>
      <c r="AP62" s="1422">
        <v>180326</v>
      </c>
      <c r="AQ62" s="1422">
        <v>0</v>
      </c>
      <c r="AR62" s="1422">
        <v>0</v>
      </c>
      <c r="AS62" s="1422">
        <v>0</v>
      </c>
      <c r="AT62" s="1422">
        <v>0</v>
      </c>
      <c r="AU62" s="1422">
        <v>29961</v>
      </c>
      <c r="AV62" s="1422">
        <v>23968</v>
      </c>
      <c r="AW62" s="1422">
        <v>0</v>
      </c>
      <c r="AX62" s="1422">
        <v>0</v>
      </c>
      <c r="AY62" s="1420">
        <v>7316239.5099999998</v>
      </c>
      <c r="AZ62" s="1420">
        <v>4938426.54</v>
      </c>
      <c r="BA62" s="1422">
        <v>0</v>
      </c>
      <c r="BB62" s="1422">
        <v>0</v>
      </c>
      <c r="BC62" s="1422">
        <v>31235</v>
      </c>
      <c r="BD62" s="1422">
        <v>29518</v>
      </c>
      <c r="BE62" s="1420">
        <v>153639.35999999999</v>
      </c>
      <c r="BF62" s="1422">
        <v>0</v>
      </c>
      <c r="BG62" s="1422">
        <v>0</v>
      </c>
      <c r="BH62" s="1422">
        <v>0</v>
      </c>
      <c r="BI62" s="1422">
        <v>0</v>
      </c>
      <c r="BJ62" s="1422">
        <v>0</v>
      </c>
      <c r="BK62" s="1422">
        <v>0</v>
      </c>
      <c r="BL62" s="1422">
        <v>0</v>
      </c>
      <c r="BM62" s="1422">
        <v>1078800</v>
      </c>
      <c r="BN62" s="1422">
        <v>1012506</v>
      </c>
      <c r="BO62" s="1420">
        <v>17671.830000000002</v>
      </c>
      <c r="BP62" s="1422">
        <v>0</v>
      </c>
      <c r="BQ62" s="1420">
        <v>79916.710000000006</v>
      </c>
      <c r="BR62" s="1422">
        <v>34125</v>
      </c>
      <c r="BS62" s="1420">
        <v>3359.34</v>
      </c>
      <c r="BT62" s="1422">
        <v>0</v>
      </c>
      <c r="BU62" s="1422">
        <v>0</v>
      </c>
      <c r="BV62" s="1422">
        <v>0</v>
      </c>
      <c r="BW62" s="1422">
        <v>237307</v>
      </c>
      <c r="BX62" s="1422">
        <v>260520</v>
      </c>
      <c r="BY62" s="1422">
        <v>0</v>
      </c>
      <c r="BZ62" s="1422">
        <v>0</v>
      </c>
      <c r="CA62" s="1420">
        <v>239747.20000000001</v>
      </c>
      <c r="CB62" s="1422">
        <v>183741</v>
      </c>
      <c r="CC62" s="1420">
        <v>1841676.44</v>
      </c>
      <c r="CD62" s="1422">
        <v>1520410</v>
      </c>
      <c r="CE62" s="1420">
        <v>3405176.35</v>
      </c>
      <c r="CF62" s="1420">
        <v>1938012.47</v>
      </c>
      <c r="CG62" s="1422">
        <v>688215</v>
      </c>
      <c r="CH62" s="1422">
        <v>0</v>
      </c>
      <c r="CI62" s="1422">
        <v>0</v>
      </c>
      <c r="CJ62" s="1422">
        <v>0</v>
      </c>
      <c r="CK62" s="1422">
        <v>0</v>
      </c>
      <c r="CL62" s="1422">
        <v>0</v>
      </c>
      <c r="CM62" s="1422">
        <v>0</v>
      </c>
      <c r="CN62" s="1422">
        <v>0</v>
      </c>
      <c r="CO62" s="1422">
        <v>0</v>
      </c>
      <c r="CP62" s="1422">
        <v>0</v>
      </c>
      <c r="CQ62" s="1422">
        <v>0</v>
      </c>
      <c r="CR62" s="1422">
        <v>0</v>
      </c>
      <c r="CS62" s="1422">
        <v>688215</v>
      </c>
      <c r="CT62" s="1422">
        <v>0</v>
      </c>
      <c r="CU62" s="1420">
        <v>13251307.300000001</v>
      </c>
      <c r="CV62" s="1420">
        <v>8396849.0099999998</v>
      </c>
      <c r="CW62" s="1420">
        <v>3566575.2</v>
      </c>
      <c r="CX62" s="1420">
        <v>2760346.81</v>
      </c>
      <c r="CY62" s="1420">
        <v>453306.24</v>
      </c>
      <c r="CZ62" s="1420">
        <v>414635.21</v>
      </c>
      <c r="DA62" s="1420">
        <v>422733.91</v>
      </c>
      <c r="DB62" s="1420">
        <v>401052.4</v>
      </c>
      <c r="DC62" s="1422">
        <v>0</v>
      </c>
      <c r="DD62" s="1422">
        <v>0</v>
      </c>
      <c r="DE62" s="1420">
        <v>777896.64</v>
      </c>
      <c r="DF62" s="1420">
        <v>546718.31000000006</v>
      </c>
      <c r="DG62" s="1420">
        <v>150946.97</v>
      </c>
      <c r="DH62" s="1420">
        <v>199911.99</v>
      </c>
      <c r="DI62" s="1420">
        <v>5371458.96</v>
      </c>
      <c r="DJ62" s="1420">
        <v>4322664.72</v>
      </c>
      <c r="DK62" s="1420">
        <v>238264.74</v>
      </c>
      <c r="DL62" s="1420">
        <v>235955.22</v>
      </c>
      <c r="DM62" s="1420">
        <v>242278.93</v>
      </c>
      <c r="DN62" s="1420">
        <v>267596.63</v>
      </c>
      <c r="DO62" s="1420">
        <v>1232518.43</v>
      </c>
      <c r="DP62" s="1420">
        <v>946079.18</v>
      </c>
      <c r="DQ62" s="1420">
        <v>299094.08</v>
      </c>
      <c r="DR62" s="1420">
        <v>229399.28</v>
      </c>
      <c r="DS62" s="1420">
        <v>4300.6499999999996</v>
      </c>
      <c r="DT62" s="1422">
        <v>0</v>
      </c>
      <c r="DU62" s="1420">
        <v>2016456.83</v>
      </c>
      <c r="DV62" s="1420">
        <v>1679030.31</v>
      </c>
      <c r="DW62" s="1420">
        <v>471733.03</v>
      </c>
      <c r="DX62" s="1420">
        <v>289161.05</v>
      </c>
      <c r="DY62" s="1420">
        <v>853610.7</v>
      </c>
      <c r="DZ62" s="1420">
        <v>489566.6</v>
      </c>
      <c r="EA62" s="1420">
        <v>197720.61</v>
      </c>
      <c r="EB62" s="1420">
        <v>252537.66</v>
      </c>
      <c r="EC62" s="1420">
        <v>1523064.34</v>
      </c>
      <c r="ED62" s="1420">
        <v>1031265.31</v>
      </c>
      <c r="EE62" s="1420">
        <v>628625.53</v>
      </c>
      <c r="EF62" s="1420">
        <v>598444.6</v>
      </c>
      <c r="EG62" s="1422">
        <v>0</v>
      </c>
      <c r="EH62" s="1422">
        <v>0</v>
      </c>
      <c r="EI62" s="1422">
        <v>0</v>
      </c>
      <c r="EJ62" s="1422">
        <v>2000</v>
      </c>
      <c r="EK62" s="1422">
        <v>0</v>
      </c>
      <c r="EL62" s="1422">
        <v>0</v>
      </c>
      <c r="EM62" s="1420">
        <v>628625.53</v>
      </c>
      <c r="EN62" s="1420">
        <v>600444.6</v>
      </c>
      <c r="EO62" s="1420">
        <v>1034780.7</v>
      </c>
      <c r="EP62" s="1420">
        <v>163910.79</v>
      </c>
      <c r="EQ62" s="1420">
        <v>1557360.03</v>
      </c>
      <c r="ER62" s="1422">
        <v>514178</v>
      </c>
      <c r="ES62" s="1420">
        <v>115787.26</v>
      </c>
      <c r="ET62" s="1422">
        <v>0</v>
      </c>
      <c r="EU62" s="1420">
        <v>12247533.65</v>
      </c>
      <c r="EV62" s="1420">
        <v>8311493.7300000004</v>
      </c>
      <c r="EW62" s="1420">
        <v>1094272.1000000001</v>
      </c>
      <c r="EX62" s="1420">
        <v>175910.79</v>
      </c>
      <c r="EY62" s="1420">
        <v>1557360.03</v>
      </c>
      <c r="EZ62" s="1422">
        <v>514178</v>
      </c>
      <c r="FA62" s="1420">
        <v>9595901.5199999996</v>
      </c>
      <c r="FB62" s="1420">
        <v>7621404.9400000004</v>
      </c>
      <c r="FC62" s="1420">
        <v>509716.02</v>
      </c>
      <c r="FD62" s="1439"/>
      <c r="FE62" s="1420">
        <v>9086185.5</v>
      </c>
      <c r="FF62" s="1439"/>
      <c r="FG62" s="1422">
        <v>13543</v>
      </c>
      <c r="FH62" s="1439"/>
      <c r="FI62" s="1420">
        <v>51.04</v>
      </c>
      <c r="FJ62" s="1439"/>
      <c r="FK62" s="1422">
        <v>44740</v>
      </c>
      <c r="FL62" s="1439"/>
      <c r="FM62" s="1420">
        <v>55.04</v>
      </c>
      <c r="FN62" s="1439"/>
      <c r="FO62" s="1422">
        <v>48971</v>
      </c>
      <c r="FP62" s="1439"/>
      <c r="FQ62" s="1420">
        <v>1857169.88</v>
      </c>
      <c r="FR62" s="1439"/>
      <c r="FS62" s="1420">
        <v>4995.59</v>
      </c>
      <c r="FT62" s="1439"/>
      <c r="FU62" s="1422">
        <v>0</v>
      </c>
      <c r="FV62" s="1439"/>
      <c r="FW62" s="1420">
        <v>1852174.29</v>
      </c>
      <c r="FX62" s="1439"/>
      <c r="FY62" s="1420">
        <v>183930.71</v>
      </c>
      <c r="FZ62" s="1439"/>
      <c r="GA62" s="1422">
        <v>0</v>
      </c>
      <c r="GB62" s="1439"/>
    </row>
    <row r="63" spans="1:184" ht="12.75" customHeight="1" thickBot="1">
      <c r="A63" s="1418" t="s">
        <v>523</v>
      </c>
      <c r="B63" s="1418" t="s">
        <v>524</v>
      </c>
      <c r="C63" s="1420">
        <v>108.47</v>
      </c>
      <c r="D63" s="1439"/>
      <c r="E63" s="1420">
        <v>5315.78</v>
      </c>
      <c r="F63" s="1439"/>
      <c r="G63" s="1421">
        <v>-0.04</v>
      </c>
      <c r="H63" s="1439"/>
      <c r="I63" s="1420">
        <v>5660.17</v>
      </c>
      <c r="J63" s="1439"/>
      <c r="K63" s="1420">
        <v>5886.66</v>
      </c>
      <c r="L63" s="1439"/>
      <c r="M63" s="1422">
        <v>283741081</v>
      </c>
      <c r="N63" s="1439"/>
      <c r="O63" s="1422">
        <v>27</v>
      </c>
      <c r="P63" s="1439"/>
      <c r="Q63" s="1422">
        <v>25</v>
      </c>
      <c r="R63" s="1439"/>
      <c r="S63" s="1422">
        <v>2</v>
      </c>
      <c r="T63" s="1439"/>
      <c r="U63" s="1422">
        <v>0</v>
      </c>
      <c r="V63" s="1439"/>
      <c r="W63" s="1422">
        <v>2</v>
      </c>
      <c r="X63" s="1439"/>
      <c r="Y63" s="1422">
        <v>29</v>
      </c>
      <c r="Z63" s="1439"/>
      <c r="AA63" s="1422">
        <v>3285000</v>
      </c>
      <c r="AB63" s="1439"/>
      <c r="AC63" s="1420">
        <v>8051799.75</v>
      </c>
      <c r="AD63" s="1422">
        <v>7869218</v>
      </c>
      <c r="AE63" s="1420">
        <v>1185087.23</v>
      </c>
      <c r="AF63" s="1422">
        <v>763325</v>
      </c>
      <c r="AG63" s="1422">
        <v>0</v>
      </c>
      <c r="AH63" s="1422">
        <v>0</v>
      </c>
      <c r="AI63" s="1422">
        <v>28404507</v>
      </c>
      <c r="AJ63" s="1422">
        <v>27855086</v>
      </c>
      <c r="AK63" s="1422">
        <v>308617</v>
      </c>
      <c r="AL63" s="1422">
        <v>310000</v>
      </c>
      <c r="AM63" s="1422">
        <v>0</v>
      </c>
      <c r="AN63" s="1422">
        <v>0</v>
      </c>
      <c r="AO63" s="1422">
        <v>55622</v>
      </c>
      <c r="AP63" s="1422">
        <v>664873</v>
      </c>
      <c r="AQ63" s="1422">
        <v>0</v>
      </c>
      <c r="AR63" s="1422">
        <v>0</v>
      </c>
      <c r="AS63" s="1422">
        <v>0</v>
      </c>
      <c r="AT63" s="1422">
        <v>0</v>
      </c>
      <c r="AU63" s="1422">
        <v>146136</v>
      </c>
      <c r="AV63" s="1422">
        <v>116909</v>
      </c>
      <c r="AW63" s="1422">
        <v>0</v>
      </c>
      <c r="AX63" s="1422">
        <v>0</v>
      </c>
      <c r="AY63" s="1420">
        <v>38151768.979999997</v>
      </c>
      <c r="AZ63" s="1422">
        <v>37579411</v>
      </c>
      <c r="BA63" s="1422">
        <v>0</v>
      </c>
      <c r="BB63" s="1422">
        <v>0</v>
      </c>
      <c r="BC63" s="1422">
        <v>243472</v>
      </c>
      <c r="BD63" s="1422">
        <v>240304</v>
      </c>
      <c r="BE63" s="1420">
        <v>15010.43</v>
      </c>
      <c r="BF63" s="1422">
        <v>11800</v>
      </c>
      <c r="BG63" s="1422">
        <v>1250</v>
      </c>
      <c r="BH63" s="1422">
        <v>0</v>
      </c>
      <c r="BI63" s="1422">
        <v>73012</v>
      </c>
      <c r="BJ63" s="1422">
        <v>92475</v>
      </c>
      <c r="BK63" s="1422">
        <v>1758</v>
      </c>
      <c r="BL63" s="1422">
        <v>0</v>
      </c>
      <c r="BM63" s="1422">
        <v>4679264</v>
      </c>
      <c r="BN63" s="1422">
        <v>4570192</v>
      </c>
      <c r="BO63" s="1420">
        <v>32107.59</v>
      </c>
      <c r="BP63" s="1422">
        <v>0</v>
      </c>
      <c r="BQ63" s="1422">
        <v>115375</v>
      </c>
      <c r="BR63" s="1422">
        <v>139750</v>
      </c>
      <c r="BS63" s="1420">
        <v>25068.44</v>
      </c>
      <c r="BT63" s="1422">
        <v>0</v>
      </c>
      <c r="BU63" s="1422">
        <v>0</v>
      </c>
      <c r="BV63" s="1422">
        <v>0</v>
      </c>
      <c r="BW63" s="1422">
        <v>677452</v>
      </c>
      <c r="BX63" s="1422">
        <v>699900</v>
      </c>
      <c r="BY63" s="1422">
        <v>0</v>
      </c>
      <c r="BZ63" s="1422">
        <v>0</v>
      </c>
      <c r="CA63" s="1420">
        <v>314444.90000000002</v>
      </c>
      <c r="CB63" s="1422">
        <v>214609</v>
      </c>
      <c r="CC63" s="1420">
        <v>6178214.3600000003</v>
      </c>
      <c r="CD63" s="1422">
        <v>5969030</v>
      </c>
      <c r="CE63" s="1420">
        <v>14724806.57</v>
      </c>
      <c r="CF63" s="1420">
        <v>11619341.449999999</v>
      </c>
      <c r="CG63" s="1422">
        <v>0</v>
      </c>
      <c r="CH63" s="1422">
        <v>0</v>
      </c>
      <c r="CI63" s="1422">
        <v>0</v>
      </c>
      <c r="CJ63" s="1422">
        <v>0</v>
      </c>
      <c r="CK63" s="1420">
        <v>5677.52</v>
      </c>
      <c r="CL63" s="1422">
        <v>150000</v>
      </c>
      <c r="CM63" s="1422">
        <v>0</v>
      </c>
      <c r="CN63" s="1422">
        <v>0</v>
      </c>
      <c r="CO63" s="1420">
        <v>200136.94</v>
      </c>
      <c r="CP63" s="1422">
        <v>167000</v>
      </c>
      <c r="CQ63" s="1422">
        <v>0</v>
      </c>
      <c r="CR63" s="1422">
        <v>0</v>
      </c>
      <c r="CS63" s="1420">
        <v>205814.46</v>
      </c>
      <c r="CT63" s="1422">
        <v>317000</v>
      </c>
      <c r="CU63" s="1420">
        <v>59260604.369999997</v>
      </c>
      <c r="CV63" s="1420">
        <v>55484782.450000003</v>
      </c>
      <c r="CW63" s="1420">
        <v>21356388.030000001</v>
      </c>
      <c r="CX63" s="1420">
        <v>21239752.41</v>
      </c>
      <c r="CY63" s="1420">
        <v>3739425.13</v>
      </c>
      <c r="CZ63" s="1420">
        <v>4058707.29</v>
      </c>
      <c r="DA63" s="1420">
        <v>1353844.49</v>
      </c>
      <c r="DB63" s="1422">
        <v>1428057</v>
      </c>
      <c r="DC63" s="1422">
        <v>0</v>
      </c>
      <c r="DD63" s="1422">
        <v>0</v>
      </c>
      <c r="DE63" s="1420">
        <v>3215056.3</v>
      </c>
      <c r="DF63" s="1420">
        <v>2807566.75</v>
      </c>
      <c r="DG63" s="1420">
        <v>1522083.49</v>
      </c>
      <c r="DH63" s="1422">
        <v>1714939</v>
      </c>
      <c r="DI63" s="1420">
        <v>31186797.440000001</v>
      </c>
      <c r="DJ63" s="1420">
        <v>31249022.449999999</v>
      </c>
      <c r="DK63" s="1420">
        <v>1078378.54</v>
      </c>
      <c r="DL63" s="1422">
        <v>1154132</v>
      </c>
      <c r="DM63" s="1420">
        <v>759842.69</v>
      </c>
      <c r="DN63" s="1422">
        <v>606164</v>
      </c>
      <c r="DO63" s="1420">
        <v>5036223.49</v>
      </c>
      <c r="DP63" s="1422">
        <v>5142886</v>
      </c>
      <c r="DQ63" s="1420">
        <v>1002277.08</v>
      </c>
      <c r="DR63" s="1422">
        <v>700199</v>
      </c>
      <c r="DS63" s="1420">
        <v>73749.75</v>
      </c>
      <c r="DT63" s="1422">
        <v>208033</v>
      </c>
      <c r="DU63" s="1420">
        <v>7950471.5499999998</v>
      </c>
      <c r="DV63" s="1422">
        <v>7811414</v>
      </c>
      <c r="DW63" s="1420">
        <v>2206808.2000000002</v>
      </c>
      <c r="DX63" s="1422">
        <v>2475125</v>
      </c>
      <c r="DY63" s="1420">
        <v>5992701.4699999997</v>
      </c>
      <c r="DZ63" s="1420">
        <v>7012997.6500000004</v>
      </c>
      <c r="EA63" s="1420">
        <v>2666462.83</v>
      </c>
      <c r="EB63" s="1422">
        <v>2699520</v>
      </c>
      <c r="EC63" s="1420">
        <v>10865972.5</v>
      </c>
      <c r="ED63" s="1420">
        <v>12187642.65</v>
      </c>
      <c r="EE63" s="1420">
        <v>2997642.18</v>
      </c>
      <c r="EF63" s="1422">
        <v>3038611</v>
      </c>
      <c r="EG63" s="1420">
        <v>16639.740000000002</v>
      </c>
      <c r="EH63" s="1422">
        <v>0</v>
      </c>
      <c r="EI63" s="1420">
        <v>5665.82</v>
      </c>
      <c r="EJ63" s="1422">
        <v>58450</v>
      </c>
      <c r="EK63" s="1422">
        <v>0</v>
      </c>
      <c r="EL63" s="1422">
        <v>0</v>
      </c>
      <c r="EM63" s="1420">
        <v>3019947.74</v>
      </c>
      <c r="EN63" s="1422">
        <v>3097061</v>
      </c>
      <c r="EO63" s="1420">
        <v>3663292.31</v>
      </c>
      <c r="EP63" s="1422">
        <v>1121555</v>
      </c>
      <c r="EQ63" s="1420">
        <v>283421.26</v>
      </c>
      <c r="ER63" s="1420">
        <v>177663.56</v>
      </c>
      <c r="ES63" s="1420">
        <v>8.2100000000000009</v>
      </c>
      <c r="ET63" s="1422">
        <v>0</v>
      </c>
      <c r="EU63" s="1420">
        <v>56969911.009999998</v>
      </c>
      <c r="EV63" s="1420">
        <v>55644358.659999996</v>
      </c>
      <c r="EW63" s="1420">
        <v>5210448.68</v>
      </c>
      <c r="EX63" s="1422">
        <v>1497176</v>
      </c>
      <c r="EY63" s="1420">
        <v>283421.26</v>
      </c>
      <c r="EZ63" s="1420">
        <v>177663.56</v>
      </c>
      <c r="FA63" s="1420">
        <v>51476041.07</v>
      </c>
      <c r="FB63" s="1420">
        <v>53969519.100000001</v>
      </c>
      <c r="FC63" s="1420">
        <v>1629700.23</v>
      </c>
      <c r="FD63" s="1439"/>
      <c r="FE63" s="1420">
        <v>49846340.840000004</v>
      </c>
      <c r="FF63" s="1439"/>
      <c r="FG63" s="1422">
        <v>9377</v>
      </c>
      <c r="FH63" s="1439"/>
      <c r="FI63" s="1420">
        <v>378.37</v>
      </c>
      <c r="FJ63" s="1439"/>
      <c r="FK63" s="1422">
        <v>50435</v>
      </c>
      <c r="FL63" s="1439"/>
      <c r="FM63" s="1420">
        <v>436.99</v>
      </c>
      <c r="FN63" s="1439"/>
      <c r="FO63" s="1422">
        <v>53044</v>
      </c>
      <c r="FP63" s="1439"/>
      <c r="FQ63" s="1420">
        <v>25042727.890000001</v>
      </c>
      <c r="FR63" s="1439"/>
      <c r="FS63" s="1420">
        <v>1058340.8500000001</v>
      </c>
      <c r="FT63" s="1439"/>
      <c r="FU63" s="1422">
        <v>0</v>
      </c>
      <c r="FV63" s="1439"/>
      <c r="FW63" s="1420">
        <v>23984387.039999999</v>
      </c>
      <c r="FX63" s="1439"/>
      <c r="FY63" s="1420">
        <v>10872351.08</v>
      </c>
      <c r="FZ63" s="1439"/>
      <c r="GA63" s="1422">
        <v>0</v>
      </c>
      <c r="GB63" s="1439"/>
    </row>
    <row r="64" spans="1:184" ht="12.75" customHeight="1" thickBot="1">
      <c r="A64" s="1418" t="s">
        <v>525</v>
      </c>
      <c r="B64" s="1418" t="s">
        <v>526</v>
      </c>
      <c r="C64" s="1420">
        <v>311.04000000000002</v>
      </c>
      <c r="D64" s="1439"/>
      <c r="E64" s="1420">
        <v>3997.54</v>
      </c>
      <c r="F64" s="1439"/>
      <c r="G64" s="1421">
        <v>0.01</v>
      </c>
      <c r="H64" s="1439"/>
      <c r="I64" s="1420">
        <v>4230.04</v>
      </c>
      <c r="J64" s="1439"/>
      <c r="K64" s="1420">
        <v>4005.86</v>
      </c>
      <c r="L64" s="1439"/>
      <c r="M64" s="1422">
        <v>315196506</v>
      </c>
      <c r="N64" s="1439"/>
      <c r="O64" s="1422">
        <v>25</v>
      </c>
      <c r="P64" s="1439"/>
      <c r="Q64" s="1422">
        <v>25</v>
      </c>
      <c r="R64" s="1439"/>
      <c r="S64" s="1422">
        <v>0</v>
      </c>
      <c r="T64" s="1439"/>
      <c r="U64" s="1422">
        <v>0</v>
      </c>
      <c r="V64" s="1439"/>
      <c r="W64" s="1420">
        <v>15.7</v>
      </c>
      <c r="X64" s="1439"/>
      <c r="Y64" s="1420">
        <v>40.700000000000003</v>
      </c>
      <c r="Z64" s="1439"/>
      <c r="AA64" s="1420">
        <v>35695467.229999997</v>
      </c>
      <c r="AB64" s="1439"/>
      <c r="AC64" s="1420">
        <v>12021647.77</v>
      </c>
      <c r="AD64" s="1422">
        <v>11806721</v>
      </c>
      <c r="AE64" s="1420">
        <v>3597611.41</v>
      </c>
      <c r="AF64" s="1422">
        <v>799235</v>
      </c>
      <c r="AG64" s="1422">
        <v>0</v>
      </c>
      <c r="AH64" s="1422">
        <v>0</v>
      </c>
      <c r="AI64" s="1422">
        <v>18010532</v>
      </c>
      <c r="AJ64" s="1422">
        <v>18245474</v>
      </c>
      <c r="AK64" s="1422">
        <v>388994</v>
      </c>
      <c r="AL64" s="1422">
        <v>380000</v>
      </c>
      <c r="AM64" s="1422">
        <v>321673</v>
      </c>
      <c r="AN64" s="1422">
        <v>0</v>
      </c>
      <c r="AO64" s="1422">
        <v>0</v>
      </c>
      <c r="AP64" s="1422">
        <v>0</v>
      </c>
      <c r="AQ64" s="1422">
        <v>1535443</v>
      </c>
      <c r="AR64" s="1422">
        <v>0</v>
      </c>
      <c r="AS64" s="1422">
        <v>9502</v>
      </c>
      <c r="AT64" s="1422">
        <v>0</v>
      </c>
      <c r="AU64" s="1422">
        <v>68918</v>
      </c>
      <c r="AV64" s="1422">
        <v>55134</v>
      </c>
      <c r="AW64" s="1422">
        <v>0</v>
      </c>
      <c r="AX64" s="1422">
        <v>0</v>
      </c>
      <c r="AY64" s="1420">
        <v>35954321.18</v>
      </c>
      <c r="AZ64" s="1422">
        <v>31286564</v>
      </c>
      <c r="BA64" s="1422">
        <v>0</v>
      </c>
      <c r="BB64" s="1422">
        <v>0</v>
      </c>
      <c r="BC64" s="1422">
        <v>176226</v>
      </c>
      <c r="BD64" s="1422">
        <v>180098</v>
      </c>
      <c r="BE64" s="1420">
        <v>194900.4</v>
      </c>
      <c r="BF64" s="1422">
        <v>213644</v>
      </c>
      <c r="BG64" s="1422">
        <v>0</v>
      </c>
      <c r="BH64" s="1422">
        <v>0</v>
      </c>
      <c r="BI64" s="1422">
        <v>66877</v>
      </c>
      <c r="BJ64" s="1422">
        <v>80703</v>
      </c>
      <c r="BK64" s="1422">
        <v>10548</v>
      </c>
      <c r="BL64" s="1422">
        <v>38900</v>
      </c>
      <c r="BM64" s="1422">
        <v>1160144</v>
      </c>
      <c r="BN64" s="1422">
        <v>1262976</v>
      </c>
      <c r="BO64" s="1420">
        <v>53296.67</v>
      </c>
      <c r="BP64" s="1422">
        <v>10000</v>
      </c>
      <c r="BQ64" s="1420">
        <v>80880.95</v>
      </c>
      <c r="BR64" s="1422">
        <v>92625</v>
      </c>
      <c r="BS64" s="1422">
        <v>0</v>
      </c>
      <c r="BT64" s="1422">
        <v>0</v>
      </c>
      <c r="BU64" s="1422">
        <v>0</v>
      </c>
      <c r="BV64" s="1422">
        <v>0</v>
      </c>
      <c r="BW64" s="1422">
        <v>289566</v>
      </c>
      <c r="BX64" s="1422">
        <v>291600</v>
      </c>
      <c r="BY64" s="1422">
        <v>0</v>
      </c>
      <c r="BZ64" s="1422">
        <v>0</v>
      </c>
      <c r="CA64" s="1420">
        <v>498005.58</v>
      </c>
      <c r="CB64" s="1420">
        <v>2846039.65</v>
      </c>
      <c r="CC64" s="1420">
        <v>2530444.6</v>
      </c>
      <c r="CD64" s="1420">
        <v>5016585.6500000004</v>
      </c>
      <c r="CE64" s="1420">
        <v>4802398.12</v>
      </c>
      <c r="CF64" s="1420">
        <v>2681755.56</v>
      </c>
      <c r="CG64" s="1420">
        <v>2302668.7400000002</v>
      </c>
      <c r="CH64" s="1422">
        <v>4061775</v>
      </c>
      <c r="CI64" s="1420">
        <v>323268.28999999998</v>
      </c>
      <c r="CJ64" s="1422">
        <v>0</v>
      </c>
      <c r="CK64" s="1422">
        <v>0</v>
      </c>
      <c r="CL64" s="1422">
        <v>0</v>
      </c>
      <c r="CM64" s="1420">
        <v>155025.03</v>
      </c>
      <c r="CN64" s="1422">
        <v>0</v>
      </c>
      <c r="CO64" s="1422">
        <v>0</v>
      </c>
      <c r="CP64" s="1422">
        <v>0</v>
      </c>
      <c r="CQ64" s="1422">
        <v>0</v>
      </c>
      <c r="CR64" s="1422">
        <v>0</v>
      </c>
      <c r="CS64" s="1420">
        <v>2780962.06</v>
      </c>
      <c r="CT64" s="1422">
        <v>4061775</v>
      </c>
      <c r="CU64" s="1420">
        <v>46068125.960000001</v>
      </c>
      <c r="CV64" s="1420">
        <v>43046680.210000001</v>
      </c>
      <c r="CW64" s="1420">
        <v>15024073.01</v>
      </c>
      <c r="CX64" s="1420">
        <v>14044829.77</v>
      </c>
      <c r="CY64" s="1420">
        <v>3602570.82</v>
      </c>
      <c r="CZ64" s="1422">
        <v>3409796</v>
      </c>
      <c r="DA64" s="1420">
        <v>894049.14</v>
      </c>
      <c r="DB64" s="1422">
        <v>836299</v>
      </c>
      <c r="DC64" s="1422">
        <v>0</v>
      </c>
      <c r="DD64" s="1422">
        <v>0</v>
      </c>
      <c r="DE64" s="1420">
        <v>1177560.01</v>
      </c>
      <c r="DF64" s="1420">
        <v>1068750.3700000001</v>
      </c>
      <c r="DG64" s="1420">
        <v>694513.17</v>
      </c>
      <c r="DH64" s="1420">
        <v>616146.71</v>
      </c>
      <c r="DI64" s="1420">
        <v>21392766.149999999</v>
      </c>
      <c r="DJ64" s="1420">
        <v>19975821.850000001</v>
      </c>
      <c r="DK64" s="1420">
        <v>1180830.6000000001</v>
      </c>
      <c r="DL64" s="1420">
        <v>1304168.72</v>
      </c>
      <c r="DM64" s="1420">
        <v>370354.71</v>
      </c>
      <c r="DN64" s="1420">
        <v>329117.55</v>
      </c>
      <c r="DO64" s="1420">
        <v>2626205.87</v>
      </c>
      <c r="DP64" s="1420">
        <v>2881229.75</v>
      </c>
      <c r="DQ64" s="1420">
        <v>2733843.22</v>
      </c>
      <c r="DR64" s="1422">
        <v>1672698</v>
      </c>
      <c r="DS64" s="1420">
        <v>100206.59</v>
      </c>
      <c r="DT64" s="1422">
        <v>61408</v>
      </c>
      <c r="DU64" s="1420">
        <v>7011440.9900000002</v>
      </c>
      <c r="DV64" s="1420">
        <v>6248622.0199999996</v>
      </c>
      <c r="DW64" s="1420">
        <v>1750210.04</v>
      </c>
      <c r="DX64" s="1422">
        <v>1623433</v>
      </c>
      <c r="DY64" s="1420">
        <v>2087889.34</v>
      </c>
      <c r="DZ64" s="1420">
        <v>2484783.77</v>
      </c>
      <c r="EA64" s="1420">
        <v>1885168.11</v>
      </c>
      <c r="EB64" s="1420">
        <v>1913034.42</v>
      </c>
      <c r="EC64" s="1420">
        <v>5723267.4900000002</v>
      </c>
      <c r="ED64" s="1420">
        <v>6021251.1900000004</v>
      </c>
      <c r="EE64" s="1420">
        <v>1957375.88</v>
      </c>
      <c r="EF64" s="1422">
        <v>0</v>
      </c>
      <c r="EG64" s="1422">
        <v>0</v>
      </c>
      <c r="EH64" s="1422">
        <v>0</v>
      </c>
      <c r="EI64" s="1420">
        <v>2360.81</v>
      </c>
      <c r="EJ64" s="1422">
        <v>40000</v>
      </c>
      <c r="EK64" s="1422">
        <v>0</v>
      </c>
      <c r="EL64" s="1422">
        <v>0</v>
      </c>
      <c r="EM64" s="1420">
        <v>1959736.69</v>
      </c>
      <c r="EN64" s="1422">
        <v>40000</v>
      </c>
      <c r="EO64" s="1420">
        <v>3173507.75</v>
      </c>
      <c r="EP64" s="1422">
        <v>12609379</v>
      </c>
      <c r="EQ64" s="1420">
        <v>3631182.59</v>
      </c>
      <c r="ER64" s="1420">
        <v>4028028.65</v>
      </c>
      <c r="ES64" s="1420">
        <v>31720.89</v>
      </c>
      <c r="ET64" s="1422">
        <v>0</v>
      </c>
      <c r="EU64" s="1420">
        <v>42923622.549999997</v>
      </c>
      <c r="EV64" s="1420">
        <v>48923102.710000001</v>
      </c>
      <c r="EW64" s="1422">
        <v>4940939</v>
      </c>
      <c r="EX64" s="1422">
        <v>12884159</v>
      </c>
      <c r="EY64" s="1420">
        <v>3631182.59</v>
      </c>
      <c r="EZ64" s="1420">
        <v>4028028.65</v>
      </c>
      <c r="FA64" s="1420">
        <v>34351500.960000001</v>
      </c>
      <c r="FB64" s="1420">
        <v>32010915.059999999</v>
      </c>
      <c r="FC64" s="1420">
        <v>1265821.52</v>
      </c>
      <c r="FD64" s="1439"/>
      <c r="FE64" s="1420">
        <v>33085679.440000001</v>
      </c>
      <c r="FF64" s="1439"/>
      <c r="FG64" s="1422">
        <v>8276</v>
      </c>
      <c r="FH64" s="1439"/>
      <c r="FI64" s="1422">
        <v>278</v>
      </c>
      <c r="FJ64" s="1439"/>
      <c r="FK64" s="1422">
        <v>48083</v>
      </c>
      <c r="FL64" s="1439"/>
      <c r="FM64" s="1420">
        <v>298.33999999999997</v>
      </c>
      <c r="FN64" s="1439"/>
      <c r="FO64" s="1422">
        <v>50850</v>
      </c>
      <c r="FP64" s="1439"/>
      <c r="FQ64" s="1420">
        <v>5308634.8099999996</v>
      </c>
      <c r="FR64" s="1439"/>
      <c r="FS64" s="1420">
        <v>269774.02</v>
      </c>
      <c r="FT64" s="1439"/>
      <c r="FU64" s="1422">
        <v>0</v>
      </c>
      <c r="FV64" s="1439"/>
      <c r="FW64" s="1420">
        <v>5038860.79</v>
      </c>
      <c r="FX64" s="1439"/>
      <c r="FY64" s="1420">
        <v>6151582.8700000001</v>
      </c>
      <c r="FZ64" s="1439"/>
      <c r="GA64" s="1422">
        <v>0</v>
      </c>
      <c r="GB64" s="1439"/>
    </row>
    <row r="65" spans="1:184" ht="12.75" customHeight="1" thickBot="1">
      <c r="A65" s="1418" t="s">
        <v>527</v>
      </c>
      <c r="B65" s="1418" t="s">
        <v>528</v>
      </c>
      <c r="C65" s="1420">
        <v>292.94</v>
      </c>
      <c r="D65" s="1439"/>
      <c r="E65" s="1420">
        <v>562.99</v>
      </c>
      <c r="F65" s="1439"/>
      <c r="G65" s="1421">
        <v>-0.13</v>
      </c>
      <c r="H65" s="1439"/>
      <c r="I65" s="1420">
        <v>603.22</v>
      </c>
      <c r="J65" s="1439"/>
      <c r="K65" s="1420">
        <v>606.41</v>
      </c>
      <c r="L65" s="1439"/>
      <c r="M65" s="1422">
        <v>45146763</v>
      </c>
      <c r="N65" s="1439"/>
      <c r="O65" s="1420">
        <v>26.3</v>
      </c>
      <c r="P65" s="1439"/>
      <c r="Q65" s="1422">
        <v>25</v>
      </c>
      <c r="R65" s="1439"/>
      <c r="S65" s="1420">
        <v>1.3</v>
      </c>
      <c r="T65" s="1439"/>
      <c r="U65" s="1422">
        <v>0</v>
      </c>
      <c r="V65" s="1439"/>
      <c r="W65" s="1420">
        <v>13.6</v>
      </c>
      <c r="X65" s="1439"/>
      <c r="Y65" s="1420">
        <v>39.9</v>
      </c>
      <c r="Z65" s="1439"/>
      <c r="AA65" s="1422">
        <v>6195000</v>
      </c>
      <c r="AB65" s="1439"/>
      <c r="AC65" s="1420">
        <v>1684505.29</v>
      </c>
      <c r="AD65" s="1422">
        <v>1648921</v>
      </c>
      <c r="AE65" s="1420">
        <v>355767.16</v>
      </c>
      <c r="AF65" s="1422">
        <v>77500</v>
      </c>
      <c r="AG65" s="1420">
        <v>212.29</v>
      </c>
      <c r="AH65" s="1422">
        <v>0</v>
      </c>
      <c r="AI65" s="1422">
        <v>2504420</v>
      </c>
      <c r="AJ65" s="1422">
        <v>2638621</v>
      </c>
      <c r="AK65" s="1422">
        <v>32842</v>
      </c>
      <c r="AL65" s="1422">
        <v>32500</v>
      </c>
      <c r="AM65" s="1422">
        <v>39184</v>
      </c>
      <c r="AN65" s="1422">
        <v>40000</v>
      </c>
      <c r="AO65" s="1422">
        <v>0</v>
      </c>
      <c r="AP65" s="1422">
        <v>0</v>
      </c>
      <c r="AQ65" s="1422">
        <v>0</v>
      </c>
      <c r="AR65" s="1422">
        <v>0</v>
      </c>
      <c r="AS65" s="1422">
        <v>0</v>
      </c>
      <c r="AT65" s="1422">
        <v>0</v>
      </c>
      <c r="AU65" s="1422">
        <v>0</v>
      </c>
      <c r="AV65" s="1422">
        <v>0</v>
      </c>
      <c r="AW65" s="1422">
        <v>0</v>
      </c>
      <c r="AX65" s="1422">
        <v>0</v>
      </c>
      <c r="AY65" s="1420">
        <v>4616930.74</v>
      </c>
      <c r="AZ65" s="1422">
        <v>4437542</v>
      </c>
      <c r="BA65" s="1422">
        <v>0</v>
      </c>
      <c r="BB65" s="1422">
        <v>0</v>
      </c>
      <c r="BC65" s="1422">
        <v>25081</v>
      </c>
      <c r="BD65" s="1422">
        <v>25834</v>
      </c>
      <c r="BE65" s="1420">
        <v>327139.57</v>
      </c>
      <c r="BF65" s="1422">
        <v>13615</v>
      </c>
      <c r="BG65" s="1422">
        <v>860</v>
      </c>
      <c r="BH65" s="1422">
        <v>0</v>
      </c>
      <c r="BI65" s="1422">
        <v>0</v>
      </c>
      <c r="BJ65" s="1422">
        <v>0</v>
      </c>
      <c r="BK65" s="1422">
        <v>0</v>
      </c>
      <c r="BL65" s="1422">
        <v>0</v>
      </c>
      <c r="BM65" s="1422">
        <v>431520</v>
      </c>
      <c r="BN65" s="1422">
        <v>464508</v>
      </c>
      <c r="BO65" s="1420">
        <v>18750.8</v>
      </c>
      <c r="BP65" s="1422">
        <v>0</v>
      </c>
      <c r="BQ65" s="1422">
        <v>0</v>
      </c>
      <c r="BR65" s="1422">
        <v>50000</v>
      </c>
      <c r="BS65" s="1420">
        <v>2782.6</v>
      </c>
      <c r="BT65" s="1422">
        <v>0</v>
      </c>
      <c r="BU65" s="1422">
        <v>0</v>
      </c>
      <c r="BV65" s="1422">
        <v>0</v>
      </c>
      <c r="BW65" s="1422">
        <v>0</v>
      </c>
      <c r="BX65" s="1422">
        <v>0</v>
      </c>
      <c r="BY65" s="1422">
        <v>0</v>
      </c>
      <c r="BZ65" s="1422">
        <v>0</v>
      </c>
      <c r="CA65" s="1422">
        <v>198017</v>
      </c>
      <c r="CB65" s="1422">
        <v>145985</v>
      </c>
      <c r="CC65" s="1420">
        <v>1004150.97</v>
      </c>
      <c r="CD65" s="1422">
        <v>699942</v>
      </c>
      <c r="CE65" s="1420">
        <v>1502845.45</v>
      </c>
      <c r="CF65" s="1422">
        <v>1985113</v>
      </c>
      <c r="CG65" s="1422">
        <v>0</v>
      </c>
      <c r="CH65" s="1422">
        <v>0</v>
      </c>
      <c r="CI65" s="1422">
        <v>0</v>
      </c>
      <c r="CJ65" s="1422">
        <v>0</v>
      </c>
      <c r="CK65" s="1420">
        <v>7443.35</v>
      </c>
      <c r="CL65" s="1422">
        <v>0</v>
      </c>
      <c r="CM65" s="1420">
        <v>144807.32999999999</v>
      </c>
      <c r="CN65" s="1422">
        <v>20000</v>
      </c>
      <c r="CO65" s="1422">
        <v>0</v>
      </c>
      <c r="CP65" s="1422">
        <v>0</v>
      </c>
      <c r="CQ65" s="1420">
        <v>17118.03</v>
      </c>
      <c r="CR65" s="1422">
        <v>0</v>
      </c>
      <c r="CS65" s="1420">
        <v>169368.71</v>
      </c>
      <c r="CT65" s="1422">
        <v>20000</v>
      </c>
      <c r="CU65" s="1420">
        <v>7293295.8700000001</v>
      </c>
      <c r="CV65" s="1422">
        <v>7142597</v>
      </c>
      <c r="CW65" s="1420">
        <v>1961770.47</v>
      </c>
      <c r="CX65" s="1422">
        <v>2132722</v>
      </c>
      <c r="CY65" s="1420">
        <v>381318.63</v>
      </c>
      <c r="CZ65" s="1422">
        <v>360463</v>
      </c>
      <c r="DA65" s="1420">
        <v>165329.92000000001</v>
      </c>
      <c r="DB65" s="1422">
        <v>146867</v>
      </c>
      <c r="DC65" s="1422">
        <v>0</v>
      </c>
      <c r="DD65" s="1422">
        <v>0</v>
      </c>
      <c r="DE65" s="1420">
        <v>256109.69</v>
      </c>
      <c r="DF65" s="1422">
        <v>297375</v>
      </c>
      <c r="DG65" s="1420">
        <v>70657.97</v>
      </c>
      <c r="DH65" s="1422">
        <v>74674</v>
      </c>
      <c r="DI65" s="1420">
        <v>2835186.68</v>
      </c>
      <c r="DJ65" s="1422">
        <v>3012101</v>
      </c>
      <c r="DK65" s="1420">
        <v>375357.61</v>
      </c>
      <c r="DL65" s="1420">
        <v>308414.27</v>
      </c>
      <c r="DM65" s="1420">
        <v>122409.01</v>
      </c>
      <c r="DN65" s="1422">
        <v>258626</v>
      </c>
      <c r="DO65" s="1420">
        <v>513489.5</v>
      </c>
      <c r="DP65" s="1422">
        <v>470518</v>
      </c>
      <c r="DQ65" s="1420">
        <v>316179.34999999998</v>
      </c>
      <c r="DR65" s="1422">
        <v>292562</v>
      </c>
      <c r="DS65" s="1420">
        <v>21162.79</v>
      </c>
      <c r="DT65" s="1422">
        <v>16100</v>
      </c>
      <c r="DU65" s="1420">
        <v>1348598.26</v>
      </c>
      <c r="DV65" s="1420">
        <v>1346220.27</v>
      </c>
      <c r="DW65" s="1420">
        <v>220691.79</v>
      </c>
      <c r="DX65" s="1422">
        <v>245856</v>
      </c>
      <c r="DY65" s="1420">
        <v>1129200.3999999999</v>
      </c>
      <c r="DZ65" s="1420">
        <v>1591464.61</v>
      </c>
      <c r="EA65" s="1420">
        <v>298851.18</v>
      </c>
      <c r="EB65" s="1422">
        <v>239812</v>
      </c>
      <c r="EC65" s="1420">
        <v>1648743.37</v>
      </c>
      <c r="ED65" s="1420">
        <v>2077132.61</v>
      </c>
      <c r="EE65" s="1420">
        <v>294756.39</v>
      </c>
      <c r="EF65" s="1422">
        <v>328288</v>
      </c>
      <c r="EG65" s="1422">
        <v>0</v>
      </c>
      <c r="EH65" s="1422">
        <v>0</v>
      </c>
      <c r="EI65" s="1422">
        <v>0</v>
      </c>
      <c r="EJ65" s="1422">
        <v>3375</v>
      </c>
      <c r="EK65" s="1422">
        <v>0</v>
      </c>
      <c r="EL65" s="1422">
        <v>0</v>
      </c>
      <c r="EM65" s="1420">
        <v>294756.39</v>
      </c>
      <c r="EN65" s="1422">
        <v>331663</v>
      </c>
      <c r="EO65" s="1420">
        <v>15945.06</v>
      </c>
      <c r="EP65" s="1422">
        <v>249874</v>
      </c>
      <c r="EQ65" s="1420">
        <v>513235.78</v>
      </c>
      <c r="ER65" s="1422">
        <v>513368</v>
      </c>
      <c r="ES65" s="1422">
        <v>0</v>
      </c>
      <c r="ET65" s="1422">
        <v>0</v>
      </c>
      <c r="EU65" s="1420">
        <v>6656465.54</v>
      </c>
      <c r="EV65" s="1420">
        <v>7530358.8799999999</v>
      </c>
      <c r="EW65" s="1420">
        <v>108649.22</v>
      </c>
      <c r="EX65" s="1422">
        <v>455815</v>
      </c>
      <c r="EY65" s="1420">
        <v>513235.78</v>
      </c>
      <c r="EZ65" s="1422">
        <v>513368</v>
      </c>
      <c r="FA65" s="1420">
        <v>6034580.54</v>
      </c>
      <c r="FB65" s="1420">
        <v>6561175.8799999999</v>
      </c>
      <c r="FC65" s="1420">
        <v>224186.3</v>
      </c>
      <c r="FD65" s="1439"/>
      <c r="FE65" s="1420">
        <v>5810394.2400000002</v>
      </c>
      <c r="FF65" s="1439"/>
      <c r="FG65" s="1422">
        <v>10320</v>
      </c>
      <c r="FH65" s="1439"/>
      <c r="FI65" s="1420">
        <v>45.65</v>
      </c>
      <c r="FJ65" s="1439"/>
      <c r="FK65" s="1422">
        <v>37774</v>
      </c>
      <c r="FL65" s="1439"/>
      <c r="FM65" s="1420">
        <v>51.71</v>
      </c>
      <c r="FN65" s="1439"/>
      <c r="FO65" s="1422">
        <v>41626</v>
      </c>
      <c r="FP65" s="1439"/>
      <c r="FQ65" s="1420">
        <v>2292785.79</v>
      </c>
      <c r="FR65" s="1439"/>
      <c r="FS65" s="1420">
        <v>12355.98</v>
      </c>
      <c r="FT65" s="1439"/>
      <c r="FU65" s="1422">
        <v>0</v>
      </c>
      <c r="FV65" s="1439"/>
      <c r="FW65" s="1420">
        <v>2280429.81</v>
      </c>
      <c r="FX65" s="1439"/>
      <c r="FY65" s="1422">
        <v>0</v>
      </c>
      <c r="FZ65" s="1439"/>
      <c r="GA65" s="1422">
        <v>0</v>
      </c>
      <c r="GB65" s="1439"/>
    </row>
    <row r="66" spans="1:184" ht="12.75" customHeight="1" thickBot="1">
      <c r="A66" s="1418" t="s">
        <v>529</v>
      </c>
      <c r="B66" s="1418" t="s">
        <v>530</v>
      </c>
      <c r="C66" s="1420">
        <v>337.93</v>
      </c>
      <c r="D66" s="1439"/>
      <c r="E66" s="1420">
        <v>2719.44</v>
      </c>
      <c r="F66" s="1439"/>
      <c r="G66" s="1421">
        <v>-0.06</v>
      </c>
      <c r="H66" s="1439"/>
      <c r="I66" s="1420">
        <v>2852.39</v>
      </c>
      <c r="J66" s="1439"/>
      <c r="K66" s="1420">
        <v>2837.54</v>
      </c>
      <c r="L66" s="1439"/>
      <c r="M66" s="1422">
        <v>160861050</v>
      </c>
      <c r="N66" s="1439"/>
      <c r="O66" s="1422">
        <v>25</v>
      </c>
      <c r="P66" s="1439"/>
      <c r="Q66" s="1422">
        <v>25</v>
      </c>
      <c r="R66" s="1439"/>
      <c r="S66" s="1422">
        <v>0</v>
      </c>
      <c r="T66" s="1439"/>
      <c r="U66" s="1422">
        <v>0</v>
      </c>
      <c r="V66" s="1439"/>
      <c r="W66" s="1422">
        <v>10</v>
      </c>
      <c r="X66" s="1439"/>
      <c r="Y66" s="1422">
        <v>35</v>
      </c>
      <c r="Z66" s="1439"/>
      <c r="AA66" s="1420">
        <v>4440869.1500000004</v>
      </c>
      <c r="AB66" s="1439"/>
      <c r="AC66" s="1420">
        <v>5160253.54</v>
      </c>
      <c r="AD66" s="1422">
        <v>4900000</v>
      </c>
      <c r="AE66" s="1420">
        <v>937506.93</v>
      </c>
      <c r="AF66" s="1422">
        <v>555800</v>
      </c>
      <c r="AG66" s="1420">
        <v>1087.4100000000001</v>
      </c>
      <c r="AH66" s="1422">
        <v>1000</v>
      </c>
      <c r="AI66" s="1422">
        <v>13130137</v>
      </c>
      <c r="AJ66" s="1422">
        <v>13621732</v>
      </c>
      <c r="AK66" s="1422">
        <v>59552</v>
      </c>
      <c r="AL66" s="1422">
        <v>0</v>
      </c>
      <c r="AM66" s="1422">
        <v>0</v>
      </c>
      <c r="AN66" s="1422">
        <v>0</v>
      </c>
      <c r="AO66" s="1422">
        <v>212190</v>
      </c>
      <c r="AP66" s="1422">
        <v>0</v>
      </c>
      <c r="AQ66" s="1422">
        <v>0</v>
      </c>
      <c r="AR66" s="1422">
        <v>0</v>
      </c>
      <c r="AS66" s="1422">
        <v>0</v>
      </c>
      <c r="AT66" s="1422">
        <v>0</v>
      </c>
      <c r="AU66" s="1422">
        <v>117515</v>
      </c>
      <c r="AV66" s="1422">
        <v>94012</v>
      </c>
      <c r="AW66" s="1422">
        <v>0</v>
      </c>
      <c r="AX66" s="1422">
        <v>0</v>
      </c>
      <c r="AY66" s="1420">
        <v>19618241.879999999</v>
      </c>
      <c r="AZ66" s="1422">
        <v>19172544</v>
      </c>
      <c r="BA66" s="1422">
        <v>0</v>
      </c>
      <c r="BB66" s="1422">
        <v>0</v>
      </c>
      <c r="BC66" s="1422">
        <v>117361</v>
      </c>
      <c r="BD66" s="1422">
        <v>121174</v>
      </c>
      <c r="BE66" s="1420">
        <v>3968.3</v>
      </c>
      <c r="BF66" s="1422">
        <v>9300</v>
      </c>
      <c r="BG66" s="1422">
        <v>2382</v>
      </c>
      <c r="BH66" s="1422">
        <v>1000</v>
      </c>
      <c r="BI66" s="1422">
        <v>76181</v>
      </c>
      <c r="BJ66" s="1422">
        <v>80000</v>
      </c>
      <c r="BK66" s="1422">
        <v>879</v>
      </c>
      <c r="BL66" s="1422">
        <v>3000</v>
      </c>
      <c r="BM66" s="1422">
        <v>806992</v>
      </c>
      <c r="BN66" s="1422">
        <v>852610</v>
      </c>
      <c r="BO66" s="1420">
        <v>23258.400000000001</v>
      </c>
      <c r="BP66" s="1422">
        <v>8436</v>
      </c>
      <c r="BQ66" s="1420">
        <v>15167.12</v>
      </c>
      <c r="BR66" s="1420">
        <v>15167.43</v>
      </c>
      <c r="BS66" s="1420">
        <v>11141.88</v>
      </c>
      <c r="BT66" s="1422">
        <v>0</v>
      </c>
      <c r="BU66" s="1422">
        <v>0</v>
      </c>
      <c r="BV66" s="1422">
        <v>0</v>
      </c>
      <c r="BW66" s="1422">
        <v>0</v>
      </c>
      <c r="BX66" s="1422">
        <v>0</v>
      </c>
      <c r="BY66" s="1422">
        <v>0</v>
      </c>
      <c r="BZ66" s="1422">
        <v>0</v>
      </c>
      <c r="CA66" s="1422">
        <v>211568</v>
      </c>
      <c r="CB66" s="1422">
        <v>420739</v>
      </c>
      <c r="CC66" s="1420">
        <v>1268898.7</v>
      </c>
      <c r="CD66" s="1420">
        <v>1511426.43</v>
      </c>
      <c r="CE66" s="1420">
        <v>4701620.99</v>
      </c>
      <c r="CF66" s="1420">
        <v>4053609.4</v>
      </c>
      <c r="CG66" s="1422">
        <v>0</v>
      </c>
      <c r="CH66" s="1422">
        <v>0</v>
      </c>
      <c r="CI66" s="1422">
        <v>0</v>
      </c>
      <c r="CJ66" s="1422">
        <v>0</v>
      </c>
      <c r="CK66" s="1422">
        <v>0</v>
      </c>
      <c r="CL66" s="1422">
        <v>0</v>
      </c>
      <c r="CM66" s="1422">
        <v>0</v>
      </c>
      <c r="CN66" s="1422">
        <v>0</v>
      </c>
      <c r="CO66" s="1422">
        <v>0</v>
      </c>
      <c r="CP66" s="1422">
        <v>0</v>
      </c>
      <c r="CQ66" s="1422">
        <v>0</v>
      </c>
      <c r="CR66" s="1422">
        <v>0</v>
      </c>
      <c r="CS66" s="1422">
        <v>0</v>
      </c>
      <c r="CT66" s="1422">
        <v>0</v>
      </c>
      <c r="CU66" s="1420">
        <v>25588761.57</v>
      </c>
      <c r="CV66" s="1420">
        <v>24737579.829999998</v>
      </c>
      <c r="CW66" s="1420">
        <v>10098108.34</v>
      </c>
      <c r="CX66" s="1420">
        <v>9362792.9299999997</v>
      </c>
      <c r="CY66" s="1420">
        <v>2273047.67</v>
      </c>
      <c r="CZ66" s="1420">
        <v>2392883.92</v>
      </c>
      <c r="DA66" s="1420">
        <v>870168.9</v>
      </c>
      <c r="DB66" s="1422">
        <v>854575</v>
      </c>
      <c r="DC66" s="1422">
        <v>0</v>
      </c>
      <c r="DD66" s="1422">
        <v>0</v>
      </c>
      <c r="DE66" s="1420">
        <v>899322.45</v>
      </c>
      <c r="DF66" s="1420">
        <v>714102.99</v>
      </c>
      <c r="DG66" s="1420">
        <v>888659.08</v>
      </c>
      <c r="DH66" s="1420">
        <v>942098.58</v>
      </c>
      <c r="DI66" s="1420">
        <v>15029306.439999999</v>
      </c>
      <c r="DJ66" s="1420">
        <v>14266453.42</v>
      </c>
      <c r="DK66" s="1420">
        <v>697882.85</v>
      </c>
      <c r="DL66" s="1420">
        <v>471422.45</v>
      </c>
      <c r="DM66" s="1420">
        <v>473985.78</v>
      </c>
      <c r="DN66" s="1420">
        <v>444974.16</v>
      </c>
      <c r="DO66" s="1420">
        <v>1973006.98</v>
      </c>
      <c r="DP66" s="1420">
        <v>2084434.9</v>
      </c>
      <c r="DQ66" s="1420">
        <v>1166901.3600000001</v>
      </c>
      <c r="DR66" s="1420">
        <v>1226253.69</v>
      </c>
      <c r="DS66" s="1420">
        <v>67649.399999999994</v>
      </c>
      <c r="DT66" s="1422">
        <v>50000</v>
      </c>
      <c r="DU66" s="1420">
        <v>4379426.37</v>
      </c>
      <c r="DV66" s="1420">
        <v>4277085.2</v>
      </c>
      <c r="DW66" s="1420">
        <v>1206350.45</v>
      </c>
      <c r="DX66" s="1420">
        <v>1273599.49</v>
      </c>
      <c r="DY66" s="1420">
        <v>2019272.56</v>
      </c>
      <c r="DZ66" s="1420">
        <v>1999083.96</v>
      </c>
      <c r="EA66" s="1420">
        <v>1161400.8400000001</v>
      </c>
      <c r="EB66" s="1420">
        <v>1150673.1299999999</v>
      </c>
      <c r="EC66" s="1420">
        <v>4387023.8499999996</v>
      </c>
      <c r="ED66" s="1420">
        <v>4423356.58</v>
      </c>
      <c r="EE66" s="1420">
        <v>1489861.56</v>
      </c>
      <c r="EF66" s="1420">
        <v>1462365.46</v>
      </c>
      <c r="EG66" s="1420">
        <v>8987.73</v>
      </c>
      <c r="EH66" s="1422">
        <v>0</v>
      </c>
      <c r="EI66" s="1420">
        <v>63.32</v>
      </c>
      <c r="EJ66" s="1422">
        <v>1000</v>
      </c>
      <c r="EK66" s="1422">
        <v>0</v>
      </c>
      <c r="EL66" s="1422">
        <v>0</v>
      </c>
      <c r="EM66" s="1420">
        <v>1498912.61</v>
      </c>
      <c r="EN66" s="1420">
        <v>1463365.46</v>
      </c>
      <c r="EO66" s="1420">
        <v>945488.23</v>
      </c>
      <c r="EP66" s="1420">
        <v>1477831.79</v>
      </c>
      <c r="EQ66" s="1420">
        <v>836515.68</v>
      </c>
      <c r="ER66" s="1422">
        <v>842895</v>
      </c>
      <c r="ES66" s="1420">
        <v>3637.33</v>
      </c>
      <c r="ET66" s="1422">
        <v>0</v>
      </c>
      <c r="EU66" s="1420">
        <v>27080310.510000002</v>
      </c>
      <c r="EV66" s="1420">
        <v>26750987.449999999</v>
      </c>
      <c r="EW66" s="1420">
        <v>1461786.63</v>
      </c>
      <c r="EX66" s="1420">
        <v>2187424.2799999998</v>
      </c>
      <c r="EY66" s="1420">
        <v>836515.68</v>
      </c>
      <c r="EZ66" s="1422">
        <v>842895</v>
      </c>
      <c r="FA66" s="1420">
        <v>24782008.199999999</v>
      </c>
      <c r="FB66" s="1420">
        <v>23720668.170000002</v>
      </c>
      <c r="FC66" s="1420">
        <v>853107.3</v>
      </c>
      <c r="FD66" s="1439"/>
      <c r="FE66" s="1420">
        <v>23928900.899999999</v>
      </c>
      <c r="FF66" s="1439"/>
      <c r="FG66" s="1422">
        <v>8799</v>
      </c>
      <c r="FH66" s="1439"/>
      <c r="FI66" s="1420">
        <v>193.6</v>
      </c>
      <c r="FJ66" s="1439"/>
      <c r="FK66" s="1422">
        <v>50801</v>
      </c>
      <c r="FL66" s="1439"/>
      <c r="FM66" s="1420">
        <v>213.69</v>
      </c>
      <c r="FN66" s="1439"/>
      <c r="FO66" s="1422">
        <v>53375</v>
      </c>
      <c r="FP66" s="1439"/>
      <c r="FQ66" s="1420">
        <v>3015964.86</v>
      </c>
      <c r="FR66" s="1439"/>
      <c r="FS66" s="1420">
        <v>226472.15</v>
      </c>
      <c r="FT66" s="1439"/>
      <c r="FU66" s="1422">
        <v>0</v>
      </c>
      <c r="FV66" s="1439"/>
      <c r="FW66" s="1420">
        <v>2789492.71</v>
      </c>
      <c r="FX66" s="1439"/>
      <c r="FY66" s="1420">
        <v>724792.51</v>
      </c>
      <c r="FZ66" s="1439"/>
      <c r="GA66" s="1422">
        <v>0</v>
      </c>
      <c r="GB66" s="1439"/>
    </row>
    <row r="67" spans="1:184" ht="12.75" customHeight="1" thickBot="1">
      <c r="A67" s="1418" t="s">
        <v>531</v>
      </c>
      <c r="B67" s="1418" t="s">
        <v>532</v>
      </c>
      <c r="C67" s="1420">
        <v>220.87</v>
      </c>
      <c r="D67" s="1439"/>
      <c r="E67" s="1420">
        <v>889.17</v>
      </c>
      <c r="F67" s="1439"/>
      <c r="G67" s="1421">
        <v>-0.17</v>
      </c>
      <c r="H67" s="1439"/>
      <c r="I67" s="1420">
        <v>935.74</v>
      </c>
      <c r="J67" s="1439"/>
      <c r="K67" s="1420">
        <v>981.63</v>
      </c>
      <c r="L67" s="1439"/>
      <c r="M67" s="1422">
        <v>52278710</v>
      </c>
      <c r="N67" s="1439"/>
      <c r="O67" s="1422">
        <v>25</v>
      </c>
      <c r="P67" s="1439"/>
      <c r="Q67" s="1422">
        <v>25</v>
      </c>
      <c r="R67" s="1439"/>
      <c r="S67" s="1422">
        <v>0</v>
      </c>
      <c r="T67" s="1439"/>
      <c r="U67" s="1422">
        <v>0</v>
      </c>
      <c r="V67" s="1439"/>
      <c r="W67" s="1420">
        <v>8.5</v>
      </c>
      <c r="X67" s="1439"/>
      <c r="Y67" s="1420">
        <v>33.5</v>
      </c>
      <c r="Z67" s="1439"/>
      <c r="AA67" s="1420">
        <v>7464490.7800000003</v>
      </c>
      <c r="AB67" s="1439"/>
      <c r="AC67" s="1420">
        <v>1565994.39</v>
      </c>
      <c r="AD67" s="1420">
        <v>1579706.99</v>
      </c>
      <c r="AE67" s="1420">
        <v>307288.78999999998</v>
      </c>
      <c r="AF67" s="1422">
        <v>111611</v>
      </c>
      <c r="AG67" s="1422">
        <v>0</v>
      </c>
      <c r="AH67" s="1422">
        <v>0</v>
      </c>
      <c r="AI67" s="1422">
        <v>4651907</v>
      </c>
      <c r="AJ67" s="1422">
        <v>4480805</v>
      </c>
      <c r="AK67" s="1422">
        <v>95797</v>
      </c>
      <c r="AL67" s="1422">
        <v>95000</v>
      </c>
      <c r="AM67" s="1422">
        <v>0</v>
      </c>
      <c r="AN67" s="1422">
        <v>0</v>
      </c>
      <c r="AO67" s="1422">
        <v>82033</v>
      </c>
      <c r="AP67" s="1422">
        <v>134154</v>
      </c>
      <c r="AQ67" s="1422">
        <v>0</v>
      </c>
      <c r="AR67" s="1422">
        <v>0</v>
      </c>
      <c r="AS67" s="1422">
        <v>0</v>
      </c>
      <c r="AT67" s="1422">
        <v>0</v>
      </c>
      <c r="AU67" s="1422">
        <v>21387</v>
      </c>
      <c r="AV67" s="1422">
        <v>17109</v>
      </c>
      <c r="AW67" s="1422">
        <v>0</v>
      </c>
      <c r="AX67" s="1422">
        <v>0</v>
      </c>
      <c r="AY67" s="1420">
        <v>6724407.1799999997</v>
      </c>
      <c r="AZ67" s="1420">
        <v>6418385.9900000002</v>
      </c>
      <c r="BA67" s="1422">
        <v>0</v>
      </c>
      <c r="BB67" s="1422">
        <v>0</v>
      </c>
      <c r="BC67" s="1422">
        <v>40600</v>
      </c>
      <c r="BD67" s="1422">
        <v>39751</v>
      </c>
      <c r="BE67" s="1420">
        <v>19938.439999999999</v>
      </c>
      <c r="BF67" s="1422">
        <v>0</v>
      </c>
      <c r="BG67" s="1422">
        <v>1300</v>
      </c>
      <c r="BH67" s="1422">
        <v>0</v>
      </c>
      <c r="BI67" s="1422">
        <v>10401</v>
      </c>
      <c r="BJ67" s="1422">
        <v>38466</v>
      </c>
      <c r="BK67" s="1422">
        <v>2930</v>
      </c>
      <c r="BL67" s="1422">
        <v>2930</v>
      </c>
      <c r="BM67" s="1422">
        <v>314960</v>
      </c>
      <c r="BN67" s="1422">
        <v>321310</v>
      </c>
      <c r="BO67" s="1420">
        <v>1880025.26</v>
      </c>
      <c r="BP67" s="1422">
        <v>0</v>
      </c>
      <c r="BQ67" s="1420">
        <v>129897.96</v>
      </c>
      <c r="BR67" s="1422">
        <v>0</v>
      </c>
      <c r="BS67" s="1420">
        <v>2995.73</v>
      </c>
      <c r="BT67" s="1422">
        <v>3000</v>
      </c>
      <c r="BU67" s="1422">
        <v>0</v>
      </c>
      <c r="BV67" s="1422">
        <v>0</v>
      </c>
      <c r="BW67" s="1422">
        <v>0</v>
      </c>
      <c r="BX67" s="1422">
        <v>0</v>
      </c>
      <c r="BY67" s="1422">
        <v>0</v>
      </c>
      <c r="BZ67" s="1422">
        <v>0</v>
      </c>
      <c r="CA67" s="1422">
        <v>130589</v>
      </c>
      <c r="CB67" s="1422">
        <v>118014</v>
      </c>
      <c r="CC67" s="1420">
        <v>2533637.39</v>
      </c>
      <c r="CD67" s="1422">
        <v>523471</v>
      </c>
      <c r="CE67" s="1420">
        <v>1917113.64</v>
      </c>
      <c r="CF67" s="1420">
        <v>1478771.2</v>
      </c>
      <c r="CG67" s="1422">
        <v>0</v>
      </c>
      <c r="CH67" s="1422">
        <v>0</v>
      </c>
      <c r="CI67" s="1422">
        <v>0</v>
      </c>
      <c r="CJ67" s="1422">
        <v>0</v>
      </c>
      <c r="CK67" s="1422">
        <v>0</v>
      </c>
      <c r="CL67" s="1422">
        <v>0</v>
      </c>
      <c r="CM67" s="1422">
        <v>4095</v>
      </c>
      <c r="CN67" s="1422">
        <v>0</v>
      </c>
      <c r="CO67" s="1422">
        <v>0</v>
      </c>
      <c r="CP67" s="1422">
        <v>0</v>
      </c>
      <c r="CQ67" s="1422">
        <v>0</v>
      </c>
      <c r="CR67" s="1422">
        <v>0</v>
      </c>
      <c r="CS67" s="1422">
        <v>4095</v>
      </c>
      <c r="CT67" s="1422">
        <v>0</v>
      </c>
      <c r="CU67" s="1420">
        <v>11179253.210000001</v>
      </c>
      <c r="CV67" s="1420">
        <v>8420628.1899999995</v>
      </c>
      <c r="CW67" s="1420">
        <v>3447839.42</v>
      </c>
      <c r="CX67" s="1420">
        <v>3386333.89</v>
      </c>
      <c r="CY67" s="1420">
        <v>2312321.4700000002</v>
      </c>
      <c r="CZ67" s="1420">
        <v>443103.48</v>
      </c>
      <c r="DA67" s="1420">
        <v>215566.62</v>
      </c>
      <c r="DB67" s="1420">
        <v>94469.3</v>
      </c>
      <c r="DC67" s="1422">
        <v>0</v>
      </c>
      <c r="DD67" s="1422">
        <v>0</v>
      </c>
      <c r="DE67" s="1420">
        <v>324200.33</v>
      </c>
      <c r="DF67" s="1422">
        <v>334097</v>
      </c>
      <c r="DG67" s="1420">
        <v>139330.13</v>
      </c>
      <c r="DH67" s="1420">
        <v>124798.08</v>
      </c>
      <c r="DI67" s="1420">
        <v>6439257.9699999997</v>
      </c>
      <c r="DJ67" s="1420">
        <v>4382801.75</v>
      </c>
      <c r="DK67" s="1420">
        <v>203231.9</v>
      </c>
      <c r="DL67" s="1420">
        <v>216075.39</v>
      </c>
      <c r="DM67" s="1420">
        <v>242499.86</v>
      </c>
      <c r="DN67" s="1420">
        <v>234753.75</v>
      </c>
      <c r="DO67" s="1420">
        <v>712108.78</v>
      </c>
      <c r="DP67" s="1420">
        <v>672940.98</v>
      </c>
      <c r="DQ67" s="1420">
        <v>357569.34</v>
      </c>
      <c r="DR67" s="1420">
        <v>386063.11</v>
      </c>
      <c r="DS67" s="1420">
        <v>29983.45</v>
      </c>
      <c r="DT67" s="1422">
        <v>16200</v>
      </c>
      <c r="DU67" s="1420">
        <v>1545393.33</v>
      </c>
      <c r="DV67" s="1420">
        <v>1526033.23</v>
      </c>
      <c r="DW67" s="1420">
        <v>396009.6</v>
      </c>
      <c r="DX67" s="1420">
        <v>394028.19</v>
      </c>
      <c r="DY67" s="1420">
        <v>718291.26</v>
      </c>
      <c r="DZ67" s="1420">
        <v>654989.31000000006</v>
      </c>
      <c r="EA67" s="1420">
        <v>454187.22</v>
      </c>
      <c r="EB67" s="1420">
        <v>476624.2</v>
      </c>
      <c r="EC67" s="1420">
        <v>1568488.08</v>
      </c>
      <c r="ED67" s="1420">
        <v>1525641.7</v>
      </c>
      <c r="EE67" s="1420">
        <v>416609.79</v>
      </c>
      <c r="EF67" s="1420">
        <v>434511.95</v>
      </c>
      <c r="EG67" s="1422">
        <v>0</v>
      </c>
      <c r="EH67" s="1422">
        <v>0</v>
      </c>
      <c r="EI67" s="1422">
        <v>0</v>
      </c>
      <c r="EJ67" s="1422">
        <v>0</v>
      </c>
      <c r="EK67" s="1422">
        <v>0</v>
      </c>
      <c r="EL67" s="1422">
        <v>0</v>
      </c>
      <c r="EM67" s="1420">
        <v>416609.79</v>
      </c>
      <c r="EN67" s="1420">
        <v>434511.95</v>
      </c>
      <c r="EO67" s="1420">
        <v>158497.84</v>
      </c>
      <c r="EP67" s="1420">
        <v>170554.48</v>
      </c>
      <c r="EQ67" s="1420">
        <v>565607.23</v>
      </c>
      <c r="ER67" s="1420">
        <v>563163.94999999995</v>
      </c>
      <c r="ES67" s="1422">
        <v>0</v>
      </c>
      <c r="ET67" s="1422">
        <v>0</v>
      </c>
      <c r="EU67" s="1420">
        <v>10693854.24</v>
      </c>
      <c r="EV67" s="1420">
        <v>8602707.0600000005</v>
      </c>
      <c r="EW67" s="1420">
        <v>408281.18</v>
      </c>
      <c r="EX67" s="1420">
        <v>446880.29</v>
      </c>
      <c r="EY67" s="1420">
        <v>565607.23</v>
      </c>
      <c r="EZ67" s="1420">
        <v>563163.94999999995</v>
      </c>
      <c r="FA67" s="1420">
        <v>9719965.8300000001</v>
      </c>
      <c r="FB67" s="1420">
        <v>7592662.8200000003</v>
      </c>
      <c r="FC67" s="1420">
        <v>316940.58</v>
      </c>
      <c r="FD67" s="1439"/>
      <c r="FE67" s="1420">
        <v>9403025.25</v>
      </c>
      <c r="FF67" s="1439"/>
      <c r="FG67" s="1422">
        <v>10575</v>
      </c>
      <c r="FH67" s="1439"/>
      <c r="FI67" s="1420">
        <v>66.39</v>
      </c>
      <c r="FJ67" s="1439"/>
      <c r="FK67" s="1422">
        <v>39455</v>
      </c>
      <c r="FL67" s="1439"/>
      <c r="FM67" s="1420">
        <v>72.59</v>
      </c>
      <c r="FN67" s="1439"/>
      <c r="FO67" s="1422">
        <v>42215</v>
      </c>
      <c r="FP67" s="1439"/>
      <c r="FQ67" s="1420">
        <v>1420602.78</v>
      </c>
      <c r="FR67" s="1439"/>
      <c r="FS67" s="1420">
        <v>44186.53</v>
      </c>
      <c r="FT67" s="1439"/>
      <c r="FU67" s="1422">
        <v>0</v>
      </c>
      <c r="FV67" s="1439"/>
      <c r="FW67" s="1420">
        <v>1376416.25</v>
      </c>
      <c r="FX67" s="1439"/>
      <c r="FY67" s="1422">
        <v>0</v>
      </c>
      <c r="FZ67" s="1439"/>
      <c r="GA67" s="1420">
        <v>746.8</v>
      </c>
      <c r="GB67" s="1439"/>
    </row>
    <row r="68" spans="1:184" ht="12.75" customHeight="1" thickBot="1">
      <c r="A68" s="1418" t="s">
        <v>533</v>
      </c>
      <c r="B68" s="1418" t="s">
        <v>534</v>
      </c>
      <c r="C68" s="1420">
        <v>366.46</v>
      </c>
      <c r="D68" s="1439"/>
      <c r="E68" s="1420">
        <v>1383.33</v>
      </c>
      <c r="F68" s="1439"/>
      <c r="G68" s="1421">
        <v>-0.15</v>
      </c>
      <c r="H68" s="1439"/>
      <c r="I68" s="1420">
        <v>1458.83</v>
      </c>
      <c r="J68" s="1439"/>
      <c r="K68" s="1420">
        <v>1496.13</v>
      </c>
      <c r="L68" s="1439"/>
      <c r="M68" s="1422">
        <v>86360112</v>
      </c>
      <c r="N68" s="1439"/>
      <c r="O68" s="1422">
        <v>25</v>
      </c>
      <c r="P68" s="1439"/>
      <c r="Q68" s="1422">
        <v>25</v>
      </c>
      <c r="R68" s="1439"/>
      <c r="S68" s="1422">
        <v>0</v>
      </c>
      <c r="T68" s="1439"/>
      <c r="U68" s="1422">
        <v>0</v>
      </c>
      <c r="V68" s="1439"/>
      <c r="W68" s="1422">
        <v>14</v>
      </c>
      <c r="X68" s="1439"/>
      <c r="Y68" s="1422">
        <v>39</v>
      </c>
      <c r="Z68" s="1439"/>
      <c r="AA68" s="1420">
        <v>12974574.029999999</v>
      </c>
      <c r="AB68" s="1439"/>
      <c r="AC68" s="1420">
        <v>3079271.41</v>
      </c>
      <c r="AD68" s="1422">
        <v>2889300</v>
      </c>
      <c r="AE68" s="1420">
        <v>629562.24</v>
      </c>
      <c r="AF68" s="1420">
        <v>585773.71</v>
      </c>
      <c r="AG68" s="1422">
        <v>2500</v>
      </c>
      <c r="AH68" s="1422">
        <v>0</v>
      </c>
      <c r="AI68" s="1422">
        <v>6787964</v>
      </c>
      <c r="AJ68" s="1422">
        <v>6861943</v>
      </c>
      <c r="AK68" s="1422">
        <v>175849</v>
      </c>
      <c r="AL68" s="1422">
        <v>150000</v>
      </c>
      <c r="AM68" s="1422">
        <v>0</v>
      </c>
      <c r="AN68" s="1422">
        <v>0</v>
      </c>
      <c r="AO68" s="1422">
        <v>255466</v>
      </c>
      <c r="AP68" s="1422">
        <v>99256</v>
      </c>
      <c r="AQ68" s="1422">
        <v>0</v>
      </c>
      <c r="AR68" s="1422">
        <v>0</v>
      </c>
      <c r="AS68" s="1422">
        <v>0</v>
      </c>
      <c r="AT68" s="1422">
        <v>0</v>
      </c>
      <c r="AU68" s="1422">
        <v>37857</v>
      </c>
      <c r="AV68" s="1422">
        <v>30286</v>
      </c>
      <c r="AW68" s="1422">
        <v>0</v>
      </c>
      <c r="AX68" s="1422">
        <v>0</v>
      </c>
      <c r="AY68" s="1420">
        <v>10968469.65</v>
      </c>
      <c r="AZ68" s="1420">
        <v>10616558.710000001</v>
      </c>
      <c r="BA68" s="1420">
        <v>190076.79999999999</v>
      </c>
      <c r="BB68" s="1420">
        <v>195319.96</v>
      </c>
      <c r="BC68" s="1422">
        <v>61880</v>
      </c>
      <c r="BD68" s="1422">
        <v>62037</v>
      </c>
      <c r="BE68" s="1420">
        <v>29225.16</v>
      </c>
      <c r="BF68" s="1422">
        <v>10600</v>
      </c>
      <c r="BG68" s="1422">
        <v>900</v>
      </c>
      <c r="BH68" s="1422">
        <v>500</v>
      </c>
      <c r="BI68" s="1422">
        <v>108035</v>
      </c>
      <c r="BJ68" s="1422">
        <v>114112</v>
      </c>
      <c r="BK68" s="1422">
        <v>20510</v>
      </c>
      <c r="BL68" s="1422">
        <v>20930</v>
      </c>
      <c r="BM68" s="1422">
        <v>1185440</v>
      </c>
      <c r="BN68" s="1422">
        <v>1176956</v>
      </c>
      <c r="BO68" s="1420">
        <v>65853.759999999995</v>
      </c>
      <c r="BP68" s="1422">
        <v>10000</v>
      </c>
      <c r="BQ68" s="1420">
        <v>3923.6</v>
      </c>
      <c r="BR68" s="1422">
        <v>0</v>
      </c>
      <c r="BS68" s="1420">
        <v>5649.77</v>
      </c>
      <c r="BT68" s="1420">
        <v>5649.77</v>
      </c>
      <c r="BU68" s="1422">
        <v>0</v>
      </c>
      <c r="BV68" s="1422">
        <v>0</v>
      </c>
      <c r="BW68" s="1422">
        <v>72900</v>
      </c>
      <c r="BX68" s="1422">
        <v>72900</v>
      </c>
      <c r="BY68" s="1422">
        <v>0</v>
      </c>
      <c r="BZ68" s="1422">
        <v>0</v>
      </c>
      <c r="CA68" s="1420">
        <v>877821.87</v>
      </c>
      <c r="CB68" s="1420">
        <v>268011.74</v>
      </c>
      <c r="CC68" s="1420">
        <v>2622215.96</v>
      </c>
      <c r="CD68" s="1420">
        <v>1937016.47</v>
      </c>
      <c r="CE68" s="1420">
        <v>4589476.1100000003</v>
      </c>
      <c r="CF68" s="1420">
        <v>2671540.9700000002</v>
      </c>
      <c r="CG68" s="1422">
        <v>0</v>
      </c>
      <c r="CH68" s="1422">
        <v>0</v>
      </c>
      <c r="CI68" s="1422">
        <v>0</v>
      </c>
      <c r="CJ68" s="1422">
        <v>0</v>
      </c>
      <c r="CK68" s="1420">
        <v>14335.51</v>
      </c>
      <c r="CL68" s="1422">
        <v>44263</v>
      </c>
      <c r="CM68" s="1422">
        <v>0</v>
      </c>
      <c r="CN68" s="1422">
        <v>0</v>
      </c>
      <c r="CO68" s="1422">
        <v>13650</v>
      </c>
      <c r="CP68" s="1422">
        <v>0</v>
      </c>
      <c r="CQ68" s="1422">
        <v>0</v>
      </c>
      <c r="CR68" s="1422">
        <v>0</v>
      </c>
      <c r="CS68" s="1420">
        <v>27985.51</v>
      </c>
      <c r="CT68" s="1422">
        <v>44263</v>
      </c>
      <c r="CU68" s="1420">
        <v>18208147.23</v>
      </c>
      <c r="CV68" s="1420">
        <v>15269379.15</v>
      </c>
      <c r="CW68" s="1420">
        <v>5323908.1399999997</v>
      </c>
      <c r="CX68" s="1420">
        <v>4477770.21</v>
      </c>
      <c r="CY68" s="1420">
        <v>866889.81</v>
      </c>
      <c r="CZ68" s="1420">
        <v>944800.7</v>
      </c>
      <c r="DA68" s="1420">
        <v>587489.88</v>
      </c>
      <c r="DB68" s="1420">
        <v>560391.52</v>
      </c>
      <c r="DC68" s="1420">
        <v>153643.38</v>
      </c>
      <c r="DD68" s="1420">
        <v>139362.13</v>
      </c>
      <c r="DE68" s="1420">
        <v>1124913.6299999999</v>
      </c>
      <c r="DF68" s="1420">
        <v>1224922.77</v>
      </c>
      <c r="DG68" s="1420">
        <v>778119.8</v>
      </c>
      <c r="DH68" s="1420">
        <v>821868.25</v>
      </c>
      <c r="DI68" s="1420">
        <v>8834964.6400000006</v>
      </c>
      <c r="DJ68" s="1420">
        <v>8169115.5800000001</v>
      </c>
      <c r="DK68" s="1420">
        <v>522997.42</v>
      </c>
      <c r="DL68" s="1420">
        <v>554475.5</v>
      </c>
      <c r="DM68" s="1420">
        <v>583301.1</v>
      </c>
      <c r="DN68" s="1420">
        <v>404855.59</v>
      </c>
      <c r="DO68" s="1420">
        <v>1683542.59</v>
      </c>
      <c r="DP68" s="1420">
        <v>1505464.67</v>
      </c>
      <c r="DQ68" s="1420">
        <v>583088.15</v>
      </c>
      <c r="DR68" s="1420">
        <v>506861.68</v>
      </c>
      <c r="DS68" s="1420">
        <v>49324.66</v>
      </c>
      <c r="DT68" s="1420">
        <v>78734.820000000007</v>
      </c>
      <c r="DU68" s="1420">
        <v>3422253.92</v>
      </c>
      <c r="DV68" s="1420">
        <v>3050392.26</v>
      </c>
      <c r="DW68" s="1420">
        <v>609759.72</v>
      </c>
      <c r="DX68" s="1420">
        <v>616391.63</v>
      </c>
      <c r="DY68" s="1420">
        <v>1250605.21</v>
      </c>
      <c r="DZ68" s="1420">
        <v>1258873.75</v>
      </c>
      <c r="EA68" s="1420">
        <v>678752.6</v>
      </c>
      <c r="EB68" s="1420">
        <v>742768.44</v>
      </c>
      <c r="EC68" s="1420">
        <v>2539117.5299999998</v>
      </c>
      <c r="ED68" s="1420">
        <v>2618033.8199999998</v>
      </c>
      <c r="EE68" s="1420">
        <v>925493.28</v>
      </c>
      <c r="EF68" s="1420">
        <v>846932.16</v>
      </c>
      <c r="EG68" s="1422">
        <v>0</v>
      </c>
      <c r="EH68" s="1422">
        <v>0</v>
      </c>
      <c r="EI68" s="1420">
        <v>9863.07</v>
      </c>
      <c r="EJ68" s="1420">
        <v>30187.3</v>
      </c>
      <c r="EK68" s="1422">
        <v>0</v>
      </c>
      <c r="EL68" s="1422">
        <v>0</v>
      </c>
      <c r="EM68" s="1420">
        <v>935356.35</v>
      </c>
      <c r="EN68" s="1420">
        <v>877119.46</v>
      </c>
      <c r="EO68" s="1420">
        <v>3877102.85</v>
      </c>
      <c r="EP68" s="1420">
        <v>687417.3</v>
      </c>
      <c r="EQ68" s="1420">
        <v>1027342.59</v>
      </c>
      <c r="ER68" s="1420">
        <v>1018839.11</v>
      </c>
      <c r="ES68" s="1420">
        <v>0.19</v>
      </c>
      <c r="ET68" s="1420">
        <v>3098.85</v>
      </c>
      <c r="EU68" s="1420">
        <v>20636138.07</v>
      </c>
      <c r="EV68" s="1420">
        <v>16424016.380000001</v>
      </c>
      <c r="EW68" s="1420">
        <v>4523325.57</v>
      </c>
      <c r="EX68" s="1420">
        <v>815603.43</v>
      </c>
      <c r="EY68" s="1420">
        <v>1027342.59</v>
      </c>
      <c r="EZ68" s="1420">
        <v>1018839.11</v>
      </c>
      <c r="FA68" s="1420">
        <v>15085469.91</v>
      </c>
      <c r="FB68" s="1420">
        <v>14589573.84</v>
      </c>
      <c r="FC68" s="1420">
        <v>702489.73</v>
      </c>
      <c r="FD68" s="1439"/>
      <c r="FE68" s="1420">
        <v>14382980.18</v>
      </c>
      <c r="FF68" s="1439"/>
      <c r="FG68" s="1422">
        <v>10397</v>
      </c>
      <c r="FH68" s="1439"/>
      <c r="FI68" s="1420">
        <v>116.9</v>
      </c>
      <c r="FJ68" s="1439"/>
      <c r="FK68" s="1422">
        <v>40983</v>
      </c>
      <c r="FL68" s="1439"/>
      <c r="FM68" s="1420">
        <v>128.53</v>
      </c>
      <c r="FN68" s="1439"/>
      <c r="FO68" s="1422">
        <v>42936</v>
      </c>
      <c r="FP68" s="1439"/>
      <c r="FQ68" s="1420">
        <v>2258593.48</v>
      </c>
      <c r="FR68" s="1439"/>
      <c r="FS68" s="1420">
        <v>137248.70000000001</v>
      </c>
      <c r="FT68" s="1439"/>
      <c r="FU68" s="1422">
        <v>0</v>
      </c>
      <c r="FV68" s="1439"/>
      <c r="FW68" s="1420">
        <v>2121344.7799999998</v>
      </c>
      <c r="FX68" s="1439"/>
      <c r="FY68" s="1420">
        <v>708071.52</v>
      </c>
      <c r="FZ68" s="1439"/>
      <c r="GA68" s="1422">
        <v>0</v>
      </c>
      <c r="GB68" s="1439"/>
    </row>
    <row r="69" spans="1:184" ht="12.75" customHeight="1" thickBot="1">
      <c r="A69" s="1418" t="s">
        <v>535</v>
      </c>
      <c r="B69" s="1418" t="s">
        <v>536</v>
      </c>
      <c r="C69" s="1420">
        <v>526.13</v>
      </c>
      <c r="D69" s="1439"/>
      <c r="E69" s="1420">
        <v>1078.31</v>
      </c>
      <c r="F69" s="1439"/>
      <c r="G69" s="1421">
        <v>-0.14000000000000001</v>
      </c>
      <c r="H69" s="1439"/>
      <c r="I69" s="1420">
        <v>1120.6199999999999</v>
      </c>
      <c r="J69" s="1439"/>
      <c r="K69" s="1420">
        <v>1156.8800000000001</v>
      </c>
      <c r="L69" s="1439"/>
      <c r="M69" s="1422">
        <v>117733324</v>
      </c>
      <c r="N69" s="1439"/>
      <c r="O69" s="1422">
        <v>31</v>
      </c>
      <c r="P69" s="1439"/>
      <c r="Q69" s="1422">
        <v>25</v>
      </c>
      <c r="R69" s="1439"/>
      <c r="S69" s="1422">
        <v>6</v>
      </c>
      <c r="T69" s="1439"/>
      <c r="U69" s="1422">
        <v>0</v>
      </c>
      <c r="V69" s="1439"/>
      <c r="W69" s="1420">
        <v>9.4600000000000009</v>
      </c>
      <c r="X69" s="1439"/>
      <c r="Y69" s="1420">
        <v>40.46</v>
      </c>
      <c r="Z69" s="1439"/>
      <c r="AA69" s="1420">
        <v>6439539.3099999996</v>
      </c>
      <c r="AB69" s="1439"/>
      <c r="AC69" s="1420">
        <v>4182121.61</v>
      </c>
      <c r="AD69" s="1422">
        <v>4230000</v>
      </c>
      <c r="AE69" s="1420">
        <v>473221.52</v>
      </c>
      <c r="AF69" s="1420">
        <v>170346.19</v>
      </c>
      <c r="AG69" s="1422">
        <v>0</v>
      </c>
      <c r="AH69" s="1422">
        <v>0</v>
      </c>
      <c r="AI69" s="1422">
        <v>4058571</v>
      </c>
      <c r="AJ69" s="1422">
        <v>4028087</v>
      </c>
      <c r="AK69" s="1422">
        <v>70889</v>
      </c>
      <c r="AL69" s="1422">
        <v>75000</v>
      </c>
      <c r="AM69" s="1422">
        <v>0</v>
      </c>
      <c r="AN69" s="1422">
        <v>0</v>
      </c>
      <c r="AO69" s="1422">
        <v>22737</v>
      </c>
      <c r="AP69" s="1422">
        <v>97659</v>
      </c>
      <c r="AQ69" s="1422">
        <v>0</v>
      </c>
      <c r="AR69" s="1422">
        <v>0</v>
      </c>
      <c r="AS69" s="1422">
        <v>0</v>
      </c>
      <c r="AT69" s="1422">
        <v>0</v>
      </c>
      <c r="AU69" s="1422">
        <v>73624</v>
      </c>
      <c r="AV69" s="1422">
        <v>58899</v>
      </c>
      <c r="AW69" s="1422">
        <v>0</v>
      </c>
      <c r="AX69" s="1422">
        <v>0</v>
      </c>
      <c r="AY69" s="1420">
        <v>8881164.1300000008</v>
      </c>
      <c r="AZ69" s="1420">
        <v>8659991.1899999995</v>
      </c>
      <c r="BA69" s="1422">
        <v>0</v>
      </c>
      <c r="BB69" s="1422">
        <v>0</v>
      </c>
      <c r="BC69" s="1422">
        <v>47849</v>
      </c>
      <c r="BD69" s="1422">
        <v>47681</v>
      </c>
      <c r="BE69" s="1420">
        <v>27899.98</v>
      </c>
      <c r="BF69" s="1422">
        <v>5000</v>
      </c>
      <c r="BG69" s="1422">
        <v>1257</v>
      </c>
      <c r="BH69" s="1422">
        <v>0</v>
      </c>
      <c r="BI69" s="1422">
        <v>19096</v>
      </c>
      <c r="BJ69" s="1422">
        <v>17658</v>
      </c>
      <c r="BK69" s="1422">
        <v>4102</v>
      </c>
      <c r="BL69" s="1422">
        <v>0</v>
      </c>
      <c r="BM69" s="1422">
        <v>882880</v>
      </c>
      <c r="BN69" s="1422">
        <v>871332</v>
      </c>
      <c r="BO69" s="1420">
        <v>45216.78</v>
      </c>
      <c r="BP69" s="1422">
        <v>36000</v>
      </c>
      <c r="BQ69" s="1420">
        <v>10833.56</v>
      </c>
      <c r="BR69" s="1422">
        <v>10500</v>
      </c>
      <c r="BS69" s="1420">
        <v>4905.8999999999996</v>
      </c>
      <c r="BT69" s="1422">
        <v>4800</v>
      </c>
      <c r="BU69" s="1422">
        <v>0</v>
      </c>
      <c r="BV69" s="1422">
        <v>0</v>
      </c>
      <c r="BW69" s="1422">
        <v>290136</v>
      </c>
      <c r="BX69" s="1422">
        <v>291600</v>
      </c>
      <c r="BY69" s="1422">
        <v>0</v>
      </c>
      <c r="BZ69" s="1422">
        <v>0</v>
      </c>
      <c r="CA69" s="1422">
        <v>30447</v>
      </c>
      <c r="CB69" s="1422">
        <v>27954</v>
      </c>
      <c r="CC69" s="1420">
        <v>1364623.22</v>
      </c>
      <c r="CD69" s="1422">
        <v>1312525</v>
      </c>
      <c r="CE69" s="1420">
        <v>3859436.63</v>
      </c>
      <c r="CF69" s="1420">
        <v>2298631.4500000002</v>
      </c>
      <c r="CG69" s="1422">
        <v>0</v>
      </c>
      <c r="CH69" s="1422">
        <v>0</v>
      </c>
      <c r="CI69" s="1422">
        <v>0</v>
      </c>
      <c r="CJ69" s="1422">
        <v>0</v>
      </c>
      <c r="CK69" s="1422">
        <v>0</v>
      </c>
      <c r="CL69" s="1422">
        <v>0</v>
      </c>
      <c r="CM69" s="1422">
        <v>0</v>
      </c>
      <c r="CN69" s="1422">
        <v>0</v>
      </c>
      <c r="CO69" s="1422">
        <v>0</v>
      </c>
      <c r="CP69" s="1422">
        <v>0</v>
      </c>
      <c r="CQ69" s="1422">
        <v>0</v>
      </c>
      <c r="CR69" s="1422">
        <v>0</v>
      </c>
      <c r="CS69" s="1422">
        <v>0</v>
      </c>
      <c r="CT69" s="1422">
        <v>0</v>
      </c>
      <c r="CU69" s="1420">
        <v>14105223.98</v>
      </c>
      <c r="CV69" s="1420">
        <v>12271147.640000001</v>
      </c>
      <c r="CW69" s="1420">
        <v>4310984.59</v>
      </c>
      <c r="CX69" s="1420">
        <v>4325186.74</v>
      </c>
      <c r="CY69" s="1420">
        <v>727050.2</v>
      </c>
      <c r="CZ69" s="1420">
        <v>1066838.1000000001</v>
      </c>
      <c r="DA69" s="1420">
        <v>335923.16</v>
      </c>
      <c r="DB69" s="1422">
        <v>356298</v>
      </c>
      <c r="DC69" s="1422">
        <v>0</v>
      </c>
      <c r="DD69" s="1422">
        <v>0</v>
      </c>
      <c r="DE69" s="1420">
        <v>581228.88</v>
      </c>
      <c r="DF69" s="1420">
        <v>743964.28</v>
      </c>
      <c r="DG69" s="1420">
        <v>18248.62</v>
      </c>
      <c r="DH69" s="1420">
        <v>21005.5</v>
      </c>
      <c r="DI69" s="1420">
        <v>5973435.4500000002</v>
      </c>
      <c r="DJ69" s="1420">
        <v>6513292.6200000001</v>
      </c>
      <c r="DK69" s="1420">
        <v>300510.96999999997</v>
      </c>
      <c r="DL69" s="1420">
        <v>363669.9</v>
      </c>
      <c r="DM69" s="1420">
        <v>406458.03</v>
      </c>
      <c r="DN69" s="1420">
        <v>336111.84</v>
      </c>
      <c r="DO69" s="1420">
        <v>886960.79</v>
      </c>
      <c r="DP69" s="1420">
        <v>1026770.8</v>
      </c>
      <c r="DQ69" s="1420">
        <v>414892.98</v>
      </c>
      <c r="DR69" s="1422">
        <v>768321</v>
      </c>
      <c r="DS69" s="1420">
        <v>19719.25</v>
      </c>
      <c r="DT69" s="1422">
        <v>10000</v>
      </c>
      <c r="DU69" s="1420">
        <v>2028542.02</v>
      </c>
      <c r="DV69" s="1420">
        <v>2504873.54</v>
      </c>
      <c r="DW69" s="1420">
        <v>607274.05000000005</v>
      </c>
      <c r="DX69" s="1420">
        <v>648703.80000000005</v>
      </c>
      <c r="DY69" s="1420">
        <v>1360806.08</v>
      </c>
      <c r="DZ69" s="1420">
        <v>1610104.03</v>
      </c>
      <c r="EA69" s="1420">
        <v>457223.56</v>
      </c>
      <c r="EB69" s="1422">
        <v>479132</v>
      </c>
      <c r="EC69" s="1420">
        <v>2425303.69</v>
      </c>
      <c r="ED69" s="1420">
        <v>2737939.83</v>
      </c>
      <c r="EE69" s="1420">
        <v>638081.94999999995</v>
      </c>
      <c r="EF69" s="1422">
        <v>675277</v>
      </c>
      <c r="EG69" s="1422">
        <v>0</v>
      </c>
      <c r="EH69" s="1422">
        <v>0</v>
      </c>
      <c r="EI69" s="1420">
        <v>9393.86</v>
      </c>
      <c r="EJ69" s="1420">
        <v>7759.31</v>
      </c>
      <c r="EK69" s="1422">
        <v>0</v>
      </c>
      <c r="EL69" s="1422">
        <v>0</v>
      </c>
      <c r="EM69" s="1420">
        <v>647475.81000000006</v>
      </c>
      <c r="EN69" s="1420">
        <v>683036.31</v>
      </c>
      <c r="EO69" s="1420">
        <v>1781229.09</v>
      </c>
      <c r="EP69" s="1422">
        <v>0</v>
      </c>
      <c r="EQ69" s="1420">
        <v>685766.06</v>
      </c>
      <c r="ER69" s="1422">
        <v>674872</v>
      </c>
      <c r="ES69" s="1420">
        <v>2866.04</v>
      </c>
      <c r="ET69" s="1422">
        <v>0</v>
      </c>
      <c r="EU69" s="1420">
        <v>13544618.16</v>
      </c>
      <c r="EV69" s="1420">
        <v>13114014.300000001</v>
      </c>
      <c r="EW69" s="1420">
        <v>2074381.86</v>
      </c>
      <c r="EX69" s="1420">
        <v>255342.79</v>
      </c>
      <c r="EY69" s="1420">
        <v>685766.06</v>
      </c>
      <c r="EZ69" s="1422">
        <v>674872</v>
      </c>
      <c r="FA69" s="1420">
        <v>10784470.24</v>
      </c>
      <c r="FB69" s="1420">
        <v>12183799.51</v>
      </c>
      <c r="FC69" s="1420">
        <v>643786.94999999995</v>
      </c>
      <c r="FD69" s="1439"/>
      <c r="FE69" s="1420">
        <v>10140683.289999999</v>
      </c>
      <c r="FF69" s="1439"/>
      <c r="FG69" s="1422">
        <v>9404</v>
      </c>
      <c r="FH69" s="1439"/>
      <c r="FI69" s="1420">
        <v>84.09</v>
      </c>
      <c r="FJ69" s="1439"/>
      <c r="FK69" s="1422">
        <v>41869</v>
      </c>
      <c r="FL69" s="1439"/>
      <c r="FM69" s="1420">
        <v>93.73</v>
      </c>
      <c r="FN69" s="1439"/>
      <c r="FO69" s="1422">
        <v>44147</v>
      </c>
      <c r="FP69" s="1439"/>
      <c r="FQ69" s="1420">
        <v>2888585.74</v>
      </c>
      <c r="FR69" s="1439"/>
      <c r="FS69" s="1420">
        <v>666083.36</v>
      </c>
      <c r="FT69" s="1439"/>
      <c r="FU69" s="1422">
        <v>0</v>
      </c>
      <c r="FV69" s="1439"/>
      <c r="FW69" s="1420">
        <v>2222502.38</v>
      </c>
      <c r="FX69" s="1439"/>
      <c r="FY69" s="1420">
        <v>119349.73</v>
      </c>
      <c r="FZ69" s="1439"/>
      <c r="GA69" s="1422">
        <v>0</v>
      </c>
      <c r="GB69" s="1439"/>
    </row>
    <row r="70" spans="1:184" ht="12.75" customHeight="1" thickBot="1">
      <c r="A70" s="1418" t="s">
        <v>537</v>
      </c>
      <c r="B70" s="1418" t="s">
        <v>538</v>
      </c>
      <c r="C70" s="1420">
        <v>563.51</v>
      </c>
      <c r="D70" s="1439"/>
      <c r="E70" s="1420">
        <v>913.47</v>
      </c>
      <c r="F70" s="1439"/>
      <c r="G70" s="1421">
        <v>-7.0000000000000007E-2</v>
      </c>
      <c r="H70" s="1439"/>
      <c r="I70" s="1420">
        <v>969.89</v>
      </c>
      <c r="J70" s="1439"/>
      <c r="K70" s="1420">
        <v>981.84</v>
      </c>
      <c r="L70" s="1439"/>
      <c r="M70" s="1422">
        <v>61014556</v>
      </c>
      <c r="N70" s="1439"/>
      <c r="O70" s="1422">
        <v>25</v>
      </c>
      <c r="P70" s="1439"/>
      <c r="Q70" s="1422">
        <v>25</v>
      </c>
      <c r="R70" s="1439"/>
      <c r="S70" s="1422">
        <v>0</v>
      </c>
      <c r="T70" s="1439"/>
      <c r="U70" s="1422">
        <v>0</v>
      </c>
      <c r="V70" s="1439"/>
      <c r="W70" s="1420">
        <v>10.6</v>
      </c>
      <c r="X70" s="1439"/>
      <c r="Y70" s="1420">
        <v>35.6</v>
      </c>
      <c r="Z70" s="1439"/>
      <c r="AA70" s="1422">
        <v>7190000</v>
      </c>
      <c r="AB70" s="1439"/>
      <c r="AC70" s="1420">
        <v>1979715.66</v>
      </c>
      <c r="AD70" s="1420">
        <v>1805101.16</v>
      </c>
      <c r="AE70" s="1420">
        <v>438455.43</v>
      </c>
      <c r="AF70" s="1422">
        <v>103500</v>
      </c>
      <c r="AG70" s="1420">
        <v>4513.97</v>
      </c>
      <c r="AH70" s="1422">
        <v>4000</v>
      </c>
      <c r="AI70" s="1422">
        <v>4470911</v>
      </c>
      <c r="AJ70" s="1422">
        <v>4478340</v>
      </c>
      <c r="AK70" s="1422">
        <v>56981</v>
      </c>
      <c r="AL70" s="1422">
        <v>50000</v>
      </c>
      <c r="AM70" s="1422">
        <v>0</v>
      </c>
      <c r="AN70" s="1422">
        <v>0</v>
      </c>
      <c r="AO70" s="1422">
        <v>0</v>
      </c>
      <c r="AP70" s="1422">
        <v>0</v>
      </c>
      <c r="AQ70" s="1422">
        <v>0</v>
      </c>
      <c r="AR70" s="1422">
        <v>0</v>
      </c>
      <c r="AS70" s="1422">
        <v>0</v>
      </c>
      <c r="AT70" s="1422">
        <v>0</v>
      </c>
      <c r="AU70" s="1422">
        <v>0</v>
      </c>
      <c r="AV70" s="1422">
        <v>0</v>
      </c>
      <c r="AW70" s="1422">
        <v>0</v>
      </c>
      <c r="AX70" s="1422">
        <v>0</v>
      </c>
      <c r="AY70" s="1420">
        <v>6950577.0599999996</v>
      </c>
      <c r="AZ70" s="1420">
        <v>6440941.1600000001</v>
      </c>
      <c r="BA70" s="1422">
        <v>0</v>
      </c>
      <c r="BB70" s="1422">
        <v>0</v>
      </c>
      <c r="BC70" s="1422">
        <v>40609</v>
      </c>
      <c r="BD70" s="1422">
        <v>41202</v>
      </c>
      <c r="BE70" s="1420">
        <v>11687.96</v>
      </c>
      <c r="BF70" s="1422">
        <v>3000</v>
      </c>
      <c r="BG70" s="1422">
        <v>200</v>
      </c>
      <c r="BH70" s="1422">
        <v>0</v>
      </c>
      <c r="BI70" s="1422">
        <v>39208</v>
      </c>
      <c r="BJ70" s="1422">
        <v>50901</v>
      </c>
      <c r="BK70" s="1422">
        <v>13478</v>
      </c>
      <c r="BL70" s="1422">
        <v>10000</v>
      </c>
      <c r="BM70" s="1422">
        <v>704320</v>
      </c>
      <c r="BN70" s="1422">
        <v>710424</v>
      </c>
      <c r="BO70" s="1420">
        <v>4022.25</v>
      </c>
      <c r="BP70" s="1422">
        <v>0</v>
      </c>
      <c r="BQ70" s="1420">
        <v>45771.040000000001</v>
      </c>
      <c r="BR70" s="1422">
        <v>40000</v>
      </c>
      <c r="BS70" s="1420">
        <v>3413.37</v>
      </c>
      <c r="BT70" s="1422">
        <v>2000</v>
      </c>
      <c r="BU70" s="1422">
        <v>0</v>
      </c>
      <c r="BV70" s="1422">
        <v>0</v>
      </c>
      <c r="BW70" s="1422">
        <v>291600</v>
      </c>
      <c r="BX70" s="1422">
        <v>291600</v>
      </c>
      <c r="BY70" s="1422">
        <v>0</v>
      </c>
      <c r="BZ70" s="1422">
        <v>0</v>
      </c>
      <c r="CA70" s="1420">
        <v>517440.76</v>
      </c>
      <c r="CB70" s="1422">
        <v>140341</v>
      </c>
      <c r="CC70" s="1420">
        <v>1671750.38</v>
      </c>
      <c r="CD70" s="1422">
        <v>1289468</v>
      </c>
      <c r="CE70" s="1422">
        <v>2286173</v>
      </c>
      <c r="CF70" s="1420">
        <v>1402350.14</v>
      </c>
      <c r="CG70" s="1420">
        <v>1840945.56</v>
      </c>
      <c r="CH70" s="1422">
        <v>0</v>
      </c>
      <c r="CI70" s="1422">
        <v>0</v>
      </c>
      <c r="CJ70" s="1422">
        <v>0</v>
      </c>
      <c r="CK70" s="1422">
        <v>0</v>
      </c>
      <c r="CL70" s="1422">
        <v>0</v>
      </c>
      <c r="CM70" s="1422">
        <v>300</v>
      </c>
      <c r="CN70" s="1422">
        <v>0</v>
      </c>
      <c r="CO70" s="1422">
        <v>0</v>
      </c>
      <c r="CP70" s="1422">
        <v>0</v>
      </c>
      <c r="CQ70" s="1422">
        <v>0</v>
      </c>
      <c r="CR70" s="1422">
        <v>0</v>
      </c>
      <c r="CS70" s="1420">
        <v>1841245.56</v>
      </c>
      <c r="CT70" s="1422">
        <v>0</v>
      </c>
      <c r="CU70" s="1422">
        <v>12749746</v>
      </c>
      <c r="CV70" s="1420">
        <v>9132759.3000000007</v>
      </c>
      <c r="CW70" s="1420">
        <v>3506059.74</v>
      </c>
      <c r="CX70" s="1420">
        <v>3033352.7</v>
      </c>
      <c r="CY70" s="1420">
        <v>426707.61</v>
      </c>
      <c r="CZ70" s="1420">
        <v>480481.36</v>
      </c>
      <c r="DA70" s="1420">
        <v>266165.53000000003</v>
      </c>
      <c r="DB70" s="1420">
        <v>223043.41</v>
      </c>
      <c r="DC70" s="1422">
        <v>0</v>
      </c>
      <c r="DD70" s="1422">
        <v>0</v>
      </c>
      <c r="DE70" s="1420">
        <v>708011.29</v>
      </c>
      <c r="DF70" s="1420">
        <v>784057.8</v>
      </c>
      <c r="DG70" s="1420">
        <v>476846.06</v>
      </c>
      <c r="DH70" s="1420">
        <v>443494.3</v>
      </c>
      <c r="DI70" s="1420">
        <v>5383790.2300000004</v>
      </c>
      <c r="DJ70" s="1420">
        <v>4964429.57</v>
      </c>
      <c r="DK70" s="1420">
        <v>260090.78</v>
      </c>
      <c r="DL70" s="1420">
        <v>171258.07</v>
      </c>
      <c r="DM70" s="1420">
        <v>266772.34999999998</v>
      </c>
      <c r="DN70" s="1420">
        <v>232548.01</v>
      </c>
      <c r="DO70" s="1420">
        <v>756094.12</v>
      </c>
      <c r="DP70" s="1420">
        <v>697374.35</v>
      </c>
      <c r="DQ70" s="1420">
        <v>672251.03</v>
      </c>
      <c r="DR70" s="1420">
        <v>559276.62</v>
      </c>
      <c r="DS70" s="1420">
        <v>14197.26</v>
      </c>
      <c r="DT70" s="1422">
        <v>0</v>
      </c>
      <c r="DU70" s="1420">
        <v>1969405.54</v>
      </c>
      <c r="DV70" s="1420">
        <v>1660457.05</v>
      </c>
      <c r="DW70" s="1420">
        <v>540662.23</v>
      </c>
      <c r="DX70" s="1420">
        <v>502565.67</v>
      </c>
      <c r="DY70" s="1420">
        <v>1010587.43</v>
      </c>
      <c r="DZ70" s="1420">
        <v>733750.59</v>
      </c>
      <c r="EA70" s="1420">
        <v>501969.84</v>
      </c>
      <c r="EB70" s="1420">
        <v>521320.62</v>
      </c>
      <c r="EC70" s="1420">
        <v>2053219.5</v>
      </c>
      <c r="ED70" s="1420">
        <v>1757636.88</v>
      </c>
      <c r="EE70" s="1420">
        <v>530140.17000000004</v>
      </c>
      <c r="EF70" s="1420">
        <v>511683.43</v>
      </c>
      <c r="EG70" s="1422">
        <v>0</v>
      </c>
      <c r="EH70" s="1422">
        <v>0</v>
      </c>
      <c r="EI70" s="1420">
        <v>174.28</v>
      </c>
      <c r="EJ70" s="1422">
        <v>300</v>
      </c>
      <c r="EK70" s="1422">
        <v>0</v>
      </c>
      <c r="EL70" s="1422">
        <v>0</v>
      </c>
      <c r="EM70" s="1420">
        <v>530314.44999999995</v>
      </c>
      <c r="EN70" s="1420">
        <v>511983.43</v>
      </c>
      <c r="EO70" s="1420">
        <v>725579.91</v>
      </c>
      <c r="EP70" s="1422">
        <v>450000</v>
      </c>
      <c r="EQ70" s="1420">
        <v>429677.96</v>
      </c>
      <c r="ER70" s="1420">
        <v>451098.88</v>
      </c>
      <c r="ES70" s="1422">
        <v>0</v>
      </c>
      <c r="ET70" s="1422">
        <v>0</v>
      </c>
      <c r="EU70" s="1420">
        <v>11091987.59</v>
      </c>
      <c r="EV70" s="1420">
        <v>9795605.8100000005</v>
      </c>
      <c r="EW70" s="1420">
        <v>893409.55</v>
      </c>
      <c r="EX70" s="1422">
        <v>469500</v>
      </c>
      <c r="EY70" s="1420">
        <v>429677.96</v>
      </c>
      <c r="EZ70" s="1420">
        <v>451098.88</v>
      </c>
      <c r="FA70" s="1420">
        <v>9768900.0800000001</v>
      </c>
      <c r="FB70" s="1420">
        <v>8875006.9299999997</v>
      </c>
      <c r="FC70" s="1420">
        <v>389764.02</v>
      </c>
      <c r="FD70" s="1439"/>
      <c r="FE70" s="1420">
        <v>9379136.0600000005</v>
      </c>
      <c r="FF70" s="1439"/>
      <c r="FG70" s="1422">
        <v>10267</v>
      </c>
      <c r="FH70" s="1439"/>
      <c r="FI70" s="1420">
        <v>83.37</v>
      </c>
      <c r="FJ70" s="1439"/>
      <c r="FK70" s="1422">
        <v>34514</v>
      </c>
      <c r="FL70" s="1439"/>
      <c r="FM70" s="1420">
        <v>89.51</v>
      </c>
      <c r="FN70" s="1439"/>
      <c r="FO70" s="1422">
        <v>37253</v>
      </c>
      <c r="FP70" s="1439"/>
      <c r="FQ70" s="1420">
        <v>520298.73</v>
      </c>
      <c r="FR70" s="1439"/>
      <c r="FS70" s="1420">
        <v>53690.2</v>
      </c>
      <c r="FT70" s="1439"/>
      <c r="FU70" s="1422">
        <v>0</v>
      </c>
      <c r="FV70" s="1439"/>
      <c r="FW70" s="1420">
        <v>466608.53</v>
      </c>
      <c r="FX70" s="1439"/>
      <c r="FY70" s="1420">
        <v>1835616.7</v>
      </c>
      <c r="FZ70" s="1439"/>
      <c r="GA70" s="1422">
        <v>0</v>
      </c>
      <c r="GB70" s="1439"/>
    </row>
    <row r="71" spans="1:184" ht="12.75" customHeight="1" thickBot="1">
      <c r="A71" s="1418" t="s">
        <v>539</v>
      </c>
      <c r="B71" s="1418" t="s">
        <v>540</v>
      </c>
      <c r="C71" s="1420">
        <v>94.99</v>
      </c>
      <c r="D71" s="1439"/>
      <c r="E71" s="1420">
        <v>2002.14</v>
      </c>
      <c r="F71" s="1439"/>
      <c r="G71" s="1421">
        <v>-0.04</v>
      </c>
      <c r="H71" s="1439"/>
      <c r="I71" s="1420">
        <v>2079.7800000000002</v>
      </c>
      <c r="J71" s="1439"/>
      <c r="K71" s="1420">
        <v>2077.85</v>
      </c>
      <c r="L71" s="1439"/>
      <c r="M71" s="1422">
        <v>116492243</v>
      </c>
      <c r="N71" s="1439"/>
      <c r="O71" s="1422">
        <v>25</v>
      </c>
      <c r="P71" s="1439"/>
      <c r="Q71" s="1422">
        <v>25</v>
      </c>
      <c r="R71" s="1439"/>
      <c r="S71" s="1422">
        <v>0</v>
      </c>
      <c r="T71" s="1439"/>
      <c r="U71" s="1422">
        <v>0</v>
      </c>
      <c r="V71" s="1439"/>
      <c r="W71" s="1420">
        <v>14.9</v>
      </c>
      <c r="X71" s="1439"/>
      <c r="Y71" s="1420">
        <v>39.9</v>
      </c>
      <c r="Z71" s="1439"/>
      <c r="AA71" s="1422">
        <v>9960000</v>
      </c>
      <c r="AB71" s="1439"/>
      <c r="AC71" s="1420">
        <v>4300395.92</v>
      </c>
      <c r="AD71" s="1422">
        <v>4195000</v>
      </c>
      <c r="AE71" s="1420">
        <v>1336199.48</v>
      </c>
      <c r="AF71" s="1422">
        <v>766420</v>
      </c>
      <c r="AG71" s="1420">
        <v>9263.9699999999993</v>
      </c>
      <c r="AH71" s="1422">
        <v>6000</v>
      </c>
      <c r="AI71" s="1422">
        <v>9743002</v>
      </c>
      <c r="AJ71" s="1422">
        <v>9969881</v>
      </c>
      <c r="AK71" s="1422">
        <v>80599</v>
      </c>
      <c r="AL71" s="1422">
        <v>80000</v>
      </c>
      <c r="AM71" s="1422">
        <v>0</v>
      </c>
      <c r="AN71" s="1422">
        <v>0</v>
      </c>
      <c r="AO71" s="1422">
        <v>94501</v>
      </c>
      <c r="AP71" s="1422">
        <v>0</v>
      </c>
      <c r="AQ71" s="1422">
        <v>0</v>
      </c>
      <c r="AR71" s="1422">
        <v>0</v>
      </c>
      <c r="AS71" s="1422">
        <v>0</v>
      </c>
      <c r="AT71" s="1422">
        <v>0</v>
      </c>
      <c r="AU71" s="1422">
        <v>5192</v>
      </c>
      <c r="AV71" s="1422">
        <v>4154</v>
      </c>
      <c r="AW71" s="1422">
        <v>0</v>
      </c>
      <c r="AX71" s="1422">
        <v>0</v>
      </c>
      <c r="AY71" s="1420">
        <v>15569153.369999999</v>
      </c>
      <c r="AZ71" s="1422">
        <v>15021455</v>
      </c>
      <c r="BA71" s="1420">
        <v>208504.74</v>
      </c>
      <c r="BB71" s="1420">
        <v>212356.8</v>
      </c>
      <c r="BC71" s="1422">
        <v>85940</v>
      </c>
      <c r="BD71" s="1422">
        <v>88457</v>
      </c>
      <c r="BE71" s="1420">
        <v>23973.200000000001</v>
      </c>
      <c r="BF71" s="1422">
        <v>5000</v>
      </c>
      <c r="BG71" s="1422">
        <v>850</v>
      </c>
      <c r="BH71" s="1422">
        <v>500</v>
      </c>
      <c r="BI71" s="1422">
        <v>156547</v>
      </c>
      <c r="BJ71" s="1422">
        <v>155562</v>
      </c>
      <c r="BK71" s="1422">
        <v>3223</v>
      </c>
      <c r="BL71" s="1422">
        <v>0</v>
      </c>
      <c r="BM71" s="1422">
        <v>531216</v>
      </c>
      <c r="BN71" s="1422">
        <v>584936</v>
      </c>
      <c r="BO71" s="1420">
        <v>282527.34000000003</v>
      </c>
      <c r="BP71" s="1422">
        <v>254000</v>
      </c>
      <c r="BQ71" s="1420">
        <v>559364.17000000004</v>
      </c>
      <c r="BR71" s="1422">
        <v>470000</v>
      </c>
      <c r="BS71" s="1420">
        <v>6776.98</v>
      </c>
      <c r="BT71" s="1422">
        <v>8500</v>
      </c>
      <c r="BU71" s="1422">
        <v>0</v>
      </c>
      <c r="BV71" s="1422">
        <v>0</v>
      </c>
      <c r="BW71" s="1420">
        <v>196074.72</v>
      </c>
      <c r="BX71" s="1420">
        <v>192732.92</v>
      </c>
      <c r="BY71" s="1422">
        <v>0</v>
      </c>
      <c r="BZ71" s="1422">
        <v>0</v>
      </c>
      <c r="CA71" s="1420">
        <v>334476.18</v>
      </c>
      <c r="CB71" s="1422">
        <v>466153</v>
      </c>
      <c r="CC71" s="1420">
        <v>2389473.33</v>
      </c>
      <c r="CD71" s="1420">
        <v>2438197.7200000002</v>
      </c>
      <c r="CE71" s="1420">
        <v>4204529.0199999996</v>
      </c>
      <c r="CF71" s="1420">
        <v>2634551.2799999998</v>
      </c>
      <c r="CG71" s="1420">
        <v>-451505.04</v>
      </c>
      <c r="CH71" s="1422">
        <v>0</v>
      </c>
      <c r="CI71" s="1422">
        <v>0</v>
      </c>
      <c r="CJ71" s="1422">
        <v>0</v>
      </c>
      <c r="CK71" s="1420">
        <v>18248.169999999998</v>
      </c>
      <c r="CL71" s="1422">
        <v>0</v>
      </c>
      <c r="CM71" s="1422">
        <v>0</v>
      </c>
      <c r="CN71" s="1422">
        <v>0</v>
      </c>
      <c r="CO71" s="1422">
        <v>0</v>
      </c>
      <c r="CP71" s="1422">
        <v>0</v>
      </c>
      <c r="CQ71" s="1422">
        <v>0</v>
      </c>
      <c r="CR71" s="1422">
        <v>0</v>
      </c>
      <c r="CS71" s="1420">
        <v>-433256.87</v>
      </c>
      <c r="CT71" s="1422">
        <v>0</v>
      </c>
      <c r="CU71" s="1420">
        <v>21729898.850000001</v>
      </c>
      <c r="CV71" s="1422">
        <v>20094204</v>
      </c>
      <c r="CW71" s="1420">
        <v>7465877.7699999996</v>
      </c>
      <c r="CX71" s="1420">
        <v>7298704.9500000002</v>
      </c>
      <c r="CY71" s="1420">
        <v>1065853.01</v>
      </c>
      <c r="CZ71" s="1420">
        <v>1156575.48</v>
      </c>
      <c r="DA71" s="1420">
        <v>805619.08</v>
      </c>
      <c r="DB71" s="1420">
        <v>786681.73</v>
      </c>
      <c r="DC71" s="1420">
        <v>361843.5</v>
      </c>
      <c r="DD71" s="1420">
        <v>379828.44</v>
      </c>
      <c r="DE71" s="1420">
        <v>1033731.88</v>
      </c>
      <c r="DF71" s="1420">
        <v>1111197.26</v>
      </c>
      <c r="DG71" s="1420">
        <v>695535.77</v>
      </c>
      <c r="DH71" s="1420">
        <v>664034.84</v>
      </c>
      <c r="DI71" s="1420">
        <v>11428461.01</v>
      </c>
      <c r="DJ71" s="1420">
        <v>11397022.699999999</v>
      </c>
      <c r="DK71" s="1420">
        <v>460492.41</v>
      </c>
      <c r="DL71" s="1420">
        <v>444444.67</v>
      </c>
      <c r="DM71" s="1420">
        <v>740050.07</v>
      </c>
      <c r="DN71" s="1420">
        <v>407300.6</v>
      </c>
      <c r="DO71" s="1420">
        <v>1962487.51</v>
      </c>
      <c r="DP71" s="1420">
        <v>2072570.34</v>
      </c>
      <c r="DQ71" s="1420">
        <v>696985.06</v>
      </c>
      <c r="DR71" s="1420">
        <v>734295.48</v>
      </c>
      <c r="DS71" s="1420">
        <v>48716.01</v>
      </c>
      <c r="DT71" s="1422">
        <v>24000</v>
      </c>
      <c r="DU71" s="1420">
        <v>3908731.06</v>
      </c>
      <c r="DV71" s="1420">
        <v>3682611.09</v>
      </c>
      <c r="DW71" s="1420">
        <v>856146.21</v>
      </c>
      <c r="DX71" s="1420">
        <v>905232.28</v>
      </c>
      <c r="DY71" s="1420">
        <v>1744636.83</v>
      </c>
      <c r="DZ71" s="1420">
        <v>1338329.6000000001</v>
      </c>
      <c r="EA71" s="1420">
        <v>975367.69</v>
      </c>
      <c r="EB71" s="1420">
        <v>1045527.05</v>
      </c>
      <c r="EC71" s="1420">
        <v>3576150.73</v>
      </c>
      <c r="ED71" s="1420">
        <v>3289088.93</v>
      </c>
      <c r="EE71" s="1420">
        <v>1095323.58</v>
      </c>
      <c r="EF71" s="1420">
        <v>1012736.31</v>
      </c>
      <c r="EG71" s="1420">
        <v>30460.61</v>
      </c>
      <c r="EH71" s="1422">
        <v>40815</v>
      </c>
      <c r="EI71" s="1420">
        <v>417871.75</v>
      </c>
      <c r="EJ71" s="1420">
        <v>98744.25</v>
      </c>
      <c r="EK71" s="1422">
        <v>0</v>
      </c>
      <c r="EL71" s="1422">
        <v>0</v>
      </c>
      <c r="EM71" s="1420">
        <v>1543655.94</v>
      </c>
      <c r="EN71" s="1420">
        <v>1152295.56</v>
      </c>
      <c r="EO71" s="1420">
        <v>603451.53</v>
      </c>
      <c r="EP71" s="1422">
        <v>0</v>
      </c>
      <c r="EQ71" s="1420">
        <v>938369.09</v>
      </c>
      <c r="ER71" s="1420">
        <v>291969.24</v>
      </c>
      <c r="ES71" s="1420">
        <v>2167.77</v>
      </c>
      <c r="ET71" s="1420">
        <v>6088.47</v>
      </c>
      <c r="EU71" s="1420">
        <v>22000987.129999999</v>
      </c>
      <c r="EV71" s="1420">
        <v>19819075.989999998</v>
      </c>
      <c r="EW71" s="1420">
        <v>964151.33</v>
      </c>
      <c r="EX71" s="1420">
        <v>219442.33</v>
      </c>
      <c r="EY71" s="1420">
        <v>938369.09</v>
      </c>
      <c r="EZ71" s="1420">
        <v>291969.24</v>
      </c>
      <c r="FA71" s="1420">
        <v>20098466.710000001</v>
      </c>
      <c r="FB71" s="1420">
        <v>19307664.420000002</v>
      </c>
      <c r="FC71" s="1420">
        <v>1847333.95</v>
      </c>
      <c r="FD71" s="1439"/>
      <c r="FE71" s="1420">
        <v>18251132.760000002</v>
      </c>
      <c r="FF71" s="1439"/>
      <c r="FG71" s="1422">
        <v>9115</v>
      </c>
      <c r="FH71" s="1439"/>
      <c r="FI71" s="1420">
        <v>154.35</v>
      </c>
      <c r="FJ71" s="1439"/>
      <c r="FK71" s="1422">
        <v>41391</v>
      </c>
      <c r="FL71" s="1439"/>
      <c r="FM71" s="1420">
        <v>168.35</v>
      </c>
      <c r="FN71" s="1439"/>
      <c r="FO71" s="1422">
        <v>43598</v>
      </c>
      <c r="FP71" s="1439"/>
      <c r="FQ71" s="1420">
        <v>4022449.09</v>
      </c>
      <c r="FR71" s="1439"/>
      <c r="FS71" s="1420">
        <v>65764.179999999993</v>
      </c>
      <c r="FT71" s="1439"/>
      <c r="FU71" s="1422">
        <v>0</v>
      </c>
      <c r="FV71" s="1439"/>
      <c r="FW71" s="1420">
        <v>3956684.91</v>
      </c>
      <c r="FX71" s="1439"/>
      <c r="FY71" s="1420">
        <v>858337.97</v>
      </c>
      <c r="FZ71" s="1439"/>
      <c r="GA71" s="1420">
        <v>298913.28999999998</v>
      </c>
      <c r="GB71" s="1439"/>
    </row>
    <row r="72" spans="1:184" ht="12.75" customHeight="1" thickBot="1">
      <c r="A72" s="1418" t="s">
        <v>541</v>
      </c>
      <c r="B72" s="1418" t="s">
        <v>542</v>
      </c>
      <c r="C72" s="1420">
        <v>125.33</v>
      </c>
      <c r="D72" s="1439"/>
      <c r="E72" s="1420">
        <v>8809.35</v>
      </c>
      <c r="F72" s="1439"/>
      <c r="G72" s="1421">
        <v>0.09</v>
      </c>
      <c r="H72" s="1439"/>
      <c r="I72" s="1420">
        <v>9207.42</v>
      </c>
      <c r="J72" s="1439"/>
      <c r="K72" s="1420">
        <v>9053.8700000000008</v>
      </c>
      <c r="L72" s="1439"/>
      <c r="M72" s="1422">
        <v>995462472</v>
      </c>
      <c r="N72" s="1439"/>
      <c r="O72" s="1422">
        <v>25</v>
      </c>
      <c r="P72" s="1439"/>
      <c r="Q72" s="1422">
        <v>25</v>
      </c>
      <c r="R72" s="1439"/>
      <c r="S72" s="1422">
        <v>0</v>
      </c>
      <c r="T72" s="1439"/>
      <c r="U72" s="1422">
        <v>0</v>
      </c>
      <c r="V72" s="1439"/>
      <c r="W72" s="1420">
        <v>13.1</v>
      </c>
      <c r="X72" s="1439"/>
      <c r="Y72" s="1420">
        <v>38.1</v>
      </c>
      <c r="Z72" s="1439"/>
      <c r="AA72" s="1420">
        <v>126294365.09999999</v>
      </c>
      <c r="AB72" s="1439"/>
      <c r="AC72" s="1420">
        <v>33412125.620000001</v>
      </c>
      <c r="AD72" s="1420">
        <v>37430942.409999996</v>
      </c>
      <c r="AE72" s="1420">
        <v>4901840.12</v>
      </c>
      <c r="AF72" s="1420">
        <v>2515716.09</v>
      </c>
      <c r="AG72" s="1420">
        <v>49649.71</v>
      </c>
      <c r="AH72" s="1422">
        <v>0</v>
      </c>
      <c r="AI72" s="1422">
        <v>30826448</v>
      </c>
      <c r="AJ72" s="1422">
        <v>32182243</v>
      </c>
      <c r="AK72" s="1422">
        <v>294236</v>
      </c>
      <c r="AL72" s="1422">
        <v>294236</v>
      </c>
      <c r="AM72" s="1422">
        <v>954615</v>
      </c>
      <c r="AN72" s="1422">
        <v>921600</v>
      </c>
      <c r="AO72" s="1422">
        <v>0</v>
      </c>
      <c r="AP72" s="1422">
        <v>0</v>
      </c>
      <c r="AQ72" s="1422">
        <v>0</v>
      </c>
      <c r="AR72" s="1422">
        <v>0</v>
      </c>
      <c r="AS72" s="1422">
        <v>0</v>
      </c>
      <c r="AT72" s="1422">
        <v>0</v>
      </c>
      <c r="AU72" s="1422">
        <v>0</v>
      </c>
      <c r="AV72" s="1422">
        <v>0</v>
      </c>
      <c r="AW72" s="1422">
        <v>0</v>
      </c>
      <c r="AX72" s="1422">
        <v>0</v>
      </c>
      <c r="AY72" s="1420">
        <v>70438914.450000003</v>
      </c>
      <c r="AZ72" s="1420">
        <v>73344737.5</v>
      </c>
      <c r="BA72" s="1420">
        <v>702312.3</v>
      </c>
      <c r="BB72" s="1420">
        <v>689151.51</v>
      </c>
      <c r="BC72" s="1422">
        <v>374468</v>
      </c>
      <c r="BD72" s="1422">
        <v>391417</v>
      </c>
      <c r="BE72" s="1420">
        <v>23310.43</v>
      </c>
      <c r="BF72" s="1420">
        <v>89803.07</v>
      </c>
      <c r="BG72" s="1422">
        <v>20323</v>
      </c>
      <c r="BH72" s="1422">
        <v>0</v>
      </c>
      <c r="BI72" s="1422">
        <v>264745</v>
      </c>
      <c r="BJ72" s="1422">
        <v>262627</v>
      </c>
      <c r="BK72" s="1422">
        <v>98741</v>
      </c>
      <c r="BL72" s="1422">
        <v>98741</v>
      </c>
      <c r="BM72" s="1422">
        <v>1895712</v>
      </c>
      <c r="BN72" s="1422">
        <v>2060938</v>
      </c>
      <c r="BO72" s="1420">
        <v>559059.88</v>
      </c>
      <c r="BP72" s="1422">
        <v>378839</v>
      </c>
      <c r="BQ72" s="1420">
        <v>1790279.31</v>
      </c>
      <c r="BR72" s="1420">
        <v>1759999.66</v>
      </c>
      <c r="BS72" s="1420">
        <v>27606.13</v>
      </c>
      <c r="BT72" s="1422">
        <v>27000</v>
      </c>
      <c r="BU72" s="1422">
        <v>0</v>
      </c>
      <c r="BV72" s="1422">
        <v>0</v>
      </c>
      <c r="BW72" s="1422">
        <v>874800</v>
      </c>
      <c r="BX72" s="1422">
        <v>877240</v>
      </c>
      <c r="BY72" s="1422">
        <v>0</v>
      </c>
      <c r="BZ72" s="1422">
        <v>0</v>
      </c>
      <c r="CA72" s="1422">
        <v>257068</v>
      </c>
      <c r="CB72" s="1420">
        <v>4020974.86</v>
      </c>
      <c r="CC72" s="1420">
        <v>6888425.0499999998</v>
      </c>
      <c r="CD72" s="1420">
        <v>10656731.1</v>
      </c>
      <c r="CE72" s="1420">
        <v>11439931.23</v>
      </c>
      <c r="CF72" s="1420">
        <v>9539935.3599999994</v>
      </c>
      <c r="CG72" s="1420">
        <v>38702405.100000001</v>
      </c>
      <c r="CH72" s="1422">
        <v>10800000</v>
      </c>
      <c r="CI72" s="1422">
        <v>0</v>
      </c>
      <c r="CJ72" s="1422">
        <v>0</v>
      </c>
      <c r="CK72" s="1422">
        <v>102297</v>
      </c>
      <c r="CL72" s="1422">
        <v>75000</v>
      </c>
      <c r="CM72" s="1420">
        <v>827091.85</v>
      </c>
      <c r="CN72" s="1422">
        <v>0</v>
      </c>
      <c r="CO72" s="1420">
        <v>7394.09</v>
      </c>
      <c r="CP72" s="1422">
        <v>0</v>
      </c>
      <c r="CQ72" s="1422">
        <v>0</v>
      </c>
      <c r="CR72" s="1422">
        <v>0</v>
      </c>
      <c r="CS72" s="1420">
        <v>39639188.039999999</v>
      </c>
      <c r="CT72" s="1422">
        <v>10875000</v>
      </c>
      <c r="CU72" s="1420">
        <v>128406458.77</v>
      </c>
      <c r="CV72" s="1420">
        <v>104416403.95999999</v>
      </c>
      <c r="CW72" s="1420">
        <v>30127254.079999998</v>
      </c>
      <c r="CX72" s="1420">
        <v>32715960.149999999</v>
      </c>
      <c r="CY72" s="1420">
        <v>6996573.25</v>
      </c>
      <c r="CZ72" s="1420">
        <v>6994306.0899999999</v>
      </c>
      <c r="DA72" s="1420">
        <v>4076259.78</v>
      </c>
      <c r="DB72" s="1420">
        <v>3410386.82</v>
      </c>
      <c r="DC72" s="1420">
        <v>961911.76</v>
      </c>
      <c r="DD72" s="1420">
        <v>895132.9</v>
      </c>
      <c r="DE72" s="1420">
        <v>2256701.52</v>
      </c>
      <c r="DF72" s="1420">
        <v>2261809.6800000002</v>
      </c>
      <c r="DG72" s="1420">
        <v>4313164.97</v>
      </c>
      <c r="DH72" s="1420">
        <v>4429971.8899999997</v>
      </c>
      <c r="DI72" s="1420">
        <v>48731865.359999999</v>
      </c>
      <c r="DJ72" s="1420">
        <v>50707567.530000001</v>
      </c>
      <c r="DK72" s="1420">
        <v>753586.34</v>
      </c>
      <c r="DL72" s="1420">
        <v>709885.97</v>
      </c>
      <c r="DM72" s="1420">
        <v>1854955.16</v>
      </c>
      <c r="DN72" s="1420">
        <v>1776110.11</v>
      </c>
      <c r="DO72" s="1420">
        <v>8408886.6500000004</v>
      </c>
      <c r="DP72" s="1420">
        <v>8527183.7200000007</v>
      </c>
      <c r="DQ72" s="1420">
        <v>2737717.92</v>
      </c>
      <c r="DR72" s="1420">
        <v>2299555.86</v>
      </c>
      <c r="DS72" s="1420">
        <v>216444.26</v>
      </c>
      <c r="DT72" s="1422">
        <v>141814</v>
      </c>
      <c r="DU72" s="1420">
        <v>13971590.33</v>
      </c>
      <c r="DV72" s="1420">
        <v>13454549.66</v>
      </c>
      <c r="DW72" s="1420">
        <v>4295540.3099999996</v>
      </c>
      <c r="DX72" s="1420">
        <v>4311368.24</v>
      </c>
      <c r="DY72" s="1420">
        <v>5991137.5300000003</v>
      </c>
      <c r="DZ72" s="1420">
        <v>6545542.2599999998</v>
      </c>
      <c r="EA72" s="1420">
        <v>4408926.17</v>
      </c>
      <c r="EB72" s="1420">
        <v>4666896.49</v>
      </c>
      <c r="EC72" s="1420">
        <v>14695604.01</v>
      </c>
      <c r="ED72" s="1420">
        <v>15523806.99</v>
      </c>
      <c r="EE72" s="1420">
        <v>4183577.12</v>
      </c>
      <c r="EF72" s="1420">
        <v>4141513.59</v>
      </c>
      <c r="EG72" s="1420">
        <v>11543.9</v>
      </c>
      <c r="EH72" s="1422">
        <v>0</v>
      </c>
      <c r="EI72" s="1420">
        <v>71495.23</v>
      </c>
      <c r="EJ72" s="1422">
        <v>65882</v>
      </c>
      <c r="EK72" s="1422">
        <v>0</v>
      </c>
      <c r="EL72" s="1422">
        <v>0</v>
      </c>
      <c r="EM72" s="1420">
        <v>4266616.25</v>
      </c>
      <c r="EN72" s="1420">
        <v>4207395.59</v>
      </c>
      <c r="EO72" s="1420">
        <v>5851238.8200000003</v>
      </c>
      <c r="EP72" s="1420">
        <v>48666405.299999997</v>
      </c>
      <c r="EQ72" s="1420">
        <v>6361682.5300000003</v>
      </c>
      <c r="ER72" s="1420">
        <v>8590132.0399999991</v>
      </c>
      <c r="ES72" s="1420">
        <v>36404.68</v>
      </c>
      <c r="ET72" s="1422">
        <v>0</v>
      </c>
      <c r="EU72" s="1420">
        <v>93915001.980000004</v>
      </c>
      <c r="EV72" s="1420">
        <v>141149857.11000001</v>
      </c>
      <c r="EW72" s="1420">
        <v>7249779.3700000001</v>
      </c>
      <c r="EX72" s="1420">
        <v>49335809.719999999</v>
      </c>
      <c r="EY72" s="1420">
        <v>6361682.5300000003</v>
      </c>
      <c r="EZ72" s="1420">
        <v>8590132.0399999991</v>
      </c>
      <c r="FA72" s="1420">
        <v>80303540.079999998</v>
      </c>
      <c r="FB72" s="1420">
        <v>83223915.349999994</v>
      </c>
      <c r="FC72" s="1420">
        <v>5686920.7000000002</v>
      </c>
      <c r="FD72" s="1439"/>
      <c r="FE72" s="1420">
        <v>74616619.379999995</v>
      </c>
      <c r="FF72" s="1439"/>
      <c r="FG72" s="1422">
        <v>8470</v>
      </c>
      <c r="FH72" s="1439"/>
      <c r="FI72" s="1420">
        <v>608.54999999999995</v>
      </c>
      <c r="FJ72" s="1439"/>
      <c r="FK72" s="1422">
        <v>52390</v>
      </c>
      <c r="FL72" s="1439"/>
      <c r="FM72" s="1420">
        <v>651.95000000000005</v>
      </c>
      <c r="FN72" s="1439"/>
      <c r="FO72" s="1422">
        <v>54811</v>
      </c>
      <c r="FP72" s="1439"/>
      <c r="FQ72" s="1422">
        <v>6000000</v>
      </c>
      <c r="FR72" s="1439"/>
      <c r="FS72" s="1420">
        <v>696889.43</v>
      </c>
      <c r="FT72" s="1439"/>
      <c r="FU72" s="1422">
        <v>0</v>
      </c>
      <c r="FV72" s="1439"/>
      <c r="FW72" s="1420">
        <v>5303110.57</v>
      </c>
      <c r="FX72" s="1439"/>
      <c r="FY72" s="1420">
        <v>38038440.840000004</v>
      </c>
      <c r="FZ72" s="1439"/>
      <c r="GA72" s="1422">
        <v>0</v>
      </c>
      <c r="GB72" s="1439"/>
    </row>
    <row r="73" spans="1:184" ht="12.75" customHeight="1" thickBot="1">
      <c r="A73" s="1418" t="s">
        <v>543</v>
      </c>
      <c r="B73" s="1418" t="s">
        <v>544</v>
      </c>
      <c r="C73" s="1420">
        <v>141.11000000000001</v>
      </c>
      <c r="D73" s="1439"/>
      <c r="E73" s="1420">
        <v>2910.82</v>
      </c>
      <c r="F73" s="1439"/>
      <c r="G73" s="1421">
        <v>0.19</v>
      </c>
      <c r="H73" s="1439"/>
      <c r="I73" s="1420">
        <v>3076.17</v>
      </c>
      <c r="J73" s="1439"/>
      <c r="K73" s="1420">
        <v>3044.17</v>
      </c>
      <c r="L73" s="1439"/>
      <c r="M73" s="1422">
        <v>194955687</v>
      </c>
      <c r="N73" s="1439"/>
      <c r="O73" s="1422">
        <v>25</v>
      </c>
      <c r="P73" s="1439"/>
      <c r="Q73" s="1422">
        <v>25</v>
      </c>
      <c r="R73" s="1439"/>
      <c r="S73" s="1422">
        <v>0</v>
      </c>
      <c r="T73" s="1439"/>
      <c r="U73" s="1422">
        <v>0</v>
      </c>
      <c r="V73" s="1439"/>
      <c r="W73" s="1422">
        <v>13</v>
      </c>
      <c r="X73" s="1439"/>
      <c r="Y73" s="1422">
        <v>38</v>
      </c>
      <c r="Z73" s="1439"/>
      <c r="AA73" s="1420">
        <v>28968720.670000002</v>
      </c>
      <c r="AB73" s="1439"/>
      <c r="AC73" s="1420">
        <v>6648823.3700000001</v>
      </c>
      <c r="AD73" s="1420">
        <v>7939131.6600000001</v>
      </c>
      <c r="AE73" s="1420">
        <v>1361332.29</v>
      </c>
      <c r="AF73" s="1420">
        <v>706445.77</v>
      </c>
      <c r="AG73" s="1420">
        <v>16709.240000000002</v>
      </c>
      <c r="AH73" s="1422">
        <v>0</v>
      </c>
      <c r="AI73" s="1422">
        <v>13984742</v>
      </c>
      <c r="AJ73" s="1422">
        <v>14133550</v>
      </c>
      <c r="AK73" s="1422">
        <v>45785</v>
      </c>
      <c r="AL73" s="1422">
        <v>0</v>
      </c>
      <c r="AM73" s="1422">
        <v>192450</v>
      </c>
      <c r="AN73" s="1422">
        <v>307200</v>
      </c>
      <c r="AO73" s="1422">
        <v>0</v>
      </c>
      <c r="AP73" s="1422">
        <v>0</v>
      </c>
      <c r="AQ73" s="1422">
        <v>0</v>
      </c>
      <c r="AR73" s="1422">
        <v>0</v>
      </c>
      <c r="AS73" s="1422">
        <v>0</v>
      </c>
      <c r="AT73" s="1422">
        <v>0</v>
      </c>
      <c r="AU73" s="1422">
        <v>56023</v>
      </c>
      <c r="AV73" s="1422">
        <v>44818</v>
      </c>
      <c r="AW73" s="1422">
        <v>0</v>
      </c>
      <c r="AX73" s="1422">
        <v>0</v>
      </c>
      <c r="AY73" s="1420">
        <v>22305864.899999999</v>
      </c>
      <c r="AZ73" s="1420">
        <v>23131145.43</v>
      </c>
      <c r="BA73" s="1422">
        <v>0</v>
      </c>
      <c r="BB73" s="1422">
        <v>0</v>
      </c>
      <c r="BC73" s="1422">
        <v>125907</v>
      </c>
      <c r="BD73" s="1422">
        <v>130437</v>
      </c>
      <c r="BE73" s="1420">
        <v>6726.62</v>
      </c>
      <c r="BF73" s="1422">
        <v>20600</v>
      </c>
      <c r="BG73" s="1422">
        <v>8672</v>
      </c>
      <c r="BH73" s="1422">
        <v>0</v>
      </c>
      <c r="BI73" s="1422">
        <v>63180</v>
      </c>
      <c r="BJ73" s="1422">
        <v>18528</v>
      </c>
      <c r="BK73" s="1422">
        <v>11134</v>
      </c>
      <c r="BL73" s="1422">
        <v>11134</v>
      </c>
      <c r="BM73" s="1422">
        <v>597290</v>
      </c>
      <c r="BN73" s="1422">
        <v>589490</v>
      </c>
      <c r="BO73" s="1420">
        <v>405050.47</v>
      </c>
      <c r="BP73" s="1422">
        <v>0</v>
      </c>
      <c r="BQ73" s="1420">
        <v>20041.759999999998</v>
      </c>
      <c r="BR73" s="1420">
        <v>44416.78</v>
      </c>
      <c r="BS73" s="1420">
        <v>9927.14</v>
      </c>
      <c r="BT73" s="1422">
        <v>3000</v>
      </c>
      <c r="BU73" s="1422">
        <v>0</v>
      </c>
      <c r="BV73" s="1422">
        <v>0</v>
      </c>
      <c r="BW73" s="1422">
        <v>622350</v>
      </c>
      <c r="BX73" s="1422">
        <v>622350</v>
      </c>
      <c r="BY73" s="1422">
        <v>0</v>
      </c>
      <c r="BZ73" s="1422">
        <v>0</v>
      </c>
      <c r="CA73" s="1420">
        <v>1482835.23</v>
      </c>
      <c r="CB73" s="1420">
        <v>2749296.14</v>
      </c>
      <c r="CC73" s="1420">
        <v>3353114.22</v>
      </c>
      <c r="CD73" s="1420">
        <v>4189251.92</v>
      </c>
      <c r="CE73" s="1420">
        <v>2935281.42</v>
      </c>
      <c r="CF73" s="1420">
        <v>1832208.71</v>
      </c>
      <c r="CG73" s="1420">
        <v>3037200.88</v>
      </c>
      <c r="CH73" s="1420">
        <v>2715714.1</v>
      </c>
      <c r="CI73" s="1422">
        <v>0</v>
      </c>
      <c r="CJ73" s="1422">
        <v>0</v>
      </c>
      <c r="CK73" s="1422">
        <v>0</v>
      </c>
      <c r="CL73" s="1422">
        <v>0</v>
      </c>
      <c r="CM73" s="1422">
        <v>0</v>
      </c>
      <c r="CN73" s="1422">
        <v>0</v>
      </c>
      <c r="CO73" s="1422">
        <v>0</v>
      </c>
      <c r="CP73" s="1422">
        <v>0</v>
      </c>
      <c r="CQ73" s="1422">
        <v>0</v>
      </c>
      <c r="CR73" s="1422">
        <v>0</v>
      </c>
      <c r="CS73" s="1420">
        <v>3037200.88</v>
      </c>
      <c r="CT73" s="1420">
        <v>2715714.1</v>
      </c>
      <c r="CU73" s="1420">
        <v>31631461.420000002</v>
      </c>
      <c r="CV73" s="1420">
        <v>31868320.16</v>
      </c>
      <c r="CW73" s="1420">
        <v>11611302.439999999</v>
      </c>
      <c r="CX73" s="1420">
        <v>10946006.65</v>
      </c>
      <c r="CY73" s="1420">
        <v>2091408.68</v>
      </c>
      <c r="CZ73" s="1420">
        <v>2076998.89</v>
      </c>
      <c r="DA73" s="1420">
        <v>636908.36</v>
      </c>
      <c r="DB73" s="1420">
        <v>620000.62</v>
      </c>
      <c r="DC73" s="1422">
        <v>0</v>
      </c>
      <c r="DD73" s="1422">
        <v>0</v>
      </c>
      <c r="DE73" s="1420">
        <v>175482.53</v>
      </c>
      <c r="DF73" s="1420">
        <v>246618.85</v>
      </c>
      <c r="DG73" s="1420">
        <v>507796.15</v>
      </c>
      <c r="DH73" s="1420">
        <v>497032.37</v>
      </c>
      <c r="DI73" s="1420">
        <v>15022898.16</v>
      </c>
      <c r="DJ73" s="1420">
        <v>14386657.380000001</v>
      </c>
      <c r="DK73" s="1420">
        <v>530305.80000000005</v>
      </c>
      <c r="DL73" s="1420">
        <v>542422.6</v>
      </c>
      <c r="DM73" s="1420">
        <v>503411.49</v>
      </c>
      <c r="DN73" s="1420">
        <v>829558.99</v>
      </c>
      <c r="DO73" s="1420">
        <v>1789539.6</v>
      </c>
      <c r="DP73" s="1420">
        <v>2088331.23</v>
      </c>
      <c r="DQ73" s="1420">
        <v>879673.58</v>
      </c>
      <c r="DR73" s="1420">
        <v>1049401.68</v>
      </c>
      <c r="DS73" s="1420">
        <v>68310.820000000007</v>
      </c>
      <c r="DT73" s="1422">
        <v>27500</v>
      </c>
      <c r="DU73" s="1420">
        <v>3771241.29</v>
      </c>
      <c r="DV73" s="1420">
        <v>4537214.5</v>
      </c>
      <c r="DW73" s="1420">
        <v>1362918.81</v>
      </c>
      <c r="DX73" s="1420">
        <v>1510551.83</v>
      </c>
      <c r="DY73" s="1420">
        <v>1669673.83</v>
      </c>
      <c r="DZ73" s="1420">
        <v>1495386.5</v>
      </c>
      <c r="EA73" s="1420">
        <v>1213754.56</v>
      </c>
      <c r="EB73" s="1420">
        <v>1290672.51</v>
      </c>
      <c r="EC73" s="1420">
        <v>4246347.2</v>
      </c>
      <c r="ED73" s="1420">
        <v>4296610.84</v>
      </c>
      <c r="EE73" s="1420">
        <v>1148356.73</v>
      </c>
      <c r="EF73" s="1420">
        <v>1133268.94</v>
      </c>
      <c r="EG73" s="1422">
        <v>0</v>
      </c>
      <c r="EH73" s="1422">
        <v>0</v>
      </c>
      <c r="EI73" s="1420">
        <v>2790.17</v>
      </c>
      <c r="EJ73" s="1422">
        <v>3750</v>
      </c>
      <c r="EK73" s="1422">
        <v>0</v>
      </c>
      <c r="EL73" s="1422">
        <v>0</v>
      </c>
      <c r="EM73" s="1420">
        <v>1151146.8999999999</v>
      </c>
      <c r="EN73" s="1420">
        <v>1137018.94</v>
      </c>
      <c r="EO73" s="1420">
        <v>4324598.58</v>
      </c>
      <c r="EP73" s="1420">
        <v>8187390.8600000003</v>
      </c>
      <c r="EQ73" s="1420">
        <v>2010770.76</v>
      </c>
      <c r="ER73" s="1420">
        <v>1932158.79</v>
      </c>
      <c r="ES73" s="1422">
        <v>115173</v>
      </c>
      <c r="ET73" s="1422">
        <v>0</v>
      </c>
      <c r="EU73" s="1420">
        <v>30642175.890000001</v>
      </c>
      <c r="EV73" s="1420">
        <v>34477051.310000002</v>
      </c>
      <c r="EW73" s="1420">
        <v>4698294.7300000004</v>
      </c>
      <c r="EX73" s="1420">
        <v>8782348.6600000001</v>
      </c>
      <c r="EY73" s="1420">
        <v>2010770.76</v>
      </c>
      <c r="EZ73" s="1420">
        <v>1932158.79</v>
      </c>
      <c r="FA73" s="1420">
        <v>23933110.399999999</v>
      </c>
      <c r="FB73" s="1420">
        <v>23762543.859999999</v>
      </c>
      <c r="FC73" s="1420">
        <v>1843393.35</v>
      </c>
      <c r="FD73" s="1439"/>
      <c r="FE73" s="1420">
        <v>22089717.050000001</v>
      </c>
      <c r="FF73" s="1439"/>
      <c r="FG73" s="1422">
        <v>7588</v>
      </c>
      <c r="FH73" s="1439"/>
      <c r="FI73" s="1420">
        <v>200.85</v>
      </c>
      <c r="FJ73" s="1439"/>
      <c r="FK73" s="1422">
        <v>49640</v>
      </c>
      <c r="FL73" s="1439"/>
      <c r="FM73" s="1420">
        <v>217.63</v>
      </c>
      <c r="FN73" s="1439"/>
      <c r="FO73" s="1422">
        <v>51830</v>
      </c>
      <c r="FP73" s="1439"/>
      <c r="FQ73" s="1420">
        <v>2844319.25</v>
      </c>
      <c r="FR73" s="1439"/>
      <c r="FS73" s="1420">
        <v>14970.48</v>
      </c>
      <c r="FT73" s="1439"/>
      <c r="FU73" s="1422">
        <v>0</v>
      </c>
      <c r="FV73" s="1439"/>
      <c r="FW73" s="1420">
        <v>2829348.77</v>
      </c>
      <c r="FX73" s="1439"/>
      <c r="FY73" s="1420">
        <v>2706371.78</v>
      </c>
      <c r="FZ73" s="1439"/>
      <c r="GA73" s="1422">
        <v>0</v>
      </c>
      <c r="GB73" s="1439"/>
    </row>
    <row r="74" spans="1:184" ht="12.75" customHeight="1" thickBot="1">
      <c r="A74" s="1418" t="s">
        <v>545</v>
      </c>
      <c r="B74" s="1418" t="s">
        <v>546</v>
      </c>
      <c r="C74" s="1420">
        <v>46.69</v>
      </c>
      <c r="D74" s="1439"/>
      <c r="E74" s="1420">
        <v>403.32</v>
      </c>
      <c r="F74" s="1439"/>
      <c r="G74" s="1421">
        <v>0.01</v>
      </c>
      <c r="H74" s="1439"/>
      <c r="I74" s="1420">
        <v>433.19</v>
      </c>
      <c r="J74" s="1439"/>
      <c r="K74" s="1420">
        <v>458.04</v>
      </c>
      <c r="L74" s="1439"/>
      <c r="M74" s="1422">
        <v>40710769</v>
      </c>
      <c r="N74" s="1439"/>
      <c r="O74" s="1422">
        <v>25</v>
      </c>
      <c r="P74" s="1439"/>
      <c r="Q74" s="1422">
        <v>25</v>
      </c>
      <c r="R74" s="1439"/>
      <c r="S74" s="1422">
        <v>0</v>
      </c>
      <c r="T74" s="1439"/>
      <c r="U74" s="1422">
        <v>0</v>
      </c>
      <c r="V74" s="1439"/>
      <c r="W74" s="1420">
        <v>14.6</v>
      </c>
      <c r="X74" s="1439"/>
      <c r="Y74" s="1420">
        <v>39.6</v>
      </c>
      <c r="Z74" s="1439"/>
      <c r="AA74" s="1422">
        <v>2810000</v>
      </c>
      <c r="AB74" s="1439"/>
      <c r="AC74" s="1420">
        <v>1346168.91</v>
      </c>
      <c r="AD74" s="1420">
        <v>1531830.17</v>
      </c>
      <c r="AE74" s="1420">
        <v>224992.38</v>
      </c>
      <c r="AF74" s="1420">
        <v>125727.62</v>
      </c>
      <c r="AG74" s="1422">
        <v>0</v>
      </c>
      <c r="AH74" s="1422">
        <v>0</v>
      </c>
      <c r="AI74" s="1422">
        <v>1961429</v>
      </c>
      <c r="AJ74" s="1422">
        <v>1682155</v>
      </c>
      <c r="AK74" s="1422">
        <v>4119</v>
      </c>
      <c r="AL74" s="1422">
        <v>0</v>
      </c>
      <c r="AM74" s="1422">
        <v>0</v>
      </c>
      <c r="AN74" s="1422">
        <v>0</v>
      </c>
      <c r="AO74" s="1422">
        <v>0</v>
      </c>
      <c r="AP74" s="1422">
        <v>62976</v>
      </c>
      <c r="AQ74" s="1422">
        <v>0</v>
      </c>
      <c r="AR74" s="1422">
        <v>0</v>
      </c>
      <c r="AS74" s="1422">
        <v>0</v>
      </c>
      <c r="AT74" s="1422">
        <v>0</v>
      </c>
      <c r="AU74" s="1422">
        <v>19205</v>
      </c>
      <c r="AV74" s="1422">
        <v>15364</v>
      </c>
      <c r="AW74" s="1422">
        <v>0</v>
      </c>
      <c r="AX74" s="1422">
        <v>0</v>
      </c>
      <c r="AY74" s="1420">
        <v>3555914.29</v>
      </c>
      <c r="AZ74" s="1420">
        <v>3418052.79</v>
      </c>
      <c r="BA74" s="1422">
        <v>0</v>
      </c>
      <c r="BB74" s="1422">
        <v>0</v>
      </c>
      <c r="BC74" s="1422">
        <v>18945</v>
      </c>
      <c r="BD74" s="1422">
        <v>18543</v>
      </c>
      <c r="BE74" s="1420">
        <v>1126.6199999999999</v>
      </c>
      <c r="BF74" s="1422">
        <v>0</v>
      </c>
      <c r="BG74" s="1422">
        <v>150</v>
      </c>
      <c r="BH74" s="1422">
        <v>0</v>
      </c>
      <c r="BI74" s="1422">
        <v>35592</v>
      </c>
      <c r="BJ74" s="1422">
        <v>25160</v>
      </c>
      <c r="BK74" s="1422">
        <v>0</v>
      </c>
      <c r="BL74" s="1422">
        <v>0</v>
      </c>
      <c r="BM74" s="1422">
        <v>147808</v>
      </c>
      <c r="BN74" s="1422">
        <v>140668</v>
      </c>
      <c r="BO74" s="1420">
        <v>1876.42</v>
      </c>
      <c r="BP74" s="1422">
        <v>0</v>
      </c>
      <c r="BQ74" s="1420">
        <v>9208.56</v>
      </c>
      <c r="BR74" s="1420">
        <v>17063.150000000001</v>
      </c>
      <c r="BS74" s="1420">
        <v>1590.57</v>
      </c>
      <c r="BT74" s="1422">
        <v>0</v>
      </c>
      <c r="BU74" s="1422">
        <v>0</v>
      </c>
      <c r="BV74" s="1422">
        <v>0</v>
      </c>
      <c r="BW74" s="1422">
        <v>72318</v>
      </c>
      <c r="BX74" s="1422">
        <v>72900</v>
      </c>
      <c r="BY74" s="1422">
        <v>0</v>
      </c>
      <c r="BZ74" s="1422">
        <v>0</v>
      </c>
      <c r="CA74" s="1420">
        <v>45864.87</v>
      </c>
      <c r="CB74" s="1420">
        <v>23263.3</v>
      </c>
      <c r="CC74" s="1420">
        <v>334480.03999999998</v>
      </c>
      <c r="CD74" s="1420">
        <v>297597.45</v>
      </c>
      <c r="CE74" s="1420">
        <v>687819.18</v>
      </c>
      <c r="CF74" s="1420">
        <v>487633.27</v>
      </c>
      <c r="CG74" s="1420">
        <v>8298.44</v>
      </c>
      <c r="CH74" s="1422">
        <v>0</v>
      </c>
      <c r="CI74" s="1422">
        <v>0</v>
      </c>
      <c r="CJ74" s="1422">
        <v>0</v>
      </c>
      <c r="CK74" s="1422">
        <v>0</v>
      </c>
      <c r="CL74" s="1422">
        <v>0</v>
      </c>
      <c r="CM74" s="1422">
        <v>2000</v>
      </c>
      <c r="CN74" s="1422">
        <v>0</v>
      </c>
      <c r="CO74" s="1420">
        <v>6748.8</v>
      </c>
      <c r="CP74" s="1422">
        <v>0</v>
      </c>
      <c r="CQ74" s="1422">
        <v>0</v>
      </c>
      <c r="CR74" s="1422">
        <v>24000</v>
      </c>
      <c r="CS74" s="1420">
        <v>17047.240000000002</v>
      </c>
      <c r="CT74" s="1422">
        <v>24000</v>
      </c>
      <c r="CU74" s="1420">
        <v>4595260.75</v>
      </c>
      <c r="CV74" s="1420">
        <v>4227283.51</v>
      </c>
      <c r="CW74" s="1420">
        <v>1920053.04</v>
      </c>
      <c r="CX74" s="1420">
        <v>1712360.24</v>
      </c>
      <c r="CY74" s="1420">
        <v>266790.67</v>
      </c>
      <c r="CZ74" s="1420">
        <v>258375.12</v>
      </c>
      <c r="DA74" s="1420">
        <v>183086.6</v>
      </c>
      <c r="DB74" s="1420">
        <v>186090.11</v>
      </c>
      <c r="DC74" s="1422">
        <v>0</v>
      </c>
      <c r="DD74" s="1422">
        <v>0</v>
      </c>
      <c r="DE74" s="1422">
        <v>34466</v>
      </c>
      <c r="DF74" s="1420">
        <v>81533.100000000006</v>
      </c>
      <c r="DG74" s="1420">
        <v>38637.81</v>
      </c>
      <c r="DH74" s="1422">
        <v>62717</v>
      </c>
      <c r="DI74" s="1420">
        <v>2443034.12</v>
      </c>
      <c r="DJ74" s="1420">
        <v>2301075.5699999998</v>
      </c>
      <c r="DK74" s="1420">
        <v>161666.9</v>
      </c>
      <c r="DL74" s="1420">
        <v>155695.25</v>
      </c>
      <c r="DM74" s="1420">
        <v>81981.490000000005</v>
      </c>
      <c r="DN74" s="1420">
        <v>78265.47</v>
      </c>
      <c r="DO74" s="1420">
        <v>451399.45</v>
      </c>
      <c r="DP74" s="1420">
        <v>447243.38</v>
      </c>
      <c r="DQ74" s="1420">
        <v>182566.59</v>
      </c>
      <c r="DR74" s="1420">
        <v>173655.07</v>
      </c>
      <c r="DS74" s="1420">
        <v>13384.36</v>
      </c>
      <c r="DT74" s="1422">
        <v>4000</v>
      </c>
      <c r="DU74" s="1420">
        <v>890998.79</v>
      </c>
      <c r="DV74" s="1420">
        <v>858859.17</v>
      </c>
      <c r="DW74" s="1420">
        <v>201319.85</v>
      </c>
      <c r="DX74" s="1420">
        <v>194448.99</v>
      </c>
      <c r="DY74" s="1420">
        <v>399803.98</v>
      </c>
      <c r="DZ74" s="1420">
        <v>296868.11</v>
      </c>
      <c r="EA74" s="1420">
        <v>217302.57</v>
      </c>
      <c r="EB74" s="1420">
        <v>151412.57</v>
      </c>
      <c r="EC74" s="1420">
        <v>818426.4</v>
      </c>
      <c r="ED74" s="1420">
        <v>642729.67000000004</v>
      </c>
      <c r="EE74" s="1420">
        <v>226044.63</v>
      </c>
      <c r="EF74" s="1420">
        <v>216596.49</v>
      </c>
      <c r="EG74" s="1422">
        <v>0</v>
      </c>
      <c r="EH74" s="1422">
        <v>0</v>
      </c>
      <c r="EI74" s="1422">
        <v>0</v>
      </c>
      <c r="EJ74" s="1422">
        <v>500</v>
      </c>
      <c r="EK74" s="1422">
        <v>0</v>
      </c>
      <c r="EL74" s="1422">
        <v>0</v>
      </c>
      <c r="EM74" s="1420">
        <v>226044.63</v>
      </c>
      <c r="EN74" s="1420">
        <v>217096.49</v>
      </c>
      <c r="EO74" s="1420">
        <v>58049.26</v>
      </c>
      <c r="EP74" s="1420">
        <v>14576.56</v>
      </c>
      <c r="EQ74" s="1420">
        <v>91989.17</v>
      </c>
      <c r="ER74" s="1422">
        <v>102475</v>
      </c>
      <c r="ES74" s="1422">
        <v>76545</v>
      </c>
      <c r="ET74" s="1422">
        <v>0</v>
      </c>
      <c r="EU74" s="1420">
        <v>4605087.37</v>
      </c>
      <c r="EV74" s="1420">
        <v>4136812.46</v>
      </c>
      <c r="EW74" s="1420">
        <v>110917.12</v>
      </c>
      <c r="EX74" s="1420">
        <v>45112.23</v>
      </c>
      <c r="EY74" s="1420">
        <v>91989.17</v>
      </c>
      <c r="EZ74" s="1422">
        <v>102475</v>
      </c>
      <c r="FA74" s="1420">
        <v>4402181.08</v>
      </c>
      <c r="FB74" s="1420">
        <v>3989225.23</v>
      </c>
      <c r="FC74" s="1420">
        <v>409257.01</v>
      </c>
      <c r="FD74" s="1439"/>
      <c r="FE74" s="1420">
        <v>3992924.07</v>
      </c>
      <c r="FF74" s="1439"/>
      <c r="FG74" s="1422">
        <v>9900</v>
      </c>
      <c r="FH74" s="1439"/>
      <c r="FI74" s="1420">
        <v>37.39</v>
      </c>
      <c r="FJ74" s="1439"/>
      <c r="FK74" s="1422">
        <v>40477</v>
      </c>
      <c r="FL74" s="1439"/>
      <c r="FM74" s="1420">
        <v>39.880000000000003</v>
      </c>
      <c r="FN74" s="1439"/>
      <c r="FO74" s="1422">
        <v>44080</v>
      </c>
      <c r="FP74" s="1439"/>
      <c r="FQ74" s="1420">
        <v>659738.98</v>
      </c>
      <c r="FR74" s="1439"/>
      <c r="FS74" s="1422">
        <v>0</v>
      </c>
      <c r="FT74" s="1439"/>
      <c r="FU74" s="1422">
        <v>0</v>
      </c>
      <c r="FV74" s="1439"/>
      <c r="FW74" s="1420">
        <v>659738.98</v>
      </c>
      <c r="FX74" s="1439"/>
      <c r="FY74" s="1420">
        <v>19327.95</v>
      </c>
      <c r="FZ74" s="1439"/>
      <c r="GA74" s="1422">
        <v>0</v>
      </c>
      <c r="GB74" s="1439"/>
    </row>
    <row r="75" spans="1:184" ht="12.75" customHeight="1" thickBot="1">
      <c r="A75" s="1418" t="s">
        <v>547</v>
      </c>
      <c r="B75" s="1418" t="s">
        <v>548</v>
      </c>
      <c r="C75" s="1420">
        <v>83.87</v>
      </c>
      <c r="D75" s="1439"/>
      <c r="E75" s="1420">
        <v>984.31</v>
      </c>
      <c r="F75" s="1439"/>
      <c r="G75" s="1421">
        <v>0.1</v>
      </c>
      <c r="H75" s="1439"/>
      <c r="I75" s="1420">
        <v>1058.0999999999999</v>
      </c>
      <c r="J75" s="1439"/>
      <c r="K75" s="1420">
        <v>1021.21</v>
      </c>
      <c r="L75" s="1439"/>
      <c r="M75" s="1422">
        <v>66306966</v>
      </c>
      <c r="N75" s="1439"/>
      <c r="O75" s="1422">
        <v>25</v>
      </c>
      <c r="P75" s="1439"/>
      <c r="Q75" s="1422">
        <v>25</v>
      </c>
      <c r="R75" s="1439"/>
      <c r="S75" s="1422">
        <v>0</v>
      </c>
      <c r="T75" s="1439"/>
      <c r="U75" s="1422">
        <v>0</v>
      </c>
      <c r="V75" s="1439"/>
      <c r="W75" s="1420">
        <v>15.5</v>
      </c>
      <c r="X75" s="1439"/>
      <c r="Y75" s="1420">
        <v>40.5</v>
      </c>
      <c r="Z75" s="1439"/>
      <c r="AA75" s="1420">
        <v>10445280.779999999</v>
      </c>
      <c r="AB75" s="1439"/>
      <c r="AC75" s="1420">
        <v>2509643.9900000002</v>
      </c>
      <c r="AD75" s="1422">
        <v>2349000</v>
      </c>
      <c r="AE75" s="1422">
        <v>606391</v>
      </c>
      <c r="AF75" s="1422">
        <v>269260</v>
      </c>
      <c r="AG75" s="1420">
        <v>5768.93</v>
      </c>
      <c r="AH75" s="1422">
        <v>3000</v>
      </c>
      <c r="AI75" s="1422">
        <v>4602791</v>
      </c>
      <c r="AJ75" s="1422">
        <v>4883757</v>
      </c>
      <c r="AK75" s="1422">
        <v>0</v>
      </c>
      <c r="AL75" s="1422">
        <v>0</v>
      </c>
      <c r="AM75" s="1422">
        <v>222008</v>
      </c>
      <c r="AN75" s="1422">
        <v>0</v>
      </c>
      <c r="AO75" s="1422">
        <v>0</v>
      </c>
      <c r="AP75" s="1422">
        <v>0</v>
      </c>
      <c r="AQ75" s="1422">
        <v>0</v>
      </c>
      <c r="AR75" s="1422">
        <v>0</v>
      </c>
      <c r="AS75" s="1422">
        <v>0</v>
      </c>
      <c r="AT75" s="1422">
        <v>0</v>
      </c>
      <c r="AU75" s="1422">
        <v>2069</v>
      </c>
      <c r="AV75" s="1422">
        <v>1655</v>
      </c>
      <c r="AW75" s="1422">
        <v>0</v>
      </c>
      <c r="AX75" s="1422">
        <v>0</v>
      </c>
      <c r="AY75" s="1420">
        <v>7948671.9199999999</v>
      </c>
      <c r="AZ75" s="1422">
        <v>7506672</v>
      </c>
      <c r="BA75" s="1422">
        <v>0</v>
      </c>
      <c r="BB75" s="1422">
        <v>0</v>
      </c>
      <c r="BC75" s="1422">
        <v>42237</v>
      </c>
      <c r="BD75" s="1422">
        <v>44893</v>
      </c>
      <c r="BE75" s="1420">
        <v>9175.3700000000008</v>
      </c>
      <c r="BF75" s="1422">
        <v>5000</v>
      </c>
      <c r="BG75" s="1422">
        <v>785</v>
      </c>
      <c r="BH75" s="1422">
        <v>150</v>
      </c>
      <c r="BI75" s="1422">
        <v>37664</v>
      </c>
      <c r="BJ75" s="1422">
        <v>29264</v>
      </c>
      <c r="BK75" s="1422">
        <v>0</v>
      </c>
      <c r="BL75" s="1422">
        <v>0</v>
      </c>
      <c r="BM75" s="1422">
        <v>269328</v>
      </c>
      <c r="BN75" s="1422">
        <v>287914</v>
      </c>
      <c r="BO75" s="1420">
        <v>89498.12</v>
      </c>
      <c r="BP75" s="1420">
        <v>84418.92</v>
      </c>
      <c r="BQ75" s="1420">
        <v>7041.76</v>
      </c>
      <c r="BR75" s="1420">
        <v>11375.33</v>
      </c>
      <c r="BS75" s="1420">
        <v>3157.59</v>
      </c>
      <c r="BT75" s="1422">
        <v>2500</v>
      </c>
      <c r="BU75" s="1422">
        <v>0</v>
      </c>
      <c r="BV75" s="1422">
        <v>0</v>
      </c>
      <c r="BW75" s="1422">
        <v>145800</v>
      </c>
      <c r="BX75" s="1422">
        <v>145800</v>
      </c>
      <c r="BY75" s="1422">
        <v>0</v>
      </c>
      <c r="BZ75" s="1422">
        <v>0</v>
      </c>
      <c r="CA75" s="1420">
        <v>713286.66</v>
      </c>
      <c r="CB75" s="1420">
        <v>1322244.3400000001</v>
      </c>
      <c r="CC75" s="1420">
        <v>1317973.5</v>
      </c>
      <c r="CD75" s="1420">
        <v>1933559.59</v>
      </c>
      <c r="CE75" s="1420">
        <v>1221331.1399999999</v>
      </c>
      <c r="CF75" s="1420">
        <v>1232715.58</v>
      </c>
      <c r="CG75" s="1420">
        <v>3538552.23</v>
      </c>
      <c r="CH75" s="1422">
        <v>0</v>
      </c>
      <c r="CI75" s="1422">
        <v>0</v>
      </c>
      <c r="CJ75" s="1422">
        <v>0</v>
      </c>
      <c r="CK75" s="1420">
        <v>477.81</v>
      </c>
      <c r="CL75" s="1422">
        <v>500</v>
      </c>
      <c r="CM75" s="1422">
        <v>0</v>
      </c>
      <c r="CN75" s="1422">
        <v>0</v>
      </c>
      <c r="CO75" s="1422">
        <v>0</v>
      </c>
      <c r="CP75" s="1422">
        <v>0</v>
      </c>
      <c r="CQ75" s="1422">
        <v>0</v>
      </c>
      <c r="CR75" s="1422">
        <v>0</v>
      </c>
      <c r="CS75" s="1420">
        <v>3539030.04</v>
      </c>
      <c r="CT75" s="1422">
        <v>500</v>
      </c>
      <c r="CU75" s="1420">
        <v>14027006.6</v>
      </c>
      <c r="CV75" s="1420">
        <v>10673447.17</v>
      </c>
      <c r="CW75" s="1420">
        <v>3648197.28</v>
      </c>
      <c r="CX75" s="1420">
        <v>3885778.45</v>
      </c>
      <c r="CY75" s="1420">
        <v>569873.65</v>
      </c>
      <c r="CZ75" s="1420">
        <v>551194.78</v>
      </c>
      <c r="DA75" s="1420">
        <v>105131.37</v>
      </c>
      <c r="DB75" s="1420">
        <v>113500.29</v>
      </c>
      <c r="DC75" s="1422">
        <v>0</v>
      </c>
      <c r="DD75" s="1422">
        <v>0</v>
      </c>
      <c r="DE75" s="1420">
        <v>257019.07</v>
      </c>
      <c r="DF75" s="1420">
        <v>195747.62</v>
      </c>
      <c r="DG75" s="1420">
        <v>188565.38</v>
      </c>
      <c r="DH75" s="1420">
        <v>203244.11</v>
      </c>
      <c r="DI75" s="1420">
        <v>4768786.75</v>
      </c>
      <c r="DJ75" s="1420">
        <v>4949465.25</v>
      </c>
      <c r="DK75" s="1420">
        <v>225313.97</v>
      </c>
      <c r="DL75" s="1420">
        <v>339823.77</v>
      </c>
      <c r="DM75" s="1420">
        <v>288727.82</v>
      </c>
      <c r="DN75" s="1420">
        <v>305769.76</v>
      </c>
      <c r="DO75" s="1420">
        <v>795962.96</v>
      </c>
      <c r="DP75" s="1420">
        <v>914906.95</v>
      </c>
      <c r="DQ75" s="1420">
        <v>465417.98</v>
      </c>
      <c r="DR75" s="1420">
        <v>575018.81999999995</v>
      </c>
      <c r="DS75" s="1420">
        <v>33408.26</v>
      </c>
      <c r="DT75" s="1422">
        <v>16583</v>
      </c>
      <c r="DU75" s="1420">
        <v>1808830.99</v>
      </c>
      <c r="DV75" s="1420">
        <v>2152102.2999999998</v>
      </c>
      <c r="DW75" s="1420">
        <v>393125.86</v>
      </c>
      <c r="DX75" s="1420">
        <v>492428.48</v>
      </c>
      <c r="DY75" s="1420">
        <v>536982.5</v>
      </c>
      <c r="DZ75" s="1420">
        <v>577309.02</v>
      </c>
      <c r="EA75" s="1420">
        <v>404864.53</v>
      </c>
      <c r="EB75" s="1420">
        <v>707040.45</v>
      </c>
      <c r="EC75" s="1420">
        <v>1334972.8899999999</v>
      </c>
      <c r="ED75" s="1420">
        <v>1776777.95</v>
      </c>
      <c r="EE75" s="1420">
        <v>505672.9</v>
      </c>
      <c r="EF75" s="1420">
        <v>547633.93000000005</v>
      </c>
      <c r="EG75" s="1422">
        <v>0</v>
      </c>
      <c r="EH75" s="1422">
        <v>0</v>
      </c>
      <c r="EI75" s="1422">
        <v>125</v>
      </c>
      <c r="EJ75" s="1422">
        <v>600</v>
      </c>
      <c r="EK75" s="1422">
        <v>0</v>
      </c>
      <c r="EL75" s="1422">
        <v>0</v>
      </c>
      <c r="EM75" s="1420">
        <v>505797.9</v>
      </c>
      <c r="EN75" s="1420">
        <v>548233.93000000005</v>
      </c>
      <c r="EO75" s="1420">
        <v>2841350.03</v>
      </c>
      <c r="EP75" s="1420">
        <v>3684568.34</v>
      </c>
      <c r="EQ75" s="1420">
        <v>374301.69</v>
      </c>
      <c r="ER75" s="1420">
        <v>515972.72</v>
      </c>
      <c r="ES75" s="1420">
        <v>1805.25</v>
      </c>
      <c r="ET75" s="1422">
        <v>0</v>
      </c>
      <c r="EU75" s="1420">
        <v>11635845.5</v>
      </c>
      <c r="EV75" s="1420">
        <v>13627120.49</v>
      </c>
      <c r="EW75" s="1420">
        <v>2985759.11</v>
      </c>
      <c r="EX75" s="1420">
        <v>4170834.18</v>
      </c>
      <c r="EY75" s="1420">
        <v>374301.69</v>
      </c>
      <c r="EZ75" s="1420">
        <v>515972.72</v>
      </c>
      <c r="FA75" s="1420">
        <v>8275784.7000000002</v>
      </c>
      <c r="FB75" s="1420">
        <v>8940313.5899999999</v>
      </c>
      <c r="FC75" s="1420">
        <v>638053.74</v>
      </c>
      <c r="FD75" s="1439"/>
      <c r="FE75" s="1420">
        <v>7637730.96</v>
      </c>
      <c r="FF75" s="1439"/>
      <c r="FG75" s="1422">
        <v>7759</v>
      </c>
      <c r="FH75" s="1439"/>
      <c r="FI75" s="1420">
        <v>76.41</v>
      </c>
      <c r="FJ75" s="1439"/>
      <c r="FK75" s="1422">
        <v>40991</v>
      </c>
      <c r="FL75" s="1439"/>
      <c r="FM75" s="1420">
        <v>81.44</v>
      </c>
      <c r="FN75" s="1439"/>
      <c r="FO75" s="1422">
        <v>42776</v>
      </c>
      <c r="FP75" s="1439"/>
      <c r="FQ75" s="1420">
        <v>2248681.39</v>
      </c>
      <c r="FR75" s="1439"/>
      <c r="FS75" s="1420">
        <v>46780.45</v>
      </c>
      <c r="FT75" s="1439"/>
      <c r="FU75" s="1422">
        <v>0</v>
      </c>
      <c r="FV75" s="1439"/>
      <c r="FW75" s="1420">
        <v>2201900.94</v>
      </c>
      <c r="FX75" s="1439"/>
      <c r="FY75" s="1420">
        <v>1945288.92</v>
      </c>
      <c r="FZ75" s="1439"/>
      <c r="GA75" s="1422">
        <v>0</v>
      </c>
      <c r="GB75" s="1439"/>
    </row>
    <row r="76" spans="1:184" ht="12.75" customHeight="1" thickBot="1">
      <c r="A76" s="1418" t="s">
        <v>549</v>
      </c>
      <c r="B76" s="1418" t="s">
        <v>550</v>
      </c>
      <c r="C76" s="1420">
        <v>106.78</v>
      </c>
      <c r="D76" s="1439"/>
      <c r="E76" s="1420">
        <v>458.77</v>
      </c>
      <c r="F76" s="1439"/>
      <c r="G76" s="1421">
        <v>0.02</v>
      </c>
      <c r="H76" s="1439"/>
      <c r="I76" s="1420">
        <v>478.11</v>
      </c>
      <c r="J76" s="1439"/>
      <c r="K76" s="1420">
        <v>498.87</v>
      </c>
      <c r="L76" s="1439"/>
      <c r="M76" s="1422">
        <v>32880360</v>
      </c>
      <c r="N76" s="1439"/>
      <c r="O76" s="1420">
        <v>25.49</v>
      </c>
      <c r="P76" s="1439"/>
      <c r="Q76" s="1422">
        <v>25</v>
      </c>
      <c r="R76" s="1439"/>
      <c r="S76" s="1420">
        <v>0.49</v>
      </c>
      <c r="T76" s="1439"/>
      <c r="U76" s="1422">
        <v>0</v>
      </c>
      <c r="V76" s="1439"/>
      <c r="W76" s="1420">
        <v>16.010000000000002</v>
      </c>
      <c r="X76" s="1439"/>
      <c r="Y76" s="1420">
        <v>41.5</v>
      </c>
      <c r="Z76" s="1439"/>
      <c r="AA76" s="1422">
        <v>3795000</v>
      </c>
      <c r="AB76" s="1439"/>
      <c r="AC76" s="1420">
        <v>1024510.23</v>
      </c>
      <c r="AD76" s="1422">
        <v>1024300</v>
      </c>
      <c r="AE76" s="1420">
        <v>298334.17</v>
      </c>
      <c r="AF76" s="1422">
        <v>275111</v>
      </c>
      <c r="AG76" s="1420">
        <v>2601.9899999999998</v>
      </c>
      <c r="AH76" s="1422">
        <v>2600</v>
      </c>
      <c r="AI76" s="1422">
        <v>2374762</v>
      </c>
      <c r="AJ76" s="1422">
        <v>2138816</v>
      </c>
      <c r="AK76" s="1422">
        <v>20349</v>
      </c>
      <c r="AL76" s="1422">
        <v>20000</v>
      </c>
      <c r="AM76" s="1422">
        <v>0</v>
      </c>
      <c r="AN76" s="1422">
        <v>0</v>
      </c>
      <c r="AO76" s="1422">
        <v>6987</v>
      </c>
      <c r="AP76" s="1422">
        <v>120606</v>
      </c>
      <c r="AQ76" s="1422">
        <v>0</v>
      </c>
      <c r="AR76" s="1422">
        <v>0</v>
      </c>
      <c r="AS76" s="1422">
        <v>0</v>
      </c>
      <c r="AT76" s="1422">
        <v>0</v>
      </c>
      <c r="AU76" s="1422">
        <v>28416</v>
      </c>
      <c r="AV76" s="1422">
        <v>45466</v>
      </c>
      <c r="AW76" s="1422">
        <v>0</v>
      </c>
      <c r="AX76" s="1422">
        <v>0</v>
      </c>
      <c r="AY76" s="1420">
        <v>3755960.39</v>
      </c>
      <c r="AZ76" s="1422">
        <v>3626899</v>
      </c>
      <c r="BA76" s="1422">
        <v>0</v>
      </c>
      <c r="BB76" s="1422">
        <v>0</v>
      </c>
      <c r="BC76" s="1422">
        <v>20633</v>
      </c>
      <c r="BD76" s="1422">
        <v>20310</v>
      </c>
      <c r="BE76" s="1420">
        <v>4726.62</v>
      </c>
      <c r="BF76" s="1422">
        <v>2350</v>
      </c>
      <c r="BG76" s="1422">
        <v>300</v>
      </c>
      <c r="BH76" s="1422">
        <v>300</v>
      </c>
      <c r="BI76" s="1422">
        <v>46318</v>
      </c>
      <c r="BJ76" s="1422">
        <v>27647</v>
      </c>
      <c r="BK76" s="1422">
        <v>0</v>
      </c>
      <c r="BL76" s="1422">
        <v>0</v>
      </c>
      <c r="BM76" s="1422">
        <v>147808</v>
      </c>
      <c r="BN76" s="1422">
        <v>144716</v>
      </c>
      <c r="BO76" s="1420">
        <v>2043.69</v>
      </c>
      <c r="BP76" s="1422">
        <v>0</v>
      </c>
      <c r="BQ76" s="1420">
        <v>5417.12</v>
      </c>
      <c r="BR76" s="1420">
        <v>1083.55</v>
      </c>
      <c r="BS76" s="1420">
        <v>1926.29</v>
      </c>
      <c r="BT76" s="1422">
        <v>2000</v>
      </c>
      <c r="BU76" s="1422">
        <v>0</v>
      </c>
      <c r="BV76" s="1422">
        <v>0</v>
      </c>
      <c r="BW76" s="1422">
        <v>97200</v>
      </c>
      <c r="BX76" s="1422">
        <v>97200</v>
      </c>
      <c r="BY76" s="1422">
        <v>0</v>
      </c>
      <c r="BZ76" s="1422">
        <v>0</v>
      </c>
      <c r="CA76" s="1422">
        <v>24236</v>
      </c>
      <c r="CB76" s="1422">
        <v>34022</v>
      </c>
      <c r="CC76" s="1420">
        <v>350608.72</v>
      </c>
      <c r="CD76" s="1420">
        <v>329628.55</v>
      </c>
      <c r="CE76" s="1420">
        <v>637506.43000000005</v>
      </c>
      <c r="CF76" s="1420">
        <v>558879.06000000006</v>
      </c>
      <c r="CG76" s="1420">
        <v>100.08</v>
      </c>
      <c r="CH76" s="1422">
        <v>0</v>
      </c>
      <c r="CI76" s="1422">
        <v>0</v>
      </c>
      <c r="CJ76" s="1422">
        <v>0</v>
      </c>
      <c r="CK76" s="1422">
        <v>0</v>
      </c>
      <c r="CL76" s="1422">
        <v>0</v>
      </c>
      <c r="CM76" s="1422">
        <v>0</v>
      </c>
      <c r="CN76" s="1422">
        <v>2700</v>
      </c>
      <c r="CO76" s="1420">
        <v>8742.23</v>
      </c>
      <c r="CP76" s="1422">
        <v>3000</v>
      </c>
      <c r="CQ76" s="1422">
        <v>0</v>
      </c>
      <c r="CR76" s="1422">
        <v>15000</v>
      </c>
      <c r="CS76" s="1420">
        <v>8842.31</v>
      </c>
      <c r="CT76" s="1422">
        <v>20700</v>
      </c>
      <c r="CU76" s="1420">
        <v>4752917.8499999996</v>
      </c>
      <c r="CV76" s="1420">
        <v>4536106.6100000003</v>
      </c>
      <c r="CW76" s="1420">
        <v>1659427.91</v>
      </c>
      <c r="CX76" s="1420">
        <v>1757263.49</v>
      </c>
      <c r="CY76" s="1420">
        <v>199031.25</v>
      </c>
      <c r="CZ76" s="1420">
        <v>194561.19</v>
      </c>
      <c r="DA76" s="1420">
        <v>203687.13</v>
      </c>
      <c r="DB76" s="1420">
        <v>211821.63</v>
      </c>
      <c r="DC76" s="1422">
        <v>0</v>
      </c>
      <c r="DD76" s="1422">
        <v>0</v>
      </c>
      <c r="DE76" s="1420">
        <v>88644.42</v>
      </c>
      <c r="DF76" s="1420">
        <v>128848.68</v>
      </c>
      <c r="DG76" s="1420">
        <v>227081.67</v>
      </c>
      <c r="DH76" s="1420">
        <v>195994.91</v>
      </c>
      <c r="DI76" s="1420">
        <v>2377872.38</v>
      </c>
      <c r="DJ76" s="1420">
        <v>2488489.9</v>
      </c>
      <c r="DK76" s="1420">
        <v>149164.88</v>
      </c>
      <c r="DL76" s="1420">
        <v>153644.76999999999</v>
      </c>
      <c r="DM76" s="1420">
        <v>56010.79</v>
      </c>
      <c r="DN76" s="1420">
        <v>68538.89</v>
      </c>
      <c r="DO76" s="1420">
        <v>504683.54</v>
      </c>
      <c r="DP76" s="1420">
        <v>571724.18000000005</v>
      </c>
      <c r="DQ76" s="1420">
        <v>254611.85</v>
      </c>
      <c r="DR76" s="1420">
        <v>185520.02</v>
      </c>
      <c r="DS76" s="1420">
        <v>17054.66</v>
      </c>
      <c r="DT76" s="1422">
        <v>19013</v>
      </c>
      <c r="DU76" s="1420">
        <v>981525.72</v>
      </c>
      <c r="DV76" s="1420">
        <v>998440.86</v>
      </c>
      <c r="DW76" s="1420">
        <v>134801.71</v>
      </c>
      <c r="DX76" s="1420">
        <v>167478.34</v>
      </c>
      <c r="DY76" s="1420">
        <v>226367.51</v>
      </c>
      <c r="DZ76" s="1420">
        <v>232961.96</v>
      </c>
      <c r="EA76" s="1420">
        <v>237344.68</v>
      </c>
      <c r="EB76" s="1420">
        <v>242233.59</v>
      </c>
      <c r="EC76" s="1420">
        <v>598513.9</v>
      </c>
      <c r="ED76" s="1420">
        <v>642673.89</v>
      </c>
      <c r="EE76" s="1420">
        <v>270582.94</v>
      </c>
      <c r="EF76" s="1420">
        <v>280363.52000000002</v>
      </c>
      <c r="EG76" s="1420">
        <v>63278.14</v>
      </c>
      <c r="EH76" s="1422">
        <v>60450</v>
      </c>
      <c r="EI76" s="1422">
        <v>0</v>
      </c>
      <c r="EJ76" s="1422">
        <v>500</v>
      </c>
      <c r="EK76" s="1422">
        <v>0</v>
      </c>
      <c r="EL76" s="1422">
        <v>0</v>
      </c>
      <c r="EM76" s="1420">
        <v>333861.08</v>
      </c>
      <c r="EN76" s="1420">
        <v>341313.52</v>
      </c>
      <c r="EO76" s="1420">
        <v>1178140.48</v>
      </c>
      <c r="EP76" s="1420">
        <v>25662.95</v>
      </c>
      <c r="EQ76" s="1422">
        <v>244260</v>
      </c>
      <c r="ER76" s="1420">
        <v>242666.26</v>
      </c>
      <c r="ES76" s="1422">
        <v>0</v>
      </c>
      <c r="ET76" s="1422">
        <v>0</v>
      </c>
      <c r="EU76" s="1420">
        <v>5714173.5599999996</v>
      </c>
      <c r="EV76" s="1420">
        <v>4739247.38</v>
      </c>
      <c r="EW76" s="1420">
        <v>1305994.2</v>
      </c>
      <c r="EX76" s="1420">
        <v>76162.95</v>
      </c>
      <c r="EY76" s="1422">
        <v>244260</v>
      </c>
      <c r="EZ76" s="1420">
        <v>242666.26</v>
      </c>
      <c r="FA76" s="1420">
        <v>4163919.36</v>
      </c>
      <c r="FB76" s="1420">
        <v>4420418.17</v>
      </c>
      <c r="FC76" s="1420">
        <v>331205.81</v>
      </c>
      <c r="FD76" s="1439"/>
      <c r="FE76" s="1420">
        <v>3832713.55</v>
      </c>
      <c r="FF76" s="1439"/>
      <c r="FG76" s="1422">
        <v>8354</v>
      </c>
      <c r="FH76" s="1439"/>
      <c r="FI76" s="1420">
        <v>35.6</v>
      </c>
      <c r="FJ76" s="1439"/>
      <c r="FK76" s="1422">
        <v>41822</v>
      </c>
      <c r="FL76" s="1439"/>
      <c r="FM76" s="1420">
        <v>38.74</v>
      </c>
      <c r="FN76" s="1439"/>
      <c r="FO76" s="1422">
        <v>44777</v>
      </c>
      <c r="FP76" s="1439"/>
      <c r="FQ76" s="1420">
        <v>989262.6</v>
      </c>
      <c r="FR76" s="1439"/>
      <c r="FS76" s="1420">
        <v>6546.12</v>
      </c>
      <c r="FT76" s="1439"/>
      <c r="FU76" s="1422">
        <v>0</v>
      </c>
      <c r="FV76" s="1439"/>
      <c r="FW76" s="1420">
        <v>982716.48</v>
      </c>
      <c r="FX76" s="1439"/>
      <c r="FY76" s="1420">
        <v>202192.66</v>
      </c>
      <c r="FZ76" s="1439"/>
      <c r="GA76" s="1422">
        <v>0</v>
      </c>
      <c r="GB76" s="1439"/>
    </row>
    <row r="77" spans="1:184" ht="12.75" customHeight="1" thickBot="1">
      <c r="A77" s="1418" t="s">
        <v>551</v>
      </c>
      <c r="B77" s="1418" t="s">
        <v>552</v>
      </c>
      <c r="C77" s="1420">
        <v>109.07</v>
      </c>
      <c r="D77" s="1439"/>
      <c r="E77" s="1420">
        <v>2903.73</v>
      </c>
      <c r="F77" s="1439"/>
      <c r="G77" s="1421">
        <v>0.1</v>
      </c>
      <c r="H77" s="1439"/>
      <c r="I77" s="1420">
        <v>3062.09</v>
      </c>
      <c r="J77" s="1439"/>
      <c r="K77" s="1420">
        <v>2975.62</v>
      </c>
      <c r="L77" s="1439"/>
      <c r="M77" s="1422">
        <v>148521453</v>
      </c>
      <c r="N77" s="1439"/>
      <c r="O77" s="1422">
        <v>25</v>
      </c>
      <c r="P77" s="1439"/>
      <c r="Q77" s="1422">
        <v>25</v>
      </c>
      <c r="R77" s="1439"/>
      <c r="S77" s="1422">
        <v>0</v>
      </c>
      <c r="T77" s="1439"/>
      <c r="U77" s="1422">
        <v>0</v>
      </c>
      <c r="V77" s="1439"/>
      <c r="W77" s="1420">
        <v>13.9</v>
      </c>
      <c r="X77" s="1439"/>
      <c r="Y77" s="1420">
        <v>38.9</v>
      </c>
      <c r="Z77" s="1439"/>
      <c r="AA77" s="1420">
        <v>15710845.439999999</v>
      </c>
      <c r="AB77" s="1439"/>
      <c r="AC77" s="1420">
        <v>5181811.45</v>
      </c>
      <c r="AD77" s="1422">
        <v>5431276</v>
      </c>
      <c r="AE77" s="1422">
        <v>1933452</v>
      </c>
      <c r="AF77" s="1422">
        <v>1554050</v>
      </c>
      <c r="AG77" s="1420">
        <v>18968.21</v>
      </c>
      <c r="AH77" s="1422">
        <v>17000</v>
      </c>
      <c r="AI77" s="1422">
        <v>14616371</v>
      </c>
      <c r="AJ77" s="1422">
        <v>15164814</v>
      </c>
      <c r="AK77" s="1422">
        <v>38602</v>
      </c>
      <c r="AL77" s="1422">
        <v>0</v>
      </c>
      <c r="AM77" s="1422">
        <v>593961</v>
      </c>
      <c r="AN77" s="1422">
        <v>400000</v>
      </c>
      <c r="AO77" s="1422">
        <v>0</v>
      </c>
      <c r="AP77" s="1422">
        <v>0</v>
      </c>
      <c r="AQ77" s="1422">
        <v>0</v>
      </c>
      <c r="AR77" s="1422">
        <v>0</v>
      </c>
      <c r="AS77" s="1422">
        <v>0</v>
      </c>
      <c r="AT77" s="1422">
        <v>0</v>
      </c>
      <c r="AU77" s="1422">
        <v>173014</v>
      </c>
      <c r="AV77" s="1422">
        <v>138411</v>
      </c>
      <c r="AW77" s="1422">
        <v>0</v>
      </c>
      <c r="AX77" s="1422">
        <v>0</v>
      </c>
      <c r="AY77" s="1420">
        <v>22556179.66</v>
      </c>
      <c r="AZ77" s="1422">
        <v>22705551</v>
      </c>
      <c r="BA77" s="1420">
        <v>37425.01</v>
      </c>
      <c r="BB77" s="1422">
        <v>37000</v>
      </c>
      <c r="BC77" s="1422">
        <v>123072</v>
      </c>
      <c r="BD77" s="1422">
        <v>129703</v>
      </c>
      <c r="BE77" s="1420">
        <v>18130.28</v>
      </c>
      <c r="BF77" s="1422">
        <v>9200</v>
      </c>
      <c r="BG77" s="1422">
        <v>2903</v>
      </c>
      <c r="BH77" s="1422">
        <v>0</v>
      </c>
      <c r="BI77" s="1422">
        <v>89061</v>
      </c>
      <c r="BJ77" s="1422">
        <v>106236</v>
      </c>
      <c r="BK77" s="1422">
        <v>9083</v>
      </c>
      <c r="BL77" s="1422">
        <v>9000</v>
      </c>
      <c r="BM77" s="1422">
        <v>577840</v>
      </c>
      <c r="BN77" s="1422">
        <v>579370</v>
      </c>
      <c r="BO77" s="1420">
        <v>169582.91</v>
      </c>
      <c r="BP77" s="1422">
        <v>107100</v>
      </c>
      <c r="BQ77" s="1420">
        <v>107250.64</v>
      </c>
      <c r="BR77" s="1420">
        <v>122417.1</v>
      </c>
      <c r="BS77" s="1420">
        <v>11581.46</v>
      </c>
      <c r="BT77" s="1422">
        <v>11600</v>
      </c>
      <c r="BU77" s="1422">
        <v>0</v>
      </c>
      <c r="BV77" s="1422">
        <v>0</v>
      </c>
      <c r="BW77" s="1422">
        <v>438600</v>
      </c>
      <c r="BX77" s="1422">
        <v>437400</v>
      </c>
      <c r="BY77" s="1422">
        <v>0</v>
      </c>
      <c r="BZ77" s="1422">
        <v>0</v>
      </c>
      <c r="CA77" s="1422">
        <v>310940</v>
      </c>
      <c r="CB77" s="1422">
        <v>280887</v>
      </c>
      <c r="CC77" s="1420">
        <v>1895469.3</v>
      </c>
      <c r="CD77" s="1420">
        <v>1829913.1</v>
      </c>
      <c r="CE77" s="1420">
        <v>3408340.62</v>
      </c>
      <c r="CF77" s="1420">
        <v>2880918.87</v>
      </c>
      <c r="CG77" s="1422">
        <v>113000</v>
      </c>
      <c r="CH77" s="1420">
        <v>12111.44</v>
      </c>
      <c r="CI77" s="1422">
        <v>0</v>
      </c>
      <c r="CJ77" s="1422">
        <v>0</v>
      </c>
      <c r="CK77" s="1422">
        <v>0</v>
      </c>
      <c r="CL77" s="1422">
        <v>0</v>
      </c>
      <c r="CM77" s="1422">
        <v>0</v>
      </c>
      <c r="CN77" s="1422">
        <v>0</v>
      </c>
      <c r="CO77" s="1420">
        <v>31766.74</v>
      </c>
      <c r="CP77" s="1422">
        <v>0</v>
      </c>
      <c r="CQ77" s="1422">
        <v>0</v>
      </c>
      <c r="CR77" s="1422">
        <v>0</v>
      </c>
      <c r="CS77" s="1420">
        <v>144766.74</v>
      </c>
      <c r="CT77" s="1420">
        <v>12111.44</v>
      </c>
      <c r="CU77" s="1420">
        <v>28004756.32</v>
      </c>
      <c r="CV77" s="1420">
        <v>27428494.41</v>
      </c>
      <c r="CW77" s="1420">
        <v>10084642.42</v>
      </c>
      <c r="CX77" s="1420">
        <v>9959008.4299999997</v>
      </c>
      <c r="CY77" s="1420">
        <v>1914205.29</v>
      </c>
      <c r="CZ77" s="1420">
        <v>1960190.5</v>
      </c>
      <c r="DA77" s="1420">
        <v>887489.58</v>
      </c>
      <c r="DB77" s="1422">
        <v>911707</v>
      </c>
      <c r="DC77" s="1422">
        <v>0</v>
      </c>
      <c r="DD77" s="1422">
        <v>0</v>
      </c>
      <c r="DE77" s="1420">
        <v>366826.98</v>
      </c>
      <c r="DF77" s="1420">
        <v>447161.62</v>
      </c>
      <c r="DG77" s="1420">
        <v>991604.56</v>
      </c>
      <c r="DH77" s="1420">
        <v>1004354.59</v>
      </c>
      <c r="DI77" s="1420">
        <v>14244768.83</v>
      </c>
      <c r="DJ77" s="1420">
        <v>14282422.140000001</v>
      </c>
      <c r="DK77" s="1420">
        <v>496640.68</v>
      </c>
      <c r="DL77" s="1420">
        <v>705151.63</v>
      </c>
      <c r="DM77" s="1420">
        <v>503380.27</v>
      </c>
      <c r="DN77" s="1420">
        <v>591587.35</v>
      </c>
      <c r="DO77" s="1420">
        <v>2207125.86</v>
      </c>
      <c r="DP77" s="1420">
        <v>2266846.38</v>
      </c>
      <c r="DQ77" s="1420">
        <v>1098038.57</v>
      </c>
      <c r="DR77" s="1420">
        <v>1114844.76</v>
      </c>
      <c r="DS77" s="1420">
        <v>179152.45</v>
      </c>
      <c r="DT77" s="1422">
        <v>208300</v>
      </c>
      <c r="DU77" s="1420">
        <v>4484337.83</v>
      </c>
      <c r="DV77" s="1420">
        <v>4886730.12</v>
      </c>
      <c r="DW77" s="1420">
        <v>1455787.97</v>
      </c>
      <c r="DX77" s="1420">
        <v>1374778.01</v>
      </c>
      <c r="DY77" s="1420">
        <v>1594463.78</v>
      </c>
      <c r="DZ77" s="1420">
        <v>1730621.81</v>
      </c>
      <c r="EA77" s="1420">
        <v>1295523.97</v>
      </c>
      <c r="EB77" s="1420">
        <v>1336092.3799999999</v>
      </c>
      <c r="EC77" s="1420">
        <v>4345775.72</v>
      </c>
      <c r="ED77" s="1420">
        <v>4441492.2</v>
      </c>
      <c r="EE77" s="1420">
        <v>1572429.23</v>
      </c>
      <c r="EF77" s="1422">
        <v>1621860</v>
      </c>
      <c r="EG77" s="1420">
        <v>38678.49</v>
      </c>
      <c r="EH77" s="1420">
        <v>65000.04</v>
      </c>
      <c r="EI77" s="1420">
        <v>484277.77</v>
      </c>
      <c r="EJ77" s="1420">
        <v>514035.57</v>
      </c>
      <c r="EK77" s="1422">
        <v>0</v>
      </c>
      <c r="EL77" s="1422">
        <v>0</v>
      </c>
      <c r="EM77" s="1420">
        <v>2095385.49</v>
      </c>
      <c r="EN77" s="1420">
        <v>2200895.61</v>
      </c>
      <c r="EO77" s="1420">
        <v>148558.95000000001</v>
      </c>
      <c r="EP77" s="1420">
        <v>261435.37</v>
      </c>
      <c r="EQ77" s="1420">
        <v>770653.69</v>
      </c>
      <c r="ER77" s="1420">
        <v>794776.74</v>
      </c>
      <c r="ES77" s="1420">
        <v>4759.6899999999996</v>
      </c>
      <c r="ET77" s="1420">
        <v>16234.3</v>
      </c>
      <c r="EU77" s="1420">
        <v>26094240.199999999</v>
      </c>
      <c r="EV77" s="1420">
        <v>26883986.48</v>
      </c>
      <c r="EW77" s="1420">
        <v>790650.28</v>
      </c>
      <c r="EX77" s="1420">
        <v>652240.73</v>
      </c>
      <c r="EY77" s="1420">
        <v>770653.69</v>
      </c>
      <c r="EZ77" s="1420">
        <v>794776.74</v>
      </c>
      <c r="FA77" s="1420">
        <v>24532936.23</v>
      </c>
      <c r="FB77" s="1420">
        <v>25436969.010000002</v>
      </c>
      <c r="FC77" s="1420">
        <v>2276524.94</v>
      </c>
      <c r="FD77" s="1439"/>
      <c r="FE77" s="1420">
        <v>22256411.289999999</v>
      </c>
      <c r="FF77" s="1439"/>
      <c r="FG77" s="1422">
        <v>7664</v>
      </c>
      <c r="FH77" s="1439"/>
      <c r="FI77" s="1420">
        <v>197.34</v>
      </c>
      <c r="FJ77" s="1439"/>
      <c r="FK77" s="1422">
        <v>48644</v>
      </c>
      <c r="FL77" s="1439"/>
      <c r="FM77" s="1420">
        <v>213.81</v>
      </c>
      <c r="FN77" s="1439"/>
      <c r="FO77" s="1422">
        <v>50668</v>
      </c>
      <c r="FP77" s="1439"/>
      <c r="FQ77" s="1420">
        <v>4275927.8</v>
      </c>
      <c r="FR77" s="1439"/>
      <c r="FS77" s="1420">
        <v>18284.29</v>
      </c>
      <c r="FT77" s="1439"/>
      <c r="FU77" s="1422">
        <v>0</v>
      </c>
      <c r="FV77" s="1439"/>
      <c r="FW77" s="1420">
        <v>4257643.51</v>
      </c>
      <c r="FX77" s="1439"/>
      <c r="FY77" s="1420">
        <v>747800.6</v>
      </c>
      <c r="FZ77" s="1439"/>
      <c r="GA77" s="1422">
        <v>0</v>
      </c>
      <c r="GB77" s="1439"/>
    </row>
    <row r="78" spans="1:184" ht="12.75" customHeight="1" thickBot="1">
      <c r="A78" s="1418" t="s">
        <v>553</v>
      </c>
      <c r="B78" s="1418" t="s">
        <v>554</v>
      </c>
      <c r="C78" s="1420">
        <v>109.79</v>
      </c>
      <c r="D78" s="1439"/>
      <c r="E78" s="1420">
        <v>845.71</v>
      </c>
      <c r="F78" s="1439"/>
      <c r="G78" s="1421">
        <v>-0.02</v>
      </c>
      <c r="H78" s="1439"/>
      <c r="I78" s="1420">
        <v>871.66</v>
      </c>
      <c r="J78" s="1439"/>
      <c r="K78" s="1420">
        <v>866.21</v>
      </c>
      <c r="L78" s="1439"/>
      <c r="M78" s="1422">
        <v>49795284</v>
      </c>
      <c r="N78" s="1439"/>
      <c r="O78" s="1422">
        <v>25</v>
      </c>
      <c r="P78" s="1439"/>
      <c r="Q78" s="1422">
        <v>25</v>
      </c>
      <c r="R78" s="1439"/>
      <c r="S78" s="1422">
        <v>0</v>
      </c>
      <c r="T78" s="1439"/>
      <c r="U78" s="1422">
        <v>0</v>
      </c>
      <c r="V78" s="1439"/>
      <c r="W78" s="1420">
        <v>12.5</v>
      </c>
      <c r="X78" s="1439"/>
      <c r="Y78" s="1420">
        <v>37.5</v>
      </c>
      <c r="Z78" s="1439"/>
      <c r="AA78" s="1422">
        <v>7605000</v>
      </c>
      <c r="AB78" s="1439"/>
      <c r="AC78" s="1420">
        <v>1748000.75</v>
      </c>
      <c r="AD78" s="1422">
        <v>1760244</v>
      </c>
      <c r="AE78" s="1420">
        <v>347108.29</v>
      </c>
      <c r="AF78" s="1420">
        <v>310733.67</v>
      </c>
      <c r="AG78" s="1422">
        <v>0</v>
      </c>
      <c r="AH78" s="1422">
        <v>0</v>
      </c>
      <c r="AI78" s="1422">
        <v>3968584</v>
      </c>
      <c r="AJ78" s="1422">
        <v>4113619</v>
      </c>
      <c r="AK78" s="1422">
        <v>40603</v>
      </c>
      <c r="AL78" s="1422">
        <v>40000</v>
      </c>
      <c r="AM78" s="1422">
        <v>0</v>
      </c>
      <c r="AN78" s="1422">
        <v>0</v>
      </c>
      <c r="AO78" s="1422">
        <v>89743</v>
      </c>
      <c r="AP78" s="1422">
        <v>0</v>
      </c>
      <c r="AQ78" s="1422">
        <v>0</v>
      </c>
      <c r="AR78" s="1422">
        <v>0</v>
      </c>
      <c r="AS78" s="1422">
        <v>0</v>
      </c>
      <c r="AT78" s="1422">
        <v>0</v>
      </c>
      <c r="AU78" s="1422">
        <v>0</v>
      </c>
      <c r="AV78" s="1422">
        <v>0</v>
      </c>
      <c r="AW78" s="1422">
        <v>0</v>
      </c>
      <c r="AX78" s="1422">
        <v>0</v>
      </c>
      <c r="AY78" s="1420">
        <v>6194039.04</v>
      </c>
      <c r="AZ78" s="1420">
        <v>6224596.6699999999</v>
      </c>
      <c r="BA78" s="1422">
        <v>0</v>
      </c>
      <c r="BB78" s="1422">
        <v>0</v>
      </c>
      <c r="BC78" s="1422">
        <v>35826</v>
      </c>
      <c r="BD78" s="1422">
        <v>37037</v>
      </c>
      <c r="BE78" s="1420">
        <v>1376.71</v>
      </c>
      <c r="BF78" s="1422">
        <v>1400</v>
      </c>
      <c r="BG78" s="1422">
        <v>250</v>
      </c>
      <c r="BH78" s="1422">
        <v>250</v>
      </c>
      <c r="BI78" s="1422">
        <v>8857</v>
      </c>
      <c r="BJ78" s="1422">
        <v>539</v>
      </c>
      <c r="BK78" s="1422">
        <v>0</v>
      </c>
      <c r="BL78" s="1422">
        <v>0</v>
      </c>
      <c r="BM78" s="1422">
        <v>166656</v>
      </c>
      <c r="BN78" s="1422">
        <v>181654</v>
      </c>
      <c r="BO78" s="1420">
        <v>3548.55</v>
      </c>
      <c r="BP78" s="1422">
        <v>0</v>
      </c>
      <c r="BQ78" s="1422">
        <v>142425</v>
      </c>
      <c r="BR78" s="1422">
        <v>8125</v>
      </c>
      <c r="BS78" s="1420">
        <v>2927.56</v>
      </c>
      <c r="BT78" s="1422">
        <v>0</v>
      </c>
      <c r="BU78" s="1422">
        <v>0</v>
      </c>
      <c r="BV78" s="1422">
        <v>0</v>
      </c>
      <c r="BW78" s="1422">
        <v>97200</v>
      </c>
      <c r="BX78" s="1422">
        <v>97200</v>
      </c>
      <c r="BY78" s="1422">
        <v>0</v>
      </c>
      <c r="BZ78" s="1422">
        <v>0</v>
      </c>
      <c r="CA78" s="1420">
        <v>515606.91</v>
      </c>
      <c r="CB78" s="1422">
        <v>425128</v>
      </c>
      <c r="CC78" s="1420">
        <v>974673.73</v>
      </c>
      <c r="CD78" s="1422">
        <v>751333</v>
      </c>
      <c r="CE78" s="1420">
        <v>927967.33</v>
      </c>
      <c r="CF78" s="1420">
        <v>627833.99</v>
      </c>
      <c r="CG78" s="1420">
        <v>4118.42</v>
      </c>
      <c r="CH78" s="1422">
        <v>0</v>
      </c>
      <c r="CI78" s="1422">
        <v>0</v>
      </c>
      <c r="CJ78" s="1422">
        <v>0</v>
      </c>
      <c r="CK78" s="1422">
        <v>0</v>
      </c>
      <c r="CL78" s="1422">
        <v>0</v>
      </c>
      <c r="CM78" s="1422">
        <v>0</v>
      </c>
      <c r="CN78" s="1422">
        <v>0</v>
      </c>
      <c r="CO78" s="1422">
        <v>0</v>
      </c>
      <c r="CP78" s="1422">
        <v>0</v>
      </c>
      <c r="CQ78" s="1420">
        <v>191237.21</v>
      </c>
      <c r="CR78" s="1422">
        <v>1628</v>
      </c>
      <c r="CS78" s="1420">
        <v>195355.63</v>
      </c>
      <c r="CT78" s="1422">
        <v>1628</v>
      </c>
      <c r="CU78" s="1420">
        <v>8292035.7300000004</v>
      </c>
      <c r="CV78" s="1420">
        <v>7605391.6600000001</v>
      </c>
      <c r="CW78" s="1420">
        <v>3457397.88</v>
      </c>
      <c r="CX78" s="1420">
        <v>3284148.46</v>
      </c>
      <c r="CY78" s="1420">
        <v>301757.96999999997</v>
      </c>
      <c r="CZ78" s="1420">
        <v>358526.37</v>
      </c>
      <c r="DA78" s="1420">
        <v>370107.95</v>
      </c>
      <c r="DB78" s="1420">
        <v>240326.78</v>
      </c>
      <c r="DC78" s="1422">
        <v>0</v>
      </c>
      <c r="DD78" s="1422">
        <v>0</v>
      </c>
      <c r="DE78" s="1420">
        <v>164505.51999999999</v>
      </c>
      <c r="DF78" s="1420">
        <v>137578.66</v>
      </c>
      <c r="DG78" s="1420">
        <v>78580.3</v>
      </c>
      <c r="DH78" s="1420">
        <v>92210.1</v>
      </c>
      <c r="DI78" s="1420">
        <v>4372349.62</v>
      </c>
      <c r="DJ78" s="1420">
        <v>4112790.37</v>
      </c>
      <c r="DK78" s="1420">
        <v>199580.1</v>
      </c>
      <c r="DL78" s="1420">
        <v>205466.28</v>
      </c>
      <c r="DM78" s="1420">
        <v>99417.01</v>
      </c>
      <c r="DN78" s="1420">
        <v>98837.5</v>
      </c>
      <c r="DO78" s="1420">
        <v>775489.76</v>
      </c>
      <c r="DP78" s="1420">
        <v>670881.15</v>
      </c>
      <c r="DQ78" s="1420">
        <v>236844.41</v>
      </c>
      <c r="DR78" s="1422">
        <v>257781</v>
      </c>
      <c r="DS78" s="1420">
        <v>23717.77</v>
      </c>
      <c r="DT78" s="1422">
        <v>31002</v>
      </c>
      <c r="DU78" s="1420">
        <v>1335049.05</v>
      </c>
      <c r="DV78" s="1420">
        <v>1263967.93</v>
      </c>
      <c r="DW78" s="1420">
        <v>393464.12</v>
      </c>
      <c r="DX78" s="1420">
        <v>451263.27</v>
      </c>
      <c r="DY78" s="1420">
        <v>420794.37</v>
      </c>
      <c r="DZ78" s="1420">
        <v>397753.14</v>
      </c>
      <c r="EA78" s="1420">
        <v>402057.68</v>
      </c>
      <c r="EB78" s="1420">
        <v>396129.85</v>
      </c>
      <c r="EC78" s="1420">
        <v>1216316.17</v>
      </c>
      <c r="ED78" s="1420">
        <v>1245146.26</v>
      </c>
      <c r="EE78" s="1420">
        <v>302372.06</v>
      </c>
      <c r="EF78" s="1422">
        <v>301685</v>
      </c>
      <c r="EG78" s="1420">
        <v>17647.89</v>
      </c>
      <c r="EH78" s="1422">
        <v>13650</v>
      </c>
      <c r="EI78" s="1420">
        <v>230.9</v>
      </c>
      <c r="EJ78" s="1422">
        <v>1500</v>
      </c>
      <c r="EK78" s="1422">
        <v>0</v>
      </c>
      <c r="EL78" s="1422">
        <v>0</v>
      </c>
      <c r="EM78" s="1420">
        <v>320250.84999999998</v>
      </c>
      <c r="EN78" s="1422">
        <v>316835</v>
      </c>
      <c r="EO78" s="1420">
        <v>945600.83</v>
      </c>
      <c r="EP78" s="1422">
        <v>632563</v>
      </c>
      <c r="EQ78" s="1420">
        <v>222773.31</v>
      </c>
      <c r="ER78" s="1422">
        <v>327986</v>
      </c>
      <c r="ES78" s="1422">
        <v>0</v>
      </c>
      <c r="ET78" s="1422">
        <v>0</v>
      </c>
      <c r="EU78" s="1420">
        <v>8412339.8300000001</v>
      </c>
      <c r="EV78" s="1420">
        <v>7899288.5599999996</v>
      </c>
      <c r="EW78" s="1420">
        <v>1182956.07</v>
      </c>
      <c r="EX78" s="1422">
        <v>754233</v>
      </c>
      <c r="EY78" s="1420">
        <v>222773.31</v>
      </c>
      <c r="EZ78" s="1422">
        <v>327986</v>
      </c>
      <c r="FA78" s="1420">
        <v>7006610.4500000002</v>
      </c>
      <c r="FB78" s="1420">
        <v>6817069.5599999996</v>
      </c>
      <c r="FC78" s="1420">
        <v>385176.95</v>
      </c>
      <c r="FD78" s="1439"/>
      <c r="FE78" s="1420">
        <v>6621433.5</v>
      </c>
      <c r="FF78" s="1439"/>
      <c r="FG78" s="1422">
        <v>7829</v>
      </c>
      <c r="FH78" s="1439"/>
      <c r="FI78" s="1420">
        <v>57.09</v>
      </c>
      <c r="FJ78" s="1439"/>
      <c r="FK78" s="1422">
        <v>50007</v>
      </c>
      <c r="FL78" s="1439"/>
      <c r="FM78" s="1420">
        <v>61.89</v>
      </c>
      <c r="FN78" s="1439"/>
      <c r="FO78" s="1422">
        <v>52488</v>
      </c>
      <c r="FP78" s="1439"/>
      <c r="FQ78" s="1420">
        <v>1501922.58</v>
      </c>
      <c r="FR78" s="1439"/>
      <c r="FS78" s="1420">
        <v>7173.55</v>
      </c>
      <c r="FT78" s="1439"/>
      <c r="FU78" s="1422">
        <v>0</v>
      </c>
      <c r="FV78" s="1439"/>
      <c r="FW78" s="1420">
        <v>1494749.03</v>
      </c>
      <c r="FX78" s="1439"/>
      <c r="FY78" s="1420">
        <v>941520.81</v>
      </c>
      <c r="FZ78" s="1439"/>
      <c r="GA78" s="1422">
        <v>0</v>
      </c>
      <c r="GB78" s="1439"/>
    </row>
    <row r="79" spans="1:184" ht="12.75" customHeight="1" thickBot="1">
      <c r="A79" s="1418" t="s">
        <v>555</v>
      </c>
      <c r="B79" s="1418" t="s">
        <v>556</v>
      </c>
      <c r="C79" s="1420">
        <v>143.62</v>
      </c>
      <c r="D79" s="1439"/>
      <c r="E79" s="1420">
        <v>445.45</v>
      </c>
      <c r="F79" s="1439"/>
      <c r="G79" s="1421">
        <v>-0.14000000000000001</v>
      </c>
      <c r="H79" s="1439"/>
      <c r="I79" s="1420">
        <v>473.41</v>
      </c>
      <c r="J79" s="1439"/>
      <c r="K79" s="1420">
        <v>499.22</v>
      </c>
      <c r="L79" s="1439"/>
      <c r="M79" s="1422">
        <v>45808844</v>
      </c>
      <c r="N79" s="1439"/>
      <c r="O79" s="1422">
        <v>25</v>
      </c>
      <c r="P79" s="1439"/>
      <c r="Q79" s="1422">
        <v>25</v>
      </c>
      <c r="R79" s="1439"/>
      <c r="S79" s="1422">
        <v>0</v>
      </c>
      <c r="T79" s="1439"/>
      <c r="U79" s="1422">
        <v>0</v>
      </c>
      <c r="V79" s="1439"/>
      <c r="W79" s="1420">
        <v>11.1</v>
      </c>
      <c r="X79" s="1439"/>
      <c r="Y79" s="1420">
        <v>36.1</v>
      </c>
      <c r="Z79" s="1439"/>
      <c r="AA79" s="1422">
        <v>4685000</v>
      </c>
      <c r="AB79" s="1439"/>
      <c r="AC79" s="1420">
        <v>1719386.88</v>
      </c>
      <c r="AD79" s="1422">
        <v>1570985</v>
      </c>
      <c r="AE79" s="1420">
        <v>168789.4</v>
      </c>
      <c r="AF79" s="1422">
        <v>124592</v>
      </c>
      <c r="AG79" s="1422">
        <v>0</v>
      </c>
      <c r="AH79" s="1422">
        <v>0</v>
      </c>
      <c r="AI79" s="1422">
        <v>1737225</v>
      </c>
      <c r="AJ79" s="1420">
        <v>1783354.36</v>
      </c>
      <c r="AK79" s="1422">
        <v>44393</v>
      </c>
      <c r="AL79" s="1422">
        <v>0</v>
      </c>
      <c r="AM79" s="1422">
        <v>0</v>
      </c>
      <c r="AN79" s="1422">
        <v>0</v>
      </c>
      <c r="AO79" s="1422">
        <v>97512</v>
      </c>
      <c r="AP79" s="1422">
        <v>79288</v>
      </c>
      <c r="AQ79" s="1422">
        <v>0</v>
      </c>
      <c r="AR79" s="1422">
        <v>0</v>
      </c>
      <c r="AS79" s="1422">
        <v>0</v>
      </c>
      <c r="AT79" s="1422">
        <v>0</v>
      </c>
      <c r="AU79" s="1422">
        <v>0</v>
      </c>
      <c r="AV79" s="1422">
        <v>0</v>
      </c>
      <c r="AW79" s="1422">
        <v>0</v>
      </c>
      <c r="AX79" s="1422">
        <v>0</v>
      </c>
      <c r="AY79" s="1420">
        <v>3767306.28</v>
      </c>
      <c r="AZ79" s="1420">
        <v>3558219.36</v>
      </c>
      <c r="BA79" s="1422">
        <v>0</v>
      </c>
      <c r="BB79" s="1422">
        <v>0</v>
      </c>
      <c r="BC79" s="1422">
        <v>20648</v>
      </c>
      <c r="BD79" s="1422">
        <v>20063</v>
      </c>
      <c r="BE79" s="1420">
        <v>3956.06</v>
      </c>
      <c r="BF79" s="1422">
        <v>2800</v>
      </c>
      <c r="BG79" s="1422">
        <v>1350</v>
      </c>
      <c r="BH79" s="1422">
        <v>500</v>
      </c>
      <c r="BI79" s="1422">
        <v>10117</v>
      </c>
      <c r="BJ79" s="1422">
        <v>6798</v>
      </c>
      <c r="BK79" s="1422">
        <v>2344</v>
      </c>
      <c r="BL79" s="1422">
        <v>2392</v>
      </c>
      <c r="BM79" s="1422">
        <v>134416</v>
      </c>
      <c r="BN79" s="1422">
        <v>138644</v>
      </c>
      <c r="BO79" s="1420">
        <v>7471.68</v>
      </c>
      <c r="BP79" s="1422">
        <v>7000</v>
      </c>
      <c r="BQ79" s="1422">
        <v>6500</v>
      </c>
      <c r="BR79" s="1422">
        <v>13000</v>
      </c>
      <c r="BS79" s="1420">
        <v>1990.17</v>
      </c>
      <c r="BT79" s="1422">
        <v>1900</v>
      </c>
      <c r="BU79" s="1422">
        <v>0</v>
      </c>
      <c r="BV79" s="1422">
        <v>0</v>
      </c>
      <c r="BW79" s="1420">
        <v>94867.199999999997</v>
      </c>
      <c r="BX79" s="1422">
        <v>97200</v>
      </c>
      <c r="BY79" s="1422">
        <v>0</v>
      </c>
      <c r="BZ79" s="1422">
        <v>0</v>
      </c>
      <c r="CA79" s="1420">
        <v>23124.39</v>
      </c>
      <c r="CB79" s="1420">
        <v>226236.61</v>
      </c>
      <c r="CC79" s="1420">
        <v>306784.5</v>
      </c>
      <c r="CD79" s="1420">
        <v>516533.61</v>
      </c>
      <c r="CE79" s="1420">
        <v>1188999.3799999999</v>
      </c>
      <c r="CF79" s="1420">
        <v>628694.56999999995</v>
      </c>
      <c r="CG79" s="1420">
        <v>516029.89</v>
      </c>
      <c r="CH79" s="1422">
        <v>0</v>
      </c>
      <c r="CI79" s="1422">
        <v>0</v>
      </c>
      <c r="CJ79" s="1422">
        <v>0</v>
      </c>
      <c r="CK79" s="1422">
        <v>0</v>
      </c>
      <c r="CL79" s="1422">
        <v>2523</v>
      </c>
      <c r="CM79" s="1422">
        <v>0</v>
      </c>
      <c r="CN79" s="1422">
        <v>400</v>
      </c>
      <c r="CO79" s="1422">
        <v>0</v>
      </c>
      <c r="CP79" s="1422">
        <v>0</v>
      </c>
      <c r="CQ79" s="1422">
        <v>0</v>
      </c>
      <c r="CR79" s="1422">
        <v>0</v>
      </c>
      <c r="CS79" s="1420">
        <v>516029.89</v>
      </c>
      <c r="CT79" s="1422">
        <v>2923</v>
      </c>
      <c r="CU79" s="1420">
        <v>5779120.0499999998</v>
      </c>
      <c r="CV79" s="1420">
        <v>4706370.54</v>
      </c>
      <c r="CW79" s="1420">
        <v>1892058.67</v>
      </c>
      <c r="CX79" s="1420">
        <v>1919687.19</v>
      </c>
      <c r="CY79" s="1420">
        <v>203488.86</v>
      </c>
      <c r="CZ79" s="1420">
        <v>190893.74</v>
      </c>
      <c r="DA79" s="1420">
        <v>157139.26</v>
      </c>
      <c r="DB79" s="1420">
        <v>138681.81</v>
      </c>
      <c r="DC79" s="1422">
        <v>0</v>
      </c>
      <c r="DD79" s="1422">
        <v>0</v>
      </c>
      <c r="DE79" s="1420">
        <v>222907.93</v>
      </c>
      <c r="DF79" s="1420">
        <v>215146.8</v>
      </c>
      <c r="DG79" s="1420">
        <v>48402.23</v>
      </c>
      <c r="DH79" s="1420">
        <v>55452.37</v>
      </c>
      <c r="DI79" s="1420">
        <v>2523996.9500000002</v>
      </c>
      <c r="DJ79" s="1420">
        <v>2519861.91</v>
      </c>
      <c r="DK79" s="1420">
        <v>176896.36</v>
      </c>
      <c r="DL79" s="1420">
        <v>258936.67</v>
      </c>
      <c r="DM79" s="1420">
        <v>57599.839999999997</v>
      </c>
      <c r="DN79" s="1420">
        <v>59241.7</v>
      </c>
      <c r="DO79" s="1420">
        <v>355890.15</v>
      </c>
      <c r="DP79" s="1420">
        <v>356403.20000000001</v>
      </c>
      <c r="DQ79" s="1420">
        <v>263756.37</v>
      </c>
      <c r="DR79" s="1420">
        <v>221807.84</v>
      </c>
      <c r="DS79" s="1420">
        <v>8725.64</v>
      </c>
      <c r="DT79" s="1422">
        <v>12523</v>
      </c>
      <c r="DU79" s="1420">
        <v>862868.36</v>
      </c>
      <c r="DV79" s="1420">
        <v>908912.41</v>
      </c>
      <c r="DW79" s="1420">
        <v>230584.21</v>
      </c>
      <c r="DX79" s="1420">
        <v>236933.92</v>
      </c>
      <c r="DY79" s="1420">
        <v>235790.52</v>
      </c>
      <c r="DZ79" s="1420">
        <v>231738.8</v>
      </c>
      <c r="EA79" s="1420">
        <v>229747.23</v>
      </c>
      <c r="EB79" s="1420">
        <v>230186.95</v>
      </c>
      <c r="EC79" s="1420">
        <v>696121.96</v>
      </c>
      <c r="ED79" s="1420">
        <v>698859.67</v>
      </c>
      <c r="EE79" s="1420">
        <v>252970.3</v>
      </c>
      <c r="EF79" s="1420">
        <v>242497.28</v>
      </c>
      <c r="EG79" s="1422">
        <v>0</v>
      </c>
      <c r="EH79" s="1422">
        <v>0</v>
      </c>
      <c r="EI79" s="1422">
        <v>0</v>
      </c>
      <c r="EJ79" s="1422">
        <v>500</v>
      </c>
      <c r="EK79" s="1422">
        <v>0</v>
      </c>
      <c r="EL79" s="1422">
        <v>0</v>
      </c>
      <c r="EM79" s="1420">
        <v>252970.3</v>
      </c>
      <c r="EN79" s="1420">
        <v>242997.28</v>
      </c>
      <c r="EO79" s="1420">
        <v>498307.99</v>
      </c>
      <c r="EP79" s="1420">
        <v>522037.14</v>
      </c>
      <c r="EQ79" s="1420">
        <v>381984.87</v>
      </c>
      <c r="ER79" s="1420">
        <v>249507.89</v>
      </c>
      <c r="ES79" s="1420">
        <v>44448.52</v>
      </c>
      <c r="ET79" s="1420">
        <v>5548.16</v>
      </c>
      <c r="EU79" s="1420">
        <v>5260698.95</v>
      </c>
      <c r="EV79" s="1420">
        <v>5147724.46</v>
      </c>
      <c r="EW79" s="1420">
        <v>602268.54</v>
      </c>
      <c r="EX79" s="1420">
        <v>538037.14</v>
      </c>
      <c r="EY79" s="1420">
        <v>381984.87</v>
      </c>
      <c r="EZ79" s="1420">
        <v>249507.89</v>
      </c>
      <c r="FA79" s="1420">
        <v>4276445.54</v>
      </c>
      <c r="FB79" s="1420">
        <v>4360179.43</v>
      </c>
      <c r="FC79" s="1420">
        <v>255100.83</v>
      </c>
      <c r="FD79" s="1439"/>
      <c r="FE79" s="1420">
        <v>4021344.71</v>
      </c>
      <c r="FF79" s="1439"/>
      <c r="FG79" s="1422">
        <v>9027</v>
      </c>
      <c r="FH79" s="1439"/>
      <c r="FI79" s="1420">
        <v>36.36</v>
      </c>
      <c r="FJ79" s="1439"/>
      <c r="FK79" s="1422">
        <v>42168</v>
      </c>
      <c r="FL79" s="1439"/>
      <c r="FM79" s="1420">
        <v>39.79</v>
      </c>
      <c r="FN79" s="1439"/>
      <c r="FO79" s="1422">
        <v>44900</v>
      </c>
      <c r="FP79" s="1439"/>
      <c r="FQ79" s="1420">
        <v>1265254.1000000001</v>
      </c>
      <c r="FR79" s="1439"/>
      <c r="FS79" s="1422">
        <v>8497</v>
      </c>
      <c r="FT79" s="1439"/>
      <c r="FU79" s="1422">
        <v>0</v>
      </c>
      <c r="FV79" s="1439"/>
      <c r="FW79" s="1420">
        <v>1256757.1000000001</v>
      </c>
      <c r="FX79" s="1439"/>
      <c r="FY79" s="1420">
        <v>879577.68</v>
      </c>
      <c r="FZ79" s="1439"/>
      <c r="GA79" s="1422">
        <v>0</v>
      </c>
      <c r="GB79" s="1439"/>
    </row>
    <row r="80" spans="1:184" ht="12.75" customHeight="1" thickBot="1">
      <c r="A80" s="1418" t="s">
        <v>557</v>
      </c>
      <c r="B80" s="1418" t="s">
        <v>558</v>
      </c>
      <c r="C80" s="1420">
        <v>329.58</v>
      </c>
      <c r="D80" s="1439"/>
      <c r="E80" s="1420">
        <v>1698.91</v>
      </c>
      <c r="F80" s="1439"/>
      <c r="G80" s="1421">
        <v>-0.02</v>
      </c>
      <c r="H80" s="1439"/>
      <c r="I80" s="1420">
        <v>1810.05</v>
      </c>
      <c r="J80" s="1439"/>
      <c r="K80" s="1420">
        <v>1843.92</v>
      </c>
      <c r="L80" s="1439"/>
      <c r="M80" s="1422">
        <v>146498193</v>
      </c>
      <c r="N80" s="1439"/>
      <c r="O80" s="1422">
        <v>25</v>
      </c>
      <c r="P80" s="1439"/>
      <c r="Q80" s="1422">
        <v>25</v>
      </c>
      <c r="R80" s="1439"/>
      <c r="S80" s="1422">
        <v>0</v>
      </c>
      <c r="T80" s="1439"/>
      <c r="U80" s="1422">
        <v>0</v>
      </c>
      <c r="V80" s="1439"/>
      <c r="W80" s="1422">
        <v>8</v>
      </c>
      <c r="X80" s="1439"/>
      <c r="Y80" s="1422">
        <v>33</v>
      </c>
      <c r="Z80" s="1439"/>
      <c r="AA80" s="1420">
        <v>5924275.5499999998</v>
      </c>
      <c r="AB80" s="1439"/>
      <c r="AC80" s="1420">
        <v>4666293.83</v>
      </c>
      <c r="AD80" s="1422">
        <v>4852447</v>
      </c>
      <c r="AE80" s="1420">
        <v>670216.67000000004</v>
      </c>
      <c r="AF80" s="1422">
        <v>332185</v>
      </c>
      <c r="AG80" s="1422">
        <v>0</v>
      </c>
      <c r="AH80" s="1422">
        <v>0</v>
      </c>
      <c r="AI80" s="1422">
        <v>7289667</v>
      </c>
      <c r="AJ80" s="1422">
        <v>7403079</v>
      </c>
      <c r="AK80" s="1422">
        <v>121016</v>
      </c>
      <c r="AL80" s="1422">
        <v>64000</v>
      </c>
      <c r="AM80" s="1422">
        <v>0</v>
      </c>
      <c r="AN80" s="1422">
        <v>0</v>
      </c>
      <c r="AO80" s="1422">
        <v>8854</v>
      </c>
      <c r="AP80" s="1422">
        <v>92467</v>
      </c>
      <c r="AQ80" s="1422">
        <v>0</v>
      </c>
      <c r="AR80" s="1422">
        <v>0</v>
      </c>
      <c r="AS80" s="1422">
        <v>0</v>
      </c>
      <c r="AT80" s="1422">
        <v>0</v>
      </c>
      <c r="AU80" s="1422">
        <v>0</v>
      </c>
      <c r="AV80" s="1422">
        <v>0</v>
      </c>
      <c r="AW80" s="1422">
        <v>174693</v>
      </c>
      <c r="AX80" s="1422">
        <v>175000</v>
      </c>
      <c r="AY80" s="1420">
        <v>12930740.5</v>
      </c>
      <c r="AZ80" s="1422">
        <v>12919178</v>
      </c>
      <c r="BA80" s="1422">
        <v>0</v>
      </c>
      <c r="BB80" s="1422">
        <v>0</v>
      </c>
      <c r="BC80" s="1422">
        <v>76265</v>
      </c>
      <c r="BD80" s="1422">
        <v>76870</v>
      </c>
      <c r="BE80" s="1420">
        <v>6363.46</v>
      </c>
      <c r="BF80" s="1422">
        <v>2000</v>
      </c>
      <c r="BG80" s="1422">
        <v>400</v>
      </c>
      <c r="BH80" s="1422">
        <v>200</v>
      </c>
      <c r="BI80" s="1422">
        <v>195837</v>
      </c>
      <c r="BJ80" s="1422">
        <v>187395</v>
      </c>
      <c r="BK80" s="1422">
        <v>0</v>
      </c>
      <c r="BL80" s="1422">
        <v>1000</v>
      </c>
      <c r="BM80" s="1422">
        <v>485584</v>
      </c>
      <c r="BN80" s="1422">
        <v>503470</v>
      </c>
      <c r="BO80" s="1420">
        <v>7553.86</v>
      </c>
      <c r="BP80" s="1422">
        <v>0</v>
      </c>
      <c r="BQ80" s="1422">
        <v>16250</v>
      </c>
      <c r="BR80" s="1422">
        <v>15438</v>
      </c>
      <c r="BS80" s="1420">
        <v>6299.23</v>
      </c>
      <c r="BT80" s="1422">
        <v>6500</v>
      </c>
      <c r="BU80" s="1422">
        <v>0</v>
      </c>
      <c r="BV80" s="1422">
        <v>0</v>
      </c>
      <c r="BW80" s="1422">
        <v>0</v>
      </c>
      <c r="BX80" s="1422">
        <v>0</v>
      </c>
      <c r="BY80" s="1422">
        <v>0</v>
      </c>
      <c r="BZ80" s="1422">
        <v>0</v>
      </c>
      <c r="CA80" s="1420">
        <v>217195.51999999999</v>
      </c>
      <c r="CB80" s="1422">
        <v>1124851</v>
      </c>
      <c r="CC80" s="1420">
        <v>1011748.07</v>
      </c>
      <c r="CD80" s="1422">
        <v>1917724</v>
      </c>
      <c r="CE80" s="1420">
        <v>3370144.55</v>
      </c>
      <c r="CF80" s="1422">
        <v>2174035</v>
      </c>
      <c r="CG80" s="1420">
        <v>461.21</v>
      </c>
      <c r="CH80" s="1422">
        <v>500</v>
      </c>
      <c r="CI80" s="1422">
        <v>0</v>
      </c>
      <c r="CJ80" s="1422">
        <v>0</v>
      </c>
      <c r="CK80" s="1420">
        <v>69421.03</v>
      </c>
      <c r="CL80" s="1420">
        <v>67836.399999999994</v>
      </c>
      <c r="CM80" s="1420">
        <v>2664.5</v>
      </c>
      <c r="CN80" s="1422">
        <v>5000</v>
      </c>
      <c r="CO80" s="1420">
        <v>6243.75</v>
      </c>
      <c r="CP80" s="1422">
        <v>0</v>
      </c>
      <c r="CQ80" s="1422">
        <v>0</v>
      </c>
      <c r="CR80" s="1422">
        <v>5000</v>
      </c>
      <c r="CS80" s="1420">
        <v>78790.490000000005</v>
      </c>
      <c r="CT80" s="1420">
        <v>78336.399999999994</v>
      </c>
      <c r="CU80" s="1420">
        <v>17391423.609999999</v>
      </c>
      <c r="CV80" s="1420">
        <v>17089273.399999999</v>
      </c>
      <c r="CW80" s="1420">
        <v>6487561.7400000002</v>
      </c>
      <c r="CX80" s="1420">
        <v>6134471.4299999997</v>
      </c>
      <c r="CY80" s="1420">
        <v>836386.77</v>
      </c>
      <c r="CZ80" s="1422">
        <v>805637</v>
      </c>
      <c r="DA80" s="1420">
        <v>435546.16</v>
      </c>
      <c r="DB80" s="1422">
        <v>364047</v>
      </c>
      <c r="DC80" s="1422">
        <v>0</v>
      </c>
      <c r="DD80" s="1422">
        <v>0</v>
      </c>
      <c r="DE80" s="1420">
        <v>779188.19</v>
      </c>
      <c r="DF80" s="1420">
        <v>836495.2</v>
      </c>
      <c r="DG80" s="1420">
        <v>344329.64</v>
      </c>
      <c r="DH80" s="1420">
        <v>311809.95</v>
      </c>
      <c r="DI80" s="1420">
        <v>8883012.5</v>
      </c>
      <c r="DJ80" s="1420">
        <v>8452460.5800000001</v>
      </c>
      <c r="DK80" s="1420">
        <v>316940.58</v>
      </c>
      <c r="DL80" s="1422">
        <v>355033</v>
      </c>
      <c r="DM80" s="1420">
        <v>191490.53</v>
      </c>
      <c r="DN80" s="1422">
        <v>161057</v>
      </c>
      <c r="DO80" s="1420">
        <v>1566321.74</v>
      </c>
      <c r="DP80" s="1422">
        <v>1621281</v>
      </c>
      <c r="DQ80" s="1420">
        <v>860292.76</v>
      </c>
      <c r="DR80" s="1422">
        <v>817467</v>
      </c>
      <c r="DS80" s="1420">
        <v>93065.3</v>
      </c>
      <c r="DT80" s="1420">
        <v>92836.4</v>
      </c>
      <c r="DU80" s="1420">
        <v>3028110.91</v>
      </c>
      <c r="DV80" s="1420">
        <v>3047674.4</v>
      </c>
      <c r="DW80" s="1420">
        <v>852936.29</v>
      </c>
      <c r="DX80" s="1420">
        <v>809465.86</v>
      </c>
      <c r="DY80" s="1420">
        <v>1996308.99</v>
      </c>
      <c r="DZ80" s="1420">
        <v>1370930.4</v>
      </c>
      <c r="EA80" s="1420">
        <v>804706.79</v>
      </c>
      <c r="EB80" s="1422">
        <v>726204</v>
      </c>
      <c r="EC80" s="1420">
        <v>3653952.07</v>
      </c>
      <c r="ED80" s="1420">
        <v>2906600.26</v>
      </c>
      <c r="EE80" s="1420">
        <v>779213.05</v>
      </c>
      <c r="EF80" s="1422">
        <v>762241</v>
      </c>
      <c r="EG80" s="1420">
        <v>181.59</v>
      </c>
      <c r="EH80" s="1422">
        <v>0</v>
      </c>
      <c r="EI80" s="1420">
        <v>65.239999999999995</v>
      </c>
      <c r="EJ80" s="1422">
        <v>4000</v>
      </c>
      <c r="EK80" s="1422">
        <v>0</v>
      </c>
      <c r="EL80" s="1422">
        <v>0</v>
      </c>
      <c r="EM80" s="1420">
        <v>779459.88</v>
      </c>
      <c r="EN80" s="1422">
        <v>766241</v>
      </c>
      <c r="EO80" s="1420">
        <v>287332.52</v>
      </c>
      <c r="EP80" s="1422">
        <v>1043954</v>
      </c>
      <c r="EQ80" s="1420">
        <v>823341.63</v>
      </c>
      <c r="ER80" s="1422">
        <v>927190</v>
      </c>
      <c r="ES80" s="1420">
        <v>9639.5499999999993</v>
      </c>
      <c r="ET80" s="1422">
        <v>0</v>
      </c>
      <c r="EU80" s="1420">
        <v>17464849.059999999</v>
      </c>
      <c r="EV80" s="1420">
        <v>17144120.239999998</v>
      </c>
      <c r="EW80" s="1420">
        <v>904252.88</v>
      </c>
      <c r="EX80" s="1422">
        <v>1326779</v>
      </c>
      <c r="EY80" s="1420">
        <v>823341.63</v>
      </c>
      <c r="EZ80" s="1422">
        <v>927190</v>
      </c>
      <c r="FA80" s="1420">
        <v>15737254.550000001</v>
      </c>
      <c r="FB80" s="1420">
        <v>14890151.24</v>
      </c>
      <c r="FC80" s="1420">
        <v>516093.06</v>
      </c>
      <c r="FD80" s="1439"/>
      <c r="FE80" s="1420">
        <v>15221161.49</v>
      </c>
      <c r="FF80" s="1439"/>
      <c r="FG80" s="1422">
        <v>8959</v>
      </c>
      <c r="FH80" s="1439"/>
      <c r="FI80" s="1420">
        <v>131.26</v>
      </c>
      <c r="FJ80" s="1439"/>
      <c r="FK80" s="1422">
        <v>46247</v>
      </c>
      <c r="FL80" s="1439"/>
      <c r="FM80" s="1420">
        <v>140.86000000000001</v>
      </c>
      <c r="FN80" s="1439"/>
      <c r="FO80" s="1422">
        <v>48241</v>
      </c>
      <c r="FP80" s="1439"/>
      <c r="FQ80" s="1420">
        <v>2786952.25</v>
      </c>
      <c r="FR80" s="1439"/>
      <c r="FS80" s="1420">
        <v>107086.19</v>
      </c>
      <c r="FT80" s="1439"/>
      <c r="FU80" s="1422">
        <v>0</v>
      </c>
      <c r="FV80" s="1439"/>
      <c r="FW80" s="1420">
        <v>2679866.06</v>
      </c>
      <c r="FX80" s="1439"/>
      <c r="FY80" s="1422">
        <v>0</v>
      </c>
      <c r="FZ80" s="1439"/>
      <c r="GA80" s="1422">
        <v>0</v>
      </c>
      <c r="GB80" s="1439"/>
    </row>
    <row r="81" spans="1:184" ht="12.75" customHeight="1" thickBot="1">
      <c r="A81" s="1418" t="s">
        <v>559</v>
      </c>
      <c r="B81" s="1418" t="s">
        <v>560</v>
      </c>
      <c r="C81" s="1420">
        <v>226.52</v>
      </c>
      <c r="D81" s="1439"/>
      <c r="E81" s="1420">
        <v>444.49</v>
      </c>
      <c r="F81" s="1439"/>
      <c r="G81" s="1421">
        <v>0.02</v>
      </c>
      <c r="H81" s="1439"/>
      <c r="I81" s="1420">
        <v>469.53</v>
      </c>
      <c r="J81" s="1439"/>
      <c r="K81" s="1420">
        <v>396.29</v>
      </c>
      <c r="L81" s="1439"/>
      <c r="M81" s="1422">
        <v>34275570</v>
      </c>
      <c r="N81" s="1439"/>
      <c r="O81" s="1422">
        <v>30</v>
      </c>
      <c r="P81" s="1439"/>
      <c r="Q81" s="1422">
        <v>25</v>
      </c>
      <c r="R81" s="1439"/>
      <c r="S81" s="1422">
        <v>5</v>
      </c>
      <c r="T81" s="1439"/>
      <c r="U81" s="1422">
        <v>0</v>
      </c>
      <c r="V81" s="1439"/>
      <c r="W81" s="1422">
        <v>5</v>
      </c>
      <c r="X81" s="1439"/>
      <c r="Y81" s="1422">
        <v>35</v>
      </c>
      <c r="Z81" s="1439"/>
      <c r="AA81" s="1420">
        <v>997516.80000000005</v>
      </c>
      <c r="AB81" s="1439"/>
      <c r="AC81" s="1420">
        <v>964930.81</v>
      </c>
      <c r="AD81" s="1422">
        <v>1176680</v>
      </c>
      <c r="AE81" s="1420">
        <v>231959.19</v>
      </c>
      <c r="AF81" s="1422">
        <v>79700</v>
      </c>
      <c r="AG81" s="1420">
        <v>12.02</v>
      </c>
      <c r="AH81" s="1422">
        <v>0</v>
      </c>
      <c r="AI81" s="1422">
        <v>2078225</v>
      </c>
      <c r="AJ81" s="1422">
        <v>2040567</v>
      </c>
      <c r="AK81" s="1422">
        <v>41278</v>
      </c>
      <c r="AL81" s="1422">
        <v>0</v>
      </c>
      <c r="AM81" s="1422">
        <v>74618</v>
      </c>
      <c r="AN81" s="1422">
        <v>0</v>
      </c>
      <c r="AO81" s="1422">
        <v>0</v>
      </c>
      <c r="AP81" s="1422">
        <v>0</v>
      </c>
      <c r="AQ81" s="1422">
        <v>341846</v>
      </c>
      <c r="AR81" s="1422">
        <v>0</v>
      </c>
      <c r="AS81" s="1422">
        <v>28050</v>
      </c>
      <c r="AT81" s="1422">
        <v>0</v>
      </c>
      <c r="AU81" s="1422">
        <v>0</v>
      </c>
      <c r="AV81" s="1422">
        <v>0</v>
      </c>
      <c r="AW81" s="1422">
        <v>4876</v>
      </c>
      <c r="AX81" s="1422">
        <v>0</v>
      </c>
      <c r="AY81" s="1420">
        <v>3765795.02</v>
      </c>
      <c r="AZ81" s="1422">
        <v>3296947</v>
      </c>
      <c r="BA81" s="1422">
        <v>0</v>
      </c>
      <c r="BB81" s="1422">
        <v>0</v>
      </c>
      <c r="BC81" s="1422">
        <v>18912</v>
      </c>
      <c r="BD81" s="1422">
        <v>19874</v>
      </c>
      <c r="BE81" s="1422">
        <v>0</v>
      </c>
      <c r="BF81" s="1422">
        <v>0</v>
      </c>
      <c r="BG81" s="1422">
        <v>200</v>
      </c>
      <c r="BH81" s="1422">
        <v>0</v>
      </c>
      <c r="BI81" s="1422">
        <v>27296</v>
      </c>
      <c r="BJ81" s="1422">
        <v>26984</v>
      </c>
      <c r="BK81" s="1422">
        <v>0</v>
      </c>
      <c r="BL81" s="1422">
        <v>0</v>
      </c>
      <c r="BM81" s="1422">
        <v>147875</v>
      </c>
      <c r="BN81" s="1422">
        <v>151294</v>
      </c>
      <c r="BO81" s="1420">
        <v>76971.399999999994</v>
      </c>
      <c r="BP81" s="1422">
        <v>0</v>
      </c>
      <c r="BQ81" s="1422">
        <v>0</v>
      </c>
      <c r="BR81" s="1422">
        <v>0</v>
      </c>
      <c r="BS81" s="1420">
        <v>1733.23</v>
      </c>
      <c r="BT81" s="1422">
        <v>1500</v>
      </c>
      <c r="BU81" s="1422">
        <v>0</v>
      </c>
      <c r="BV81" s="1422">
        <v>0</v>
      </c>
      <c r="BW81" s="1422">
        <v>127736</v>
      </c>
      <c r="BX81" s="1422">
        <v>126360</v>
      </c>
      <c r="BY81" s="1422">
        <v>0</v>
      </c>
      <c r="BZ81" s="1422">
        <v>0</v>
      </c>
      <c r="CA81" s="1422">
        <v>32300</v>
      </c>
      <c r="CB81" s="1422">
        <v>10322</v>
      </c>
      <c r="CC81" s="1420">
        <v>433023.63</v>
      </c>
      <c r="CD81" s="1422">
        <v>336334</v>
      </c>
      <c r="CE81" s="1420">
        <v>839382.83</v>
      </c>
      <c r="CF81" s="1422">
        <v>718204</v>
      </c>
      <c r="CG81" s="1422">
        <v>0</v>
      </c>
      <c r="CH81" s="1422">
        <v>0</v>
      </c>
      <c r="CI81" s="1422">
        <v>0</v>
      </c>
      <c r="CJ81" s="1422">
        <v>0</v>
      </c>
      <c r="CK81" s="1422">
        <v>0</v>
      </c>
      <c r="CL81" s="1422">
        <v>0</v>
      </c>
      <c r="CM81" s="1422">
        <v>0</v>
      </c>
      <c r="CN81" s="1422">
        <v>0</v>
      </c>
      <c r="CO81" s="1422">
        <v>0</v>
      </c>
      <c r="CP81" s="1422">
        <v>0</v>
      </c>
      <c r="CQ81" s="1422">
        <v>0</v>
      </c>
      <c r="CR81" s="1422">
        <v>0</v>
      </c>
      <c r="CS81" s="1422">
        <v>0</v>
      </c>
      <c r="CT81" s="1422">
        <v>0</v>
      </c>
      <c r="CU81" s="1420">
        <v>5038201.4800000004</v>
      </c>
      <c r="CV81" s="1422">
        <v>4351485</v>
      </c>
      <c r="CW81" s="1420">
        <v>1860037.16</v>
      </c>
      <c r="CX81" s="1420">
        <v>1750323.87</v>
      </c>
      <c r="CY81" s="1420">
        <v>324610.40999999997</v>
      </c>
      <c r="CZ81" s="1420">
        <v>298181.34000000003</v>
      </c>
      <c r="DA81" s="1420">
        <v>186055.35</v>
      </c>
      <c r="DB81" s="1420">
        <v>172755.5</v>
      </c>
      <c r="DC81" s="1422">
        <v>0</v>
      </c>
      <c r="DD81" s="1422">
        <v>0</v>
      </c>
      <c r="DE81" s="1420">
        <v>232511.64</v>
      </c>
      <c r="DF81" s="1420">
        <v>301632.18</v>
      </c>
      <c r="DG81" s="1420">
        <v>79617.350000000006</v>
      </c>
      <c r="DH81" s="1420">
        <v>130572.33</v>
      </c>
      <c r="DI81" s="1420">
        <v>2682831.91</v>
      </c>
      <c r="DJ81" s="1420">
        <v>2653465.2200000002</v>
      </c>
      <c r="DK81" s="1420">
        <v>176271.6</v>
      </c>
      <c r="DL81" s="1420">
        <v>179747.64</v>
      </c>
      <c r="DM81" s="1420">
        <v>6118.64</v>
      </c>
      <c r="DN81" s="1422">
        <v>1200</v>
      </c>
      <c r="DO81" s="1420">
        <v>318348.09999999998</v>
      </c>
      <c r="DP81" s="1420">
        <v>311938.23</v>
      </c>
      <c r="DQ81" s="1420">
        <v>275300.74</v>
      </c>
      <c r="DR81" s="1420">
        <v>382091.64</v>
      </c>
      <c r="DS81" s="1420">
        <v>14533.58</v>
      </c>
      <c r="DT81" s="1422">
        <v>5000</v>
      </c>
      <c r="DU81" s="1420">
        <v>790572.66</v>
      </c>
      <c r="DV81" s="1420">
        <v>879977.51</v>
      </c>
      <c r="DW81" s="1420">
        <v>150206.72</v>
      </c>
      <c r="DX81" s="1420">
        <v>151942.82999999999</v>
      </c>
      <c r="DY81" s="1420">
        <v>132185.14000000001</v>
      </c>
      <c r="DZ81" s="1420">
        <v>129826.81</v>
      </c>
      <c r="EA81" s="1420">
        <v>204829.86</v>
      </c>
      <c r="EB81" s="1420">
        <v>196614.94</v>
      </c>
      <c r="EC81" s="1420">
        <v>487221.72</v>
      </c>
      <c r="ED81" s="1420">
        <v>478384.58</v>
      </c>
      <c r="EE81" s="1420">
        <v>250045.85</v>
      </c>
      <c r="EF81" s="1420">
        <v>206452.9</v>
      </c>
      <c r="EG81" s="1422">
        <v>0</v>
      </c>
      <c r="EH81" s="1422">
        <v>0</v>
      </c>
      <c r="EI81" s="1420">
        <v>287.68</v>
      </c>
      <c r="EJ81" s="1422">
        <v>0</v>
      </c>
      <c r="EK81" s="1422">
        <v>0</v>
      </c>
      <c r="EL81" s="1422">
        <v>0</v>
      </c>
      <c r="EM81" s="1420">
        <v>250333.53</v>
      </c>
      <c r="EN81" s="1420">
        <v>206452.9</v>
      </c>
      <c r="EO81" s="1422">
        <v>0</v>
      </c>
      <c r="EP81" s="1422">
        <v>0</v>
      </c>
      <c r="EQ81" s="1420">
        <v>96406.73</v>
      </c>
      <c r="ER81" s="1422">
        <v>73729</v>
      </c>
      <c r="ES81" s="1422">
        <v>0</v>
      </c>
      <c r="ET81" s="1422">
        <v>0</v>
      </c>
      <c r="EU81" s="1420">
        <v>4307366.55</v>
      </c>
      <c r="EV81" s="1420">
        <v>4292009.21</v>
      </c>
      <c r="EW81" s="1420">
        <v>104276.23</v>
      </c>
      <c r="EX81" s="1422">
        <v>141900</v>
      </c>
      <c r="EY81" s="1420">
        <v>96406.73</v>
      </c>
      <c r="EZ81" s="1422">
        <v>73729</v>
      </c>
      <c r="FA81" s="1420">
        <v>4106683.59</v>
      </c>
      <c r="FB81" s="1420">
        <v>4076380.21</v>
      </c>
      <c r="FC81" s="1420">
        <v>458327.21</v>
      </c>
      <c r="FD81" s="1439"/>
      <c r="FE81" s="1420">
        <v>3648356.38</v>
      </c>
      <c r="FF81" s="1439"/>
      <c r="FG81" s="1422">
        <v>8207</v>
      </c>
      <c r="FH81" s="1439"/>
      <c r="FI81" s="1420">
        <v>43.77</v>
      </c>
      <c r="FJ81" s="1439"/>
      <c r="FK81" s="1422">
        <v>29757</v>
      </c>
      <c r="FL81" s="1439"/>
      <c r="FM81" s="1420">
        <v>46.77</v>
      </c>
      <c r="FN81" s="1439"/>
      <c r="FO81" s="1422">
        <v>32107</v>
      </c>
      <c r="FP81" s="1439"/>
      <c r="FQ81" s="1420">
        <v>569310.56999999995</v>
      </c>
      <c r="FR81" s="1439"/>
      <c r="FS81" s="1420">
        <v>54678.22</v>
      </c>
      <c r="FT81" s="1439"/>
      <c r="FU81" s="1422">
        <v>0</v>
      </c>
      <c r="FV81" s="1439"/>
      <c r="FW81" s="1420">
        <v>514632.35</v>
      </c>
      <c r="FX81" s="1439"/>
      <c r="FY81" s="1420">
        <v>794689.04</v>
      </c>
      <c r="FZ81" s="1439"/>
      <c r="GA81" s="1422">
        <v>0</v>
      </c>
      <c r="GB81" s="1439"/>
    </row>
    <row r="82" spans="1:184" ht="12.75" customHeight="1" thickBot="1">
      <c r="A82" s="1418" t="s">
        <v>561</v>
      </c>
      <c r="B82" s="1418" t="s">
        <v>562</v>
      </c>
      <c r="C82" s="1420">
        <v>226.86</v>
      </c>
      <c r="D82" s="1439"/>
      <c r="E82" s="1420">
        <v>694.79</v>
      </c>
      <c r="F82" s="1439"/>
      <c r="G82" s="1421">
        <v>-0.01</v>
      </c>
      <c r="H82" s="1439"/>
      <c r="I82" s="1420">
        <v>728.42</v>
      </c>
      <c r="J82" s="1439"/>
      <c r="K82" s="1420">
        <v>737.22</v>
      </c>
      <c r="L82" s="1439"/>
      <c r="M82" s="1422">
        <v>41747303</v>
      </c>
      <c r="N82" s="1439"/>
      <c r="O82" s="1422">
        <v>25</v>
      </c>
      <c r="P82" s="1439"/>
      <c r="Q82" s="1422">
        <v>25</v>
      </c>
      <c r="R82" s="1439"/>
      <c r="S82" s="1422">
        <v>0</v>
      </c>
      <c r="T82" s="1439"/>
      <c r="U82" s="1422">
        <v>0</v>
      </c>
      <c r="V82" s="1439"/>
      <c r="W82" s="1420">
        <v>6.5</v>
      </c>
      <c r="X82" s="1439"/>
      <c r="Y82" s="1420">
        <v>31.5</v>
      </c>
      <c r="Z82" s="1439"/>
      <c r="AA82" s="1422">
        <v>630000</v>
      </c>
      <c r="AB82" s="1439"/>
      <c r="AC82" s="1420">
        <v>1216904.42</v>
      </c>
      <c r="AD82" s="1422">
        <v>1262000</v>
      </c>
      <c r="AE82" s="1420">
        <v>362918.76</v>
      </c>
      <c r="AF82" s="1422">
        <v>125500</v>
      </c>
      <c r="AG82" s="1420">
        <v>15.54</v>
      </c>
      <c r="AH82" s="1422">
        <v>3000</v>
      </c>
      <c r="AI82" s="1422">
        <v>3436983</v>
      </c>
      <c r="AJ82" s="1422">
        <v>3444104</v>
      </c>
      <c r="AK82" s="1422">
        <v>42721</v>
      </c>
      <c r="AL82" s="1422">
        <v>45000</v>
      </c>
      <c r="AM82" s="1422">
        <v>0</v>
      </c>
      <c r="AN82" s="1422">
        <v>0</v>
      </c>
      <c r="AO82" s="1422">
        <v>0</v>
      </c>
      <c r="AP82" s="1422">
        <v>29184</v>
      </c>
      <c r="AQ82" s="1422">
        <v>0</v>
      </c>
      <c r="AR82" s="1422">
        <v>0</v>
      </c>
      <c r="AS82" s="1422">
        <v>0</v>
      </c>
      <c r="AT82" s="1422">
        <v>0</v>
      </c>
      <c r="AU82" s="1422">
        <v>1670</v>
      </c>
      <c r="AV82" s="1422">
        <v>1336</v>
      </c>
      <c r="AW82" s="1422">
        <v>0</v>
      </c>
      <c r="AX82" s="1422">
        <v>0</v>
      </c>
      <c r="AY82" s="1420">
        <v>5061212.72</v>
      </c>
      <c r="AZ82" s="1422">
        <v>4910124</v>
      </c>
      <c r="BA82" s="1422">
        <v>0</v>
      </c>
      <c r="BB82" s="1422">
        <v>0</v>
      </c>
      <c r="BC82" s="1422">
        <v>30491</v>
      </c>
      <c r="BD82" s="1422">
        <v>30841</v>
      </c>
      <c r="BE82" s="1420">
        <v>7134.29</v>
      </c>
      <c r="BF82" s="1422">
        <v>2500</v>
      </c>
      <c r="BG82" s="1422">
        <v>150</v>
      </c>
      <c r="BH82" s="1422">
        <v>100</v>
      </c>
      <c r="BI82" s="1422">
        <v>17471</v>
      </c>
      <c r="BJ82" s="1422">
        <v>28642</v>
      </c>
      <c r="BK82" s="1422">
        <v>0</v>
      </c>
      <c r="BL82" s="1422">
        <v>0</v>
      </c>
      <c r="BM82" s="1422">
        <v>227664</v>
      </c>
      <c r="BN82" s="1422">
        <v>229724</v>
      </c>
      <c r="BO82" s="1420">
        <v>31369.79</v>
      </c>
      <c r="BP82" s="1422">
        <v>28500</v>
      </c>
      <c r="BQ82" s="1422">
        <v>0</v>
      </c>
      <c r="BR82" s="1422">
        <v>0</v>
      </c>
      <c r="BS82" s="1420">
        <v>3145.07</v>
      </c>
      <c r="BT82" s="1422">
        <v>3000</v>
      </c>
      <c r="BU82" s="1422">
        <v>0</v>
      </c>
      <c r="BV82" s="1422">
        <v>0</v>
      </c>
      <c r="BW82" s="1422">
        <v>0</v>
      </c>
      <c r="BX82" s="1422">
        <v>0</v>
      </c>
      <c r="BY82" s="1422">
        <v>0</v>
      </c>
      <c r="BZ82" s="1422">
        <v>0</v>
      </c>
      <c r="CA82" s="1422">
        <v>45962</v>
      </c>
      <c r="CB82" s="1422">
        <v>146965</v>
      </c>
      <c r="CC82" s="1420">
        <v>363387.15</v>
      </c>
      <c r="CD82" s="1422">
        <v>470272</v>
      </c>
      <c r="CE82" s="1420">
        <v>1049726.21</v>
      </c>
      <c r="CF82" s="1420">
        <v>917503.92</v>
      </c>
      <c r="CG82" s="1420">
        <v>1618.48</v>
      </c>
      <c r="CH82" s="1422">
        <v>0</v>
      </c>
      <c r="CI82" s="1422">
        <v>0</v>
      </c>
      <c r="CJ82" s="1422">
        <v>0</v>
      </c>
      <c r="CK82" s="1422">
        <v>0</v>
      </c>
      <c r="CL82" s="1422">
        <v>0</v>
      </c>
      <c r="CM82" s="1420">
        <v>2481.5</v>
      </c>
      <c r="CN82" s="1422">
        <v>0</v>
      </c>
      <c r="CO82" s="1420">
        <v>2191.2800000000002</v>
      </c>
      <c r="CP82" s="1422">
        <v>0</v>
      </c>
      <c r="CQ82" s="1422">
        <v>0</v>
      </c>
      <c r="CR82" s="1422">
        <v>0</v>
      </c>
      <c r="CS82" s="1420">
        <v>6291.26</v>
      </c>
      <c r="CT82" s="1422">
        <v>0</v>
      </c>
      <c r="CU82" s="1420">
        <v>6480617.3399999999</v>
      </c>
      <c r="CV82" s="1420">
        <v>6297899.9199999999</v>
      </c>
      <c r="CW82" s="1420">
        <v>2644320.7200000002</v>
      </c>
      <c r="CX82" s="1420">
        <v>2604365.06</v>
      </c>
      <c r="CY82" s="1420">
        <v>454068.55</v>
      </c>
      <c r="CZ82" s="1420">
        <v>429853.72</v>
      </c>
      <c r="DA82" s="1420">
        <v>219978.11</v>
      </c>
      <c r="DB82" s="1420">
        <v>222082.97</v>
      </c>
      <c r="DC82" s="1422">
        <v>0</v>
      </c>
      <c r="DD82" s="1422">
        <v>0</v>
      </c>
      <c r="DE82" s="1420">
        <v>208127.64</v>
      </c>
      <c r="DF82" s="1420">
        <v>215438.85</v>
      </c>
      <c r="DG82" s="1420">
        <v>245788.39</v>
      </c>
      <c r="DH82" s="1420">
        <v>266911.07</v>
      </c>
      <c r="DI82" s="1420">
        <v>3772283.41</v>
      </c>
      <c r="DJ82" s="1420">
        <v>3738651.67</v>
      </c>
      <c r="DK82" s="1420">
        <v>207978.75</v>
      </c>
      <c r="DL82" s="1420">
        <v>192668.74</v>
      </c>
      <c r="DM82" s="1420">
        <v>77815.149999999994</v>
      </c>
      <c r="DN82" s="1420">
        <v>81392.83</v>
      </c>
      <c r="DO82" s="1420">
        <v>540966.57999999996</v>
      </c>
      <c r="DP82" s="1420">
        <v>488879.97</v>
      </c>
      <c r="DQ82" s="1420">
        <v>372122.57</v>
      </c>
      <c r="DR82" s="1420">
        <v>391504.97</v>
      </c>
      <c r="DS82" s="1420">
        <v>12343.97</v>
      </c>
      <c r="DT82" s="1422">
        <v>6000</v>
      </c>
      <c r="DU82" s="1420">
        <v>1211227.02</v>
      </c>
      <c r="DV82" s="1420">
        <v>1160446.51</v>
      </c>
      <c r="DW82" s="1420">
        <v>219737.99</v>
      </c>
      <c r="DX82" s="1420">
        <v>241038.27</v>
      </c>
      <c r="DY82" s="1420">
        <v>305675.03000000003</v>
      </c>
      <c r="DZ82" s="1420">
        <v>267131.27</v>
      </c>
      <c r="EA82" s="1420">
        <v>215118.32</v>
      </c>
      <c r="EB82" s="1420">
        <v>216836.54</v>
      </c>
      <c r="EC82" s="1420">
        <v>740531.34</v>
      </c>
      <c r="ED82" s="1420">
        <v>725006.08</v>
      </c>
      <c r="EE82" s="1420">
        <v>408573.6</v>
      </c>
      <c r="EF82" s="1422">
        <v>425825</v>
      </c>
      <c r="EG82" s="1420">
        <v>53167.040000000001</v>
      </c>
      <c r="EH82" s="1422">
        <v>0</v>
      </c>
      <c r="EI82" s="1420">
        <v>361.22</v>
      </c>
      <c r="EJ82" s="1420">
        <v>3002.45</v>
      </c>
      <c r="EK82" s="1422">
        <v>0</v>
      </c>
      <c r="EL82" s="1422">
        <v>0</v>
      </c>
      <c r="EM82" s="1420">
        <v>462101.86</v>
      </c>
      <c r="EN82" s="1420">
        <v>428827.45</v>
      </c>
      <c r="EO82" s="1420">
        <v>386842.7</v>
      </c>
      <c r="EP82" s="1422">
        <v>172414</v>
      </c>
      <c r="EQ82" s="1420">
        <v>175127.5</v>
      </c>
      <c r="ER82" s="1422">
        <v>181570</v>
      </c>
      <c r="ES82" s="1422">
        <v>0</v>
      </c>
      <c r="ET82" s="1422">
        <v>0</v>
      </c>
      <c r="EU82" s="1420">
        <v>6748113.8300000001</v>
      </c>
      <c r="EV82" s="1420">
        <v>6406915.71</v>
      </c>
      <c r="EW82" s="1420">
        <v>636775.80000000005</v>
      </c>
      <c r="EX82" s="1422">
        <v>309134</v>
      </c>
      <c r="EY82" s="1420">
        <v>175127.5</v>
      </c>
      <c r="EZ82" s="1422">
        <v>181570</v>
      </c>
      <c r="FA82" s="1420">
        <v>5936210.5300000003</v>
      </c>
      <c r="FB82" s="1420">
        <v>5916211.71</v>
      </c>
      <c r="FC82" s="1420">
        <v>271668.19</v>
      </c>
      <c r="FD82" s="1439"/>
      <c r="FE82" s="1420">
        <v>5664542.3399999999</v>
      </c>
      <c r="FF82" s="1439"/>
      <c r="FG82" s="1422">
        <v>8152</v>
      </c>
      <c r="FH82" s="1439"/>
      <c r="FI82" s="1420">
        <v>54.96</v>
      </c>
      <c r="FJ82" s="1439"/>
      <c r="FK82" s="1422">
        <v>43713</v>
      </c>
      <c r="FL82" s="1439"/>
      <c r="FM82" s="1420">
        <v>57.8</v>
      </c>
      <c r="FN82" s="1439"/>
      <c r="FO82" s="1422">
        <v>45293</v>
      </c>
      <c r="FP82" s="1439"/>
      <c r="FQ82" s="1420">
        <v>1448322.12</v>
      </c>
      <c r="FR82" s="1439"/>
      <c r="FS82" s="1420">
        <v>17431.96</v>
      </c>
      <c r="FT82" s="1439"/>
      <c r="FU82" s="1422">
        <v>0</v>
      </c>
      <c r="FV82" s="1439"/>
      <c r="FW82" s="1420">
        <v>1430890.16</v>
      </c>
      <c r="FX82" s="1439"/>
      <c r="FY82" s="1420">
        <v>1347464.32</v>
      </c>
      <c r="FZ82" s="1439"/>
      <c r="GA82" s="1422">
        <v>0</v>
      </c>
      <c r="GB82" s="1439"/>
    </row>
    <row r="83" spans="1:184" ht="12.75" customHeight="1" thickBot="1">
      <c r="A83" s="1418" t="s">
        <v>563</v>
      </c>
      <c r="B83" s="1418" t="s">
        <v>564</v>
      </c>
      <c r="C83" s="1420">
        <v>236.37</v>
      </c>
      <c r="D83" s="1439"/>
      <c r="E83" s="1420">
        <v>391.76</v>
      </c>
      <c r="F83" s="1439"/>
      <c r="G83" s="1421">
        <v>0.01</v>
      </c>
      <c r="H83" s="1439"/>
      <c r="I83" s="1420">
        <v>410.1</v>
      </c>
      <c r="J83" s="1439"/>
      <c r="K83" s="1420">
        <v>414.54</v>
      </c>
      <c r="L83" s="1439"/>
      <c r="M83" s="1422">
        <v>34590129</v>
      </c>
      <c r="N83" s="1439"/>
      <c r="O83" s="1422">
        <v>25</v>
      </c>
      <c r="P83" s="1439"/>
      <c r="Q83" s="1422">
        <v>25</v>
      </c>
      <c r="R83" s="1439"/>
      <c r="S83" s="1422">
        <v>0</v>
      </c>
      <c r="T83" s="1439"/>
      <c r="U83" s="1422">
        <v>0</v>
      </c>
      <c r="V83" s="1439"/>
      <c r="W83" s="1420">
        <v>15.62</v>
      </c>
      <c r="X83" s="1439"/>
      <c r="Y83" s="1420">
        <v>40.619999999999997</v>
      </c>
      <c r="Z83" s="1439"/>
      <c r="AA83" s="1422">
        <v>4045000</v>
      </c>
      <c r="AB83" s="1439"/>
      <c r="AC83" s="1420">
        <v>1269364.1299999999</v>
      </c>
      <c r="AD83" s="1420">
        <v>1301722.49</v>
      </c>
      <c r="AE83" s="1420">
        <v>219954.48</v>
      </c>
      <c r="AF83" s="1422">
        <v>100000</v>
      </c>
      <c r="AG83" s="1420">
        <v>12.01</v>
      </c>
      <c r="AH83" s="1422">
        <v>0</v>
      </c>
      <c r="AI83" s="1422">
        <v>1678355</v>
      </c>
      <c r="AJ83" s="1422">
        <v>1668323</v>
      </c>
      <c r="AK83" s="1422">
        <v>45507</v>
      </c>
      <c r="AL83" s="1422">
        <v>0</v>
      </c>
      <c r="AM83" s="1422">
        <v>68306</v>
      </c>
      <c r="AN83" s="1422">
        <v>0</v>
      </c>
      <c r="AO83" s="1422">
        <v>0</v>
      </c>
      <c r="AP83" s="1422">
        <v>12595</v>
      </c>
      <c r="AQ83" s="1422">
        <v>0</v>
      </c>
      <c r="AR83" s="1422">
        <v>0</v>
      </c>
      <c r="AS83" s="1422">
        <v>0</v>
      </c>
      <c r="AT83" s="1422">
        <v>125000</v>
      </c>
      <c r="AU83" s="1422">
        <v>0</v>
      </c>
      <c r="AV83" s="1422">
        <v>0</v>
      </c>
      <c r="AW83" s="1422">
        <v>11198</v>
      </c>
      <c r="AX83" s="1422">
        <v>0</v>
      </c>
      <c r="AY83" s="1420">
        <v>3292696.62</v>
      </c>
      <c r="AZ83" s="1420">
        <v>3207640.49</v>
      </c>
      <c r="BA83" s="1422">
        <v>0</v>
      </c>
      <c r="BB83" s="1422">
        <v>0</v>
      </c>
      <c r="BC83" s="1422">
        <v>17145</v>
      </c>
      <c r="BD83" s="1422">
        <v>17394</v>
      </c>
      <c r="BE83" s="1420">
        <v>129973.6</v>
      </c>
      <c r="BF83" s="1422">
        <v>6400</v>
      </c>
      <c r="BG83" s="1422">
        <v>150</v>
      </c>
      <c r="BH83" s="1422">
        <v>0</v>
      </c>
      <c r="BI83" s="1422">
        <v>15521</v>
      </c>
      <c r="BJ83" s="1422">
        <v>15088</v>
      </c>
      <c r="BK83" s="1422">
        <v>879</v>
      </c>
      <c r="BL83" s="1422">
        <v>0</v>
      </c>
      <c r="BM83" s="1422">
        <v>115568</v>
      </c>
      <c r="BN83" s="1422">
        <v>128018</v>
      </c>
      <c r="BO83" s="1420">
        <v>1920.2</v>
      </c>
      <c r="BP83" s="1422">
        <v>0</v>
      </c>
      <c r="BQ83" s="1422">
        <v>0</v>
      </c>
      <c r="BR83" s="1422">
        <v>0</v>
      </c>
      <c r="BS83" s="1420">
        <v>1668.78</v>
      </c>
      <c r="BT83" s="1422">
        <v>1500</v>
      </c>
      <c r="BU83" s="1422">
        <v>0</v>
      </c>
      <c r="BV83" s="1422">
        <v>0</v>
      </c>
      <c r="BW83" s="1422">
        <v>0</v>
      </c>
      <c r="BX83" s="1422">
        <v>0</v>
      </c>
      <c r="BY83" s="1422">
        <v>0</v>
      </c>
      <c r="BZ83" s="1422">
        <v>0</v>
      </c>
      <c r="CA83" s="1420">
        <v>729389.26</v>
      </c>
      <c r="CB83" s="1422">
        <v>591645</v>
      </c>
      <c r="CC83" s="1420">
        <v>1012214.84</v>
      </c>
      <c r="CD83" s="1422">
        <v>760045</v>
      </c>
      <c r="CE83" s="1420">
        <v>640146.59</v>
      </c>
      <c r="CF83" s="1420">
        <v>1090329.5</v>
      </c>
      <c r="CG83" s="1420">
        <v>1148.5</v>
      </c>
      <c r="CH83" s="1422">
        <v>0</v>
      </c>
      <c r="CI83" s="1422">
        <v>0</v>
      </c>
      <c r="CJ83" s="1422">
        <v>0</v>
      </c>
      <c r="CK83" s="1422">
        <v>0</v>
      </c>
      <c r="CL83" s="1422">
        <v>0</v>
      </c>
      <c r="CM83" s="1422">
        <v>2195</v>
      </c>
      <c r="CN83" s="1422">
        <v>0</v>
      </c>
      <c r="CO83" s="1420">
        <v>1394.19</v>
      </c>
      <c r="CP83" s="1422">
        <v>0</v>
      </c>
      <c r="CQ83" s="1422">
        <v>0</v>
      </c>
      <c r="CR83" s="1422">
        <v>0</v>
      </c>
      <c r="CS83" s="1420">
        <v>4737.6899999999996</v>
      </c>
      <c r="CT83" s="1422">
        <v>0</v>
      </c>
      <c r="CU83" s="1420">
        <v>4949795.74</v>
      </c>
      <c r="CV83" s="1420">
        <v>5058014.99</v>
      </c>
      <c r="CW83" s="1420">
        <v>1585366.85</v>
      </c>
      <c r="CX83" s="1420">
        <v>1477559.4</v>
      </c>
      <c r="CY83" s="1420">
        <v>191301.56</v>
      </c>
      <c r="CZ83" s="1420">
        <v>213659.56</v>
      </c>
      <c r="DA83" s="1420">
        <v>192464.47</v>
      </c>
      <c r="DB83" s="1420">
        <v>185313.32</v>
      </c>
      <c r="DC83" s="1422">
        <v>0</v>
      </c>
      <c r="DD83" s="1422">
        <v>0</v>
      </c>
      <c r="DE83" s="1420">
        <v>105248.61</v>
      </c>
      <c r="DF83" s="1420">
        <v>132341.1</v>
      </c>
      <c r="DG83" s="1420">
        <v>135917.06</v>
      </c>
      <c r="DH83" s="1420">
        <v>129159.43</v>
      </c>
      <c r="DI83" s="1420">
        <v>2210298.5499999998</v>
      </c>
      <c r="DJ83" s="1420">
        <v>2138032.81</v>
      </c>
      <c r="DK83" s="1420">
        <v>146255.70000000001</v>
      </c>
      <c r="DL83" s="1420">
        <v>139376.12</v>
      </c>
      <c r="DM83" s="1420">
        <v>46784.94</v>
      </c>
      <c r="DN83" s="1420">
        <v>48604.67</v>
      </c>
      <c r="DO83" s="1420">
        <v>438942.77</v>
      </c>
      <c r="DP83" s="1420">
        <v>386040.31</v>
      </c>
      <c r="DQ83" s="1420">
        <v>245942.48</v>
      </c>
      <c r="DR83" s="1420">
        <v>240814.54</v>
      </c>
      <c r="DS83" s="1420">
        <v>12950.57</v>
      </c>
      <c r="DT83" s="1422">
        <v>5000</v>
      </c>
      <c r="DU83" s="1420">
        <v>890876.46</v>
      </c>
      <c r="DV83" s="1420">
        <v>819835.64</v>
      </c>
      <c r="DW83" s="1420">
        <v>147768.82999999999</v>
      </c>
      <c r="DX83" s="1420">
        <v>166654.75</v>
      </c>
      <c r="DY83" s="1420">
        <v>106775.27</v>
      </c>
      <c r="DZ83" s="1420">
        <v>121189.13</v>
      </c>
      <c r="EA83" s="1420">
        <v>185525.12</v>
      </c>
      <c r="EB83" s="1420">
        <v>204179.45</v>
      </c>
      <c r="EC83" s="1420">
        <v>440069.22</v>
      </c>
      <c r="ED83" s="1420">
        <v>492023.33</v>
      </c>
      <c r="EE83" s="1420">
        <v>252861.76</v>
      </c>
      <c r="EF83" s="1420">
        <v>241844.29</v>
      </c>
      <c r="EG83" s="1422">
        <v>0</v>
      </c>
      <c r="EH83" s="1422">
        <v>0</v>
      </c>
      <c r="EI83" s="1422">
        <v>0</v>
      </c>
      <c r="EJ83" s="1422">
        <v>2000</v>
      </c>
      <c r="EK83" s="1422">
        <v>0</v>
      </c>
      <c r="EL83" s="1422">
        <v>0</v>
      </c>
      <c r="EM83" s="1420">
        <v>252861.76</v>
      </c>
      <c r="EN83" s="1420">
        <v>243844.29</v>
      </c>
      <c r="EO83" s="1420">
        <v>2181179.84</v>
      </c>
      <c r="EP83" s="1422">
        <v>1285161</v>
      </c>
      <c r="EQ83" s="1420">
        <v>287146.83</v>
      </c>
      <c r="ER83" s="1422">
        <v>268180</v>
      </c>
      <c r="ES83" s="1422">
        <v>0</v>
      </c>
      <c r="ET83" s="1422">
        <v>0</v>
      </c>
      <c r="EU83" s="1420">
        <v>6262432.6600000001</v>
      </c>
      <c r="EV83" s="1420">
        <v>5247077.07</v>
      </c>
      <c r="EW83" s="1420">
        <v>2212016.5699999998</v>
      </c>
      <c r="EX83" s="1422">
        <v>1301161</v>
      </c>
      <c r="EY83" s="1420">
        <v>287146.83</v>
      </c>
      <c r="EZ83" s="1422">
        <v>268180</v>
      </c>
      <c r="FA83" s="1420">
        <v>3763269.26</v>
      </c>
      <c r="FB83" s="1420">
        <v>3677736.07</v>
      </c>
      <c r="FC83" s="1420">
        <v>185694.42</v>
      </c>
      <c r="FD83" s="1439"/>
      <c r="FE83" s="1420">
        <v>3577574.84</v>
      </c>
      <c r="FF83" s="1439"/>
      <c r="FG83" s="1422">
        <v>9132</v>
      </c>
      <c r="FH83" s="1439"/>
      <c r="FI83" s="1420">
        <v>27.99</v>
      </c>
      <c r="FJ83" s="1439"/>
      <c r="FK83" s="1422">
        <v>42345</v>
      </c>
      <c r="FL83" s="1439"/>
      <c r="FM83" s="1420">
        <v>30.6</v>
      </c>
      <c r="FN83" s="1439"/>
      <c r="FO83" s="1422">
        <v>44831</v>
      </c>
      <c r="FP83" s="1439"/>
      <c r="FQ83" s="1420">
        <v>733105.38</v>
      </c>
      <c r="FR83" s="1439"/>
      <c r="FS83" s="1420">
        <v>53277.27</v>
      </c>
      <c r="FT83" s="1439"/>
      <c r="FU83" s="1422">
        <v>0</v>
      </c>
      <c r="FV83" s="1439"/>
      <c r="FW83" s="1420">
        <v>679828.11</v>
      </c>
      <c r="FX83" s="1439"/>
      <c r="FY83" s="1420">
        <v>328301.98</v>
      </c>
      <c r="FZ83" s="1439"/>
      <c r="GA83" s="1422">
        <v>0</v>
      </c>
      <c r="GB83" s="1439"/>
    </row>
    <row r="84" spans="1:184" ht="12.75" customHeight="1" thickBot="1">
      <c r="A84" s="1418" t="s">
        <v>565</v>
      </c>
      <c r="B84" s="1418" t="s">
        <v>566</v>
      </c>
      <c r="C84" s="1420">
        <v>31.58</v>
      </c>
      <c r="D84" s="1439"/>
      <c r="E84" s="1420">
        <v>600.9</v>
      </c>
      <c r="F84" s="1439"/>
      <c r="G84" s="1421">
        <v>-0.08</v>
      </c>
      <c r="H84" s="1439"/>
      <c r="I84" s="1420">
        <v>622.15</v>
      </c>
      <c r="J84" s="1439"/>
      <c r="K84" s="1420">
        <v>676.04</v>
      </c>
      <c r="L84" s="1439"/>
      <c r="M84" s="1422">
        <v>38902378</v>
      </c>
      <c r="N84" s="1439"/>
      <c r="O84" s="1422">
        <v>25</v>
      </c>
      <c r="P84" s="1439"/>
      <c r="Q84" s="1422">
        <v>25</v>
      </c>
      <c r="R84" s="1439"/>
      <c r="S84" s="1422">
        <v>0</v>
      </c>
      <c r="T84" s="1439"/>
      <c r="U84" s="1422">
        <v>0</v>
      </c>
      <c r="V84" s="1439"/>
      <c r="W84" s="1420">
        <v>14.5</v>
      </c>
      <c r="X84" s="1439"/>
      <c r="Y84" s="1420">
        <v>39.5</v>
      </c>
      <c r="Z84" s="1439"/>
      <c r="AA84" s="1420">
        <v>5522256.8099999996</v>
      </c>
      <c r="AB84" s="1439"/>
      <c r="AC84" s="1420">
        <v>1364581.32</v>
      </c>
      <c r="AD84" s="1422">
        <v>1215000</v>
      </c>
      <c r="AE84" s="1420">
        <v>304773.58</v>
      </c>
      <c r="AF84" s="1422">
        <v>68100</v>
      </c>
      <c r="AG84" s="1420">
        <v>72.459999999999994</v>
      </c>
      <c r="AH84" s="1422">
        <v>0</v>
      </c>
      <c r="AI84" s="1422">
        <v>3127513</v>
      </c>
      <c r="AJ84" s="1422">
        <v>2890821</v>
      </c>
      <c r="AK84" s="1422">
        <v>66139</v>
      </c>
      <c r="AL84" s="1422">
        <v>0</v>
      </c>
      <c r="AM84" s="1422">
        <v>0</v>
      </c>
      <c r="AN84" s="1422">
        <v>0</v>
      </c>
      <c r="AO84" s="1422">
        <v>0</v>
      </c>
      <c r="AP84" s="1422">
        <v>154798</v>
      </c>
      <c r="AQ84" s="1422">
        <v>0</v>
      </c>
      <c r="AR84" s="1422">
        <v>0</v>
      </c>
      <c r="AS84" s="1422">
        <v>0</v>
      </c>
      <c r="AT84" s="1422">
        <v>0</v>
      </c>
      <c r="AU84" s="1422">
        <v>21238</v>
      </c>
      <c r="AV84" s="1422">
        <v>16991</v>
      </c>
      <c r="AW84" s="1422">
        <v>1147</v>
      </c>
      <c r="AX84" s="1422">
        <v>0</v>
      </c>
      <c r="AY84" s="1420">
        <v>4885464.3600000003</v>
      </c>
      <c r="AZ84" s="1422">
        <v>4345710</v>
      </c>
      <c r="BA84" s="1422">
        <v>0</v>
      </c>
      <c r="BB84" s="1422">
        <v>0</v>
      </c>
      <c r="BC84" s="1422">
        <v>27961</v>
      </c>
      <c r="BD84" s="1420">
        <v>34965.32</v>
      </c>
      <c r="BE84" s="1420">
        <v>7560.11</v>
      </c>
      <c r="BF84" s="1422">
        <v>0</v>
      </c>
      <c r="BG84" s="1422">
        <v>982</v>
      </c>
      <c r="BH84" s="1422">
        <v>0</v>
      </c>
      <c r="BI84" s="1422">
        <v>0</v>
      </c>
      <c r="BJ84" s="1422">
        <v>0</v>
      </c>
      <c r="BK84" s="1422">
        <v>1465</v>
      </c>
      <c r="BL84" s="1422">
        <v>0</v>
      </c>
      <c r="BM84" s="1422">
        <v>213280</v>
      </c>
      <c r="BN84" s="1420">
        <v>204400.08</v>
      </c>
      <c r="BO84" s="1420">
        <v>2769.53</v>
      </c>
      <c r="BP84" s="1422">
        <v>0</v>
      </c>
      <c r="BQ84" s="1420">
        <v>24556.62</v>
      </c>
      <c r="BR84" s="1422">
        <v>24375</v>
      </c>
      <c r="BS84" s="1420">
        <v>2528.11</v>
      </c>
      <c r="BT84" s="1422">
        <v>2500</v>
      </c>
      <c r="BU84" s="1422">
        <v>0</v>
      </c>
      <c r="BV84" s="1422">
        <v>0</v>
      </c>
      <c r="BW84" s="1422">
        <v>0</v>
      </c>
      <c r="BX84" s="1422">
        <v>0</v>
      </c>
      <c r="BY84" s="1422">
        <v>0</v>
      </c>
      <c r="BZ84" s="1422">
        <v>0</v>
      </c>
      <c r="CA84" s="1420">
        <v>163063.10999999999</v>
      </c>
      <c r="CB84" s="1422">
        <v>46518</v>
      </c>
      <c r="CC84" s="1420">
        <v>444165.48</v>
      </c>
      <c r="CD84" s="1420">
        <v>312758.40000000002</v>
      </c>
      <c r="CE84" s="1420">
        <v>1037290.44</v>
      </c>
      <c r="CF84" s="1420">
        <v>701355.2</v>
      </c>
      <c r="CG84" s="1422">
        <v>200900</v>
      </c>
      <c r="CH84" s="1422">
        <v>0</v>
      </c>
      <c r="CI84" s="1422">
        <v>0</v>
      </c>
      <c r="CJ84" s="1422">
        <v>0</v>
      </c>
      <c r="CK84" s="1422">
        <v>0</v>
      </c>
      <c r="CL84" s="1422">
        <v>0</v>
      </c>
      <c r="CM84" s="1422">
        <v>0</v>
      </c>
      <c r="CN84" s="1422">
        <v>0</v>
      </c>
      <c r="CO84" s="1422">
        <v>0</v>
      </c>
      <c r="CP84" s="1422">
        <v>0</v>
      </c>
      <c r="CQ84" s="1420">
        <v>517.07000000000005</v>
      </c>
      <c r="CR84" s="1422">
        <v>0</v>
      </c>
      <c r="CS84" s="1420">
        <v>201417.07</v>
      </c>
      <c r="CT84" s="1422">
        <v>0</v>
      </c>
      <c r="CU84" s="1420">
        <v>6568337.3499999996</v>
      </c>
      <c r="CV84" s="1420">
        <v>5359823.5999999996</v>
      </c>
      <c r="CW84" s="1420">
        <v>2492788.9300000002</v>
      </c>
      <c r="CX84" s="1420">
        <v>2156440.0099999998</v>
      </c>
      <c r="CY84" s="1420">
        <v>425014.5</v>
      </c>
      <c r="CZ84" s="1420">
        <v>317539.37</v>
      </c>
      <c r="DA84" s="1420">
        <v>167092.5</v>
      </c>
      <c r="DB84" s="1420">
        <v>161757.63</v>
      </c>
      <c r="DC84" s="1422">
        <v>0</v>
      </c>
      <c r="DD84" s="1422">
        <v>0</v>
      </c>
      <c r="DE84" s="1420">
        <v>157784.09</v>
      </c>
      <c r="DF84" s="1420">
        <v>178357.56</v>
      </c>
      <c r="DG84" s="1422">
        <v>210371</v>
      </c>
      <c r="DH84" s="1420">
        <v>165950.97</v>
      </c>
      <c r="DI84" s="1420">
        <v>3453051.02</v>
      </c>
      <c r="DJ84" s="1420">
        <v>2980045.54</v>
      </c>
      <c r="DK84" s="1420">
        <v>316909.58</v>
      </c>
      <c r="DL84" s="1420">
        <v>238013.61</v>
      </c>
      <c r="DM84" s="1420">
        <v>154324.35</v>
      </c>
      <c r="DN84" s="1422">
        <v>144723</v>
      </c>
      <c r="DO84" s="1420">
        <v>503795.61</v>
      </c>
      <c r="DP84" s="1420">
        <v>397002.02</v>
      </c>
      <c r="DQ84" s="1420">
        <v>140164.82999999999</v>
      </c>
      <c r="DR84" s="1420">
        <v>137393.95000000001</v>
      </c>
      <c r="DS84" s="1420">
        <v>11024.17</v>
      </c>
      <c r="DT84" s="1422">
        <v>12000</v>
      </c>
      <c r="DU84" s="1420">
        <v>1126218.54</v>
      </c>
      <c r="DV84" s="1420">
        <v>929132.58</v>
      </c>
      <c r="DW84" s="1420">
        <v>334203.90000000002</v>
      </c>
      <c r="DX84" s="1420">
        <v>322011.78999999998</v>
      </c>
      <c r="DY84" s="1420">
        <v>446514.84</v>
      </c>
      <c r="DZ84" s="1420">
        <v>388014.23</v>
      </c>
      <c r="EA84" s="1420">
        <v>269440.12</v>
      </c>
      <c r="EB84" s="1420">
        <v>291786.08</v>
      </c>
      <c r="EC84" s="1420">
        <v>1050158.8600000001</v>
      </c>
      <c r="ED84" s="1420">
        <v>1001812.1</v>
      </c>
      <c r="EE84" s="1420">
        <v>280068.84000000003</v>
      </c>
      <c r="EF84" s="1420">
        <v>254636.23</v>
      </c>
      <c r="EG84" s="1422">
        <v>0</v>
      </c>
      <c r="EH84" s="1422">
        <v>0</v>
      </c>
      <c r="EI84" s="1422">
        <v>0</v>
      </c>
      <c r="EJ84" s="1422">
        <v>600</v>
      </c>
      <c r="EK84" s="1422">
        <v>0</v>
      </c>
      <c r="EL84" s="1422">
        <v>0</v>
      </c>
      <c r="EM84" s="1420">
        <v>280068.84000000003</v>
      </c>
      <c r="EN84" s="1420">
        <v>255236.23</v>
      </c>
      <c r="EO84" s="1420">
        <v>626650.76</v>
      </c>
      <c r="EP84" s="1422">
        <v>32997</v>
      </c>
      <c r="EQ84" s="1420">
        <v>417118.32</v>
      </c>
      <c r="ER84" s="1422">
        <v>413400</v>
      </c>
      <c r="ES84" s="1422">
        <v>0</v>
      </c>
      <c r="ET84" s="1422">
        <v>0</v>
      </c>
      <c r="EU84" s="1420">
        <v>6953266.3399999999</v>
      </c>
      <c r="EV84" s="1420">
        <v>5612623.4500000002</v>
      </c>
      <c r="EW84" s="1420">
        <v>720065.88</v>
      </c>
      <c r="EX84" s="1422">
        <v>54231</v>
      </c>
      <c r="EY84" s="1420">
        <v>417118.32</v>
      </c>
      <c r="EZ84" s="1422">
        <v>413400</v>
      </c>
      <c r="FA84" s="1420">
        <v>5816082.1399999997</v>
      </c>
      <c r="FB84" s="1420">
        <v>5144992.45</v>
      </c>
      <c r="FC84" s="1420">
        <v>338760.66</v>
      </c>
      <c r="FD84" s="1439"/>
      <c r="FE84" s="1420">
        <v>5477321.4800000004</v>
      </c>
      <c r="FF84" s="1439"/>
      <c r="FG84" s="1422">
        <v>9115</v>
      </c>
      <c r="FH84" s="1439"/>
      <c r="FI84" s="1420">
        <v>59.81</v>
      </c>
      <c r="FJ84" s="1439"/>
      <c r="FK84" s="1422">
        <v>39205</v>
      </c>
      <c r="FL84" s="1439"/>
      <c r="FM84" s="1420">
        <v>64.88</v>
      </c>
      <c r="FN84" s="1439"/>
      <c r="FO84" s="1422">
        <v>41557</v>
      </c>
      <c r="FP84" s="1439"/>
      <c r="FQ84" s="1420">
        <v>248395.74</v>
      </c>
      <c r="FR84" s="1439"/>
      <c r="FS84" s="1420">
        <v>21078.400000000001</v>
      </c>
      <c r="FT84" s="1439"/>
      <c r="FU84" s="1422">
        <v>0</v>
      </c>
      <c r="FV84" s="1439"/>
      <c r="FW84" s="1420">
        <v>227317.34</v>
      </c>
      <c r="FX84" s="1439"/>
      <c r="FY84" s="1422">
        <v>0</v>
      </c>
      <c r="FZ84" s="1439"/>
      <c r="GA84" s="1422">
        <v>0</v>
      </c>
      <c r="GB84" s="1439"/>
    </row>
    <row r="85" spans="1:184" ht="12.75" customHeight="1" thickBot="1">
      <c r="A85" s="1418" t="s">
        <v>567</v>
      </c>
      <c r="B85" s="1418" t="s">
        <v>395</v>
      </c>
      <c r="C85" s="1420">
        <v>185.29</v>
      </c>
      <c r="D85" s="1439"/>
      <c r="E85" s="1420">
        <v>1134.43</v>
      </c>
      <c r="F85" s="1439"/>
      <c r="G85" s="1421">
        <v>0.08</v>
      </c>
      <c r="H85" s="1439"/>
      <c r="I85" s="1420">
        <v>1211.83</v>
      </c>
      <c r="J85" s="1439"/>
      <c r="K85" s="1420">
        <v>1219.8499999999999</v>
      </c>
      <c r="L85" s="1439"/>
      <c r="M85" s="1422">
        <v>366418778</v>
      </c>
      <c r="N85" s="1439"/>
      <c r="O85" s="1420">
        <v>27.05</v>
      </c>
      <c r="P85" s="1439"/>
      <c r="Q85" s="1422">
        <v>25</v>
      </c>
      <c r="R85" s="1439"/>
      <c r="S85" s="1420">
        <v>2.0499999999999998</v>
      </c>
      <c r="T85" s="1439"/>
      <c r="U85" s="1422">
        <v>0</v>
      </c>
      <c r="V85" s="1439"/>
      <c r="W85" s="1420">
        <v>7.75</v>
      </c>
      <c r="X85" s="1439"/>
      <c r="Y85" s="1420">
        <v>34.799999999999997</v>
      </c>
      <c r="Z85" s="1439"/>
      <c r="AA85" s="1422">
        <v>13495000</v>
      </c>
      <c r="AB85" s="1439"/>
      <c r="AC85" s="1420">
        <v>11493587.619999999</v>
      </c>
      <c r="AD85" s="1422">
        <v>13096338</v>
      </c>
      <c r="AE85" s="1420">
        <v>478940.21</v>
      </c>
      <c r="AF85" s="1422">
        <v>967500</v>
      </c>
      <c r="AG85" s="1420">
        <v>129.69999999999999</v>
      </c>
      <c r="AH85" s="1422">
        <v>200</v>
      </c>
      <c r="AI85" s="1422">
        <v>0</v>
      </c>
      <c r="AJ85" s="1422">
        <v>0</v>
      </c>
      <c r="AK85" s="1422">
        <v>0</v>
      </c>
      <c r="AL85" s="1422">
        <v>0</v>
      </c>
      <c r="AM85" s="1422">
        <v>19260</v>
      </c>
      <c r="AN85" s="1422">
        <v>0</v>
      </c>
      <c r="AO85" s="1422">
        <v>0</v>
      </c>
      <c r="AP85" s="1422">
        <v>0</v>
      </c>
      <c r="AQ85" s="1422">
        <v>0</v>
      </c>
      <c r="AR85" s="1422">
        <v>0</v>
      </c>
      <c r="AS85" s="1422">
        <v>0</v>
      </c>
      <c r="AT85" s="1422">
        <v>0</v>
      </c>
      <c r="AU85" s="1422">
        <v>0</v>
      </c>
      <c r="AV85" s="1422">
        <v>0</v>
      </c>
      <c r="AW85" s="1422">
        <v>0</v>
      </c>
      <c r="AX85" s="1422">
        <v>0</v>
      </c>
      <c r="AY85" s="1420">
        <v>11991917.529999999</v>
      </c>
      <c r="AZ85" s="1422">
        <v>14064038</v>
      </c>
      <c r="BA85" s="1422">
        <v>0</v>
      </c>
      <c r="BB85" s="1422">
        <v>0</v>
      </c>
      <c r="BC85" s="1422">
        <v>50453</v>
      </c>
      <c r="BD85" s="1422">
        <v>51617</v>
      </c>
      <c r="BE85" s="1420">
        <v>4787.8500000000004</v>
      </c>
      <c r="BF85" s="1422">
        <v>1000</v>
      </c>
      <c r="BG85" s="1422">
        <v>300</v>
      </c>
      <c r="BH85" s="1422">
        <v>0</v>
      </c>
      <c r="BI85" s="1422">
        <v>76831</v>
      </c>
      <c r="BJ85" s="1422">
        <v>51315</v>
      </c>
      <c r="BK85" s="1422">
        <v>11134</v>
      </c>
      <c r="BL85" s="1422">
        <v>0</v>
      </c>
      <c r="BM85" s="1420">
        <v>287555.71000000002</v>
      </c>
      <c r="BN85" s="1420">
        <v>329576.55</v>
      </c>
      <c r="BO85" s="1420">
        <v>79317.240000000005</v>
      </c>
      <c r="BP85" s="1422">
        <v>51733</v>
      </c>
      <c r="BQ85" s="1420">
        <v>29791.759999999998</v>
      </c>
      <c r="BR85" s="1420">
        <v>16791.78</v>
      </c>
      <c r="BS85" s="1420">
        <v>3658.57</v>
      </c>
      <c r="BT85" s="1422">
        <v>3700</v>
      </c>
      <c r="BU85" s="1422">
        <v>0</v>
      </c>
      <c r="BV85" s="1422">
        <v>0</v>
      </c>
      <c r="BW85" s="1422">
        <v>0</v>
      </c>
      <c r="BX85" s="1422">
        <v>0</v>
      </c>
      <c r="BY85" s="1422">
        <v>0</v>
      </c>
      <c r="BZ85" s="1422">
        <v>0</v>
      </c>
      <c r="CA85" s="1422">
        <v>0</v>
      </c>
      <c r="CB85" s="1422">
        <v>0</v>
      </c>
      <c r="CC85" s="1420">
        <v>543829.13</v>
      </c>
      <c r="CD85" s="1420">
        <v>505733.33</v>
      </c>
      <c r="CE85" s="1420">
        <v>2634924.02</v>
      </c>
      <c r="CF85" s="1420">
        <v>2348648.5699999998</v>
      </c>
      <c r="CG85" s="1420">
        <v>1765921.81</v>
      </c>
      <c r="CH85" s="1422">
        <v>0</v>
      </c>
      <c r="CI85" s="1422">
        <v>0</v>
      </c>
      <c r="CJ85" s="1422">
        <v>0</v>
      </c>
      <c r="CK85" s="1422">
        <v>0</v>
      </c>
      <c r="CL85" s="1422">
        <v>0</v>
      </c>
      <c r="CM85" s="1422">
        <v>0</v>
      </c>
      <c r="CN85" s="1422">
        <v>0</v>
      </c>
      <c r="CO85" s="1422">
        <v>0</v>
      </c>
      <c r="CP85" s="1422">
        <v>0</v>
      </c>
      <c r="CQ85" s="1422">
        <v>0</v>
      </c>
      <c r="CR85" s="1422">
        <v>0</v>
      </c>
      <c r="CS85" s="1420">
        <v>1765921.81</v>
      </c>
      <c r="CT85" s="1422">
        <v>0</v>
      </c>
      <c r="CU85" s="1420">
        <v>16936592.489999998</v>
      </c>
      <c r="CV85" s="1420">
        <v>16918419.899999999</v>
      </c>
      <c r="CW85" s="1420">
        <v>4729482.01</v>
      </c>
      <c r="CX85" s="1420">
        <v>5182172.26</v>
      </c>
      <c r="CY85" s="1420">
        <v>735528.49</v>
      </c>
      <c r="CZ85" s="1422">
        <v>753762</v>
      </c>
      <c r="DA85" s="1420">
        <v>268840.95</v>
      </c>
      <c r="DB85" s="1422">
        <v>139181</v>
      </c>
      <c r="DC85" s="1422">
        <v>0</v>
      </c>
      <c r="DD85" s="1422">
        <v>0</v>
      </c>
      <c r="DE85" s="1420">
        <v>595295.97</v>
      </c>
      <c r="DF85" s="1420">
        <v>572512.15</v>
      </c>
      <c r="DG85" s="1420">
        <v>505843.28</v>
      </c>
      <c r="DH85" s="1420">
        <v>556028.65</v>
      </c>
      <c r="DI85" s="1420">
        <v>6834990.7000000002</v>
      </c>
      <c r="DJ85" s="1420">
        <v>7203656.0599999996</v>
      </c>
      <c r="DK85" s="1420">
        <v>330060.13</v>
      </c>
      <c r="DL85" s="1420">
        <v>456191.55</v>
      </c>
      <c r="DM85" s="1420">
        <v>192832.98</v>
      </c>
      <c r="DN85" s="1422">
        <v>153373</v>
      </c>
      <c r="DO85" s="1420">
        <v>1524286.49</v>
      </c>
      <c r="DP85" s="1422">
        <v>2895024</v>
      </c>
      <c r="DQ85" s="1420">
        <v>612577.86</v>
      </c>
      <c r="DR85" s="1422">
        <v>662879</v>
      </c>
      <c r="DS85" s="1420">
        <v>38558.82</v>
      </c>
      <c r="DT85" s="1422">
        <v>27433</v>
      </c>
      <c r="DU85" s="1420">
        <v>2698316.28</v>
      </c>
      <c r="DV85" s="1420">
        <v>4194900.55</v>
      </c>
      <c r="DW85" s="1420">
        <v>730743.14</v>
      </c>
      <c r="DX85" s="1420">
        <v>780570.14</v>
      </c>
      <c r="DY85" s="1420">
        <v>1889751.68</v>
      </c>
      <c r="DZ85" s="1420">
        <v>1722416.72</v>
      </c>
      <c r="EA85" s="1420">
        <v>679250.52</v>
      </c>
      <c r="EB85" s="1422">
        <v>772869</v>
      </c>
      <c r="EC85" s="1420">
        <v>3299745.34</v>
      </c>
      <c r="ED85" s="1420">
        <v>3275855.86</v>
      </c>
      <c r="EE85" s="1420">
        <v>504275.49</v>
      </c>
      <c r="EF85" s="1422">
        <v>612963</v>
      </c>
      <c r="EG85" s="1422">
        <v>0</v>
      </c>
      <c r="EH85" s="1422">
        <v>0</v>
      </c>
      <c r="EI85" s="1420">
        <v>2100.67</v>
      </c>
      <c r="EJ85" s="1422">
        <v>1500</v>
      </c>
      <c r="EK85" s="1422">
        <v>0</v>
      </c>
      <c r="EL85" s="1422">
        <v>0</v>
      </c>
      <c r="EM85" s="1420">
        <v>506376.16</v>
      </c>
      <c r="EN85" s="1422">
        <v>614463</v>
      </c>
      <c r="EO85" s="1420">
        <v>4136523.46</v>
      </c>
      <c r="EP85" s="1420">
        <v>4778945.9800000004</v>
      </c>
      <c r="EQ85" s="1420">
        <v>843894.22</v>
      </c>
      <c r="ER85" s="1422">
        <v>877070</v>
      </c>
      <c r="ES85" s="1422">
        <v>0</v>
      </c>
      <c r="ET85" s="1422">
        <v>0</v>
      </c>
      <c r="EU85" s="1420">
        <v>18319846.16</v>
      </c>
      <c r="EV85" s="1420">
        <v>20944891.449999999</v>
      </c>
      <c r="EW85" s="1420">
        <v>4757483.38</v>
      </c>
      <c r="EX85" s="1420">
        <v>5334395.9800000004</v>
      </c>
      <c r="EY85" s="1420">
        <v>843894.22</v>
      </c>
      <c r="EZ85" s="1422">
        <v>877070</v>
      </c>
      <c r="FA85" s="1420">
        <v>12718468.560000001</v>
      </c>
      <c r="FB85" s="1420">
        <v>14733425.470000001</v>
      </c>
      <c r="FC85" s="1420">
        <v>331262.51</v>
      </c>
      <c r="FD85" s="1439"/>
      <c r="FE85" s="1420">
        <v>12387206.050000001</v>
      </c>
      <c r="FF85" s="1439"/>
      <c r="FG85" s="1422">
        <v>10919</v>
      </c>
      <c r="FH85" s="1439"/>
      <c r="FI85" s="1420">
        <v>91.51</v>
      </c>
      <c r="FJ85" s="1439"/>
      <c r="FK85" s="1422">
        <v>48312</v>
      </c>
      <c r="FL85" s="1439"/>
      <c r="FM85" s="1420">
        <v>101.51</v>
      </c>
      <c r="FN85" s="1439"/>
      <c r="FO85" s="1422">
        <v>50385</v>
      </c>
      <c r="FP85" s="1439"/>
      <c r="FQ85" s="1420">
        <v>1942555.86</v>
      </c>
      <c r="FR85" s="1439"/>
      <c r="FS85" s="1422">
        <v>51883</v>
      </c>
      <c r="FT85" s="1439"/>
      <c r="FU85" s="1422">
        <v>0</v>
      </c>
      <c r="FV85" s="1439"/>
      <c r="FW85" s="1420">
        <v>1890672.86</v>
      </c>
      <c r="FX85" s="1439"/>
      <c r="FY85" s="1420">
        <v>4625540.18</v>
      </c>
      <c r="FZ85" s="1439"/>
      <c r="GA85" s="1420">
        <v>39421.550000000003</v>
      </c>
      <c r="GB85" s="1439"/>
    </row>
    <row r="86" spans="1:184" ht="12.75" customHeight="1" thickBot="1">
      <c r="A86" s="1418" t="s">
        <v>396</v>
      </c>
      <c r="B86" s="1418" t="s">
        <v>397</v>
      </c>
      <c r="C86" s="1420">
        <v>34.92</v>
      </c>
      <c r="D86" s="1439"/>
      <c r="E86" s="1420">
        <v>3437.6</v>
      </c>
      <c r="F86" s="1439"/>
      <c r="G86" s="1421">
        <v>0</v>
      </c>
      <c r="H86" s="1439"/>
      <c r="I86" s="1420">
        <v>3632.89</v>
      </c>
      <c r="J86" s="1439"/>
      <c r="K86" s="1420">
        <v>3535.57</v>
      </c>
      <c r="L86" s="1439"/>
      <c r="M86" s="1422">
        <v>538380820</v>
      </c>
      <c r="N86" s="1439"/>
      <c r="O86" s="1422">
        <v>25</v>
      </c>
      <c r="P86" s="1439"/>
      <c r="Q86" s="1422">
        <v>25</v>
      </c>
      <c r="R86" s="1439"/>
      <c r="S86" s="1422">
        <v>0</v>
      </c>
      <c r="T86" s="1439"/>
      <c r="U86" s="1420">
        <v>1.9</v>
      </c>
      <c r="V86" s="1439"/>
      <c r="W86" s="1420">
        <v>10.8</v>
      </c>
      <c r="X86" s="1439"/>
      <c r="Y86" s="1420">
        <v>37.700000000000003</v>
      </c>
      <c r="Z86" s="1439"/>
      <c r="AA86" s="1422">
        <v>23360000</v>
      </c>
      <c r="AB86" s="1439"/>
      <c r="AC86" s="1420">
        <v>18670572.989999998</v>
      </c>
      <c r="AD86" s="1422">
        <v>18200004</v>
      </c>
      <c r="AE86" s="1420">
        <v>2239994.48</v>
      </c>
      <c r="AF86" s="1422">
        <v>1378000</v>
      </c>
      <c r="AG86" s="1420">
        <v>495.41</v>
      </c>
      <c r="AH86" s="1422">
        <v>0</v>
      </c>
      <c r="AI86" s="1422">
        <v>8866636</v>
      </c>
      <c r="AJ86" s="1422">
        <v>9151311</v>
      </c>
      <c r="AK86" s="1422">
        <v>392763</v>
      </c>
      <c r="AL86" s="1422">
        <v>0</v>
      </c>
      <c r="AM86" s="1422">
        <v>589908</v>
      </c>
      <c r="AN86" s="1422">
        <v>0</v>
      </c>
      <c r="AO86" s="1422">
        <v>0</v>
      </c>
      <c r="AP86" s="1422">
        <v>0</v>
      </c>
      <c r="AQ86" s="1422">
        <v>0</v>
      </c>
      <c r="AR86" s="1422">
        <v>0</v>
      </c>
      <c r="AS86" s="1422">
        <v>0</v>
      </c>
      <c r="AT86" s="1422">
        <v>0</v>
      </c>
      <c r="AU86" s="1422">
        <v>0</v>
      </c>
      <c r="AV86" s="1422">
        <v>0</v>
      </c>
      <c r="AW86" s="1422">
        <v>0</v>
      </c>
      <c r="AX86" s="1422">
        <v>0</v>
      </c>
      <c r="AY86" s="1420">
        <v>30760369.879999999</v>
      </c>
      <c r="AZ86" s="1422">
        <v>28729315</v>
      </c>
      <c r="BA86" s="1422">
        <v>0</v>
      </c>
      <c r="BB86" s="1422">
        <v>0</v>
      </c>
      <c r="BC86" s="1422">
        <v>146231</v>
      </c>
      <c r="BD86" s="1422">
        <v>0</v>
      </c>
      <c r="BE86" s="1420">
        <v>56808.83</v>
      </c>
      <c r="BF86" s="1422">
        <v>0</v>
      </c>
      <c r="BG86" s="1422">
        <v>2262</v>
      </c>
      <c r="BH86" s="1422">
        <v>0</v>
      </c>
      <c r="BI86" s="1422">
        <v>697211</v>
      </c>
      <c r="BJ86" s="1422">
        <v>0</v>
      </c>
      <c r="BK86" s="1422">
        <v>79989</v>
      </c>
      <c r="BL86" s="1422">
        <v>0</v>
      </c>
      <c r="BM86" s="1422">
        <v>2760736</v>
      </c>
      <c r="BN86" s="1422">
        <v>2872056</v>
      </c>
      <c r="BO86" s="1420">
        <v>278444.93</v>
      </c>
      <c r="BP86" s="1422">
        <v>100000</v>
      </c>
      <c r="BQ86" s="1420">
        <v>142463.57</v>
      </c>
      <c r="BR86" s="1422">
        <v>0</v>
      </c>
      <c r="BS86" s="1420">
        <v>14062.16</v>
      </c>
      <c r="BT86" s="1422">
        <v>0</v>
      </c>
      <c r="BU86" s="1422">
        <v>0</v>
      </c>
      <c r="BV86" s="1422">
        <v>0</v>
      </c>
      <c r="BW86" s="1422">
        <v>290890</v>
      </c>
      <c r="BX86" s="1422">
        <v>0</v>
      </c>
      <c r="BY86" s="1422">
        <v>0</v>
      </c>
      <c r="BZ86" s="1422">
        <v>0</v>
      </c>
      <c r="CA86" s="1420">
        <v>61782.8</v>
      </c>
      <c r="CB86" s="1422">
        <v>50000</v>
      </c>
      <c r="CC86" s="1420">
        <v>4530881.29</v>
      </c>
      <c r="CD86" s="1422">
        <v>3022056</v>
      </c>
      <c r="CE86" s="1420">
        <v>11783703.73</v>
      </c>
      <c r="CF86" s="1422">
        <v>5688900</v>
      </c>
      <c r="CG86" s="1422">
        <v>0</v>
      </c>
      <c r="CH86" s="1422">
        <v>0</v>
      </c>
      <c r="CI86" s="1422">
        <v>0</v>
      </c>
      <c r="CJ86" s="1422">
        <v>0</v>
      </c>
      <c r="CK86" s="1422">
        <v>0</v>
      </c>
      <c r="CL86" s="1422">
        <v>50000</v>
      </c>
      <c r="CM86" s="1422">
        <v>0</v>
      </c>
      <c r="CN86" s="1422">
        <v>0</v>
      </c>
      <c r="CO86" s="1420">
        <v>232940.16</v>
      </c>
      <c r="CP86" s="1422">
        <v>0</v>
      </c>
      <c r="CQ86" s="1422">
        <v>0</v>
      </c>
      <c r="CR86" s="1422">
        <v>0</v>
      </c>
      <c r="CS86" s="1420">
        <v>232940.16</v>
      </c>
      <c r="CT86" s="1422">
        <v>50000</v>
      </c>
      <c r="CU86" s="1420">
        <v>47307895.060000002</v>
      </c>
      <c r="CV86" s="1422">
        <v>37490271</v>
      </c>
      <c r="CW86" s="1420">
        <v>16435337.029999999</v>
      </c>
      <c r="CX86" s="1420">
        <v>13398409.92</v>
      </c>
      <c r="CY86" s="1420">
        <v>2946278.33</v>
      </c>
      <c r="CZ86" s="1420">
        <v>2823964.11</v>
      </c>
      <c r="DA86" s="1420">
        <v>500682.06</v>
      </c>
      <c r="DB86" s="1420">
        <v>334840.76</v>
      </c>
      <c r="DC86" s="1422">
        <v>0</v>
      </c>
      <c r="DD86" s="1422">
        <v>0</v>
      </c>
      <c r="DE86" s="1420">
        <v>3522810.64</v>
      </c>
      <c r="DF86" s="1420">
        <v>1405456.35</v>
      </c>
      <c r="DG86" s="1422">
        <v>1878996</v>
      </c>
      <c r="DH86" s="1420">
        <v>1753637.5</v>
      </c>
      <c r="DI86" s="1420">
        <v>25284104.059999999</v>
      </c>
      <c r="DJ86" s="1420">
        <v>19716308.640000001</v>
      </c>
      <c r="DK86" s="1420">
        <v>1377050.94</v>
      </c>
      <c r="DL86" s="1420">
        <v>1418567.01</v>
      </c>
      <c r="DM86" s="1420">
        <v>1368894.29</v>
      </c>
      <c r="DN86" s="1420">
        <v>1178727.8</v>
      </c>
      <c r="DO86" s="1420">
        <v>7048481.54</v>
      </c>
      <c r="DP86" s="1420">
        <v>3615279.97</v>
      </c>
      <c r="DQ86" s="1420">
        <v>984582.12</v>
      </c>
      <c r="DR86" s="1420">
        <v>798576.84</v>
      </c>
      <c r="DS86" s="1420">
        <v>43980.41</v>
      </c>
      <c r="DT86" s="1422">
        <v>46000</v>
      </c>
      <c r="DU86" s="1420">
        <v>10822989.300000001</v>
      </c>
      <c r="DV86" s="1420">
        <v>7057151.6200000001</v>
      </c>
      <c r="DW86" s="1420">
        <v>1916975.37</v>
      </c>
      <c r="DX86" s="1420">
        <v>1869901.34</v>
      </c>
      <c r="DY86" s="1420">
        <v>3732795.95</v>
      </c>
      <c r="DZ86" s="1420">
        <v>2595992.09</v>
      </c>
      <c r="EA86" s="1420">
        <v>2077056.54</v>
      </c>
      <c r="EB86" s="1420">
        <v>2016977.88</v>
      </c>
      <c r="EC86" s="1420">
        <v>7726827.8600000003</v>
      </c>
      <c r="ED86" s="1420">
        <v>6482871.3099999996</v>
      </c>
      <c r="EE86" s="1420">
        <v>2237331.44</v>
      </c>
      <c r="EF86" s="1420">
        <v>867570.73</v>
      </c>
      <c r="EG86" s="1422">
        <v>0</v>
      </c>
      <c r="EH86" s="1422">
        <v>0</v>
      </c>
      <c r="EI86" s="1420">
        <v>895210.31</v>
      </c>
      <c r="EJ86" s="1420">
        <v>1144281.78</v>
      </c>
      <c r="EK86" s="1422">
        <v>0</v>
      </c>
      <c r="EL86" s="1422">
        <v>0</v>
      </c>
      <c r="EM86" s="1420">
        <v>3132541.75</v>
      </c>
      <c r="EN86" s="1420">
        <v>2011852.51</v>
      </c>
      <c r="EO86" s="1420">
        <v>62563.199999999997</v>
      </c>
      <c r="EP86" s="1422">
        <v>0</v>
      </c>
      <c r="EQ86" s="1420">
        <v>1828068.26</v>
      </c>
      <c r="ER86" s="1422">
        <v>1775500</v>
      </c>
      <c r="ES86" s="1420">
        <v>19016.349999999999</v>
      </c>
      <c r="ET86" s="1422">
        <v>0</v>
      </c>
      <c r="EU86" s="1420">
        <v>48876110.780000001</v>
      </c>
      <c r="EV86" s="1420">
        <v>37043684.079999998</v>
      </c>
      <c r="EW86" s="1420">
        <v>1039546.1</v>
      </c>
      <c r="EX86" s="1422">
        <v>0</v>
      </c>
      <c r="EY86" s="1420">
        <v>1828068.26</v>
      </c>
      <c r="EZ86" s="1422">
        <v>1775500</v>
      </c>
      <c r="FA86" s="1420">
        <v>46008496.420000002</v>
      </c>
      <c r="FB86" s="1420">
        <v>35268184.079999998</v>
      </c>
      <c r="FC86" s="1420">
        <v>1875911.26</v>
      </c>
      <c r="FD86" s="1439"/>
      <c r="FE86" s="1420">
        <v>44132585.159999996</v>
      </c>
      <c r="FF86" s="1439"/>
      <c r="FG86" s="1422">
        <v>12838</v>
      </c>
      <c r="FH86" s="1439"/>
      <c r="FI86" s="1420">
        <v>286.22000000000003</v>
      </c>
      <c r="FJ86" s="1439"/>
      <c r="FK86" s="1422">
        <v>45860</v>
      </c>
      <c r="FL86" s="1439"/>
      <c r="FM86" s="1420">
        <v>328.59</v>
      </c>
      <c r="FN86" s="1439"/>
      <c r="FO86" s="1422">
        <v>48524</v>
      </c>
      <c r="FP86" s="1439"/>
      <c r="FQ86" s="1420">
        <v>6099228.4500000002</v>
      </c>
      <c r="FR86" s="1439"/>
      <c r="FS86" s="1420">
        <v>46143.68</v>
      </c>
      <c r="FT86" s="1439"/>
      <c r="FU86" s="1422">
        <v>0</v>
      </c>
      <c r="FV86" s="1439"/>
      <c r="FW86" s="1420">
        <v>6053084.7699999996</v>
      </c>
      <c r="FX86" s="1439"/>
      <c r="FY86" s="1422">
        <v>4658</v>
      </c>
      <c r="FZ86" s="1439"/>
      <c r="GA86" s="1420">
        <v>712766.87</v>
      </c>
      <c r="GB86" s="1439"/>
    </row>
    <row r="87" spans="1:184" ht="12.75" customHeight="1" thickBot="1">
      <c r="A87" s="1418" t="s">
        <v>398</v>
      </c>
      <c r="B87" s="1418" t="s">
        <v>399</v>
      </c>
      <c r="C87" s="1420">
        <v>201.53</v>
      </c>
      <c r="D87" s="1439"/>
      <c r="E87" s="1420">
        <v>861.25</v>
      </c>
      <c r="F87" s="1439"/>
      <c r="G87" s="1421">
        <v>0.05</v>
      </c>
      <c r="H87" s="1439"/>
      <c r="I87" s="1420">
        <v>884.11</v>
      </c>
      <c r="J87" s="1439"/>
      <c r="K87" s="1420">
        <v>917.97</v>
      </c>
      <c r="L87" s="1439"/>
      <c r="M87" s="1422">
        <v>127860947</v>
      </c>
      <c r="N87" s="1439"/>
      <c r="O87" s="1420">
        <v>29.7</v>
      </c>
      <c r="P87" s="1439"/>
      <c r="Q87" s="1422">
        <v>25</v>
      </c>
      <c r="R87" s="1439"/>
      <c r="S87" s="1420">
        <v>4.7</v>
      </c>
      <c r="T87" s="1439"/>
      <c r="U87" s="1422">
        <v>0</v>
      </c>
      <c r="V87" s="1439"/>
      <c r="W87" s="1422">
        <v>9</v>
      </c>
      <c r="X87" s="1439"/>
      <c r="Y87" s="1420">
        <v>38.700000000000003</v>
      </c>
      <c r="Z87" s="1439"/>
      <c r="AA87" s="1420">
        <v>15189328.119999999</v>
      </c>
      <c r="AB87" s="1439"/>
      <c r="AC87" s="1420">
        <v>4326652.47</v>
      </c>
      <c r="AD87" s="1422">
        <v>4651581</v>
      </c>
      <c r="AE87" s="1420">
        <v>428575.75</v>
      </c>
      <c r="AF87" s="1422">
        <v>229000</v>
      </c>
      <c r="AG87" s="1420">
        <v>95.08</v>
      </c>
      <c r="AH87" s="1422">
        <v>0</v>
      </c>
      <c r="AI87" s="1422">
        <v>2330330</v>
      </c>
      <c r="AJ87" s="1422">
        <v>2237683</v>
      </c>
      <c r="AK87" s="1422">
        <v>107590</v>
      </c>
      <c r="AL87" s="1422">
        <v>0</v>
      </c>
      <c r="AM87" s="1422">
        <v>0</v>
      </c>
      <c r="AN87" s="1422">
        <v>0</v>
      </c>
      <c r="AO87" s="1422">
        <v>0</v>
      </c>
      <c r="AP87" s="1422">
        <v>79104</v>
      </c>
      <c r="AQ87" s="1422">
        <v>0</v>
      </c>
      <c r="AR87" s="1422">
        <v>0</v>
      </c>
      <c r="AS87" s="1422">
        <v>0</v>
      </c>
      <c r="AT87" s="1422">
        <v>0</v>
      </c>
      <c r="AU87" s="1422">
        <v>0</v>
      </c>
      <c r="AV87" s="1422">
        <v>0</v>
      </c>
      <c r="AW87" s="1422">
        <v>0</v>
      </c>
      <c r="AX87" s="1422">
        <v>0</v>
      </c>
      <c r="AY87" s="1420">
        <v>7193243.2999999998</v>
      </c>
      <c r="AZ87" s="1422">
        <v>7197368</v>
      </c>
      <c r="BA87" s="1422">
        <v>0</v>
      </c>
      <c r="BB87" s="1422">
        <v>0</v>
      </c>
      <c r="BC87" s="1422">
        <v>37967</v>
      </c>
      <c r="BD87" s="1422">
        <v>37812</v>
      </c>
      <c r="BE87" s="1420">
        <v>4459.17</v>
      </c>
      <c r="BF87" s="1422">
        <v>2500</v>
      </c>
      <c r="BG87" s="1422">
        <v>400</v>
      </c>
      <c r="BH87" s="1422">
        <v>0</v>
      </c>
      <c r="BI87" s="1422">
        <v>70737</v>
      </c>
      <c r="BJ87" s="1422">
        <v>56123</v>
      </c>
      <c r="BK87" s="1422">
        <v>0</v>
      </c>
      <c r="BL87" s="1422">
        <v>0</v>
      </c>
      <c r="BM87" s="1422">
        <v>276272</v>
      </c>
      <c r="BN87" s="1422">
        <v>268686</v>
      </c>
      <c r="BO87" s="1420">
        <v>3760.59</v>
      </c>
      <c r="BP87" s="1422">
        <v>0</v>
      </c>
      <c r="BQ87" s="1420">
        <v>21125.32</v>
      </c>
      <c r="BR87" s="1420">
        <v>14625.16</v>
      </c>
      <c r="BS87" s="1420">
        <v>3248.15</v>
      </c>
      <c r="BT87" s="1422">
        <v>3000</v>
      </c>
      <c r="BU87" s="1422">
        <v>0</v>
      </c>
      <c r="BV87" s="1422">
        <v>0</v>
      </c>
      <c r="BW87" s="1422">
        <v>0</v>
      </c>
      <c r="BX87" s="1422">
        <v>0</v>
      </c>
      <c r="BY87" s="1422">
        <v>0</v>
      </c>
      <c r="BZ87" s="1422">
        <v>0</v>
      </c>
      <c r="CA87" s="1422">
        <v>0</v>
      </c>
      <c r="CB87" s="1422">
        <v>0</v>
      </c>
      <c r="CC87" s="1420">
        <v>417969.23</v>
      </c>
      <c r="CD87" s="1420">
        <v>382746.16</v>
      </c>
      <c r="CE87" s="1420">
        <v>1614760.71</v>
      </c>
      <c r="CF87" s="1420">
        <v>1275857.81</v>
      </c>
      <c r="CG87" s="1422">
        <v>5096000</v>
      </c>
      <c r="CH87" s="1422">
        <v>0</v>
      </c>
      <c r="CI87" s="1422">
        <v>0</v>
      </c>
      <c r="CJ87" s="1422">
        <v>0</v>
      </c>
      <c r="CK87" s="1422">
        <v>0</v>
      </c>
      <c r="CL87" s="1422">
        <v>0</v>
      </c>
      <c r="CM87" s="1422">
        <v>0</v>
      </c>
      <c r="CN87" s="1422">
        <v>0</v>
      </c>
      <c r="CO87" s="1420">
        <v>15385.96</v>
      </c>
      <c r="CP87" s="1422">
        <v>0</v>
      </c>
      <c r="CQ87" s="1422">
        <v>0</v>
      </c>
      <c r="CR87" s="1422">
        <v>0</v>
      </c>
      <c r="CS87" s="1420">
        <v>5111385.96</v>
      </c>
      <c r="CT87" s="1422">
        <v>0</v>
      </c>
      <c r="CU87" s="1420">
        <v>14337359.199999999</v>
      </c>
      <c r="CV87" s="1420">
        <v>8855971.9700000007</v>
      </c>
      <c r="CW87" s="1420">
        <v>3855127.08</v>
      </c>
      <c r="CX87" s="1420">
        <v>3471382.1</v>
      </c>
      <c r="CY87" s="1420">
        <v>474300.07</v>
      </c>
      <c r="CZ87" s="1420">
        <v>448590.64</v>
      </c>
      <c r="DA87" s="1420">
        <v>71050.649999999994</v>
      </c>
      <c r="DB87" s="1420">
        <v>106432.35</v>
      </c>
      <c r="DC87" s="1422">
        <v>0</v>
      </c>
      <c r="DD87" s="1422">
        <v>0</v>
      </c>
      <c r="DE87" s="1420">
        <v>136092.44</v>
      </c>
      <c r="DF87" s="1420">
        <v>67258.03</v>
      </c>
      <c r="DG87" s="1420">
        <v>170655.15</v>
      </c>
      <c r="DH87" s="1420">
        <v>250929.64</v>
      </c>
      <c r="DI87" s="1420">
        <v>4707225.3899999997</v>
      </c>
      <c r="DJ87" s="1420">
        <v>4344592.76</v>
      </c>
      <c r="DK87" s="1420">
        <v>253006.28</v>
      </c>
      <c r="DL87" s="1420">
        <v>140135.48000000001</v>
      </c>
      <c r="DM87" s="1420">
        <v>263418.34000000003</v>
      </c>
      <c r="DN87" s="1420">
        <v>213011.38</v>
      </c>
      <c r="DO87" s="1420">
        <v>1006677.35</v>
      </c>
      <c r="DP87" s="1420">
        <v>761799.15</v>
      </c>
      <c r="DQ87" s="1420">
        <v>431237.54</v>
      </c>
      <c r="DR87" s="1420">
        <v>587740.17000000004</v>
      </c>
      <c r="DS87" s="1420">
        <v>37531.71</v>
      </c>
      <c r="DT87" s="1422">
        <v>14510</v>
      </c>
      <c r="DU87" s="1420">
        <v>1991871.22</v>
      </c>
      <c r="DV87" s="1420">
        <v>1717196.18</v>
      </c>
      <c r="DW87" s="1420">
        <v>396628.02</v>
      </c>
      <c r="DX87" s="1420">
        <v>385400.17</v>
      </c>
      <c r="DY87" s="1420">
        <v>516535.29</v>
      </c>
      <c r="DZ87" s="1420">
        <v>570901.23</v>
      </c>
      <c r="EA87" s="1420">
        <v>318035.78000000003</v>
      </c>
      <c r="EB87" s="1420">
        <v>309327.45</v>
      </c>
      <c r="EC87" s="1420">
        <v>1231199.0900000001</v>
      </c>
      <c r="ED87" s="1420">
        <v>1265628.8500000001</v>
      </c>
      <c r="EE87" s="1420">
        <v>432794.75</v>
      </c>
      <c r="EF87" s="1420">
        <v>414721.9</v>
      </c>
      <c r="EG87" s="1422">
        <v>0</v>
      </c>
      <c r="EH87" s="1422">
        <v>0</v>
      </c>
      <c r="EI87" s="1422">
        <v>0</v>
      </c>
      <c r="EJ87" s="1420">
        <v>1319.18</v>
      </c>
      <c r="EK87" s="1422">
        <v>0</v>
      </c>
      <c r="EL87" s="1422">
        <v>0</v>
      </c>
      <c r="EM87" s="1420">
        <v>432794.75</v>
      </c>
      <c r="EN87" s="1420">
        <v>416041.08</v>
      </c>
      <c r="EO87" s="1420">
        <v>129151.16</v>
      </c>
      <c r="EP87" s="1422">
        <v>325000</v>
      </c>
      <c r="EQ87" s="1420">
        <v>679500.26</v>
      </c>
      <c r="ER87" s="1420">
        <v>1068510.3899999999</v>
      </c>
      <c r="ES87" s="1422">
        <v>109275</v>
      </c>
      <c r="ET87" s="1422">
        <v>0</v>
      </c>
      <c r="EU87" s="1420">
        <v>9281016.8699999992</v>
      </c>
      <c r="EV87" s="1420">
        <v>9136969.2599999998</v>
      </c>
      <c r="EW87" s="1420">
        <v>292845.59000000003</v>
      </c>
      <c r="EX87" s="1420">
        <v>538802.07999999996</v>
      </c>
      <c r="EY87" s="1420">
        <v>679500.26</v>
      </c>
      <c r="EZ87" s="1420">
        <v>1068510.3899999999</v>
      </c>
      <c r="FA87" s="1420">
        <v>8308671.0199999996</v>
      </c>
      <c r="FB87" s="1420">
        <v>7529656.79</v>
      </c>
      <c r="FC87" s="1420">
        <v>514761.67</v>
      </c>
      <c r="FD87" s="1439"/>
      <c r="FE87" s="1420">
        <v>7793909.3499999996</v>
      </c>
      <c r="FF87" s="1439"/>
      <c r="FG87" s="1422">
        <v>9049</v>
      </c>
      <c r="FH87" s="1439"/>
      <c r="FI87" s="1420">
        <v>64.22</v>
      </c>
      <c r="FJ87" s="1439"/>
      <c r="FK87" s="1422">
        <v>44012</v>
      </c>
      <c r="FL87" s="1439"/>
      <c r="FM87" s="1420">
        <v>69.22</v>
      </c>
      <c r="FN87" s="1439"/>
      <c r="FO87" s="1422">
        <v>45505</v>
      </c>
      <c r="FP87" s="1439"/>
      <c r="FQ87" s="1420">
        <v>753217.73</v>
      </c>
      <c r="FR87" s="1439"/>
      <c r="FS87" s="1420">
        <v>37446.629999999997</v>
      </c>
      <c r="FT87" s="1439"/>
      <c r="FU87" s="1422">
        <v>-196000</v>
      </c>
      <c r="FV87" s="1439"/>
      <c r="FW87" s="1420">
        <v>911771.1</v>
      </c>
      <c r="FX87" s="1439"/>
      <c r="FY87" s="1420">
        <v>5477181.8899999997</v>
      </c>
      <c r="FZ87" s="1439"/>
      <c r="GA87" s="1422">
        <v>0</v>
      </c>
      <c r="GB87" s="1439"/>
    </row>
    <row r="88" spans="1:184" ht="12.75" customHeight="1" thickBot="1">
      <c r="A88" s="1418" t="s">
        <v>400</v>
      </c>
      <c r="B88" s="1418" t="s">
        <v>401</v>
      </c>
      <c r="C88" s="1420">
        <v>168.3</v>
      </c>
      <c r="D88" s="1439"/>
      <c r="E88" s="1420">
        <v>3906.09</v>
      </c>
      <c r="F88" s="1439"/>
      <c r="G88" s="1421">
        <v>0.08</v>
      </c>
      <c r="H88" s="1439"/>
      <c r="I88" s="1420">
        <v>4136.92</v>
      </c>
      <c r="J88" s="1439"/>
      <c r="K88" s="1420">
        <v>3980.24</v>
      </c>
      <c r="L88" s="1439"/>
      <c r="M88" s="1422">
        <v>356300954</v>
      </c>
      <c r="N88" s="1439"/>
      <c r="O88" s="1422">
        <v>25</v>
      </c>
      <c r="P88" s="1439"/>
      <c r="Q88" s="1422">
        <v>25</v>
      </c>
      <c r="R88" s="1439"/>
      <c r="S88" s="1422">
        <v>0</v>
      </c>
      <c r="T88" s="1439"/>
      <c r="U88" s="1422">
        <v>0</v>
      </c>
      <c r="V88" s="1439"/>
      <c r="W88" s="1420">
        <v>11.7</v>
      </c>
      <c r="X88" s="1439"/>
      <c r="Y88" s="1420">
        <v>36.700000000000003</v>
      </c>
      <c r="Z88" s="1439"/>
      <c r="AA88" s="1422">
        <v>28990000</v>
      </c>
      <c r="AB88" s="1439"/>
      <c r="AC88" s="1420">
        <v>11182421.98</v>
      </c>
      <c r="AD88" s="1422">
        <v>11473611</v>
      </c>
      <c r="AE88" s="1420">
        <v>1996156.84</v>
      </c>
      <c r="AF88" s="1422">
        <v>980817</v>
      </c>
      <c r="AG88" s="1420">
        <v>422.53</v>
      </c>
      <c r="AH88" s="1422">
        <v>0</v>
      </c>
      <c r="AI88" s="1422">
        <v>15549190</v>
      </c>
      <c r="AJ88" s="1422">
        <v>16626163</v>
      </c>
      <c r="AK88" s="1422">
        <v>336325</v>
      </c>
      <c r="AL88" s="1422">
        <v>0</v>
      </c>
      <c r="AM88" s="1422">
        <v>1100471</v>
      </c>
      <c r="AN88" s="1422">
        <v>0</v>
      </c>
      <c r="AO88" s="1422">
        <v>0</v>
      </c>
      <c r="AP88" s="1422">
        <v>0</v>
      </c>
      <c r="AQ88" s="1422">
        <v>0</v>
      </c>
      <c r="AR88" s="1422">
        <v>0</v>
      </c>
      <c r="AS88" s="1422">
        <v>0</v>
      </c>
      <c r="AT88" s="1422">
        <v>0</v>
      </c>
      <c r="AU88" s="1422">
        <v>0</v>
      </c>
      <c r="AV88" s="1422">
        <v>0</v>
      </c>
      <c r="AW88" s="1422">
        <v>0</v>
      </c>
      <c r="AX88" s="1422">
        <v>0</v>
      </c>
      <c r="AY88" s="1420">
        <v>30164987.350000001</v>
      </c>
      <c r="AZ88" s="1422">
        <v>29080591</v>
      </c>
      <c r="BA88" s="1422">
        <v>0</v>
      </c>
      <c r="BB88" s="1422">
        <v>0</v>
      </c>
      <c r="BC88" s="1422">
        <v>164623</v>
      </c>
      <c r="BD88" s="1422">
        <v>175421</v>
      </c>
      <c r="BE88" s="1420">
        <v>2808.29</v>
      </c>
      <c r="BF88" s="1422">
        <v>3000</v>
      </c>
      <c r="BG88" s="1422">
        <v>6750</v>
      </c>
      <c r="BH88" s="1422">
        <v>5000</v>
      </c>
      <c r="BI88" s="1422">
        <v>0</v>
      </c>
      <c r="BJ88" s="1422">
        <v>0</v>
      </c>
      <c r="BK88" s="1422">
        <v>60944</v>
      </c>
      <c r="BL88" s="1422">
        <v>68830</v>
      </c>
      <c r="BM88" s="1422">
        <v>1046560</v>
      </c>
      <c r="BN88" s="1422">
        <v>1160258</v>
      </c>
      <c r="BO88" s="1420">
        <v>24448.63</v>
      </c>
      <c r="BP88" s="1422">
        <v>23000</v>
      </c>
      <c r="BQ88" s="1420">
        <v>133557.20000000001</v>
      </c>
      <c r="BR88" s="1422">
        <v>94250</v>
      </c>
      <c r="BS88" s="1420">
        <v>14829.38</v>
      </c>
      <c r="BT88" s="1422">
        <v>16000</v>
      </c>
      <c r="BU88" s="1422">
        <v>0</v>
      </c>
      <c r="BV88" s="1422">
        <v>0</v>
      </c>
      <c r="BW88" s="1422">
        <v>0</v>
      </c>
      <c r="BX88" s="1422">
        <v>0</v>
      </c>
      <c r="BY88" s="1422">
        <v>0</v>
      </c>
      <c r="BZ88" s="1422">
        <v>0</v>
      </c>
      <c r="CA88" s="1420">
        <v>581147.03</v>
      </c>
      <c r="CB88" s="1422">
        <v>1039487</v>
      </c>
      <c r="CC88" s="1420">
        <v>2035667.53</v>
      </c>
      <c r="CD88" s="1422">
        <v>2585246</v>
      </c>
      <c r="CE88" s="1420">
        <v>4938837.16</v>
      </c>
      <c r="CF88" s="1420">
        <v>3454435.79</v>
      </c>
      <c r="CG88" s="1422">
        <v>1151500</v>
      </c>
      <c r="CH88" s="1422">
        <v>0</v>
      </c>
      <c r="CI88" s="1422">
        <v>0</v>
      </c>
      <c r="CJ88" s="1422">
        <v>0</v>
      </c>
      <c r="CK88" s="1422">
        <v>0</v>
      </c>
      <c r="CL88" s="1422">
        <v>0</v>
      </c>
      <c r="CM88" s="1422">
        <v>0</v>
      </c>
      <c r="CN88" s="1422">
        <v>0</v>
      </c>
      <c r="CO88" s="1420">
        <v>42165.19</v>
      </c>
      <c r="CP88" s="1422">
        <v>58000</v>
      </c>
      <c r="CQ88" s="1422">
        <v>0</v>
      </c>
      <c r="CR88" s="1422">
        <v>0</v>
      </c>
      <c r="CS88" s="1420">
        <v>1193665.19</v>
      </c>
      <c r="CT88" s="1422">
        <v>58000</v>
      </c>
      <c r="CU88" s="1420">
        <v>38333157.229999997</v>
      </c>
      <c r="CV88" s="1420">
        <v>35178272.789999999</v>
      </c>
      <c r="CW88" s="1420">
        <v>13900190.050000001</v>
      </c>
      <c r="CX88" s="1420">
        <v>12811447.779999999</v>
      </c>
      <c r="CY88" s="1420">
        <v>2873815.53</v>
      </c>
      <c r="CZ88" s="1420">
        <v>2691142.22</v>
      </c>
      <c r="DA88" s="1420">
        <v>666197.1</v>
      </c>
      <c r="DB88" s="1420">
        <v>673814.8</v>
      </c>
      <c r="DC88" s="1422">
        <v>0</v>
      </c>
      <c r="DD88" s="1422">
        <v>0</v>
      </c>
      <c r="DE88" s="1420">
        <v>1090617.83</v>
      </c>
      <c r="DF88" s="1420">
        <v>981038.58</v>
      </c>
      <c r="DG88" s="1420">
        <v>622079.09</v>
      </c>
      <c r="DH88" s="1420">
        <v>600560.97</v>
      </c>
      <c r="DI88" s="1420">
        <v>19152899.600000001</v>
      </c>
      <c r="DJ88" s="1420">
        <v>17758004.350000001</v>
      </c>
      <c r="DK88" s="1420">
        <v>1013554.96</v>
      </c>
      <c r="DL88" s="1420">
        <v>1058423.2</v>
      </c>
      <c r="DM88" s="1420">
        <v>1292755.98</v>
      </c>
      <c r="DN88" s="1420">
        <v>1094003.8999999999</v>
      </c>
      <c r="DO88" s="1420">
        <v>2756279.34</v>
      </c>
      <c r="DP88" s="1420">
        <v>2944086.05</v>
      </c>
      <c r="DQ88" s="1420">
        <v>1954855.32</v>
      </c>
      <c r="DR88" s="1420">
        <v>2285065.44</v>
      </c>
      <c r="DS88" s="1420">
        <v>63993.35</v>
      </c>
      <c r="DT88" s="1422">
        <v>51500</v>
      </c>
      <c r="DU88" s="1420">
        <v>7081438.9500000002</v>
      </c>
      <c r="DV88" s="1420">
        <v>7433078.5899999999</v>
      </c>
      <c r="DW88" s="1420">
        <v>1720071.69</v>
      </c>
      <c r="DX88" s="1420">
        <v>1543647.72</v>
      </c>
      <c r="DY88" s="1420">
        <v>2149286.14</v>
      </c>
      <c r="DZ88" s="1420">
        <v>1484779.85</v>
      </c>
      <c r="EA88" s="1420">
        <v>1844928.39</v>
      </c>
      <c r="EB88" s="1420">
        <v>1821207.74</v>
      </c>
      <c r="EC88" s="1420">
        <v>5714286.2199999997</v>
      </c>
      <c r="ED88" s="1420">
        <v>4849635.3099999996</v>
      </c>
      <c r="EE88" s="1420">
        <v>2423073.4700000002</v>
      </c>
      <c r="EF88" s="1420">
        <v>2276066.04</v>
      </c>
      <c r="EG88" s="1422">
        <v>0</v>
      </c>
      <c r="EH88" s="1422">
        <v>0</v>
      </c>
      <c r="EI88" s="1420">
        <v>2194.92</v>
      </c>
      <c r="EJ88" s="1422">
        <v>0</v>
      </c>
      <c r="EK88" s="1422">
        <v>0</v>
      </c>
      <c r="EL88" s="1422">
        <v>0</v>
      </c>
      <c r="EM88" s="1420">
        <v>2425268.39</v>
      </c>
      <c r="EN88" s="1420">
        <v>2276066.04</v>
      </c>
      <c r="EO88" s="1420">
        <v>1642874.36</v>
      </c>
      <c r="EP88" s="1422">
        <v>0</v>
      </c>
      <c r="EQ88" s="1420">
        <v>2153258.02</v>
      </c>
      <c r="ER88" s="1420">
        <v>2299514.19</v>
      </c>
      <c r="ES88" s="1422">
        <v>0</v>
      </c>
      <c r="ET88" s="1422">
        <v>0</v>
      </c>
      <c r="EU88" s="1420">
        <v>38170025.539999999</v>
      </c>
      <c r="EV88" s="1420">
        <v>34616298.479999997</v>
      </c>
      <c r="EW88" s="1420">
        <v>2686804.19</v>
      </c>
      <c r="EX88" s="1422">
        <v>938025</v>
      </c>
      <c r="EY88" s="1420">
        <v>2153258.02</v>
      </c>
      <c r="EZ88" s="1420">
        <v>2299514.19</v>
      </c>
      <c r="FA88" s="1420">
        <v>33329963.329999998</v>
      </c>
      <c r="FB88" s="1420">
        <v>31378759.289999999</v>
      </c>
      <c r="FC88" s="1420">
        <v>1656754.84</v>
      </c>
      <c r="FD88" s="1439"/>
      <c r="FE88" s="1420">
        <v>31673208.489999998</v>
      </c>
      <c r="FF88" s="1439"/>
      <c r="FG88" s="1422">
        <v>8108</v>
      </c>
      <c r="FH88" s="1439"/>
      <c r="FI88" s="1420">
        <v>240.53</v>
      </c>
      <c r="FJ88" s="1439"/>
      <c r="FK88" s="1422">
        <v>50662</v>
      </c>
      <c r="FL88" s="1439"/>
      <c r="FM88" s="1420">
        <v>261.38</v>
      </c>
      <c r="FN88" s="1439"/>
      <c r="FO88" s="1422">
        <v>53501</v>
      </c>
      <c r="FP88" s="1439"/>
      <c r="FQ88" s="1420">
        <v>5365727.9000000004</v>
      </c>
      <c r="FR88" s="1439"/>
      <c r="FS88" s="1420">
        <v>417281.37</v>
      </c>
      <c r="FT88" s="1439"/>
      <c r="FU88" s="1422">
        <v>0</v>
      </c>
      <c r="FV88" s="1439"/>
      <c r="FW88" s="1420">
        <v>4948446.53</v>
      </c>
      <c r="FX88" s="1439"/>
      <c r="FY88" s="1420">
        <v>2368877.33</v>
      </c>
      <c r="FZ88" s="1439"/>
      <c r="GA88" s="1422">
        <v>0</v>
      </c>
      <c r="GB88" s="1439"/>
    </row>
    <row r="89" spans="1:184" ht="12.75" customHeight="1" thickBot="1">
      <c r="A89" s="1418" t="s">
        <v>402</v>
      </c>
      <c r="B89" s="1418" t="s">
        <v>403</v>
      </c>
      <c r="C89" s="1420">
        <v>62.23</v>
      </c>
      <c r="D89" s="1439"/>
      <c r="E89" s="1420">
        <v>2839.73</v>
      </c>
      <c r="F89" s="1439"/>
      <c r="G89" s="1421">
        <v>0.13</v>
      </c>
      <c r="H89" s="1439"/>
      <c r="I89" s="1420">
        <v>2996.76</v>
      </c>
      <c r="J89" s="1439"/>
      <c r="K89" s="1420">
        <v>3004.79</v>
      </c>
      <c r="L89" s="1439"/>
      <c r="M89" s="1422">
        <v>389554640</v>
      </c>
      <c r="N89" s="1439"/>
      <c r="O89" s="1422">
        <v>25</v>
      </c>
      <c r="P89" s="1439"/>
      <c r="Q89" s="1422">
        <v>25</v>
      </c>
      <c r="R89" s="1439"/>
      <c r="S89" s="1422">
        <v>0</v>
      </c>
      <c r="T89" s="1439"/>
      <c r="U89" s="1422">
        <v>0</v>
      </c>
      <c r="V89" s="1439"/>
      <c r="W89" s="1420">
        <v>12.7</v>
      </c>
      <c r="X89" s="1439"/>
      <c r="Y89" s="1420">
        <v>37.700000000000003</v>
      </c>
      <c r="Z89" s="1439"/>
      <c r="AA89" s="1422">
        <v>26040000</v>
      </c>
      <c r="AB89" s="1439"/>
      <c r="AC89" s="1420">
        <v>13020745.41</v>
      </c>
      <c r="AD89" s="1422">
        <v>13996699</v>
      </c>
      <c r="AE89" s="1420">
        <v>1428293.34</v>
      </c>
      <c r="AF89" s="1420">
        <v>1497888.89</v>
      </c>
      <c r="AG89" s="1420">
        <v>314.54000000000002</v>
      </c>
      <c r="AH89" s="1422">
        <v>0</v>
      </c>
      <c r="AI89" s="1422">
        <v>8935168</v>
      </c>
      <c r="AJ89" s="1422">
        <v>8980016</v>
      </c>
      <c r="AK89" s="1422">
        <v>284494</v>
      </c>
      <c r="AL89" s="1422">
        <v>0</v>
      </c>
      <c r="AM89" s="1422">
        <v>89426</v>
      </c>
      <c r="AN89" s="1422">
        <v>0</v>
      </c>
      <c r="AO89" s="1422">
        <v>0</v>
      </c>
      <c r="AP89" s="1422">
        <v>0</v>
      </c>
      <c r="AQ89" s="1422">
        <v>0</v>
      </c>
      <c r="AR89" s="1422">
        <v>0</v>
      </c>
      <c r="AS89" s="1422">
        <v>0</v>
      </c>
      <c r="AT89" s="1422">
        <v>0</v>
      </c>
      <c r="AU89" s="1422">
        <v>0</v>
      </c>
      <c r="AV89" s="1422">
        <v>0</v>
      </c>
      <c r="AW89" s="1422">
        <v>0</v>
      </c>
      <c r="AX89" s="1422">
        <v>0</v>
      </c>
      <c r="AY89" s="1420">
        <v>23758441.289999999</v>
      </c>
      <c r="AZ89" s="1420">
        <v>24474603.890000001</v>
      </c>
      <c r="BA89" s="1422">
        <v>0</v>
      </c>
      <c r="BB89" s="1422">
        <v>0</v>
      </c>
      <c r="BC89" s="1422">
        <v>124278</v>
      </c>
      <c r="BD89" s="1422">
        <v>127777</v>
      </c>
      <c r="BE89" s="1420">
        <v>1941.04</v>
      </c>
      <c r="BF89" s="1422">
        <v>0</v>
      </c>
      <c r="BG89" s="1422">
        <v>2000</v>
      </c>
      <c r="BH89" s="1422">
        <v>0</v>
      </c>
      <c r="BI89" s="1422">
        <v>140783</v>
      </c>
      <c r="BJ89" s="1422">
        <v>123894</v>
      </c>
      <c r="BK89" s="1422">
        <v>31644</v>
      </c>
      <c r="BL89" s="1422">
        <v>31644</v>
      </c>
      <c r="BM89" s="1422">
        <v>582529</v>
      </c>
      <c r="BN89" s="1422">
        <v>604164</v>
      </c>
      <c r="BO89" s="1422">
        <v>12654</v>
      </c>
      <c r="BP89" s="1422">
        <v>0</v>
      </c>
      <c r="BQ89" s="1420">
        <v>211412.43</v>
      </c>
      <c r="BR89" s="1422">
        <v>0</v>
      </c>
      <c r="BS89" s="1420">
        <v>8148.72</v>
      </c>
      <c r="BT89" s="1422">
        <v>0</v>
      </c>
      <c r="BU89" s="1422">
        <v>0</v>
      </c>
      <c r="BV89" s="1422">
        <v>0</v>
      </c>
      <c r="BW89" s="1422">
        <v>310846</v>
      </c>
      <c r="BX89" s="1422">
        <v>354000</v>
      </c>
      <c r="BY89" s="1422">
        <v>0</v>
      </c>
      <c r="BZ89" s="1422">
        <v>0</v>
      </c>
      <c r="CA89" s="1422">
        <v>17370</v>
      </c>
      <c r="CB89" s="1422">
        <v>13896</v>
      </c>
      <c r="CC89" s="1420">
        <v>1443606.19</v>
      </c>
      <c r="CD89" s="1422">
        <v>1255375</v>
      </c>
      <c r="CE89" s="1420">
        <v>3007554.73</v>
      </c>
      <c r="CF89" s="1422">
        <v>1130113</v>
      </c>
      <c r="CG89" s="1420">
        <v>11532287.6</v>
      </c>
      <c r="CH89" s="1422">
        <v>0</v>
      </c>
      <c r="CI89" s="1422">
        <v>0</v>
      </c>
      <c r="CJ89" s="1422">
        <v>0</v>
      </c>
      <c r="CK89" s="1422">
        <v>0</v>
      </c>
      <c r="CL89" s="1422">
        <v>0</v>
      </c>
      <c r="CM89" s="1422">
        <v>0</v>
      </c>
      <c r="CN89" s="1422">
        <v>0</v>
      </c>
      <c r="CO89" s="1422">
        <v>0</v>
      </c>
      <c r="CP89" s="1422">
        <v>0</v>
      </c>
      <c r="CQ89" s="1422">
        <v>0</v>
      </c>
      <c r="CR89" s="1422">
        <v>0</v>
      </c>
      <c r="CS89" s="1420">
        <v>11532287.6</v>
      </c>
      <c r="CT89" s="1422">
        <v>0</v>
      </c>
      <c r="CU89" s="1420">
        <v>39741889.810000002</v>
      </c>
      <c r="CV89" s="1420">
        <v>26860091.890000001</v>
      </c>
      <c r="CW89" s="1420">
        <v>12024119.08</v>
      </c>
      <c r="CX89" s="1420">
        <v>11122551.5</v>
      </c>
      <c r="CY89" s="1420">
        <v>2005039.44</v>
      </c>
      <c r="CZ89" s="1420">
        <v>1476151.91</v>
      </c>
      <c r="DA89" s="1420">
        <v>523832.78</v>
      </c>
      <c r="DB89" s="1420">
        <v>528660.97</v>
      </c>
      <c r="DC89" s="1422">
        <v>0</v>
      </c>
      <c r="DD89" s="1422">
        <v>0</v>
      </c>
      <c r="DE89" s="1420">
        <v>391866.16</v>
      </c>
      <c r="DF89" s="1420">
        <v>309884.06</v>
      </c>
      <c r="DG89" s="1420">
        <v>428276.09</v>
      </c>
      <c r="DH89" s="1420">
        <v>474340.69</v>
      </c>
      <c r="DI89" s="1420">
        <v>15373133.550000001</v>
      </c>
      <c r="DJ89" s="1420">
        <v>13911589.130000001</v>
      </c>
      <c r="DK89" s="1420">
        <v>781147.9</v>
      </c>
      <c r="DL89" s="1420">
        <v>780135.02</v>
      </c>
      <c r="DM89" s="1420">
        <v>938122.4</v>
      </c>
      <c r="DN89" s="1420">
        <v>819935.32</v>
      </c>
      <c r="DO89" s="1420">
        <v>2457956.5499999998</v>
      </c>
      <c r="DP89" s="1420">
        <v>2451439.9300000002</v>
      </c>
      <c r="DQ89" s="1420">
        <v>1139755.6000000001</v>
      </c>
      <c r="DR89" s="1420">
        <v>1193523.54</v>
      </c>
      <c r="DS89" s="1420">
        <v>43504.33</v>
      </c>
      <c r="DT89" s="1422">
        <v>0</v>
      </c>
      <c r="DU89" s="1420">
        <v>5360486.78</v>
      </c>
      <c r="DV89" s="1420">
        <v>5245033.8099999996</v>
      </c>
      <c r="DW89" s="1420">
        <v>1184463.3799999999</v>
      </c>
      <c r="DX89" s="1420">
        <v>1187881.8600000001</v>
      </c>
      <c r="DY89" s="1420">
        <v>1580426.43</v>
      </c>
      <c r="DZ89" s="1420">
        <v>1311584.71</v>
      </c>
      <c r="EA89" s="1420">
        <v>1337028.72</v>
      </c>
      <c r="EB89" s="1420">
        <v>1379586.46</v>
      </c>
      <c r="EC89" s="1420">
        <v>4101918.53</v>
      </c>
      <c r="ED89" s="1420">
        <v>3879053.03</v>
      </c>
      <c r="EE89" s="1420">
        <v>1080891.4099999999</v>
      </c>
      <c r="EF89" s="1422">
        <v>1000000</v>
      </c>
      <c r="EG89" s="1422">
        <v>0</v>
      </c>
      <c r="EH89" s="1422">
        <v>0</v>
      </c>
      <c r="EI89" s="1420">
        <v>22452.17</v>
      </c>
      <c r="EJ89" s="1420">
        <v>800.96</v>
      </c>
      <c r="EK89" s="1422">
        <v>0</v>
      </c>
      <c r="EL89" s="1422">
        <v>0</v>
      </c>
      <c r="EM89" s="1420">
        <v>1103343.58</v>
      </c>
      <c r="EN89" s="1420">
        <v>1000800.96</v>
      </c>
      <c r="EO89" s="1420">
        <v>1247780.46</v>
      </c>
      <c r="EP89" s="1422">
        <v>11900000</v>
      </c>
      <c r="EQ89" s="1420">
        <v>967115.44</v>
      </c>
      <c r="ER89" s="1422">
        <v>1104000</v>
      </c>
      <c r="ES89" s="1422">
        <v>48563</v>
      </c>
      <c r="ET89" s="1422">
        <v>0</v>
      </c>
      <c r="EU89" s="1420">
        <v>28202341.34</v>
      </c>
      <c r="EV89" s="1420">
        <v>37040476.93</v>
      </c>
      <c r="EW89" s="1420">
        <v>1922912.39</v>
      </c>
      <c r="EX89" s="1422">
        <v>12415000</v>
      </c>
      <c r="EY89" s="1420">
        <v>967115.44</v>
      </c>
      <c r="EZ89" s="1422">
        <v>1104000</v>
      </c>
      <c r="FA89" s="1420">
        <v>25312313.510000002</v>
      </c>
      <c r="FB89" s="1420">
        <v>23521476.93</v>
      </c>
      <c r="FC89" s="1420">
        <v>1305317.1200000001</v>
      </c>
      <c r="FD89" s="1439"/>
      <c r="FE89" s="1420">
        <v>24006996.390000001</v>
      </c>
      <c r="FF89" s="1439"/>
      <c r="FG89" s="1422">
        <v>8453</v>
      </c>
      <c r="FH89" s="1439"/>
      <c r="FI89" s="1420">
        <v>190.44</v>
      </c>
      <c r="FJ89" s="1439"/>
      <c r="FK89" s="1422">
        <v>50230</v>
      </c>
      <c r="FL89" s="1439"/>
      <c r="FM89" s="1420">
        <v>206.66</v>
      </c>
      <c r="FN89" s="1439"/>
      <c r="FO89" s="1422">
        <v>53041</v>
      </c>
      <c r="FP89" s="1439"/>
      <c r="FQ89" s="1420">
        <v>3099899.53</v>
      </c>
      <c r="FR89" s="1439"/>
      <c r="FS89" s="1420">
        <v>78010.77</v>
      </c>
      <c r="FT89" s="1439"/>
      <c r="FU89" s="1422">
        <v>0</v>
      </c>
      <c r="FV89" s="1439"/>
      <c r="FW89" s="1420">
        <v>3021888.76</v>
      </c>
      <c r="FX89" s="1439"/>
      <c r="FY89" s="1420">
        <v>11469175.92</v>
      </c>
      <c r="FZ89" s="1439"/>
      <c r="GA89" s="1422">
        <v>0</v>
      </c>
      <c r="GB89" s="1439"/>
    </row>
    <row r="90" spans="1:184" ht="12.75" customHeight="1" thickBot="1">
      <c r="A90" s="1418" t="s">
        <v>404</v>
      </c>
      <c r="B90" s="1418" t="s">
        <v>405</v>
      </c>
      <c r="C90" s="1420">
        <v>103.76</v>
      </c>
      <c r="D90" s="1439"/>
      <c r="E90" s="1420">
        <v>558.53</v>
      </c>
      <c r="F90" s="1439"/>
      <c r="G90" s="1421">
        <v>-0.05</v>
      </c>
      <c r="H90" s="1439"/>
      <c r="I90" s="1420">
        <v>596.76</v>
      </c>
      <c r="J90" s="1439"/>
      <c r="K90" s="1420">
        <v>609.1</v>
      </c>
      <c r="L90" s="1439"/>
      <c r="M90" s="1422">
        <v>47456537</v>
      </c>
      <c r="N90" s="1439"/>
      <c r="O90" s="1422">
        <v>25</v>
      </c>
      <c r="P90" s="1439"/>
      <c r="Q90" s="1422">
        <v>25</v>
      </c>
      <c r="R90" s="1439"/>
      <c r="S90" s="1422">
        <v>0</v>
      </c>
      <c r="T90" s="1439"/>
      <c r="U90" s="1422">
        <v>0</v>
      </c>
      <c r="V90" s="1439"/>
      <c r="W90" s="1420">
        <v>12.9</v>
      </c>
      <c r="X90" s="1439"/>
      <c r="Y90" s="1420">
        <v>37.9</v>
      </c>
      <c r="Z90" s="1439"/>
      <c r="AA90" s="1420">
        <v>3997316.33</v>
      </c>
      <c r="AB90" s="1439"/>
      <c r="AC90" s="1420">
        <v>1606148.08</v>
      </c>
      <c r="AD90" s="1420">
        <v>1716045.82</v>
      </c>
      <c r="AE90" s="1420">
        <v>183198.09</v>
      </c>
      <c r="AF90" s="1422">
        <v>62700</v>
      </c>
      <c r="AG90" s="1420">
        <v>64.08</v>
      </c>
      <c r="AH90" s="1422">
        <v>0</v>
      </c>
      <c r="AI90" s="1422">
        <v>2549717</v>
      </c>
      <c r="AJ90" s="1422">
        <v>2484961</v>
      </c>
      <c r="AK90" s="1422">
        <v>37323</v>
      </c>
      <c r="AL90" s="1422">
        <v>0</v>
      </c>
      <c r="AM90" s="1422">
        <v>23206</v>
      </c>
      <c r="AN90" s="1422">
        <v>0</v>
      </c>
      <c r="AO90" s="1422">
        <v>0</v>
      </c>
      <c r="AP90" s="1422">
        <v>25897</v>
      </c>
      <c r="AQ90" s="1422">
        <v>0</v>
      </c>
      <c r="AR90" s="1422">
        <v>0</v>
      </c>
      <c r="AS90" s="1422">
        <v>0</v>
      </c>
      <c r="AT90" s="1422">
        <v>0</v>
      </c>
      <c r="AU90" s="1422">
        <v>0</v>
      </c>
      <c r="AV90" s="1422">
        <v>0</v>
      </c>
      <c r="AW90" s="1422">
        <v>0</v>
      </c>
      <c r="AX90" s="1422">
        <v>0</v>
      </c>
      <c r="AY90" s="1420">
        <v>4399656.25</v>
      </c>
      <c r="AZ90" s="1420">
        <v>4289603.82</v>
      </c>
      <c r="BA90" s="1422">
        <v>0</v>
      </c>
      <c r="BB90" s="1422">
        <v>0</v>
      </c>
      <c r="BC90" s="1422">
        <v>25192</v>
      </c>
      <c r="BD90" s="1422">
        <v>25456</v>
      </c>
      <c r="BE90" s="1420">
        <v>1384.16</v>
      </c>
      <c r="BF90" s="1422">
        <v>800</v>
      </c>
      <c r="BG90" s="1422">
        <v>0</v>
      </c>
      <c r="BH90" s="1422">
        <v>0</v>
      </c>
      <c r="BI90" s="1422">
        <v>0</v>
      </c>
      <c r="BJ90" s="1422">
        <v>0</v>
      </c>
      <c r="BK90" s="1422">
        <v>0</v>
      </c>
      <c r="BL90" s="1422">
        <v>0</v>
      </c>
      <c r="BM90" s="1422">
        <v>466240</v>
      </c>
      <c r="BN90" s="1422">
        <v>466532</v>
      </c>
      <c r="BO90" s="1420">
        <v>2495.27</v>
      </c>
      <c r="BP90" s="1422">
        <v>0</v>
      </c>
      <c r="BQ90" s="1420">
        <v>18958.560000000001</v>
      </c>
      <c r="BR90" s="1422">
        <v>0</v>
      </c>
      <c r="BS90" s="1420">
        <v>2354.4499999999998</v>
      </c>
      <c r="BT90" s="1422">
        <v>0</v>
      </c>
      <c r="BU90" s="1422">
        <v>0</v>
      </c>
      <c r="BV90" s="1422">
        <v>0</v>
      </c>
      <c r="BW90" s="1422">
        <v>0</v>
      </c>
      <c r="BX90" s="1422">
        <v>0</v>
      </c>
      <c r="BY90" s="1422">
        <v>0</v>
      </c>
      <c r="BZ90" s="1422">
        <v>0</v>
      </c>
      <c r="CA90" s="1420">
        <v>73415.08</v>
      </c>
      <c r="CB90" s="1422">
        <v>26102</v>
      </c>
      <c r="CC90" s="1420">
        <v>590039.52</v>
      </c>
      <c r="CD90" s="1422">
        <v>518890</v>
      </c>
      <c r="CE90" s="1420">
        <v>988414.95</v>
      </c>
      <c r="CF90" s="1420">
        <v>792197.68</v>
      </c>
      <c r="CG90" s="1422">
        <v>14800</v>
      </c>
      <c r="CH90" s="1422">
        <v>0</v>
      </c>
      <c r="CI90" s="1422">
        <v>0</v>
      </c>
      <c r="CJ90" s="1422">
        <v>0</v>
      </c>
      <c r="CK90" s="1422">
        <v>0</v>
      </c>
      <c r="CL90" s="1422">
        <v>0</v>
      </c>
      <c r="CM90" s="1422">
        <v>0</v>
      </c>
      <c r="CN90" s="1422">
        <v>0</v>
      </c>
      <c r="CO90" s="1422">
        <v>25500</v>
      </c>
      <c r="CP90" s="1422">
        <v>0</v>
      </c>
      <c r="CQ90" s="1422">
        <v>0</v>
      </c>
      <c r="CR90" s="1422">
        <v>0</v>
      </c>
      <c r="CS90" s="1422">
        <v>40300</v>
      </c>
      <c r="CT90" s="1422">
        <v>0</v>
      </c>
      <c r="CU90" s="1420">
        <v>6018410.7199999997</v>
      </c>
      <c r="CV90" s="1420">
        <v>5600691.5</v>
      </c>
      <c r="CW90" s="1420">
        <v>2217844.8199999998</v>
      </c>
      <c r="CX90" s="1420">
        <v>2175142.13</v>
      </c>
      <c r="CY90" s="1420">
        <v>272608.49</v>
      </c>
      <c r="CZ90" s="1420">
        <v>279280.33</v>
      </c>
      <c r="DA90" s="1420">
        <v>105363.19</v>
      </c>
      <c r="DB90" s="1420">
        <v>108301.79</v>
      </c>
      <c r="DC90" s="1422">
        <v>0</v>
      </c>
      <c r="DD90" s="1422">
        <v>0</v>
      </c>
      <c r="DE90" s="1420">
        <v>110346.23</v>
      </c>
      <c r="DF90" s="1420">
        <v>191151.54</v>
      </c>
      <c r="DG90" s="1420">
        <v>99992.74</v>
      </c>
      <c r="DH90" s="1420">
        <v>119427.91</v>
      </c>
      <c r="DI90" s="1420">
        <v>2806155.47</v>
      </c>
      <c r="DJ90" s="1420">
        <v>2873303.7</v>
      </c>
      <c r="DK90" s="1420">
        <v>216854.75</v>
      </c>
      <c r="DL90" s="1420">
        <v>183362.29</v>
      </c>
      <c r="DM90" s="1420">
        <v>124933.92</v>
      </c>
      <c r="DN90" s="1420">
        <v>127373.1</v>
      </c>
      <c r="DO90" s="1420">
        <v>617465.81999999995</v>
      </c>
      <c r="DP90" s="1420">
        <v>526873.54</v>
      </c>
      <c r="DQ90" s="1420">
        <v>425038.95</v>
      </c>
      <c r="DR90" s="1420">
        <v>184282.14</v>
      </c>
      <c r="DS90" s="1420">
        <v>6314.64</v>
      </c>
      <c r="DT90" s="1422">
        <v>500</v>
      </c>
      <c r="DU90" s="1420">
        <v>1390608.08</v>
      </c>
      <c r="DV90" s="1420">
        <v>1022391.07</v>
      </c>
      <c r="DW90" s="1420">
        <v>272858.71000000002</v>
      </c>
      <c r="DX90" s="1420">
        <v>294384.05</v>
      </c>
      <c r="DY90" s="1420">
        <v>609388.74</v>
      </c>
      <c r="DZ90" s="1420">
        <v>661858.91</v>
      </c>
      <c r="EA90" s="1420">
        <v>261538.79</v>
      </c>
      <c r="EB90" s="1420">
        <v>248844.75</v>
      </c>
      <c r="EC90" s="1420">
        <v>1143786.24</v>
      </c>
      <c r="ED90" s="1420">
        <v>1205087.71</v>
      </c>
      <c r="EE90" s="1420">
        <v>304272.65000000002</v>
      </c>
      <c r="EF90" s="1420">
        <v>300181.96999999997</v>
      </c>
      <c r="EG90" s="1422">
        <v>0</v>
      </c>
      <c r="EH90" s="1422">
        <v>0</v>
      </c>
      <c r="EI90" s="1422">
        <v>0</v>
      </c>
      <c r="EJ90" s="1422">
        <v>0</v>
      </c>
      <c r="EK90" s="1422">
        <v>0</v>
      </c>
      <c r="EL90" s="1422">
        <v>0</v>
      </c>
      <c r="EM90" s="1420">
        <v>304272.65000000002</v>
      </c>
      <c r="EN90" s="1420">
        <v>300181.96999999997</v>
      </c>
      <c r="EO90" s="1420">
        <v>105218.87</v>
      </c>
      <c r="EP90" s="1422">
        <v>0</v>
      </c>
      <c r="EQ90" s="1420">
        <v>279167.21999999997</v>
      </c>
      <c r="ER90" s="1420">
        <v>340533.7</v>
      </c>
      <c r="ES90" s="1420">
        <v>201.46</v>
      </c>
      <c r="ET90" s="1422">
        <v>0</v>
      </c>
      <c r="EU90" s="1420">
        <v>6029409.9900000002</v>
      </c>
      <c r="EV90" s="1420">
        <v>5741498.1500000004</v>
      </c>
      <c r="EW90" s="1420">
        <v>430007.51</v>
      </c>
      <c r="EX90" s="1420">
        <v>47352.4</v>
      </c>
      <c r="EY90" s="1420">
        <v>279167.21999999997</v>
      </c>
      <c r="EZ90" s="1420">
        <v>340533.7</v>
      </c>
      <c r="FA90" s="1420">
        <v>5320235.26</v>
      </c>
      <c r="FB90" s="1420">
        <v>5353612.05</v>
      </c>
      <c r="FC90" s="1420">
        <v>182217.44</v>
      </c>
      <c r="FD90" s="1439"/>
      <c r="FE90" s="1420">
        <v>5138017.82</v>
      </c>
      <c r="FF90" s="1439"/>
      <c r="FG90" s="1422">
        <v>9199</v>
      </c>
      <c r="FH90" s="1439"/>
      <c r="FI90" s="1420">
        <v>50.15</v>
      </c>
      <c r="FJ90" s="1439"/>
      <c r="FK90" s="1422">
        <v>38172</v>
      </c>
      <c r="FL90" s="1439"/>
      <c r="FM90" s="1420">
        <v>56.35</v>
      </c>
      <c r="FN90" s="1439"/>
      <c r="FO90" s="1422">
        <v>40237</v>
      </c>
      <c r="FP90" s="1439"/>
      <c r="FQ90" s="1420">
        <v>671829.04</v>
      </c>
      <c r="FR90" s="1439"/>
      <c r="FS90" s="1420">
        <v>71712.69</v>
      </c>
      <c r="FT90" s="1439"/>
      <c r="FU90" s="1422">
        <v>0</v>
      </c>
      <c r="FV90" s="1439"/>
      <c r="FW90" s="1420">
        <v>600116.35</v>
      </c>
      <c r="FX90" s="1439"/>
      <c r="FY90" s="1422">
        <v>14800</v>
      </c>
      <c r="FZ90" s="1439"/>
      <c r="GA90" s="1422">
        <v>0</v>
      </c>
      <c r="GB90" s="1439"/>
    </row>
    <row r="91" spans="1:184" ht="12.75" customHeight="1" thickBot="1">
      <c r="A91" s="1418" t="s">
        <v>406</v>
      </c>
      <c r="B91" s="1418" t="s">
        <v>407</v>
      </c>
      <c r="C91" s="1420">
        <v>56.32</v>
      </c>
      <c r="D91" s="1439"/>
      <c r="E91" s="1420">
        <v>503.82</v>
      </c>
      <c r="F91" s="1439"/>
      <c r="G91" s="1421">
        <v>0</v>
      </c>
      <c r="H91" s="1439"/>
      <c r="I91" s="1420">
        <v>531.66999999999996</v>
      </c>
      <c r="J91" s="1439"/>
      <c r="K91" s="1420">
        <v>538.45000000000005</v>
      </c>
      <c r="L91" s="1439"/>
      <c r="M91" s="1422">
        <v>11391000</v>
      </c>
      <c r="N91" s="1439"/>
      <c r="O91" s="1422">
        <v>25</v>
      </c>
      <c r="P91" s="1439"/>
      <c r="Q91" s="1422">
        <v>25</v>
      </c>
      <c r="R91" s="1439"/>
      <c r="S91" s="1422">
        <v>0</v>
      </c>
      <c r="T91" s="1439"/>
      <c r="U91" s="1422">
        <v>0</v>
      </c>
      <c r="V91" s="1439"/>
      <c r="W91" s="1420">
        <v>21.7</v>
      </c>
      <c r="X91" s="1439"/>
      <c r="Y91" s="1420">
        <v>46.7</v>
      </c>
      <c r="Z91" s="1439"/>
      <c r="AA91" s="1422">
        <v>2758320</v>
      </c>
      <c r="AB91" s="1439"/>
      <c r="AC91" s="1420">
        <v>490116.19</v>
      </c>
      <c r="AD91" s="1422">
        <v>530000</v>
      </c>
      <c r="AE91" s="1420">
        <v>387071.37</v>
      </c>
      <c r="AF91" s="1422">
        <v>154750</v>
      </c>
      <c r="AG91" s="1420">
        <v>40.25</v>
      </c>
      <c r="AH91" s="1422">
        <v>0</v>
      </c>
      <c r="AI91" s="1422">
        <v>2971805</v>
      </c>
      <c r="AJ91" s="1422">
        <v>2997689</v>
      </c>
      <c r="AK91" s="1422">
        <v>5508</v>
      </c>
      <c r="AL91" s="1422">
        <v>0</v>
      </c>
      <c r="AM91" s="1422">
        <v>0</v>
      </c>
      <c r="AN91" s="1422">
        <v>0</v>
      </c>
      <c r="AO91" s="1422">
        <v>77125</v>
      </c>
      <c r="AP91" s="1422">
        <v>15729</v>
      </c>
      <c r="AQ91" s="1422">
        <v>0</v>
      </c>
      <c r="AR91" s="1422">
        <v>0</v>
      </c>
      <c r="AS91" s="1422">
        <v>0</v>
      </c>
      <c r="AT91" s="1422">
        <v>0</v>
      </c>
      <c r="AU91" s="1422">
        <v>0</v>
      </c>
      <c r="AV91" s="1422">
        <v>0</v>
      </c>
      <c r="AW91" s="1422">
        <v>0</v>
      </c>
      <c r="AX91" s="1422">
        <v>0</v>
      </c>
      <c r="AY91" s="1420">
        <v>3931665.81</v>
      </c>
      <c r="AZ91" s="1422">
        <v>3698168</v>
      </c>
      <c r="BA91" s="1422">
        <v>0</v>
      </c>
      <c r="BB91" s="1422">
        <v>0</v>
      </c>
      <c r="BC91" s="1422">
        <v>22270</v>
      </c>
      <c r="BD91" s="1422">
        <v>22603</v>
      </c>
      <c r="BE91" s="1422">
        <v>1600</v>
      </c>
      <c r="BF91" s="1422">
        <v>1600</v>
      </c>
      <c r="BG91" s="1422">
        <v>1000</v>
      </c>
      <c r="BH91" s="1422">
        <v>0</v>
      </c>
      <c r="BI91" s="1422">
        <v>2560</v>
      </c>
      <c r="BJ91" s="1422">
        <v>12228</v>
      </c>
      <c r="BK91" s="1422">
        <v>0</v>
      </c>
      <c r="BL91" s="1422">
        <v>0</v>
      </c>
      <c r="BM91" s="1422">
        <v>160704</v>
      </c>
      <c r="BN91" s="1422">
        <v>158378</v>
      </c>
      <c r="BO91" s="1420">
        <v>2205.84</v>
      </c>
      <c r="BP91" s="1422">
        <v>2000</v>
      </c>
      <c r="BQ91" s="1420">
        <v>22984.74</v>
      </c>
      <c r="BR91" s="1420">
        <v>76493.75</v>
      </c>
      <c r="BS91" s="1420">
        <v>1873.3</v>
      </c>
      <c r="BT91" s="1422">
        <v>1000</v>
      </c>
      <c r="BU91" s="1422">
        <v>0</v>
      </c>
      <c r="BV91" s="1422">
        <v>0</v>
      </c>
      <c r="BW91" s="1422">
        <v>0</v>
      </c>
      <c r="BX91" s="1422">
        <v>0</v>
      </c>
      <c r="BY91" s="1422">
        <v>0</v>
      </c>
      <c r="BZ91" s="1422">
        <v>0</v>
      </c>
      <c r="CA91" s="1420">
        <v>173617.96</v>
      </c>
      <c r="CB91" s="1422">
        <v>90328</v>
      </c>
      <c r="CC91" s="1420">
        <v>388815.84</v>
      </c>
      <c r="CD91" s="1420">
        <v>364630.75</v>
      </c>
      <c r="CE91" s="1420">
        <v>447874.96</v>
      </c>
      <c r="CF91" s="1420">
        <v>363821.71</v>
      </c>
      <c r="CG91" s="1420">
        <v>7076.35</v>
      </c>
      <c r="CH91" s="1422">
        <v>0</v>
      </c>
      <c r="CI91" s="1422">
        <v>0</v>
      </c>
      <c r="CJ91" s="1422">
        <v>0</v>
      </c>
      <c r="CK91" s="1422">
        <v>0</v>
      </c>
      <c r="CL91" s="1422">
        <v>0</v>
      </c>
      <c r="CM91" s="1422">
        <v>0</v>
      </c>
      <c r="CN91" s="1422">
        <v>0</v>
      </c>
      <c r="CO91" s="1422">
        <v>0</v>
      </c>
      <c r="CP91" s="1422">
        <v>0</v>
      </c>
      <c r="CQ91" s="1422">
        <v>0</v>
      </c>
      <c r="CR91" s="1422">
        <v>0</v>
      </c>
      <c r="CS91" s="1420">
        <v>7076.35</v>
      </c>
      <c r="CT91" s="1422">
        <v>0</v>
      </c>
      <c r="CU91" s="1420">
        <v>4775432.96</v>
      </c>
      <c r="CV91" s="1420">
        <v>4426620.46</v>
      </c>
      <c r="CW91" s="1420">
        <v>1985028.5</v>
      </c>
      <c r="CX91" s="1420">
        <v>2040914.16</v>
      </c>
      <c r="CY91" s="1420">
        <v>317248.90000000002</v>
      </c>
      <c r="CZ91" s="1420">
        <v>294580.49</v>
      </c>
      <c r="DA91" s="1422">
        <v>16250</v>
      </c>
      <c r="DB91" s="1420">
        <v>26000.86</v>
      </c>
      <c r="DC91" s="1422">
        <v>0</v>
      </c>
      <c r="DD91" s="1422">
        <v>0</v>
      </c>
      <c r="DE91" s="1420">
        <v>98999.4</v>
      </c>
      <c r="DF91" s="1420">
        <v>103838.58</v>
      </c>
      <c r="DG91" s="1420">
        <v>85906.02</v>
      </c>
      <c r="DH91" s="1420">
        <v>99923.55</v>
      </c>
      <c r="DI91" s="1420">
        <v>2503432.8199999998</v>
      </c>
      <c r="DJ91" s="1420">
        <v>2565257.64</v>
      </c>
      <c r="DK91" s="1420">
        <v>179804.5</v>
      </c>
      <c r="DL91" s="1420">
        <v>205904.31</v>
      </c>
      <c r="DM91" s="1420">
        <v>102759.72</v>
      </c>
      <c r="DN91" s="1422">
        <v>140447</v>
      </c>
      <c r="DO91" s="1420">
        <v>349247.39</v>
      </c>
      <c r="DP91" s="1420">
        <v>557309.73</v>
      </c>
      <c r="DQ91" s="1420">
        <v>139179.64000000001</v>
      </c>
      <c r="DR91" s="1422">
        <v>192233</v>
      </c>
      <c r="DS91" s="1420">
        <v>19376.88</v>
      </c>
      <c r="DT91" s="1422">
        <v>10000</v>
      </c>
      <c r="DU91" s="1420">
        <v>790368.13</v>
      </c>
      <c r="DV91" s="1420">
        <v>1105894.04</v>
      </c>
      <c r="DW91" s="1420">
        <v>130895.98</v>
      </c>
      <c r="DX91" s="1420">
        <v>152132.4</v>
      </c>
      <c r="DY91" s="1420">
        <v>325368.93</v>
      </c>
      <c r="DZ91" s="1420">
        <v>389625.92</v>
      </c>
      <c r="EA91" s="1420">
        <v>295205.19</v>
      </c>
      <c r="EB91" s="1422">
        <v>292312</v>
      </c>
      <c r="EC91" s="1420">
        <v>751470.1</v>
      </c>
      <c r="ED91" s="1420">
        <v>834070.32</v>
      </c>
      <c r="EE91" s="1420">
        <v>268348.56</v>
      </c>
      <c r="EF91" s="1420">
        <v>274241.28999999998</v>
      </c>
      <c r="EG91" s="1420">
        <v>33614.35</v>
      </c>
      <c r="EH91" s="1422">
        <v>0</v>
      </c>
      <c r="EI91" s="1422">
        <v>0</v>
      </c>
      <c r="EJ91" s="1422">
        <v>250</v>
      </c>
      <c r="EK91" s="1422">
        <v>0</v>
      </c>
      <c r="EL91" s="1422">
        <v>0</v>
      </c>
      <c r="EM91" s="1420">
        <v>301962.90999999997</v>
      </c>
      <c r="EN91" s="1420">
        <v>274491.28999999998</v>
      </c>
      <c r="EO91" s="1420">
        <v>119878.69</v>
      </c>
      <c r="EP91" s="1420">
        <v>22918.92</v>
      </c>
      <c r="EQ91" s="1420">
        <v>118299.24</v>
      </c>
      <c r="ER91" s="1420">
        <v>182060.74</v>
      </c>
      <c r="ES91" s="1422">
        <v>0</v>
      </c>
      <c r="ET91" s="1422">
        <v>0</v>
      </c>
      <c r="EU91" s="1420">
        <v>4585411.8899999997</v>
      </c>
      <c r="EV91" s="1420">
        <v>4984692.95</v>
      </c>
      <c r="EW91" s="1420">
        <v>183951.97</v>
      </c>
      <c r="EX91" s="1420">
        <v>187639.18</v>
      </c>
      <c r="EY91" s="1420">
        <v>118299.24</v>
      </c>
      <c r="EZ91" s="1420">
        <v>182060.74</v>
      </c>
      <c r="FA91" s="1420">
        <v>4283160.68</v>
      </c>
      <c r="FB91" s="1420">
        <v>4614993.03</v>
      </c>
      <c r="FC91" s="1420">
        <v>237406.39</v>
      </c>
      <c r="FD91" s="1439"/>
      <c r="FE91" s="1420">
        <v>4045754.29</v>
      </c>
      <c r="FF91" s="1439"/>
      <c r="FG91" s="1422">
        <v>8030</v>
      </c>
      <c r="FH91" s="1439"/>
      <c r="FI91" s="1420">
        <v>35.9</v>
      </c>
      <c r="FJ91" s="1439"/>
      <c r="FK91" s="1422">
        <v>46693</v>
      </c>
      <c r="FL91" s="1439"/>
      <c r="FM91" s="1420">
        <v>40.97</v>
      </c>
      <c r="FN91" s="1439"/>
      <c r="FO91" s="1422">
        <v>49631</v>
      </c>
      <c r="FP91" s="1439"/>
      <c r="FQ91" s="1420">
        <v>2190711.9500000002</v>
      </c>
      <c r="FR91" s="1439"/>
      <c r="FS91" s="1420">
        <v>14588.77</v>
      </c>
      <c r="FT91" s="1439"/>
      <c r="FU91" s="1422">
        <v>0</v>
      </c>
      <c r="FV91" s="1439"/>
      <c r="FW91" s="1420">
        <v>2176123.1800000002</v>
      </c>
      <c r="FX91" s="1439"/>
      <c r="FY91" s="1420">
        <v>361522.46</v>
      </c>
      <c r="FZ91" s="1439"/>
      <c r="GA91" s="1422">
        <v>0</v>
      </c>
      <c r="GB91" s="1439"/>
    </row>
    <row r="92" spans="1:184" ht="12.75" customHeight="1" thickBot="1">
      <c r="A92" s="1418" t="s">
        <v>408</v>
      </c>
      <c r="B92" s="1418" t="s">
        <v>409</v>
      </c>
      <c r="C92" s="1420">
        <v>626.1</v>
      </c>
      <c r="D92" s="1439"/>
      <c r="E92" s="1420">
        <v>3900.16</v>
      </c>
      <c r="F92" s="1439"/>
      <c r="G92" s="1421">
        <v>-0.04</v>
      </c>
      <c r="H92" s="1439"/>
      <c r="I92" s="1420">
        <v>4134.9399999999996</v>
      </c>
      <c r="J92" s="1439"/>
      <c r="K92" s="1420">
        <v>4106.34</v>
      </c>
      <c r="L92" s="1439"/>
      <c r="M92" s="1422">
        <v>266192603</v>
      </c>
      <c r="N92" s="1439"/>
      <c r="O92" s="1422">
        <v>25</v>
      </c>
      <c r="P92" s="1439"/>
      <c r="Q92" s="1422">
        <v>25</v>
      </c>
      <c r="R92" s="1439"/>
      <c r="S92" s="1422">
        <v>0</v>
      </c>
      <c r="T92" s="1439"/>
      <c r="U92" s="1422">
        <v>0</v>
      </c>
      <c r="V92" s="1439"/>
      <c r="W92" s="1420">
        <v>7.2</v>
      </c>
      <c r="X92" s="1439"/>
      <c r="Y92" s="1420">
        <v>32.200000000000003</v>
      </c>
      <c r="Z92" s="1439"/>
      <c r="AA92" s="1420">
        <v>21873670.91</v>
      </c>
      <c r="AB92" s="1439"/>
      <c r="AC92" s="1420">
        <v>8449159.1899999995</v>
      </c>
      <c r="AD92" s="1422">
        <v>8057117</v>
      </c>
      <c r="AE92" s="1420">
        <v>1524798.86</v>
      </c>
      <c r="AF92" s="1422">
        <v>714000</v>
      </c>
      <c r="AG92" s="1422">
        <v>0</v>
      </c>
      <c r="AH92" s="1422">
        <v>0</v>
      </c>
      <c r="AI92" s="1422">
        <v>18453726</v>
      </c>
      <c r="AJ92" s="1422">
        <v>18949401</v>
      </c>
      <c r="AK92" s="1422">
        <v>179037</v>
      </c>
      <c r="AL92" s="1422">
        <v>0</v>
      </c>
      <c r="AM92" s="1422">
        <v>177754</v>
      </c>
      <c r="AN92" s="1422">
        <v>0</v>
      </c>
      <c r="AO92" s="1422">
        <v>0</v>
      </c>
      <c r="AP92" s="1422">
        <v>0</v>
      </c>
      <c r="AQ92" s="1422">
        <v>0</v>
      </c>
      <c r="AR92" s="1422">
        <v>0</v>
      </c>
      <c r="AS92" s="1422">
        <v>0</v>
      </c>
      <c r="AT92" s="1422">
        <v>0</v>
      </c>
      <c r="AU92" s="1422">
        <v>1626</v>
      </c>
      <c r="AV92" s="1422">
        <v>1301</v>
      </c>
      <c r="AW92" s="1422">
        <v>0</v>
      </c>
      <c r="AX92" s="1422">
        <v>0</v>
      </c>
      <c r="AY92" s="1420">
        <v>28786101.050000001</v>
      </c>
      <c r="AZ92" s="1422">
        <v>27721819</v>
      </c>
      <c r="BA92" s="1422">
        <v>0</v>
      </c>
      <c r="BB92" s="1422">
        <v>0</v>
      </c>
      <c r="BC92" s="1422">
        <v>169838</v>
      </c>
      <c r="BD92" s="1422">
        <v>175694</v>
      </c>
      <c r="BE92" s="1420">
        <v>16138.92</v>
      </c>
      <c r="BF92" s="1422">
        <v>27076</v>
      </c>
      <c r="BG92" s="1420">
        <v>5094.12</v>
      </c>
      <c r="BH92" s="1422">
        <v>5000</v>
      </c>
      <c r="BI92" s="1422">
        <v>219118</v>
      </c>
      <c r="BJ92" s="1422">
        <v>202898</v>
      </c>
      <c r="BK92" s="1422">
        <v>29593</v>
      </c>
      <c r="BL92" s="1422">
        <v>32292</v>
      </c>
      <c r="BM92" s="1422">
        <v>891808</v>
      </c>
      <c r="BN92" s="1422">
        <v>953304</v>
      </c>
      <c r="BO92" s="1420">
        <v>35450.050000000003</v>
      </c>
      <c r="BP92" s="1422">
        <v>25000</v>
      </c>
      <c r="BQ92" s="1420">
        <v>33122.720000000001</v>
      </c>
      <c r="BR92" s="1422">
        <v>30000</v>
      </c>
      <c r="BS92" s="1420">
        <v>14268.48</v>
      </c>
      <c r="BT92" s="1422">
        <v>14000</v>
      </c>
      <c r="BU92" s="1422">
        <v>0</v>
      </c>
      <c r="BV92" s="1422">
        <v>0</v>
      </c>
      <c r="BW92" s="1422">
        <v>389600</v>
      </c>
      <c r="BX92" s="1422">
        <v>389600</v>
      </c>
      <c r="BY92" s="1422">
        <v>0</v>
      </c>
      <c r="BZ92" s="1422">
        <v>0</v>
      </c>
      <c r="CA92" s="1420">
        <v>2054680.71</v>
      </c>
      <c r="CB92" s="1422">
        <v>241981</v>
      </c>
      <c r="CC92" s="1422">
        <v>3858712</v>
      </c>
      <c r="CD92" s="1422">
        <v>2096845</v>
      </c>
      <c r="CE92" s="1420">
        <v>5133555.54</v>
      </c>
      <c r="CF92" s="1420">
        <v>3650396.45</v>
      </c>
      <c r="CG92" s="1422">
        <v>5000000</v>
      </c>
      <c r="CH92" s="1422">
        <v>0</v>
      </c>
      <c r="CI92" s="1422">
        <v>0</v>
      </c>
      <c r="CJ92" s="1422">
        <v>0</v>
      </c>
      <c r="CK92" s="1420">
        <v>18898.509999999998</v>
      </c>
      <c r="CL92" s="1422">
        <v>15000</v>
      </c>
      <c r="CM92" s="1422">
        <v>0</v>
      </c>
      <c r="CN92" s="1422">
        <v>0</v>
      </c>
      <c r="CO92" s="1420">
        <v>16583.75</v>
      </c>
      <c r="CP92" s="1422">
        <v>24000</v>
      </c>
      <c r="CQ92" s="1422">
        <v>0</v>
      </c>
      <c r="CR92" s="1422">
        <v>0</v>
      </c>
      <c r="CS92" s="1420">
        <v>5035482.26</v>
      </c>
      <c r="CT92" s="1422">
        <v>39000</v>
      </c>
      <c r="CU92" s="1420">
        <v>42813850.850000001</v>
      </c>
      <c r="CV92" s="1420">
        <v>33508060.449999999</v>
      </c>
      <c r="CW92" s="1420">
        <v>13546151.74</v>
      </c>
      <c r="CX92" s="1420">
        <v>13397295.039999999</v>
      </c>
      <c r="CY92" s="1420">
        <v>2174523.89</v>
      </c>
      <c r="CZ92" s="1420">
        <v>2201907.79</v>
      </c>
      <c r="DA92" s="1420">
        <v>806650.91</v>
      </c>
      <c r="DB92" s="1420">
        <v>805093.18</v>
      </c>
      <c r="DC92" s="1422">
        <v>0</v>
      </c>
      <c r="DD92" s="1420">
        <v>724.35</v>
      </c>
      <c r="DE92" s="1420">
        <v>720719.08</v>
      </c>
      <c r="DF92" s="1420">
        <v>828354.51</v>
      </c>
      <c r="DG92" s="1420">
        <v>1061193.29</v>
      </c>
      <c r="DH92" s="1420">
        <v>1179492.1000000001</v>
      </c>
      <c r="DI92" s="1420">
        <v>18309238.91</v>
      </c>
      <c r="DJ92" s="1420">
        <v>18412866.969999999</v>
      </c>
      <c r="DK92" s="1420">
        <v>664493.07999999996</v>
      </c>
      <c r="DL92" s="1420">
        <v>627593.71</v>
      </c>
      <c r="DM92" s="1420">
        <v>1298197.05</v>
      </c>
      <c r="DN92" s="1420">
        <v>1397102.89</v>
      </c>
      <c r="DO92" s="1420">
        <v>3222886.41</v>
      </c>
      <c r="DP92" s="1420">
        <v>4042344.27</v>
      </c>
      <c r="DQ92" s="1420">
        <v>1435652.38</v>
      </c>
      <c r="DR92" s="1420">
        <v>1762847.39</v>
      </c>
      <c r="DS92" s="1420">
        <v>72405.09</v>
      </c>
      <c r="DT92" s="1422">
        <v>23905</v>
      </c>
      <c r="DU92" s="1420">
        <v>6693634.0099999998</v>
      </c>
      <c r="DV92" s="1420">
        <v>7853793.2599999998</v>
      </c>
      <c r="DW92" s="1420">
        <v>1308237.97</v>
      </c>
      <c r="DX92" s="1420">
        <v>1333101.8899999999</v>
      </c>
      <c r="DY92" s="1420">
        <v>1886723.65</v>
      </c>
      <c r="DZ92" s="1420">
        <v>2000811.31</v>
      </c>
      <c r="EA92" s="1420">
        <v>1634185.48</v>
      </c>
      <c r="EB92" s="1420">
        <v>1639488.78</v>
      </c>
      <c r="EC92" s="1420">
        <v>4829147.0999999996</v>
      </c>
      <c r="ED92" s="1420">
        <v>4973401.9800000004</v>
      </c>
      <c r="EE92" s="1420">
        <v>1998455.21</v>
      </c>
      <c r="EF92" s="1420">
        <v>1978125.11</v>
      </c>
      <c r="EG92" s="1422">
        <v>0</v>
      </c>
      <c r="EH92" s="1422">
        <v>0</v>
      </c>
      <c r="EI92" s="1420">
        <v>4358.45</v>
      </c>
      <c r="EJ92" s="1422">
        <v>3000</v>
      </c>
      <c r="EK92" s="1422">
        <v>0</v>
      </c>
      <c r="EL92" s="1422">
        <v>0</v>
      </c>
      <c r="EM92" s="1420">
        <v>2002813.66</v>
      </c>
      <c r="EN92" s="1420">
        <v>1981125.11</v>
      </c>
      <c r="EO92" s="1420">
        <v>4182079.89</v>
      </c>
      <c r="EP92" s="1420">
        <v>2319928.2999999998</v>
      </c>
      <c r="EQ92" s="1420">
        <v>1386362.9</v>
      </c>
      <c r="ER92" s="1420">
        <v>1329936.07</v>
      </c>
      <c r="ES92" s="1420">
        <v>11176.18</v>
      </c>
      <c r="ET92" s="1422">
        <v>0</v>
      </c>
      <c r="EU92" s="1420">
        <v>37414452.649999999</v>
      </c>
      <c r="EV92" s="1420">
        <v>36871051.689999998</v>
      </c>
      <c r="EW92" s="1420">
        <v>4342352.8099999996</v>
      </c>
      <c r="EX92" s="1420">
        <v>3119529.8</v>
      </c>
      <c r="EY92" s="1420">
        <v>1386362.9</v>
      </c>
      <c r="EZ92" s="1420">
        <v>1329936.07</v>
      </c>
      <c r="FA92" s="1420">
        <v>31685736.940000001</v>
      </c>
      <c r="FB92" s="1420">
        <v>32421585.82</v>
      </c>
      <c r="FC92" s="1420">
        <v>1689171.63</v>
      </c>
      <c r="FD92" s="1439"/>
      <c r="FE92" s="1420">
        <v>29996565.309999999</v>
      </c>
      <c r="FF92" s="1439"/>
      <c r="FG92" s="1422">
        <v>7691</v>
      </c>
      <c r="FH92" s="1439"/>
      <c r="FI92" s="1420">
        <v>263.55</v>
      </c>
      <c r="FJ92" s="1439"/>
      <c r="FK92" s="1422">
        <v>44739</v>
      </c>
      <c r="FL92" s="1439"/>
      <c r="FM92" s="1420">
        <v>288.14999999999998</v>
      </c>
      <c r="FN92" s="1439"/>
      <c r="FO92" s="1422">
        <v>46645</v>
      </c>
      <c r="FP92" s="1439"/>
      <c r="FQ92" s="1420">
        <v>2968302.52</v>
      </c>
      <c r="FR92" s="1439"/>
      <c r="FS92" s="1420">
        <v>96175.76</v>
      </c>
      <c r="FT92" s="1439"/>
      <c r="FU92" s="1422">
        <v>0</v>
      </c>
      <c r="FV92" s="1439"/>
      <c r="FW92" s="1420">
        <v>2872126.76</v>
      </c>
      <c r="FX92" s="1439"/>
      <c r="FY92" s="1420">
        <v>10027464.5</v>
      </c>
      <c r="FZ92" s="1439"/>
      <c r="GA92" s="1422">
        <v>0</v>
      </c>
      <c r="GB92" s="1439"/>
    </row>
    <row r="93" spans="1:184" ht="12.75" customHeight="1" thickBot="1">
      <c r="A93" s="1418" t="s">
        <v>410</v>
      </c>
      <c r="B93" s="1418" t="s">
        <v>411</v>
      </c>
      <c r="C93" s="1420">
        <v>122.13</v>
      </c>
      <c r="D93" s="1439"/>
      <c r="E93" s="1420">
        <v>679.88</v>
      </c>
      <c r="F93" s="1439"/>
      <c r="G93" s="1421">
        <v>-0.05</v>
      </c>
      <c r="H93" s="1439"/>
      <c r="I93" s="1420">
        <v>724.84</v>
      </c>
      <c r="J93" s="1439"/>
      <c r="K93" s="1420">
        <v>723.96</v>
      </c>
      <c r="L93" s="1439"/>
      <c r="M93" s="1422">
        <v>41628385</v>
      </c>
      <c r="N93" s="1439"/>
      <c r="O93" s="1422">
        <v>25</v>
      </c>
      <c r="P93" s="1439"/>
      <c r="Q93" s="1422">
        <v>25</v>
      </c>
      <c r="R93" s="1439"/>
      <c r="S93" s="1422">
        <v>0</v>
      </c>
      <c r="T93" s="1439"/>
      <c r="U93" s="1422">
        <v>0</v>
      </c>
      <c r="V93" s="1439"/>
      <c r="W93" s="1420">
        <v>4.0999999999999996</v>
      </c>
      <c r="X93" s="1439"/>
      <c r="Y93" s="1420">
        <v>29.1</v>
      </c>
      <c r="Z93" s="1439"/>
      <c r="AA93" s="1420">
        <v>1438070.2</v>
      </c>
      <c r="AB93" s="1439"/>
      <c r="AC93" s="1420">
        <v>1200822.8999999999</v>
      </c>
      <c r="AD93" s="1420">
        <v>1094895.43</v>
      </c>
      <c r="AE93" s="1420">
        <v>513370.89</v>
      </c>
      <c r="AF93" s="1422">
        <v>208600</v>
      </c>
      <c r="AG93" s="1420">
        <v>101.28</v>
      </c>
      <c r="AH93" s="1422">
        <v>0</v>
      </c>
      <c r="AI93" s="1422">
        <v>3302255</v>
      </c>
      <c r="AJ93" s="1422">
        <v>3423886</v>
      </c>
      <c r="AK93" s="1422">
        <v>22816</v>
      </c>
      <c r="AL93" s="1422">
        <v>0</v>
      </c>
      <c r="AM93" s="1422">
        <v>13657</v>
      </c>
      <c r="AN93" s="1422">
        <v>0</v>
      </c>
      <c r="AO93" s="1422">
        <v>0</v>
      </c>
      <c r="AP93" s="1422">
        <v>0</v>
      </c>
      <c r="AQ93" s="1422">
        <v>0</v>
      </c>
      <c r="AR93" s="1422">
        <v>0</v>
      </c>
      <c r="AS93" s="1422">
        <v>0</v>
      </c>
      <c r="AT93" s="1422">
        <v>0</v>
      </c>
      <c r="AU93" s="1422">
        <v>3899</v>
      </c>
      <c r="AV93" s="1422">
        <v>3119</v>
      </c>
      <c r="AW93" s="1422">
        <v>0</v>
      </c>
      <c r="AX93" s="1422">
        <v>0</v>
      </c>
      <c r="AY93" s="1420">
        <v>5056922.07</v>
      </c>
      <c r="AZ93" s="1420">
        <v>4730500.43</v>
      </c>
      <c r="BA93" s="1422">
        <v>0</v>
      </c>
      <c r="BB93" s="1422">
        <v>0</v>
      </c>
      <c r="BC93" s="1422">
        <v>29943</v>
      </c>
      <c r="BD93" s="1422">
        <v>30734</v>
      </c>
      <c r="BE93" s="1422">
        <v>4000</v>
      </c>
      <c r="BF93" s="1422">
        <v>5200</v>
      </c>
      <c r="BG93" s="1422">
        <v>300</v>
      </c>
      <c r="BH93" s="1422">
        <v>300</v>
      </c>
      <c r="BI93" s="1422">
        <v>15521</v>
      </c>
      <c r="BJ93" s="1422">
        <v>27813</v>
      </c>
      <c r="BK93" s="1422">
        <v>0</v>
      </c>
      <c r="BL93" s="1422">
        <v>0</v>
      </c>
      <c r="BM93" s="1422">
        <v>233120</v>
      </c>
      <c r="BN93" s="1422">
        <v>230736</v>
      </c>
      <c r="BO93" s="1420">
        <v>2965.82</v>
      </c>
      <c r="BP93" s="1422">
        <v>0</v>
      </c>
      <c r="BQ93" s="1422">
        <v>0</v>
      </c>
      <c r="BR93" s="1422">
        <v>0</v>
      </c>
      <c r="BS93" s="1420">
        <v>3159.75</v>
      </c>
      <c r="BT93" s="1422">
        <v>3100</v>
      </c>
      <c r="BU93" s="1422">
        <v>0</v>
      </c>
      <c r="BV93" s="1422">
        <v>0</v>
      </c>
      <c r="BW93" s="1422">
        <v>139580</v>
      </c>
      <c r="BX93" s="1422">
        <v>139580</v>
      </c>
      <c r="BY93" s="1422">
        <v>0</v>
      </c>
      <c r="BZ93" s="1422">
        <v>0</v>
      </c>
      <c r="CA93" s="1420">
        <v>16301.18</v>
      </c>
      <c r="CB93" s="1422">
        <v>10442</v>
      </c>
      <c r="CC93" s="1420">
        <v>444890.75</v>
      </c>
      <c r="CD93" s="1422">
        <v>447905</v>
      </c>
      <c r="CE93" s="1420">
        <v>1995836.06</v>
      </c>
      <c r="CF93" s="1420">
        <v>1002738.94</v>
      </c>
      <c r="CG93" s="1422">
        <v>0</v>
      </c>
      <c r="CH93" s="1422">
        <v>0</v>
      </c>
      <c r="CI93" s="1422">
        <v>0</v>
      </c>
      <c r="CJ93" s="1422">
        <v>0</v>
      </c>
      <c r="CK93" s="1422">
        <v>0</v>
      </c>
      <c r="CL93" s="1422">
        <v>0</v>
      </c>
      <c r="CM93" s="1420">
        <v>1787.8</v>
      </c>
      <c r="CN93" s="1422">
        <v>0</v>
      </c>
      <c r="CO93" s="1422">
        <v>0</v>
      </c>
      <c r="CP93" s="1422">
        <v>0</v>
      </c>
      <c r="CQ93" s="1422">
        <v>0</v>
      </c>
      <c r="CR93" s="1422">
        <v>0</v>
      </c>
      <c r="CS93" s="1420">
        <v>1787.8</v>
      </c>
      <c r="CT93" s="1422">
        <v>0</v>
      </c>
      <c r="CU93" s="1420">
        <v>7499436.6799999997</v>
      </c>
      <c r="CV93" s="1420">
        <v>6181144.3700000001</v>
      </c>
      <c r="CW93" s="1420">
        <v>2720292.77</v>
      </c>
      <c r="CX93" s="1420">
        <v>2347325.52</v>
      </c>
      <c r="CY93" s="1420">
        <v>354801.95</v>
      </c>
      <c r="CZ93" s="1420">
        <v>356216.84</v>
      </c>
      <c r="DA93" s="1420">
        <v>185974.55</v>
      </c>
      <c r="DB93" s="1420">
        <v>203892.46</v>
      </c>
      <c r="DC93" s="1422">
        <v>0</v>
      </c>
      <c r="DD93" s="1422">
        <v>0</v>
      </c>
      <c r="DE93" s="1420">
        <v>78091.850000000006</v>
      </c>
      <c r="DF93" s="1420">
        <v>76713.929999999993</v>
      </c>
      <c r="DG93" s="1420">
        <v>311230.38</v>
      </c>
      <c r="DH93" s="1420">
        <v>328012.92</v>
      </c>
      <c r="DI93" s="1420">
        <v>3650391.5</v>
      </c>
      <c r="DJ93" s="1420">
        <v>3312161.67</v>
      </c>
      <c r="DK93" s="1420">
        <v>216788.73</v>
      </c>
      <c r="DL93" s="1420">
        <v>224717.3</v>
      </c>
      <c r="DM93" s="1420">
        <v>93194.66</v>
      </c>
      <c r="DN93" s="1420">
        <v>96651.45</v>
      </c>
      <c r="DO93" s="1420">
        <v>563455.27</v>
      </c>
      <c r="DP93" s="1420">
        <v>573576.94999999995</v>
      </c>
      <c r="DQ93" s="1420">
        <v>323338.06</v>
      </c>
      <c r="DR93" s="1420">
        <v>324973.78000000003</v>
      </c>
      <c r="DS93" s="1420">
        <v>19688.650000000001</v>
      </c>
      <c r="DT93" s="1420">
        <v>7506.03</v>
      </c>
      <c r="DU93" s="1420">
        <v>1216465.3700000001</v>
      </c>
      <c r="DV93" s="1420">
        <v>1227425.51</v>
      </c>
      <c r="DW93" s="1420">
        <v>305853.44</v>
      </c>
      <c r="DX93" s="1420">
        <v>320442.33</v>
      </c>
      <c r="DY93" s="1420">
        <v>1035265.56</v>
      </c>
      <c r="DZ93" s="1420">
        <v>552001.56999999995</v>
      </c>
      <c r="EA93" s="1420">
        <v>224436.82</v>
      </c>
      <c r="EB93" s="1420">
        <v>215083.77</v>
      </c>
      <c r="EC93" s="1420">
        <v>1565555.82</v>
      </c>
      <c r="ED93" s="1420">
        <v>1087527.67</v>
      </c>
      <c r="EE93" s="1420">
        <v>524632.77</v>
      </c>
      <c r="EF93" s="1420">
        <v>401357.21</v>
      </c>
      <c r="EG93" s="1422">
        <v>0</v>
      </c>
      <c r="EH93" s="1422">
        <v>0</v>
      </c>
      <c r="EI93" s="1420">
        <v>79735.210000000006</v>
      </c>
      <c r="EJ93" s="1420">
        <v>83473.95</v>
      </c>
      <c r="EK93" s="1422">
        <v>0</v>
      </c>
      <c r="EL93" s="1422">
        <v>0</v>
      </c>
      <c r="EM93" s="1420">
        <v>604367.98</v>
      </c>
      <c r="EN93" s="1420">
        <v>484831.16</v>
      </c>
      <c r="EO93" s="1420">
        <v>269133.68</v>
      </c>
      <c r="EP93" s="1420">
        <v>97586.17</v>
      </c>
      <c r="EQ93" s="1420">
        <v>94992.26</v>
      </c>
      <c r="ER93" s="1422">
        <v>93744</v>
      </c>
      <c r="ES93" s="1420">
        <v>55904.36</v>
      </c>
      <c r="ET93" s="1422">
        <v>0</v>
      </c>
      <c r="EU93" s="1420">
        <v>7456810.9699999997</v>
      </c>
      <c r="EV93" s="1420">
        <v>6303276.1799999997</v>
      </c>
      <c r="EW93" s="1420">
        <v>590556.31000000006</v>
      </c>
      <c r="EX93" s="1420">
        <v>133585.94</v>
      </c>
      <c r="EY93" s="1420">
        <v>94992.26</v>
      </c>
      <c r="EZ93" s="1422">
        <v>93744</v>
      </c>
      <c r="FA93" s="1420">
        <v>6771262.4000000004</v>
      </c>
      <c r="FB93" s="1420">
        <v>6075946.2400000002</v>
      </c>
      <c r="FC93" s="1420">
        <v>776574.42</v>
      </c>
      <c r="FD93" s="1439"/>
      <c r="FE93" s="1420">
        <v>5994687.9800000004</v>
      </c>
      <c r="FF93" s="1439"/>
      <c r="FG93" s="1422">
        <v>8817</v>
      </c>
      <c r="FH93" s="1439"/>
      <c r="FI93" s="1420">
        <v>53.45</v>
      </c>
      <c r="FJ93" s="1439"/>
      <c r="FK93" s="1422">
        <v>42478</v>
      </c>
      <c r="FL93" s="1439"/>
      <c r="FM93" s="1420">
        <v>57.61</v>
      </c>
      <c r="FN93" s="1439"/>
      <c r="FO93" s="1422">
        <v>44436</v>
      </c>
      <c r="FP93" s="1439"/>
      <c r="FQ93" s="1420">
        <v>2178509.7799999998</v>
      </c>
      <c r="FR93" s="1439"/>
      <c r="FS93" s="1420">
        <v>29840.49</v>
      </c>
      <c r="FT93" s="1439"/>
      <c r="FU93" s="1422">
        <v>0</v>
      </c>
      <c r="FV93" s="1439"/>
      <c r="FW93" s="1420">
        <v>2148669.29</v>
      </c>
      <c r="FX93" s="1439"/>
      <c r="FY93" s="1422">
        <v>0</v>
      </c>
      <c r="FZ93" s="1439"/>
      <c r="GA93" s="1422">
        <v>0</v>
      </c>
      <c r="GB93" s="1439"/>
    </row>
    <row r="94" spans="1:184" ht="12.75" customHeight="1" thickBot="1">
      <c r="A94" s="1418" t="s">
        <v>412</v>
      </c>
      <c r="B94" s="1418" t="s">
        <v>413</v>
      </c>
      <c r="C94" s="1420">
        <v>346.14</v>
      </c>
      <c r="D94" s="1439"/>
      <c r="E94" s="1420">
        <v>3228.72</v>
      </c>
      <c r="F94" s="1439"/>
      <c r="G94" s="1421">
        <v>0</v>
      </c>
      <c r="H94" s="1439"/>
      <c r="I94" s="1420">
        <v>3415.69</v>
      </c>
      <c r="J94" s="1439"/>
      <c r="K94" s="1420">
        <v>3343.93</v>
      </c>
      <c r="L94" s="1439"/>
      <c r="M94" s="1422">
        <v>234706623</v>
      </c>
      <c r="N94" s="1439"/>
      <c r="O94" s="1422">
        <v>25</v>
      </c>
      <c r="P94" s="1439"/>
      <c r="Q94" s="1422">
        <v>25</v>
      </c>
      <c r="R94" s="1439"/>
      <c r="S94" s="1422">
        <v>0</v>
      </c>
      <c r="T94" s="1439"/>
      <c r="U94" s="1422">
        <v>0</v>
      </c>
      <c r="V94" s="1439"/>
      <c r="W94" s="1420">
        <v>12.49</v>
      </c>
      <c r="X94" s="1439"/>
      <c r="Y94" s="1420">
        <v>37.49</v>
      </c>
      <c r="Z94" s="1439"/>
      <c r="AA94" s="1422">
        <v>34091600</v>
      </c>
      <c r="AB94" s="1439"/>
      <c r="AC94" s="1420">
        <v>7763870.2000000002</v>
      </c>
      <c r="AD94" s="1420">
        <v>8697111.8900000006</v>
      </c>
      <c r="AE94" s="1420">
        <v>1651839.32</v>
      </c>
      <c r="AF94" s="1420">
        <v>1064946.1100000001</v>
      </c>
      <c r="AG94" s="1420">
        <v>473.17</v>
      </c>
      <c r="AH94" s="1422">
        <v>0</v>
      </c>
      <c r="AI94" s="1422">
        <v>14863154</v>
      </c>
      <c r="AJ94" s="1422">
        <v>15255490</v>
      </c>
      <c r="AK94" s="1422">
        <v>196213</v>
      </c>
      <c r="AL94" s="1422">
        <v>152800</v>
      </c>
      <c r="AM94" s="1422">
        <v>562217</v>
      </c>
      <c r="AN94" s="1422">
        <v>0</v>
      </c>
      <c r="AO94" s="1422">
        <v>0</v>
      </c>
      <c r="AP94" s="1422">
        <v>0</v>
      </c>
      <c r="AQ94" s="1422">
        <v>0</v>
      </c>
      <c r="AR94" s="1422">
        <v>0</v>
      </c>
      <c r="AS94" s="1422">
        <v>0</v>
      </c>
      <c r="AT94" s="1422">
        <v>0</v>
      </c>
      <c r="AU94" s="1422">
        <v>15945</v>
      </c>
      <c r="AV94" s="1422">
        <v>12756</v>
      </c>
      <c r="AW94" s="1422">
        <v>40908</v>
      </c>
      <c r="AX94" s="1422">
        <v>0</v>
      </c>
      <c r="AY94" s="1420">
        <v>25094619.690000001</v>
      </c>
      <c r="AZ94" s="1422">
        <v>25183104</v>
      </c>
      <c r="BA94" s="1422">
        <v>0</v>
      </c>
      <c r="BB94" s="1422">
        <v>0</v>
      </c>
      <c r="BC94" s="1422">
        <v>138305</v>
      </c>
      <c r="BD94" s="1422">
        <v>144895</v>
      </c>
      <c r="BE94" s="1420">
        <v>12571.59</v>
      </c>
      <c r="BF94" s="1422">
        <v>13900</v>
      </c>
      <c r="BG94" s="1422">
        <v>6300</v>
      </c>
      <c r="BH94" s="1422">
        <v>2500</v>
      </c>
      <c r="BI94" s="1422">
        <v>99340</v>
      </c>
      <c r="BJ94" s="1422">
        <v>110340</v>
      </c>
      <c r="BK94" s="1422">
        <v>11427</v>
      </c>
      <c r="BL94" s="1422">
        <v>0</v>
      </c>
      <c r="BM94" s="1422">
        <v>857088</v>
      </c>
      <c r="BN94" s="1422">
        <v>913330</v>
      </c>
      <c r="BO94" s="1420">
        <v>246763.63</v>
      </c>
      <c r="BP94" s="1422">
        <v>184036</v>
      </c>
      <c r="BQ94" s="1422">
        <v>30875</v>
      </c>
      <c r="BR94" s="1420">
        <v>39812.5</v>
      </c>
      <c r="BS94" s="1420">
        <v>12280.14</v>
      </c>
      <c r="BT94" s="1422">
        <v>12000</v>
      </c>
      <c r="BU94" s="1422">
        <v>0</v>
      </c>
      <c r="BV94" s="1422">
        <v>0</v>
      </c>
      <c r="BW94" s="1422">
        <v>680400</v>
      </c>
      <c r="BX94" s="1422">
        <v>680400</v>
      </c>
      <c r="BY94" s="1422">
        <v>0</v>
      </c>
      <c r="BZ94" s="1422">
        <v>0</v>
      </c>
      <c r="CA94" s="1420">
        <v>6102753.7699999996</v>
      </c>
      <c r="CB94" s="1420">
        <v>3220343.38</v>
      </c>
      <c r="CC94" s="1420">
        <v>8198104.1299999999</v>
      </c>
      <c r="CD94" s="1420">
        <v>5321556.88</v>
      </c>
      <c r="CE94" s="1420">
        <v>4611202.5999999996</v>
      </c>
      <c r="CF94" s="1420">
        <v>4228630.76</v>
      </c>
      <c r="CG94" s="1420">
        <v>5273986.93</v>
      </c>
      <c r="CH94" s="1420">
        <v>96.26</v>
      </c>
      <c r="CI94" s="1422">
        <v>0</v>
      </c>
      <c r="CJ94" s="1422">
        <v>0</v>
      </c>
      <c r="CK94" s="1422">
        <v>0</v>
      </c>
      <c r="CL94" s="1422">
        <v>0</v>
      </c>
      <c r="CM94" s="1420">
        <v>128080.25</v>
      </c>
      <c r="CN94" s="1422">
        <v>0</v>
      </c>
      <c r="CO94" s="1420">
        <v>254537.27</v>
      </c>
      <c r="CP94" s="1422">
        <v>146816</v>
      </c>
      <c r="CQ94" s="1422">
        <v>0</v>
      </c>
      <c r="CR94" s="1422">
        <v>0</v>
      </c>
      <c r="CS94" s="1420">
        <v>5656604.4500000002</v>
      </c>
      <c r="CT94" s="1420">
        <v>146912.26</v>
      </c>
      <c r="CU94" s="1420">
        <v>43560530.869999997</v>
      </c>
      <c r="CV94" s="1420">
        <v>34880203.899999999</v>
      </c>
      <c r="CW94" s="1420">
        <v>11694885.439999999</v>
      </c>
      <c r="CX94" s="1420">
        <v>12713916.48</v>
      </c>
      <c r="CY94" s="1420">
        <v>2640711.0699999998</v>
      </c>
      <c r="CZ94" s="1420">
        <v>2667602.5299999998</v>
      </c>
      <c r="DA94" s="1420">
        <v>686976.89</v>
      </c>
      <c r="DB94" s="1420">
        <v>757725.1</v>
      </c>
      <c r="DC94" s="1422">
        <v>0</v>
      </c>
      <c r="DD94" s="1422">
        <v>0</v>
      </c>
      <c r="DE94" s="1420">
        <v>572152.30000000005</v>
      </c>
      <c r="DF94" s="1420">
        <v>644192.84</v>
      </c>
      <c r="DG94" s="1420">
        <v>896554.07</v>
      </c>
      <c r="DH94" s="1420">
        <v>987185.98</v>
      </c>
      <c r="DI94" s="1420">
        <v>16491279.77</v>
      </c>
      <c r="DJ94" s="1420">
        <v>17770622.93</v>
      </c>
      <c r="DK94" s="1420">
        <v>601472.19999999995</v>
      </c>
      <c r="DL94" s="1420">
        <v>669268.42000000004</v>
      </c>
      <c r="DM94" s="1420">
        <v>1082698.5</v>
      </c>
      <c r="DN94" s="1420">
        <v>940123.99</v>
      </c>
      <c r="DO94" s="1420">
        <v>3147224.86</v>
      </c>
      <c r="DP94" s="1420">
        <v>2922988.2</v>
      </c>
      <c r="DQ94" s="1420">
        <v>1466236.22</v>
      </c>
      <c r="DR94" s="1420">
        <v>1679694.29</v>
      </c>
      <c r="DS94" s="1420">
        <v>100548.31</v>
      </c>
      <c r="DT94" s="1420">
        <v>106284.87</v>
      </c>
      <c r="DU94" s="1420">
        <v>6398180.0899999999</v>
      </c>
      <c r="DV94" s="1420">
        <v>6318359.7699999996</v>
      </c>
      <c r="DW94" s="1420">
        <v>1591349.75</v>
      </c>
      <c r="DX94" s="1420">
        <v>1662638.56</v>
      </c>
      <c r="DY94" s="1420">
        <v>1593245.1</v>
      </c>
      <c r="DZ94" s="1420">
        <v>1910859.97</v>
      </c>
      <c r="EA94" s="1420">
        <v>1574863.04</v>
      </c>
      <c r="EB94" s="1420">
        <v>1574461.77</v>
      </c>
      <c r="EC94" s="1420">
        <v>4759457.8899999997</v>
      </c>
      <c r="ED94" s="1420">
        <v>5147960.3</v>
      </c>
      <c r="EE94" s="1420">
        <v>1646667.96</v>
      </c>
      <c r="EF94" s="1420">
        <v>1595782.18</v>
      </c>
      <c r="EG94" s="1422">
        <v>0</v>
      </c>
      <c r="EH94" s="1420">
        <v>29792.01</v>
      </c>
      <c r="EI94" s="1420">
        <v>118246.39</v>
      </c>
      <c r="EJ94" s="1420">
        <v>154418.93</v>
      </c>
      <c r="EK94" s="1422">
        <v>0</v>
      </c>
      <c r="EL94" s="1422">
        <v>0</v>
      </c>
      <c r="EM94" s="1420">
        <v>1764914.35</v>
      </c>
      <c r="EN94" s="1420">
        <v>1779993.12</v>
      </c>
      <c r="EO94" s="1420">
        <v>17364090.210000001</v>
      </c>
      <c r="EP94" s="1420">
        <v>11909531.25</v>
      </c>
      <c r="EQ94" s="1420">
        <v>1999956.93</v>
      </c>
      <c r="ER94" s="1420">
        <v>2247279.44</v>
      </c>
      <c r="ES94" s="1420">
        <v>2151.85</v>
      </c>
      <c r="ET94" s="1422">
        <v>0</v>
      </c>
      <c r="EU94" s="1420">
        <v>48780031.090000004</v>
      </c>
      <c r="EV94" s="1420">
        <v>45173746.810000002</v>
      </c>
      <c r="EW94" s="1420">
        <v>18008634.629999999</v>
      </c>
      <c r="EX94" s="1420">
        <v>12707554.07</v>
      </c>
      <c r="EY94" s="1420">
        <v>1999956.93</v>
      </c>
      <c r="EZ94" s="1420">
        <v>2247279.44</v>
      </c>
      <c r="FA94" s="1420">
        <v>28771439.530000001</v>
      </c>
      <c r="FB94" s="1420">
        <v>30218913.300000001</v>
      </c>
      <c r="FC94" s="1420">
        <v>2338592.5499999998</v>
      </c>
      <c r="FD94" s="1439"/>
      <c r="FE94" s="1420">
        <v>26432846.98</v>
      </c>
      <c r="FF94" s="1439"/>
      <c r="FG94" s="1422">
        <v>8186</v>
      </c>
      <c r="FH94" s="1439"/>
      <c r="FI94" s="1420">
        <v>226.86</v>
      </c>
      <c r="FJ94" s="1439"/>
      <c r="FK94" s="1422">
        <v>43236</v>
      </c>
      <c r="FL94" s="1439"/>
      <c r="FM94" s="1420">
        <v>245.4</v>
      </c>
      <c r="FN94" s="1439"/>
      <c r="FO94" s="1422">
        <v>45588</v>
      </c>
      <c r="FP94" s="1439"/>
      <c r="FQ94" s="1420">
        <v>6700780.2400000002</v>
      </c>
      <c r="FR94" s="1439"/>
      <c r="FS94" s="1420">
        <v>113983.95</v>
      </c>
      <c r="FT94" s="1439"/>
      <c r="FU94" s="1422">
        <v>0</v>
      </c>
      <c r="FV94" s="1439"/>
      <c r="FW94" s="1420">
        <v>6586796.29</v>
      </c>
      <c r="FX94" s="1439"/>
      <c r="FY94" s="1420">
        <v>7367560.4000000004</v>
      </c>
      <c r="FZ94" s="1439"/>
      <c r="GA94" s="1422">
        <v>0</v>
      </c>
      <c r="GB94" s="1439"/>
    </row>
    <row r="95" spans="1:184" ht="12.75" customHeight="1" thickBot="1">
      <c r="A95" s="1418" t="s">
        <v>414</v>
      </c>
      <c r="B95" s="1418" t="s">
        <v>415</v>
      </c>
      <c r="C95" s="1420">
        <v>120.18</v>
      </c>
      <c r="D95" s="1439"/>
      <c r="E95" s="1420">
        <v>2697.55</v>
      </c>
      <c r="F95" s="1439"/>
      <c r="G95" s="1421">
        <v>0.04</v>
      </c>
      <c r="H95" s="1439"/>
      <c r="I95" s="1420">
        <v>2882.52</v>
      </c>
      <c r="J95" s="1439"/>
      <c r="K95" s="1420">
        <v>2829.49</v>
      </c>
      <c r="L95" s="1439"/>
      <c r="M95" s="1422">
        <v>213350590</v>
      </c>
      <c r="N95" s="1439"/>
      <c r="O95" s="1422">
        <v>25</v>
      </c>
      <c r="P95" s="1439"/>
      <c r="Q95" s="1422">
        <v>25</v>
      </c>
      <c r="R95" s="1439"/>
      <c r="S95" s="1422">
        <v>0</v>
      </c>
      <c r="T95" s="1439"/>
      <c r="U95" s="1422">
        <v>0</v>
      </c>
      <c r="V95" s="1439"/>
      <c r="W95" s="1420">
        <v>7.67</v>
      </c>
      <c r="X95" s="1439"/>
      <c r="Y95" s="1420">
        <v>32.67</v>
      </c>
      <c r="Z95" s="1439"/>
      <c r="AA95" s="1422">
        <v>29591500</v>
      </c>
      <c r="AB95" s="1439"/>
      <c r="AC95" s="1420">
        <v>6504849.5199999996</v>
      </c>
      <c r="AD95" s="1422">
        <v>6830761</v>
      </c>
      <c r="AE95" s="1420">
        <v>1031946.49</v>
      </c>
      <c r="AF95" s="1422">
        <v>704816</v>
      </c>
      <c r="AG95" s="1420">
        <v>400.35</v>
      </c>
      <c r="AH95" s="1422">
        <v>0</v>
      </c>
      <c r="AI95" s="1422">
        <v>12003146</v>
      </c>
      <c r="AJ95" s="1422">
        <v>12536690</v>
      </c>
      <c r="AK95" s="1422">
        <v>151143</v>
      </c>
      <c r="AL95" s="1422">
        <v>0</v>
      </c>
      <c r="AM95" s="1422">
        <v>330874</v>
      </c>
      <c r="AN95" s="1422">
        <v>0</v>
      </c>
      <c r="AO95" s="1422">
        <v>0</v>
      </c>
      <c r="AP95" s="1422">
        <v>0</v>
      </c>
      <c r="AQ95" s="1422">
        <v>0</v>
      </c>
      <c r="AR95" s="1422">
        <v>0</v>
      </c>
      <c r="AS95" s="1422">
        <v>0</v>
      </c>
      <c r="AT95" s="1422">
        <v>0</v>
      </c>
      <c r="AU95" s="1422">
        <v>0</v>
      </c>
      <c r="AV95" s="1422">
        <v>0</v>
      </c>
      <c r="AW95" s="1422">
        <v>58141</v>
      </c>
      <c r="AX95" s="1422">
        <v>0</v>
      </c>
      <c r="AY95" s="1420">
        <v>20080500.359999999</v>
      </c>
      <c r="AZ95" s="1422">
        <v>20072267</v>
      </c>
      <c r="BA95" s="1422">
        <v>0</v>
      </c>
      <c r="BB95" s="1422">
        <v>0</v>
      </c>
      <c r="BC95" s="1422">
        <v>117028</v>
      </c>
      <c r="BD95" s="1422">
        <v>122619</v>
      </c>
      <c r="BE95" s="1420">
        <v>35815.68</v>
      </c>
      <c r="BF95" s="1422">
        <v>0</v>
      </c>
      <c r="BG95" s="1422">
        <v>1450</v>
      </c>
      <c r="BH95" s="1422">
        <v>0</v>
      </c>
      <c r="BI95" s="1422">
        <v>13286</v>
      </c>
      <c r="BJ95" s="1422">
        <v>41947</v>
      </c>
      <c r="BK95" s="1422">
        <v>16408</v>
      </c>
      <c r="BL95" s="1420">
        <v>3330.74</v>
      </c>
      <c r="BM95" s="1422">
        <v>893296</v>
      </c>
      <c r="BN95" s="1422">
        <v>941160</v>
      </c>
      <c r="BO95" s="1420">
        <v>96048.4</v>
      </c>
      <c r="BP95" s="1422">
        <v>71411</v>
      </c>
      <c r="BQ95" s="1420">
        <v>70607.839999999997</v>
      </c>
      <c r="BR95" s="1422">
        <v>40625</v>
      </c>
      <c r="BS95" s="1420">
        <v>11427.49</v>
      </c>
      <c r="BT95" s="1422">
        <v>0</v>
      </c>
      <c r="BU95" s="1422">
        <v>0</v>
      </c>
      <c r="BV95" s="1422">
        <v>0</v>
      </c>
      <c r="BW95" s="1420">
        <v>679528.13</v>
      </c>
      <c r="BX95" s="1422">
        <v>660660</v>
      </c>
      <c r="BY95" s="1422">
        <v>0</v>
      </c>
      <c r="BZ95" s="1422">
        <v>0</v>
      </c>
      <c r="CA95" s="1420">
        <v>304622.40999999997</v>
      </c>
      <c r="CB95" s="1422">
        <v>299801</v>
      </c>
      <c r="CC95" s="1420">
        <v>2239517.9500000002</v>
      </c>
      <c r="CD95" s="1420">
        <v>2181553.7400000002</v>
      </c>
      <c r="CE95" s="1420">
        <v>5958189.4500000002</v>
      </c>
      <c r="CF95" s="1420">
        <v>3353625.03</v>
      </c>
      <c r="CG95" s="1420">
        <v>13931504.6</v>
      </c>
      <c r="CH95" s="1422">
        <v>220565</v>
      </c>
      <c r="CI95" s="1422">
        <v>0</v>
      </c>
      <c r="CJ95" s="1422">
        <v>0</v>
      </c>
      <c r="CK95" s="1420">
        <v>37431.86</v>
      </c>
      <c r="CL95" s="1422">
        <v>0</v>
      </c>
      <c r="CM95" s="1420">
        <v>7189.28</v>
      </c>
      <c r="CN95" s="1422">
        <v>0</v>
      </c>
      <c r="CO95" s="1422">
        <v>0</v>
      </c>
      <c r="CP95" s="1422">
        <v>0</v>
      </c>
      <c r="CQ95" s="1422">
        <v>0</v>
      </c>
      <c r="CR95" s="1422">
        <v>0</v>
      </c>
      <c r="CS95" s="1420">
        <v>13976125.74</v>
      </c>
      <c r="CT95" s="1422">
        <v>220565</v>
      </c>
      <c r="CU95" s="1420">
        <v>42254333.5</v>
      </c>
      <c r="CV95" s="1420">
        <v>25828010.77</v>
      </c>
      <c r="CW95" s="1420">
        <v>10828957.039999999</v>
      </c>
      <c r="CX95" s="1420">
        <v>9723444.1899999995</v>
      </c>
      <c r="CY95" s="1420">
        <v>1997887.12</v>
      </c>
      <c r="CZ95" s="1420">
        <v>1986840.73</v>
      </c>
      <c r="DA95" s="1420">
        <v>562443.73</v>
      </c>
      <c r="DB95" s="1420">
        <v>476506.91</v>
      </c>
      <c r="DC95" s="1422">
        <v>0</v>
      </c>
      <c r="DD95" s="1422">
        <v>0</v>
      </c>
      <c r="DE95" s="1420">
        <v>698141.95</v>
      </c>
      <c r="DF95" s="1420">
        <v>684831.76</v>
      </c>
      <c r="DG95" s="1420">
        <v>1056924.93</v>
      </c>
      <c r="DH95" s="1420">
        <v>1005691.66</v>
      </c>
      <c r="DI95" s="1420">
        <v>15144354.77</v>
      </c>
      <c r="DJ95" s="1420">
        <v>13877315.25</v>
      </c>
      <c r="DK95" s="1420">
        <v>595143.18999999994</v>
      </c>
      <c r="DL95" s="1420">
        <v>616150.52</v>
      </c>
      <c r="DM95" s="1420">
        <v>324327.23</v>
      </c>
      <c r="DN95" s="1420">
        <v>235274.17</v>
      </c>
      <c r="DO95" s="1420">
        <v>2321980.85</v>
      </c>
      <c r="DP95" s="1420">
        <v>2147200.9</v>
      </c>
      <c r="DQ95" s="1420">
        <v>921389.75</v>
      </c>
      <c r="DR95" s="1420">
        <v>648445.09</v>
      </c>
      <c r="DS95" s="1420">
        <v>104553.17</v>
      </c>
      <c r="DT95" s="1420">
        <v>11069.09</v>
      </c>
      <c r="DU95" s="1420">
        <v>4267394.1900000004</v>
      </c>
      <c r="DV95" s="1420">
        <v>3658139.77</v>
      </c>
      <c r="DW95" s="1420">
        <v>1228125.1100000001</v>
      </c>
      <c r="DX95" s="1420">
        <v>1401696.85</v>
      </c>
      <c r="DY95" s="1420">
        <v>2125434.7999999998</v>
      </c>
      <c r="DZ95" s="1420">
        <v>2766559.75</v>
      </c>
      <c r="EA95" s="1420">
        <v>1316968.96</v>
      </c>
      <c r="EB95" s="1420">
        <v>1252684.4099999999</v>
      </c>
      <c r="EC95" s="1420">
        <v>4670528.87</v>
      </c>
      <c r="ED95" s="1420">
        <v>5420941.0099999998</v>
      </c>
      <c r="EE95" s="1420">
        <v>1367760.31</v>
      </c>
      <c r="EF95" s="1420">
        <v>1254370.77</v>
      </c>
      <c r="EG95" s="1420">
        <v>73614.2</v>
      </c>
      <c r="EH95" s="1422">
        <v>0</v>
      </c>
      <c r="EI95" s="1420">
        <v>66913.47</v>
      </c>
      <c r="EJ95" s="1420">
        <v>46229.279999999999</v>
      </c>
      <c r="EK95" s="1422">
        <v>0</v>
      </c>
      <c r="EL95" s="1422">
        <v>0</v>
      </c>
      <c r="EM95" s="1420">
        <v>1508287.98</v>
      </c>
      <c r="EN95" s="1420">
        <v>1300600.05</v>
      </c>
      <c r="EO95" s="1420">
        <v>2079164.92</v>
      </c>
      <c r="EP95" s="1422">
        <v>6900300</v>
      </c>
      <c r="EQ95" s="1420">
        <v>1248574.02</v>
      </c>
      <c r="ER95" s="1420">
        <v>1386105.56</v>
      </c>
      <c r="ES95" s="1420">
        <v>96428.96</v>
      </c>
      <c r="ET95" s="1422">
        <v>0</v>
      </c>
      <c r="EU95" s="1420">
        <v>29014733.710000001</v>
      </c>
      <c r="EV95" s="1420">
        <v>32543401.640000001</v>
      </c>
      <c r="EW95" s="1420">
        <v>2614429.04</v>
      </c>
      <c r="EX95" s="1420">
        <v>7457997.0599999996</v>
      </c>
      <c r="EY95" s="1420">
        <v>1248574.02</v>
      </c>
      <c r="EZ95" s="1420">
        <v>1386105.56</v>
      </c>
      <c r="FA95" s="1420">
        <v>25151730.649999999</v>
      </c>
      <c r="FB95" s="1420">
        <v>23699299.02</v>
      </c>
      <c r="FC95" s="1420">
        <v>2295297.46</v>
      </c>
      <c r="FD95" s="1439"/>
      <c r="FE95" s="1420">
        <v>22856433.190000001</v>
      </c>
      <c r="FF95" s="1439"/>
      <c r="FG95" s="1422">
        <v>8473</v>
      </c>
      <c r="FH95" s="1439"/>
      <c r="FI95" s="1420">
        <v>198.7</v>
      </c>
      <c r="FJ95" s="1439"/>
      <c r="FK95" s="1422">
        <v>43188</v>
      </c>
      <c r="FL95" s="1439"/>
      <c r="FM95" s="1420">
        <v>218.07</v>
      </c>
      <c r="FN95" s="1439"/>
      <c r="FO95" s="1422">
        <v>46159</v>
      </c>
      <c r="FP95" s="1439"/>
      <c r="FQ95" s="1420">
        <v>1702147.54</v>
      </c>
      <c r="FR95" s="1439"/>
      <c r="FS95" s="1420">
        <v>742114.36</v>
      </c>
      <c r="FT95" s="1439"/>
      <c r="FU95" s="1422">
        <v>0</v>
      </c>
      <c r="FV95" s="1439"/>
      <c r="FW95" s="1420">
        <v>960033.18</v>
      </c>
      <c r="FX95" s="1439"/>
      <c r="FY95" s="1420">
        <v>13446992.109999999</v>
      </c>
      <c r="FZ95" s="1439"/>
      <c r="GA95" s="1422">
        <v>0</v>
      </c>
      <c r="GB95" s="1439"/>
    </row>
    <row r="96" spans="1:184" ht="12.75" customHeight="1" thickBot="1">
      <c r="A96" s="1418" t="s">
        <v>416</v>
      </c>
      <c r="B96" s="1418" t="s">
        <v>417</v>
      </c>
      <c r="C96" s="1420">
        <v>232.27</v>
      </c>
      <c r="D96" s="1439"/>
      <c r="E96" s="1420">
        <v>515.61</v>
      </c>
      <c r="F96" s="1439"/>
      <c r="G96" s="1421">
        <v>-0.26</v>
      </c>
      <c r="H96" s="1439"/>
      <c r="I96" s="1420">
        <v>552.66999999999996</v>
      </c>
      <c r="J96" s="1439"/>
      <c r="K96" s="1420">
        <v>623.29999999999995</v>
      </c>
      <c r="L96" s="1439"/>
      <c r="M96" s="1422">
        <v>28632375</v>
      </c>
      <c r="N96" s="1439"/>
      <c r="O96" s="1422">
        <v>25</v>
      </c>
      <c r="P96" s="1439"/>
      <c r="Q96" s="1422">
        <v>25</v>
      </c>
      <c r="R96" s="1439"/>
      <c r="S96" s="1422">
        <v>0</v>
      </c>
      <c r="T96" s="1439"/>
      <c r="U96" s="1422">
        <v>0</v>
      </c>
      <c r="V96" s="1439"/>
      <c r="W96" s="1420">
        <v>6.3</v>
      </c>
      <c r="X96" s="1439"/>
      <c r="Y96" s="1420">
        <v>31.3</v>
      </c>
      <c r="Z96" s="1439"/>
      <c r="AA96" s="1420">
        <v>1183807.42</v>
      </c>
      <c r="AB96" s="1439"/>
      <c r="AC96" s="1420">
        <v>841897.83</v>
      </c>
      <c r="AD96" s="1422">
        <v>828000</v>
      </c>
      <c r="AE96" s="1420">
        <v>284998.53000000003</v>
      </c>
      <c r="AF96" s="1422">
        <v>100125</v>
      </c>
      <c r="AG96" s="1422">
        <v>0</v>
      </c>
      <c r="AH96" s="1422">
        <v>0</v>
      </c>
      <c r="AI96" s="1422">
        <v>3072955</v>
      </c>
      <c r="AJ96" s="1422">
        <v>2713035</v>
      </c>
      <c r="AK96" s="1422">
        <v>11943</v>
      </c>
      <c r="AL96" s="1422">
        <v>0</v>
      </c>
      <c r="AM96" s="1422">
        <v>0</v>
      </c>
      <c r="AN96" s="1422">
        <v>0</v>
      </c>
      <c r="AO96" s="1422">
        <v>53273</v>
      </c>
      <c r="AP96" s="1422">
        <v>207514</v>
      </c>
      <c r="AQ96" s="1422">
        <v>0</v>
      </c>
      <c r="AR96" s="1422">
        <v>0</v>
      </c>
      <c r="AS96" s="1422">
        <v>64320</v>
      </c>
      <c r="AT96" s="1422">
        <v>0</v>
      </c>
      <c r="AU96" s="1422">
        <v>4181</v>
      </c>
      <c r="AV96" s="1422">
        <v>3345</v>
      </c>
      <c r="AW96" s="1422">
        <v>0</v>
      </c>
      <c r="AX96" s="1422">
        <v>0</v>
      </c>
      <c r="AY96" s="1420">
        <v>4333568.3600000003</v>
      </c>
      <c r="AZ96" s="1422">
        <v>3852019</v>
      </c>
      <c r="BA96" s="1422">
        <v>0</v>
      </c>
      <c r="BB96" s="1422">
        <v>0</v>
      </c>
      <c r="BC96" s="1422">
        <v>25780</v>
      </c>
      <c r="BD96" s="1422">
        <v>23553</v>
      </c>
      <c r="BE96" s="1420">
        <v>116102.66</v>
      </c>
      <c r="BF96" s="1422">
        <v>0</v>
      </c>
      <c r="BG96" s="1422">
        <v>0</v>
      </c>
      <c r="BH96" s="1422">
        <v>0</v>
      </c>
      <c r="BI96" s="1422">
        <v>0</v>
      </c>
      <c r="BJ96" s="1422">
        <v>0</v>
      </c>
      <c r="BK96" s="1422">
        <v>16701</v>
      </c>
      <c r="BL96" s="1420">
        <v>11287.21</v>
      </c>
      <c r="BM96" s="1422">
        <v>506912</v>
      </c>
      <c r="BN96" s="1422">
        <v>476652</v>
      </c>
      <c r="BO96" s="1420">
        <v>18398.580000000002</v>
      </c>
      <c r="BP96" s="1422">
        <v>0</v>
      </c>
      <c r="BQ96" s="1422">
        <v>0</v>
      </c>
      <c r="BR96" s="1422">
        <v>0</v>
      </c>
      <c r="BS96" s="1420">
        <v>2161.58</v>
      </c>
      <c r="BT96" s="1422">
        <v>1500</v>
      </c>
      <c r="BU96" s="1422">
        <v>0</v>
      </c>
      <c r="BV96" s="1422">
        <v>0</v>
      </c>
      <c r="BW96" s="1422">
        <v>70178</v>
      </c>
      <c r="BX96" s="1422">
        <v>72900</v>
      </c>
      <c r="BY96" s="1422">
        <v>0</v>
      </c>
      <c r="BZ96" s="1422">
        <v>0</v>
      </c>
      <c r="CA96" s="1420">
        <v>49001.05</v>
      </c>
      <c r="CB96" s="1422">
        <v>29660</v>
      </c>
      <c r="CC96" s="1420">
        <v>805234.87</v>
      </c>
      <c r="CD96" s="1420">
        <v>615552.21</v>
      </c>
      <c r="CE96" s="1420">
        <v>913615.55</v>
      </c>
      <c r="CF96" s="1422">
        <v>764186</v>
      </c>
      <c r="CG96" s="1422">
        <v>0</v>
      </c>
      <c r="CH96" s="1422">
        <v>0</v>
      </c>
      <c r="CI96" s="1422">
        <v>0</v>
      </c>
      <c r="CJ96" s="1422">
        <v>0</v>
      </c>
      <c r="CK96" s="1422">
        <v>0</v>
      </c>
      <c r="CL96" s="1422">
        <v>0</v>
      </c>
      <c r="CM96" s="1422">
        <v>0</v>
      </c>
      <c r="CN96" s="1422">
        <v>0</v>
      </c>
      <c r="CO96" s="1422">
        <v>0</v>
      </c>
      <c r="CP96" s="1422">
        <v>0</v>
      </c>
      <c r="CQ96" s="1422">
        <v>0</v>
      </c>
      <c r="CR96" s="1422">
        <v>0</v>
      </c>
      <c r="CS96" s="1422">
        <v>0</v>
      </c>
      <c r="CT96" s="1422">
        <v>0</v>
      </c>
      <c r="CU96" s="1420">
        <v>6052418.7800000003</v>
      </c>
      <c r="CV96" s="1420">
        <v>5231757.21</v>
      </c>
      <c r="CW96" s="1420">
        <v>2088556.98</v>
      </c>
      <c r="CX96" s="1420">
        <v>1840665.56</v>
      </c>
      <c r="CY96" s="1420">
        <v>380901.49</v>
      </c>
      <c r="CZ96" s="1420">
        <v>368916.3</v>
      </c>
      <c r="DA96" s="1420">
        <v>185261.56</v>
      </c>
      <c r="DB96" s="1420">
        <v>188285.29</v>
      </c>
      <c r="DC96" s="1422">
        <v>0</v>
      </c>
      <c r="DD96" s="1422">
        <v>0</v>
      </c>
      <c r="DE96" s="1420">
        <v>253340.13</v>
      </c>
      <c r="DF96" s="1420">
        <v>151580.06</v>
      </c>
      <c r="DG96" s="1420">
        <v>96328.04</v>
      </c>
      <c r="DH96" s="1420">
        <v>72064.149999999994</v>
      </c>
      <c r="DI96" s="1420">
        <v>3004388.2</v>
      </c>
      <c r="DJ96" s="1420">
        <v>2621511.36</v>
      </c>
      <c r="DK96" s="1420">
        <v>163644.57</v>
      </c>
      <c r="DL96" s="1420">
        <v>156885.66</v>
      </c>
      <c r="DM96" s="1420">
        <v>58266.57</v>
      </c>
      <c r="DN96" s="1420">
        <v>54718.400000000001</v>
      </c>
      <c r="DO96" s="1420">
        <v>559180.41</v>
      </c>
      <c r="DP96" s="1420">
        <v>610689.02</v>
      </c>
      <c r="DQ96" s="1420">
        <v>361790.3</v>
      </c>
      <c r="DR96" s="1420">
        <v>282078.25</v>
      </c>
      <c r="DS96" s="1420">
        <v>4387.9799999999996</v>
      </c>
      <c r="DT96" s="1422">
        <v>0</v>
      </c>
      <c r="DU96" s="1420">
        <v>1147269.83</v>
      </c>
      <c r="DV96" s="1420">
        <v>1104371.33</v>
      </c>
      <c r="DW96" s="1420">
        <v>254135.11</v>
      </c>
      <c r="DX96" s="1420">
        <v>293145.23</v>
      </c>
      <c r="DY96" s="1420">
        <v>615580.4</v>
      </c>
      <c r="DZ96" s="1420">
        <v>680822.77</v>
      </c>
      <c r="EA96" s="1420">
        <v>156458.64000000001</v>
      </c>
      <c r="EB96" s="1420">
        <v>173630.02</v>
      </c>
      <c r="EC96" s="1420">
        <v>1026174.15</v>
      </c>
      <c r="ED96" s="1420">
        <v>1147598.02</v>
      </c>
      <c r="EE96" s="1420">
        <v>300446.96999999997</v>
      </c>
      <c r="EF96" s="1420">
        <v>267927.23</v>
      </c>
      <c r="EG96" s="1422">
        <v>0</v>
      </c>
      <c r="EH96" s="1422">
        <v>0</v>
      </c>
      <c r="EI96" s="1422">
        <v>250</v>
      </c>
      <c r="EJ96" s="1422">
        <v>500</v>
      </c>
      <c r="EK96" s="1422">
        <v>0</v>
      </c>
      <c r="EL96" s="1422">
        <v>0</v>
      </c>
      <c r="EM96" s="1420">
        <v>300696.96999999997</v>
      </c>
      <c r="EN96" s="1420">
        <v>268427.23</v>
      </c>
      <c r="EO96" s="1420">
        <v>310079.69</v>
      </c>
      <c r="EP96" s="1422">
        <v>120000</v>
      </c>
      <c r="EQ96" s="1420">
        <v>125519.31</v>
      </c>
      <c r="ER96" s="1420">
        <v>120400.08</v>
      </c>
      <c r="ES96" s="1422">
        <v>0</v>
      </c>
      <c r="ET96" s="1422">
        <v>0</v>
      </c>
      <c r="EU96" s="1420">
        <v>5914128.1500000004</v>
      </c>
      <c r="EV96" s="1420">
        <v>5382308.0199999996</v>
      </c>
      <c r="EW96" s="1420">
        <v>416461.11</v>
      </c>
      <c r="EX96" s="1422">
        <v>120000</v>
      </c>
      <c r="EY96" s="1420">
        <v>125519.31</v>
      </c>
      <c r="EZ96" s="1420">
        <v>120400.08</v>
      </c>
      <c r="FA96" s="1420">
        <v>5372147.7300000004</v>
      </c>
      <c r="FB96" s="1420">
        <v>5141907.9400000004</v>
      </c>
      <c r="FC96" s="1420">
        <v>258321.86</v>
      </c>
      <c r="FD96" s="1439"/>
      <c r="FE96" s="1420">
        <v>5113825.87</v>
      </c>
      <c r="FF96" s="1439"/>
      <c r="FG96" s="1422">
        <v>9918</v>
      </c>
      <c r="FH96" s="1439"/>
      <c r="FI96" s="1420">
        <v>41.08</v>
      </c>
      <c r="FJ96" s="1439"/>
      <c r="FK96" s="1422">
        <v>42891</v>
      </c>
      <c r="FL96" s="1439"/>
      <c r="FM96" s="1420">
        <v>50.52</v>
      </c>
      <c r="FN96" s="1439"/>
      <c r="FO96" s="1422">
        <v>44646</v>
      </c>
      <c r="FP96" s="1439"/>
      <c r="FQ96" s="1420">
        <v>1220288.23</v>
      </c>
      <c r="FR96" s="1439"/>
      <c r="FS96" s="1420">
        <v>39802.370000000003</v>
      </c>
      <c r="FT96" s="1439"/>
      <c r="FU96" s="1422">
        <v>0</v>
      </c>
      <c r="FV96" s="1439"/>
      <c r="FW96" s="1420">
        <v>1180485.8600000001</v>
      </c>
      <c r="FX96" s="1439"/>
      <c r="FY96" s="1420">
        <v>295936.34999999998</v>
      </c>
      <c r="FZ96" s="1439"/>
      <c r="GA96" s="1422">
        <v>0</v>
      </c>
      <c r="GB96" s="1439"/>
    </row>
    <row r="97" spans="1:184" ht="12.75" customHeight="1" thickBot="1">
      <c r="A97" s="1418" t="s">
        <v>418</v>
      </c>
      <c r="B97" s="1418" t="s">
        <v>419</v>
      </c>
      <c r="C97" s="1420">
        <v>284.60000000000002</v>
      </c>
      <c r="D97" s="1439"/>
      <c r="E97" s="1420">
        <v>2465.79</v>
      </c>
      <c r="F97" s="1439"/>
      <c r="G97" s="1421">
        <v>-0.04</v>
      </c>
      <c r="H97" s="1439"/>
      <c r="I97" s="1420">
        <v>2486.4</v>
      </c>
      <c r="J97" s="1439"/>
      <c r="K97" s="1420">
        <v>2540.37</v>
      </c>
      <c r="L97" s="1439"/>
      <c r="M97" s="1422">
        <v>171840821</v>
      </c>
      <c r="N97" s="1439"/>
      <c r="O97" s="1422">
        <v>25</v>
      </c>
      <c r="P97" s="1439"/>
      <c r="Q97" s="1422">
        <v>25</v>
      </c>
      <c r="R97" s="1439"/>
      <c r="S97" s="1422">
        <v>0</v>
      </c>
      <c r="T97" s="1439"/>
      <c r="U97" s="1422">
        <v>0</v>
      </c>
      <c r="V97" s="1439"/>
      <c r="W97" s="1420">
        <v>9.6999999999999993</v>
      </c>
      <c r="X97" s="1439"/>
      <c r="Y97" s="1420">
        <v>34.700000000000003</v>
      </c>
      <c r="Z97" s="1439"/>
      <c r="AA97" s="1422">
        <v>11330000</v>
      </c>
      <c r="AB97" s="1439"/>
      <c r="AC97" s="1420">
        <v>5651390.3600000003</v>
      </c>
      <c r="AD97" s="1422">
        <v>5396000</v>
      </c>
      <c r="AE97" s="1420">
        <v>1121747.76</v>
      </c>
      <c r="AF97" s="1422">
        <v>570150</v>
      </c>
      <c r="AG97" s="1422">
        <v>0</v>
      </c>
      <c r="AH97" s="1422">
        <v>0</v>
      </c>
      <c r="AI97" s="1422">
        <v>10867748</v>
      </c>
      <c r="AJ97" s="1422">
        <v>10918915</v>
      </c>
      <c r="AK97" s="1422">
        <v>135923</v>
      </c>
      <c r="AL97" s="1422">
        <v>0</v>
      </c>
      <c r="AM97" s="1422">
        <v>0</v>
      </c>
      <c r="AN97" s="1422">
        <v>0</v>
      </c>
      <c r="AO97" s="1422">
        <v>0</v>
      </c>
      <c r="AP97" s="1422">
        <v>141128</v>
      </c>
      <c r="AQ97" s="1422">
        <v>0</v>
      </c>
      <c r="AR97" s="1422">
        <v>0</v>
      </c>
      <c r="AS97" s="1422">
        <v>0</v>
      </c>
      <c r="AT97" s="1422">
        <v>0</v>
      </c>
      <c r="AU97" s="1422">
        <v>0</v>
      </c>
      <c r="AV97" s="1422">
        <v>0</v>
      </c>
      <c r="AW97" s="1422">
        <v>0</v>
      </c>
      <c r="AX97" s="1422">
        <v>0</v>
      </c>
      <c r="AY97" s="1420">
        <v>17776809.120000001</v>
      </c>
      <c r="AZ97" s="1422">
        <v>17026193</v>
      </c>
      <c r="BA97" s="1420">
        <v>183762.75</v>
      </c>
      <c r="BB97" s="1422">
        <v>181200</v>
      </c>
      <c r="BC97" s="1422">
        <v>105070</v>
      </c>
      <c r="BD97" s="1422">
        <v>105714</v>
      </c>
      <c r="BE97" s="1420">
        <v>18966.810000000001</v>
      </c>
      <c r="BF97" s="1422">
        <v>0</v>
      </c>
      <c r="BG97" s="1422">
        <v>300</v>
      </c>
      <c r="BH97" s="1422">
        <v>0</v>
      </c>
      <c r="BI97" s="1422">
        <v>83901</v>
      </c>
      <c r="BJ97" s="1422">
        <v>93636</v>
      </c>
      <c r="BK97" s="1422">
        <v>111926</v>
      </c>
      <c r="BL97" s="1422">
        <v>0</v>
      </c>
      <c r="BM97" s="1422">
        <v>1966144</v>
      </c>
      <c r="BN97" s="1422">
        <v>2015904</v>
      </c>
      <c r="BO97" s="1420">
        <v>63364.75</v>
      </c>
      <c r="BP97" s="1422">
        <v>0</v>
      </c>
      <c r="BQ97" s="1422">
        <v>0</v>
      </c>
      <c r="BR97" s="1422">
        <v>0</v>
      </c>
      <c r="BS97" s="1420">
        <v>9739.26</v>
      </c>
      <c r="BT97" s="1422">
        <v>0</v>
      </c>
      <c r="BU97" s="1422">
        <v>0</v>
      </c>
      <c r="BV97" s="1422">
        <v>0</v>
      </c>
      <c r="BW97" s="1422">
        <v>680400</v>
      </c>
      <c r="BX97" s="1422">
        <v>680400</v>
      </c>
      <c r="BY97" s="1422">
        <v>0</v>
      </c>
      <c r="BZ97" s="1422">
        <v>0</v>
      </c>
      <c r="CA97" s="1420">
        <v>202028.93</v>
      </c>
      <c r="CB97" s="1422">
        <v>177571</v>
      </c>
      <c r="CC97" s="1420">
        <v>3425603.5</v>
      </c>
      <c r="CD97" s="1422">
        <v>3254425</v>
      </c>
      <c r="CE97" s="1420">
        <v>5525230.5800000001</v>
      </c>
      <c r="CF97" s="1420">
        <v>3278472.91</v>
      </c>
      <c r="CG97" s="1422">
        <v>0</v>
      </c>
      <c r="CH97" s="1420">
        <v>415800.77</v>
      </c>
      <c r="CI97" s="1422">
        <v>0</v>
      </c>
      <c r="CJ97" s="1422">
        <v>0</v>
      </c>
      <c r="CK97" s="1420">
        <v>51647.24</v>
      </c>
      <c r="CL97" s="1422">
        <v>0</v>
      </c>
      <c r="CM97" s="1420">
        <v>956.4</v>
      </c>
      <c r="CN97" s="1422">
        <v>0</v>
      </c>
      <c r="CO97" s="1420">
        <v>55730.13</v>
      </c>
      <c r="CP97" s="1422">
        <v>0</v>
      </c>
      <c r="CQ97" s="1422">
        <v>0</v>
      </c>
      <c r="CR97" s="1422">
        <v>0</v>
      </c>
      <c r="CS97" s="1420">
        <v>108333.77</v>
      </c>
      <c r="CT97" s="1420">
        <v>415800.77</v>
      </c>
      <c r="CU97" s="1420">
        <v>26835976.969999999</v>
      </c>
      <c r="CV97" s="1420">
        <v>23974891.68</v>
      </c>
      <c r="CW97" s="1420">
        <v>9460076.7599999998</v>
      </c>
      <c r="CX97" s="1420">
        <v>9132775.6999999993</v>
      </c>
      <c r="CY97" s="1420">
        <v>1009684.24</v>
      </c>
      <c r="CZ97" s="1422">
        <v>1090174</v>
      </c>
      <c r="DA97" s="1420">
        <v>935755.97</v>
      </c>
      <c r="DB97" s="1422">
        <v>758149</v>
      </c>
      <c r="DC97" s="1420">
        <v>278645.68</v>
      </c>
      <c r="DD97" s="1420">
        <v>275323.74</v>
      </c>
      <c r="DE97" s="1420">
        <v>2210913.31</v>
      </c>
      <c r="DF97" s="1420">
        <v>1972719.94</v>
      </c>
      <c r="DG97" s="1420">
        <v>828199.88</v>
      </c>
      <c r="DH97" s="1420">
        <v>788066.32</v>
      </c>
      <c r="DI97" s="1420">
        <v>14723275.84</v>
      </c>
      <c r="DJ97" s="1420">
        <v>14017208.699999999</v>
      </c>
      <c r="DK97" s="1420">
        <v>514426.25</v>
      </c>
      <c r="DL97" s="1422">
        <v>479498</v>
      </c>
      <c r="DM97" s="1420">
        <v>480024.1</v>
      </c>
      <c r="DN97" s="1422">
        <v>486630</v>
      </c>
      <c r="DO97" s="1420">
        <v>2409254.0299999998</v>
      </c>
      <c r="DP97" s="1420">
        <v>2277807.9700000002</v>
      </c>
      <c r="DQ97" s="1422">
        <v>1066120</v>
      </c>
      <c r="DR97" s="1422">
        <v>802025</v>
      </c>
      <c r="DS97" s="1420">
        <v>57643.82</v>
      </c>
      <c r="DT97" s="1422">
        <v>6000</v>
      </c>
      <c r="DU97" s="1420">
        <v>4527468.2</v>
      </c>
      <c r="DV97" s="1420">
        <v>4051960.97</v>
      </c>
      <c r="DW97" s="1420">
        <v>915930.59</v>
      </c>
      <c r="DX97" s="1420">
        <v>924595.3</v>
      </c>
      <c r="DY97" s="1420">
        <v>2462061.83</v>
      </c>
      <c r="DZ97" s="1422">
        <v>2431942</v>
      </c>
      <c r="EA97" s="1420">
        <v>1024402.99</v>
      </c>
      <c r="EB97" s="1422">
        <v>1091918</v>
      </c>
      <c r="EC97" s="1420">
        <v>4402395.41</v>
      </c>
      <c r="ED97" s="1420">
        <v>4448455.3</v>
      </c>
      <c r="EE97" s="1420">
        <v>1544754.94</v>
      </c>
      <c r="EF97" s="1420">
        <v>300713.21999999997</v>
      </c>
      <c r="EG97" s="1420">
        <v>27586.32</v>
      </c>
      <c r="EH97" s="1422">
        <v>0</v>
      </c>
      <c r="EI97" s="1420">
        <v>114205.56</v>
      </c>
      <c r="EJ97" s="1422">
        <v>88331</v>
      </c>
      <c r="EK97" s="1422">
        <v>0</v>
      </c>
      <c r="EL97" s="1422">
        <v>0</v>
      </c>
      <c r="EM97" s="1420">
        <v>1686546.82</v>
      </c>
      <c r="EN97" s="1420">
        <v>389044.22</v>
      </c>
      <c r="EO97" s="1420">
        <v>720339.09</v>
      </c>
      <c r="EP97" s="1422">
        <v>0</v>
      </c>
      <c r="EQ97" s="1420">
        <v>1270776.26</v>
      </c>
      <c r="ER97" s="1420">
        <v>883445.5</v>
      </c>
      <c r="ES97" s="1420">
        <v>30595.74</v>
      </c>
      <c r="ET97" s="1422">
        <v>0</v>
      </c>
      <c r="EU97" s="1420">
        <v>27361397.359999999</v>
      </c>
      <c r="EV97" s="1420">
        <v>23790114.690000001</v>
      </c>
      <c r="EW97" s="1420">
        <v>1190858.57</v>
      </c>
      <c r="EX97" s="1422">
        <v>32020</v>
      </c>
      <c r="EY97" s="1420">
        <v>1270776.26</v>
      </c>
      <c r="EZ97" s="1420">
        <v>883445.5</v>
      </c>
      <c r="FA97" s="1420">
        <v>24899762.530000001</v>
      </c>
      <c r="FB97" s="1420">
        <v>22874649.190000001</v>
      </c>
      <c r="FC97" s="1420">
        <v>1734981.96</v>
      </c>
      <c r="FD97" s="1439"/>
      <c r="FE97" s="1420">
        <v>23164780.57</v>
      </c>
      <c r="FF97" s="1439"/>
      <c r="FG97" s="1422">
        <v>9394</v>
      </c>
      <c r="FH97" s="1439"/>
      <c r="FI97" s="1420">
        <v>198.94</v>
      </c>
      <c r="FJ97" s="1439"/>
      <c r="FK97" s="1422">
        <v>40992</v>
      </c>
      <c r="FL97" s="1439"/>
      <c r="FM97" s="1420">
        <v>224.04</v>
      </c>
      <c r="FN97" s="1439"/>
      <c r="FO97" s="1422">
        <v>42591</v>
      </c>
      <c r="FP97" s="1439"/>
      <c r="FQ97" s="1420">
        <v>3276062.45</v>
      </c>
      <c r="FR97" s="1439"/>
      <c r="FS97" s="1420">
        <v>60048.02</v>
      </c>
      <c r="FT97" s="1439"/>
      <c r="FU97" s="1422">
        <v>0</v>
      </c>
      <c r="FV97" s="1439"/>
      <c r="FW97" s="1420">
        <v>3216014.43</v>
      </c>
      <c r="FX97" s="1439"/>
      <c r="FY97" s="1422">
        <v>0</v>
      </c>
      <c r="FZ97" s="1439"/>
      <c r="GA97" s="1422">
        <v>0</v>
      </c>
      <c r="GB97" s="1439"/>
    </row>
    <row r="98" spans="1:184" ht="12.75" customHeight="1" thickBot="1">
      <c r="A98" s="1418" t="s">
        <v>420</v>
      </c>
      <c r="B98" s="1418" t="s">
        <v>421</v>
      </c>
      <c r="C98" s="1420">
        <v>71.66</v>
      </c>
      <c r="D98" s="1439"/>
      <c r="E98" s="1420">
        <v>491.59</v>
      </c>
      <c r="F98" s="1439"/>
      <c r="G98" s="1421">
        <v>-0.02</v>
      </c>
      <c r="H98" s="1439"/>
      <c r="I98" s="1420">
        <v>507.12</v>
      </c>
      <c r="J98" s="1439"/>
      <c r="K98" s="1420">
        <v>469.34</v>
      </c>
      <c r="L98" s="1439"/>
      <c r="M98" s="1422">
        <v>12581385</v>
      </c>
      <c r="N98" s="1439"/>
      <c r="O98" s="1422">
        <v>25</v>
      </c>
      <c r="P98" s="1439"/>
      <c r="Q98" s="1422">
        <v>25</v>
      </c>
      <c r="R98" s="1439"/>
      <c r="S98" s="1422">
        <v>0</v>
      </c>
      <c r="T98" s="1439"/>
      <c r="U98" s="1422">
        <v>0</v>
      </c>
      <c r="V98" s="1439"/>
      <c r="W98" s="1420">
        <v>16.8</v>
      </c>
      <c r="X98" s="1439"/>
      <c r="Y98" s="1420">
        <v>41.8</v>
      </c>
      <c r="Z98" s="1439"/>
      <c r="AA98" s="1420">
        <v>3529366.99</v>
      </c>
      <c r="AB98" s="1439"/>
      <c r="AC98" s="1420">
        <v>543975.27</v>
      </c>
      <c r="AD98" s="1422">
        <v>480244</v>
      </c>
      <c r="AE98" s="1420">
        <v>287867.40999999997</v>
      </c>
      <c r="AF98" s="1422">
        <v>64000</v>
      </c>
      <c r="AG98" s="1422">
        <v>0</v>
      </c>
      <c r="AH98" s="1422">
        <v>0</v>
      </c>
      <c r="AI98" s="1422">
        <v>2523647</v>
      </c>
      <c r="AJ98" s="1422">
        <v>2798470</v>
      </c>
      <c r="AK98" s="1422">
        <v>8451</v>
      </c>
      <c r="AL98" s="1422">
        <v>0</v>
      </c>
      <c r="AM98" s="1422">
        <v>226465</v>
      </c>
      <c r="AN98" s="1422">
        <v>0</v>
      </c>
      <c r="AO98" s="1422">
        <v>0</v>
      </c>
      <c r="AP98" s="1422">
        <v>0</v>
      </c>
      <c r="AQ98" s="1422">
        <v>0</v>
      </c>
      <c r="AR98" s="1422">
        <v>0</v>
      </c>
      <c r="AS98" s="1422">
        <v>0</v>
      </c>
      <c r="AT98" s="1422">
        <v>0</v>
      </c>
      <c r="AU98" s="1422">
        <v>26736</v>
      </c>
      <c r="AV98" s="1422">
        <v>21389</v>
      </c>
      <c r="AW98" s="1422">
        <v>0</v>
      </c>
      <c r="AX98" s="1422">
        <v>0</v>
      </c>
      <c r="AY98" s="1420">
        <v>3617141.68</v>
      </c>
      <c r="AZ98" s="1422">
        <v>3364103</v>
      </c>
      <c r="BA98" s="1422">
        <v>0</v>
      </c>
      <c r="BB98" s="1422">
        <v>0</v>
      </c>
      <c r="BC98" s="1422">
        <v>19412</v>
      </c>
      <c r="BD98" s="1422">
        <v>21429</v>
      </c>
      <c r="BE98" s="1420">
        <v>8291.61</v>
      </c>
      <c r="BF98" s="1422">
        <v>0</v>
      </c>
      <c r="BG98" s="1422">
        <v>100</v>
      </c>
      <c r="BH98" s="1422">
        <v>0</v>
      </c>
      <c r="BI98" s="1422">
        <v>0</v>
      </c>
      <c r="BJ98" s="1422">
        <v>0</v>
      </c>
      <c r="BK98" s="1422">
        <v>2051</v>
      </c>
      <c r="BL98" s="1422">
        <v>0</v>
      </c>
      <c r="BM98" s="1422">
        <v>119040</v>
      </c>
      <c r="BN98" s="1422">
        <v>125994</v>
      </c>
      <c r="BO98" s="1420">
        <v>1922.73</v>
      </c>
      <c r="BP98" s="1422">
        <v>0</v>
      </c>
      <c r="BQ98" s="1422">
        <v>0</v>
      </c>
      <c r="BR98" s="1422">
        <v>0</v>
      </c>
      <c r="BS98" s="1420">
        <v>1720.5</v>
      </c>
      <c r="BT98" s="1422">
        <v>0</v>
      </c>
      <c r="BU98" s="1422">
        <v>0</v>
      </c>
      <c r="BV98" s="1422">
        <v>0</v>
      </c>
      <c r="BW98" s="1422">
        <v>0</v>
      </c>
      <c r="BX98" s="1422">
        <v>0</v>
      </c>
      <c r="BY98" s="1422">
        <v>0</v>
      </c>
      <c r="BZ98" s="1422">
        <v>0</v>
      </c>
      <c r="CA98" s="1420">
        <v>754908.02</v>
      </c>
      <c r="CB98" s="1422">
        <v>242312</v>
      </c>
      <c r="CC98" s="1420">
        <v>907445.86</v>
      </c>
      <c r="CD98" s="1422">
        <v>389735</v>
      </c>
      <c r="CE98" s="1420">
        <v>572165.72</v>
      </c>
      <c r="CF98" s="1422">
        <v>411862</v>
      </c>
      <c r="CG98" s="1420">
        <v>9802.48</v>
      </c>
      <c r="CH98" s="1422">
        <v>0</v>
      </c>
      <c r="CI98" s="1422">
        <v>0</v>
      </c>
      <c r="CJ98" s="1422">
        <v>0</v>
      </c>
      <c r="CK98" s="1422">
        <v>0</v>
      </c>
      <c r="CL98" s="1422">
        <v>0</v>
      </c>
      <c r="CM98" s="1422">
        <v>0</v>
      </c>
      <c r="CN98" s="1422">
        <v>0</v>
      </c>
      <c r="CO98" s="1422">
        <v>0</v>
      </c>
      <c r="CP98" s="1422">
        <v>0</v>
      </c>
      <c r="CQ98" s="1422">
        <v>0</v>
      </c>
      <c r="CR98" s="1422">
        <v>0</v>
      </c>
      <c r="CS98" s="1420">
        <v>9802.48</v>
      </c>
      <c r="CT98" s="1422">
        <v>0</v>
      </c>
      <c r="CU98" s="1420">
        <v>5106555.74</v>
      </c>
      <c r="CV98" s="1422">
        <v>4165700</v>
      </c>
      <c r="CW98" s="1420">
        <v>2040568.61</v>
      </c>
      <c r="CX98" s="1420">
        <v>1797388.15</v>
      </c>
      <c r="CY98" s="1420">
        <v>175326.49</v>
      </c>
      <c r="CZ98" s="1420">
        <v>181517.53</v>
      </c>
      <c r="DA98" s="1420">
        <v>221473.39</v>
      </c>
      <c r="DB98" s="1420">
        <v>226632.88</v>
      </c>
      <c r="DC98" s="1422">
        <v>0</v>
      </c>
      <c r="DD98" s="1422">
        <v>0</v>
      </c>
      <c r="DE98" s="1420">
        <v>43167.839999999997</v>
      </c>
      <c r="DF98" s="1420">
        <v>34159.68</v>
      </c>
      <c r="DG98" s="1420">
        <v>82812.92</v>
      </c>
      <c r="DH98" s="1420">
        <v>92454.45</v>
      </c>
      <c r="DI98" s="1420">
        <v>2563349.25</v>
      </c>
      <c r="DJ98" s="1420">
        <v>2332152.69</v>
      </c>
      <c r="DK98" s="1420">
        <v>159638.41</v>
      </c>
      <c r="DL98" s="1420">
        <v>166666.26</v>
      </c>
      <c r="DM98" s="1420">
        <v>121668.46</v>
      </c>
      <c r="DN98" s="1420">
        <v>124027.99</v>
      </c>
      <c r="DO98" s="1420">
        <v>300047.53000000003</v>
      </c>
      <c r="DP98" s="1420">
        <v>322904.11</v>
      </c>
      <c r="DQ98" s="1420">
        <v>93958.8</v>
      </c>
      <c r="DR98" s="1420">
        <v>109831.98</v>
      </c>
      <c r="DS98" s="1422">
        <v>0</v>
      </c>
      <c r="DT98" s="1422">
        <v>0</v>
      </c>
      <c r="DU98" s="1420">
        <v>675313.2</v>
      </c>
      <c r="DV98" s="1420">
        <v>723430.34</v>
      </c>
      <c r="DW98" s="1420">
        <v>145668.07</v>
      </c>
      <c r="DX98" s="1420">
        <v>173361.79</v>
      </c>
      <c r="DY98" s="1420">
        <v>258756.97</v>
      </c>
      <c r="DZ98" s="1420">
        <v>279925.39</v>
      </c>
      <c r="EA98" s="1420">
        <v>179473.79</v>
      </c>
      <c r="EB98" s="1420">
        <v>179134.25</v>
      </c>
      <c r="EC98" s="1420">
        <v>583898.82999999996</v>
      </c>
      <c r="ED98" s="1420">
        <v>632421.43000000005</v>
      </c>
      <c r="EE98" s="1420">
        <v>194237.38</v>
      </c>
      <c r="EF98" s="1420">
        <v>181780.44</v>
      </c>
      <c r="EG98" s="1422">
        <v>0</v>
      </c>
      <c r="EH98" s="1422">
        <v>0</v>
      </c>
      <c r="EI98" s="1422">
        <v>0</v>
      </c>
      <c r="EJ98" s="1422">
        <v>2000</v>
      </c>
      <c r="EK98" s="1422">
        <v>0</v>
      </c>
      <c r="EL98" s="1422">
        <v>0</v>
      </c>
      <c r="EM98" s="1420">
        <v>194237.38</v>
      </c>
      <c r="EN98" s="1420">
        <v>183780.44</v>
      </c>
      <c r="EO98" s="1420">
        <v>871303.36</v>
      </c>
      <c r="EP98" s="1422">
        <v>175000</v>
      </c>
      <c r="EQ98" s="1420">
        <v>179592.22</v>
      </c>
      <c r="ER98" s="1422">
        <v>266563</v>
      </c>
      <c r="ES98" s="1422">
        <v>0</v>
      </c>
      <c r="ET98" s="1422">
        <v>0</v>
      </c>
      <c r="EU98" s="1420">
        <v>5067694.24</v>
      </c>
      <c r="EV98" s="1420">
        <v>4313347.9000000004</v>
      </c>
      <c r="EW98" s="1420">
        <v>953832.68</v>
      </c>
      <c r="EX98" s="1420">
        <v>207378.65</v>
      </c>
      <c r="EY98" s="1420">
        <v>179592.22</v>
      </c>
      <c r="EZ98" s="1422">
        <v>266563</v>
      </c>
      <c r="FA98" s="1420">
        <v>3934269.34</v>
      </c>
      <c r="FB98" s="1420">
        <v>3839406.25</v>
      </c>
      <c r="FC98" s="1420">
        <v>267359.58</v>
      </c>
      <c r="FD98" s="1439"/>
      <c r="FE98" s="1420">
        <v>3666909.76</v>
      </c>
      <c r="FF98" s="1439"/>
      <c r="FG98" s="1422">
        <v>7459</v>
      </c>
      <c r="FH98" s="1439"/>
      <c r="FI98" s="1420">
        <v>34.340000000000003</v>
      </c>
      <c r="FJ98" s="1439"/>
      <c r="FK98" s="1422">
        <v>46248</v>
      </c>
      <c r="FL98" s="1439"/>
      <c r="FM98" s="1420">
        <v>38.340000000000003</v>
      </c>
      <c r="FN98" s="1439"/>
      <c r="FO98" s="1422">
        <v>48154</v>
      </c>
      <c r="FP98" s="1439"/>
      <c r="FQ98" s="1420">
        <v>507968.67</v>
      </c>
      <c r="FR98" s="1439"/>
      <c r="FS98" s="1420">
        <v>25783.59</v>
      </c>
      <c r="FT98" s="1439"/>
      <c r="FU98" s="1422">
        <v>0</v>
      </c>
      <c r="FV98" s="1439"/>
      <c r="FW98" s="1420">
        <v>482185.08</v>
      </c>
      <c r="FX98" s="1439"/>
      <c r="FY98" s="1420">
        <v>128482.77</v>
      </c>
      <c r="FZ98" s="1439"/>
      <c r="GA98" s="1422">
        <v>0</v>
      </c>
      <c r="GB98" s="1439"/>
    </row>
    <row r="99" spans="1:184" ht="12.75" customHeight="1" thickBot="1">
      <c r="A99" s="1418" t="s">
        <v>422</v>
      </c>
      <c r="B99" s="1418" t="s">
        <v>423</v>
      </c>
      <c r="C99" s="1420">
        <v>178.97</v>
      </c>
      <c r="D99" s="1439"/>
      <c r="E99" s="1420">
        <v>925.36</v>
      </c>
      <c r="F99" s="1439"/>
      <c r="G99" s="1421">
        <v>-0.05</v>
      </c>
      <c r="H99" s="1439"/>
      <c r="I99" s="1420">
        <v>977.81</v>
      </c>
      <c r="J99" s="1439"/>
      <c r="K99" s="1420">
        <v>978.31</v>
      </c>
      <c r="L99" s="1439"/>
      <c r="M99" s="1422">
        <v>55487791</v>
      </c>
      <c r="N99" s="1439"/>
      <c r="O99" s="1422">
        <v>25</v>
      </c>
      <c r="P99" s="1439"/>
      <c r="Q99" s="1422">
        <v>25</v>
      </c>
      <c r="R99" s="1439"/>
      <c r="S99" s="1422">
        <v>0</v>
      </c>
      <c r="T99" s="1439"/>
      <c r="U99" s="1422">
        <v>0</v>
      </c>
      <c r="V99" s="1439"/>
      <c r="W99" s="1422">
        <v>16</v>
      </c>
      <c r="X99" s="1439"/>
      <c r="Y99" s="1422">
        <v>41</v>
      </c>
      <c r="Z99" s="1439"/>
      <c r="AA99" s="1422">
        <v>8010000</v>
      </c>
      <c r="AB99" s="1439"/>
      <c r="AC99" s="1420">
        <v>2143320.56</v>
      </c>
      <c r="AD99" s="1420">
        <v>2644421.73</v>
      </c>
      <c r="AE99" s="1420">
        <v>460416.68</v>
      </c>
      <c r="AF99" s="1422">
        <v>200530</v>
      </c>
      <c r="AG99" s="1420">
        <v>4066.75</v>
      </c>
      <c r="AH99" s="1422">
        <v>3000</v>
      </c>
      <c r="AI99" s="1422">
        <v>4590846</v>
      </c>
      <c r="AJ99" s="1422">
        <v>4624427</v>
      </c>
      <c r="AK99" s="1422">
        <v>17164</v>
      </c>
      <c r="AL99" s="1422">
        <v>759451</v>
      </c>
      <c r="AM99" s="1422">
        <v>21014</v>
      </c>
      <c r="AN99" s="1422">
        <v>0</v>
      </c>
      <c r="AO99" s="1422">
        <v>0</v>
      </c>
      <c r="AP99" s="1422">
        <v>12534</v>
      </c>
      <c r="AQ99" s="1422">
        <v>0</v>
      </c>
      <c r="AR99" s="1422">
        <v>0</v>
      </c>
      <c r="AS99" s="1422">
        <v>0</v>
      </c>
      <c r="AT99" s="1422">
        <v>0</v>
      </c>
      <c r="AU99" s="1422">
        <v>8793</v>
      </c>
      <c r="AV99" s="1422">
        <v>7034</v>
      </c>
      <c r="AW99" s="1422">
        <v>0</v>
      </c>
      <c r="AX99" s="1422">
        <v>0</v>
      </c>
      <c r="AY99" s="1420">
        <v>7245620.9900000002</v>
      </c>
      <c r="AZ99" s="1420">
        <v>8251397.7300000004</v>
      </c>
      <c r="BA99" s="1422">
        <v>0</v>
      </c>
      <c r="BB99" s="1422">
        <v>0</v>
      </c>
      <c r="BC99" s="1422">
        <v>40463</v>
      </c>
      <c r="BD99" s="1422">
        <v>41288</v>
      </c>
      <c r="BE99" s="1420">
        <v>1437.23</v>
      </c>
      <c r="BF99" s="1422">
        <v>2800</v>
      </c>
      <c r="BG99" s="1422">
        <v>400</v>
      </c>
      <c r="BH99" s="1422">
        <v>0</v>
      </c>
      <c r="BI99" s="1422">
        <v>38273</v>
      </c>
      <c r="BJ99" s="1422">
        <v>36103</v>
      </c>
      <c r="BK99" s="1422">
        <v>10255</v>
      </c>
      <c r="BL99" s="1422">
        <v>0</v>
      </c>
      <c r="BM99" s="1422">
        <v>293632</v>
      </c>
      <c r="BN99" s="1422">
        <v>292974</v>
      </c>
      <c r="BO99" s="1420">
        <v>28968.15</v>
      </c>
      <c r="BP99" s="1422">
        <v>0</v>
      </c>
      <c r="BQ99" s="1420">
        <v>17333.560000000001</v>
      </c>
      <c r="BR99" s="1420">
        <v>24916.61</v>
      </c>
      <c r="BS99" s="1420">
        <v>3822.76</v>
      </c>
      <c r="BT99" s="1422">
        <v>2485</v>
      </c>
      <c r="BU99" s="1422">
        <v>0</v>
      </c>
      <c r="BV99" s="1422">
        <v>0</v>
      </c>
      <c r="BW99" s="1422">
        <v>0</v>
      </c>
      <c r="BX99" s="1422">
        <v>0</v>
      </c>
      <c r="BY99" s="1422">
        <v>0</v>
      </c>
      <c r="BZ99" s="1422">
        <v>0</v>
      </c>
      <c r="CA99" s="1420">
        <v>590597.13</v>
      </c>
      <c r="CB99" s="1420">
        <v>60438.559999999998</v>
      </c>
      <c r="CC99" s="1420">
        <v>1025181.83</v>
      </c>
      <c r="CD99" s="1420">
        <v>461005.17</v>
      </c>
      <c r="CE99" s="1420">
        <v>1595972.53</v>
      </c>
      <c r="CF99" s="1420">
        <v>1182218.8400000001</v>
      </c>
      <c r="CG99" s="1420">
        <v>4492.33</v>
      </c>
      <c r="CH99" s="1422">
        <v>0</v>
      </c>
      <c r="CI99" s="1422">
        <v>0</v>
      </c>
      <c r="CJ99" s="1422">
        <v>0</v>
      </c>
      <c r="CK99" s="1422">
        <v>0</v>
      </c>
      <c r="CL99" s="1422">
        <v>0</v>
      </c>
      <c r="CM99" s="1422">
        <v>0</v>
      </c>
      <c r="CN99" s="1422">
        <v>0</v>
      </c>
      <c r="CO99" s="1422">
        <v>0</v>
      </c>
      <c r="CP99" s="1422">
        <v>0</v>
      </c>
      <c r="CQ99" s="1422">
        <v>0</v>
      </c>
      <c r="CR99" s="1422">
        <v>0</v>
      </c>
      <c r="CS99" s="1420">
        <v>4492.33</v>
      </c>
      <c r="CT99" s="1422">
        <v>0</v>
      </c>
      <c r="CU99" s="1420">
        <v>9871267.6799999997</v>
      </c>
      <c r="CV99" s="1420">
        <v>9894621.7400000002</v>
      </c>
      <c r="CW99" s="1420">
        <v>3999068.63</v>
      </c>
      <c r="CX99" s="1420">
        <v>3591453.98</v>
      </c>
      <c r="CY99" s="1420">
        <v>647754.06000000006</v>
      </c>
      <c r="CZ99" s="1420">
        <v>568346.53</v>
      </c>
      <c r="DA99" s="1420">
        <v>245389.66</v>
      </c>
      <c r="DB99" s="1420">
        <v>245100.53</v>
      </c>
      <c r="DC99" s="1422">
        <v>0</v>
      </c>
      <c r="DD99" s="1422">
        <v>0</v>
      </c>
      <c r="DE99" s="1420">
        <v>146457.70000000001</v>
      </c>
      <c r="DF99" s="1420">
        <v>137079.01999999999</v>
      </c>
      <c r="DG99" s="1420">
        <v>124449.89</v>
      </c>
      <c r="DH99" s="1420">
        <v>100218.28</v>
      </c>
      <c r="DI99" s="1420">
        <v>5163119.9400000004</v>
      </c>
      <c r="DJ99" s="1420">
        <v>4642198.34</v>
      </c>
      <c r="DK99" s="1420">
        <v>363128.4</v>
      </c>
      <c r="DL99" s="1420">
        <v>355669.36</v>
      </c>
      <c r="DM99" s="1420">
        <v>350057.42</v>
      </c>
      <c r="DN99" s="1420">
        <v>131058.19</v>
      </c>
      <c r="DO99" s="1420">
        <v>1057110.07</v>
      </c>
      <c r="DP99" s="1422">
        <v>743390</v>
      </c>
      <c r="DQ99" s="1420">
        <v>465117.44</v>
      </c>
      <c r="DR99" s="1420">
        <v>483799.06</v>
      </c>
      <c r="DS99" s="1420">
        <v>27501.66</v>
      </c>
      <c r="DT99" s="1422">
        <v>0</v>
      </c>
      <c r="DU99" s="1420">
        <v>2262914.9900000002</v>
      </c>
      <c r="DV99" s="1420">
        <v>1713916.61</v>
      </c>
      <c r="DW99" s="1420">
        <v>347552.42</v>
      </c>
      <c r="DX99" s="1420">
        <v>327398.84999999998</v>
      </c>
      <c r="DY99" s="1420">
        <v>530990.1</v>
      </c>
      <c r="DZ99" s="1420">
        <v>788774.97</v>
      </c>
      <c r="EA99" s="1420">
        <v>301983.38</v>
      </c>
      <c r="EB99" s="1420">
        <v>290970.71999999997</v>
      </c>
      <c r="EC99" s="1420">
        <v>1180525.8999999999</v>
      </c>
      <c r="ED99" s="1420">
        <v>1407144.54</v>
      </c>
      <c r="EE99" s="1420">
        <v>525608.99</v>
      </c>
      <c r="EF99" s="1420">
        <v>559951.23</v>
      </c>
      <c r="EG99" s="1422">
        <v>0</v>
      </c>
      <c r="EH99" s="1422">
        <v>0</v>
      </c>
      <c r="EI99" s="1420">
        <v>603.66</v>
      </c>
      <c r="EJ99" s="1422">
        <v>1500</v>
      </c>
      <c r="EK99" s="1422">
        <v>0</v>
      </c>
      <c r="EL99" s="1422">
        <v>0</v>
      </c>
      <c r="EM99" s="1420">
        <v>526212.65</v>
      </c>
      <c r="EN99" s="1420">
        <v>561451.23</v>
      </c>
      <c r="EO99" s="1420">
        <v>981590.74</v>
      </c>
      <c r="EP99" s="1420">
        <v>89075.56</v>
      </c>
      <c r="EQ99" s="1420">
        <v>407737.97</v>
      </c>
      <c r="ER99" s="1422">
        <v>652953</v>
      </c>
      <c r="ES99" s="1422">
        <v>0</v>
      </c>
      <c r="ET99" s="1422">
        <v>0</v>
      </c>
      <c r="EU99" s="1420">
        <v>10522102.189999999</v>
      </c>
      <c r="EV99" s="1420">
        <v>9066739.2799999993</v>
      </c>
      <c r="EW99" s="1420">
        <v>1071676.28</v>
      </c>
      <c r="EX99" s="1420">
        <v>189686.56</v>
      </c>
      <c r="EY99" s="1420">
        <v>407737.97</v>
      </c>
      <c r="EZ99" s="1422">
        <v>652953</v>
      </c>
      <c r="FA99" s="1420">
        <v>9042687.9399999995</v>
      </c>
      <c r="FB99" s="1420">
        <v>8224099.7199999997</v>
      </c>
      <c r="FC99" s="1420">
        <v>439593.6</v>
      </c>
      <c r="FD99" s="1439"/>
      <c r="FE99" s="1420">
        <v>8603094.3399999999</v>
      </c>
      <c r="FF99" s="1439"/>
      <c r="FG99" s="1422">
        <v>9297</v>
      </c>
      <c r="FH99" s="1439"/>
      <c r="FI99" s="1422">
        <v>78</v>
      </c>
      <c r="FJ99" s="1439"/>
      <c r="FK99" s="1422">
        <v>42474</v>
      </c>
      <c r="FL99" s="1439"/>
      <c r="FM99" s="1422">
        <v>82</v>
      </c>
      <c r="FN99" s="1439"/>
      <c r="FO99" s="1422">
        <v>44099</v>
      </c>
      <c r="FP99" s="1439"/>
      <c r="FQ99" s="1420">
        <v>992585.64</v>
      </c>
      <c r="FR99" s="1439"/>
      <c r="FS99" s="1420">
        <v>91668.77</v>
      </c>
      <c r="FT99" s="1439"/>
      <c r="FU99" s="1422">
        <v>0</v>
      </c>
      <c r="FV99" s="1439"/>
      <c r="FW99" s="1420">
        <v>900916.87</v>
      </c>
      <c r="FX99" s="1439"/>
      <c r="FY99" s="1420">
        <v>106342.19</v>
      </c>
      <c r="FZ99" s="1439"/>
      <c r="GA99" s="1422">
        <v>0</v>
      </c>
      <c r="GB99" s="1439"/>
    </row>
    <row r="100" spans="1:184" ht="12.75" customHeight="1" thickBot="1">
      <c r="A100" s="1418" t="s">
        <v>424</v>
      </c>
      <c r="B100" s="1418" t="s">
        <v>425</v>
      </c>
      <c r="C100" s="1420">
        <v>75.44</v>
      </c>
      <c r="D100" s="1439"/>
      <c r="E100" s="1420">
        <v>867.56</v>
      </c>
      <c r="F100" s="1439"/>
      <c r="G100" s="1421">
        <v>-0.1</v>
      </c>
      <c r="H100" s="1439"/>
      <c r="I100" s="1420">
        <v>932.81</v>
      </c>
      <c r="J100" s="1439"/>
      <c r="K100" s="1420">
        <v>978.72</v>
      </c>
      <c r="L100" s="1439"/>
      <c r="M100" s="1422">
        <v>45674885</v>
      </c>
      <c r="N100" s="1439"/>
      <c r="O100" s="1422">
        <v>25</v>
      </c>
      <c r="P100" s="1439"/>
      <c r="Q100" s="1422">
        <v>25</v>
      </c>
      <c r="R100" s="1439"/>
      <c r="S100" s="1422">
        <v>0</v>
      </c>
      <c r="T100" s="1439"/>
      <c r="U100" s="1422">
        <v>0</v>
      </c>
      <c r="V100" s="1439"/>
      <c r="W100" s="1420">
        <v>13.2</v>
      </c>
      <c r="X100" s="1439"/>
      <c r="Y100" s="1420">
        <v>38.200000000000003</v>
      </c>
      <c r="Z100" s="1439"/>
      <c r="AA100" s="1420">
        <v>5434047.7599999998</v>
      </c>
      <c r="AB100" s="1439"/>
      <c r="AC100" s="1420">
        <v>1675104.97</v>
      </c>
      <c r="AD100" s="1422">
        <v>1858185</v>
      </c>
      <c r="AE100" s="1420">
        <v>687443.56</v>
      </c>
      <c r="AF100" s="1422">
        <v>281100</v>
      </c>
      <c r="AG100" s="1420">
        <v>3981.59</v>
      </c>
      <c r="AH100" s="1422">
        <v>3900</v>
      </c>
      <c r="AI100" s="1422">
        <v>4800303</v>
      </c>
      <c r="AJ100" s="1422">
        <v>4648039</v>
      </c>
      <c r="AK100" s="1422">
        <v>12536</v>
      </c>
      <c r="AL100" s="1422">
        <v>0</v>
      </c>
      <c r="AM100" s="1422">
        <v>0</v>
      </c>
      <c r="AN100" s="1422">
        <v>0</v>
      </c>
      <c r="AO100" s="1422">
        <v>30115</v>
      </c>
      <c r="AP100" s="1422">
        <v>122112</v>
      </c>
      <c r="AQ100" s="1422">
        <v>0</v>
      </c>
      <c r="AR100" s="1422">
        <v>0</v>
      </c>
      <c r="AS100" s="1422">
        <v>0</v>
      </c>
      <c r="AT100" s="1422">
        <v>0</v>
      </c>
      <c r="AU100" s="1422">
        <v>35064</v>
      </c>
      <c r="AV100" s="1422">
        <v>118424</v>
      </c>
      <c r="AW100" s="1422">
        <v>0</v>
      </c>
      <c r="AX100" s="1422">
        <v>0</v>
      </c>
      <c r="AY100" s="1420">
        <v>7244548.1200000001</v>
      </c>
      <c r="AZ100" s="1422">
        <v>7031760</v>
      </c>
      <c r="BA100" s="1422">
        <v>0</v>
      </c>
      <c r="BB100" s="1422">
        <v>0</v>
      </c>
      <c r="BC100" s="1422">
        <v>40480</v>
      </c>
      <c r="BD100" s="1422">
        <v>39794</v>
      </c>
      <c r="BE100" s="1422">
        <v>0</v>
      </c>
      <c r="BF100" s="1420">
        <v>2982.4</v>
      </c>
      <c r="BG100" s="1422">
        <v>1052</v>
      </c>
      <c r="BH100" s="1422">
        <v>0</v>
      </c>
      <c r="BI100" s="1422">
        <v>23078</v>
      </c>
      <c r="BJ100" s="1422">
        <v>16166</v>
      </c>
      <c r="BK100" s="1422">
        <v>586</v>
      </c>
      <c r="BL100" s="1422">
        <v>0</v>
      </c>
      <c r="BM100" s="1422">
        <v>256928</v>
      </c>
      <c r="BN100" s="1422">
        <v>247434</v>
      </c>
      <c r="BO100" s="1420">
        <v>26512.639999999999</v>
      </c>
      <c r="BP100" s="1422">
        <v>0</v>
      </c>
      <c r="BQ100" s="1420">
        <v>75833.56</v>
      </c>
      <c r="BR100" s="1422">
        <v>69875</v>
      </c>
      <c r="BS100" s="1420">
        <v>3100.28</v>
      </c>
      <c r="BT100" s="1422">
        <v>3100</v>
      </c>
      <c r="BU100" s="1422">
        <v>0</v>
      </c>
      <c r="BV100" s="1422">
        <v>0</v>
      </c>
      <c r="BW100" s="1422">
        <v>122375</v>
      </c>
      <c r="BX100" s="1422">
        <v>126360</v>
      </c>
      <c r="BY100" s="1422">
        <v>0</v>
      </c>
      <c r="BZ100" s="1422">
        <v>0</v>
      </c>
      <c r="CA100" s="1422">
        <v>112646</v>
      </c>
      <c r="CB100" s="1422">
        <v>10366</v>
      </c>
      <c r="CC100" s="1420">
        <v>662591.48</v>
      </c>
      <c r="CD100" s="1420">
        <v>516077.4</v>
      </c>
      <c r="CE100" s="1420">
        <v>1469120.79</v>
      </c>
      <c r="CF100" s="1420">
        <v>922129.44</v>
      </c>
      <c r="CG100" s="1422">
        <v>450800</v>
      </c>
      <c r="CH100" s="1422">
        <v>0</v>
      </c>
      <c r="CI100" s="1422">
        <v>0</v>
      </c>
      <c r="CJ100" s="1422">
        <v>0</v>
      </c>
      <c r="CK100" s="1422">
        <v>0</v>
      </c>
      <c r="CL100" s="1422">
        <v>0</v>
      </c>
      <c r="CM100" s="1422">
        <v>0</v>
      </c>
      <c r="CN100" s="1422">
        <v>0</v>
      </c>
      <c r="CO100" s="1422">
        <v>0</v>
      </c>
      <c r="CP100" s="1422">
        <v>0</v>
      </c>
      <c r="CQ100" s="1422">
        <v>0</v>
      </c>
      <c r="CR100" s="1422">
        <v>0</v>
      </c>
      <c r="CS100" s="1422">
        <v>450800</v>
      </c>
      <c r="CT100" s="1422">
        <v>0</v>
      </c>
      <c r="CU100" s="1420">
        <v>9827060.3900000006</v>
      </c>
      <c r="CV100" s="1420">
        <v>8469966.8399999999</v>
      </c>
      <c r="CW100" s="1420">
        <v>3952108.62</v>
      </c>
      <c r="CX100" s="1420">
        <v>3701637.1</v>
      </c>
      <c r="CY100" s="1420">
        <v>614011.9</v>
      </c>
      <c r="CZ100" s="1420">
        <v>535095.88</v>
      </c>
      <c r="DA100" s="1420">
        <v>262550.53000000003</v>
      </c>
      <c r="DB100" s="1420">
        <v>270612.64</v>
      </c>
      <c r="DC100" s="1422">
        <v>0</v>
      </c>
      <c r="DD100" s="1422">
        <v>0</v>
      </c>
      <c r="DE100" s="1420">
        <v>232261.26</v>
      </c>
      <c r="DF100" s="1420">
        <v>206211.82</v>
      </c>
      <c r="DG100" s="1420">
        <v>73284.87</v>
      </c>
      <c r="DH100" s="1420">
        <v>74573.95</v>
      </c>
      <c r="DI100" s="1420">
        <v>5134217.18</v>
      </c>
      <c r="DJ100" s="1420">
        <v>4788131.3899999997</v>
      </c>
      <c r="DK100" s="1420">
        <v>290096.38</v>
      </c>
      <c r="DL100" s="1420">
        <v>266932.58</v>
      </c>
      <c r="DM100" s="1420">
        <v>44113.39</v>
      </c>
      <c r="DN100" s="1420">
        <v>46154.34</v>
      </c>
      <c r="DO100" s="1420">
        <v>1035108.91</v>
      </c>
      <c r="DP100" s="1420">
        <v>886461.73</v>
      </c>
      <c r="DQ100" s="1420">
        <v>373883.14</v>
      </c>
      <c r="DR100" s="1420">
        <v>275699.42</v>
      </c>
      <c r="DS100" s="1420">
        <v>24366.27</v>
      </c>
      <c r="DT100" s="1422">
        <v>15925</v>
      </c>
      <c r="DU100" s="1420">
        <v>1767568.09</v>
      </c>
      <c r="DV100" s="1420">
        <v>1491173.07</v>
      </c>
      <c r="DW100" s="1420">
        <v>406382.18</v>
      </c>
      <c r="DX100" s="1420">
        <v>415148.05</v>
      </c>
      <c r="DY100" s="1420">
        <v>573090.94999999995</v>
      </c>
      <c r="DZ100" s="1420">
        <v>633006.32999999996</v>
      </c>
      <c r="EA100" s="1420">
        <v>376849.21</v>
      </c>
      <c r="EB100" s="1420">
        <v>297436.86</v>
      </c>
      <c r="EC100" s="1420">
        <v>1356322.34</v>
      </c>
      <c r="ED100" s="1420">
        <v>1345591.24</v>
      </c>
      <c r="EE100" s="1420">
        <v>462441.99</v>
      </c>
      <c r="EF100" s="1420">
        <v>504859.17</v>
      </c>
      <c r="EG100" s="1420">
        <v>12440.66</v>
      </c>
      <c r="EH100" s="1422">
        <v>0</v>
      </c>
      <c r="EI100" s="1422">
        <v>0</v>
      </c>
      <c r="EJ100" s="1420">
        <v>3000.32</v>
      </c>
      <c r="EK100" s="1422">
        <v>0</v>
      </c>
      <c r="EL100" s="1422">
        <v>0</v>
      </c>
      <c r="EM100" s="1420">
        <v>474882.65</v>
      </c>
      <c r="EN100" s="1420">
        <v>507859.49</v>
      </c>
      <c r="EO100" s="1420">
        <v>64478.94</v>
      </c>
      <c r="EP100" s="1420">
        <v>497072.94</v>
      </c>
      <c r="EQ100" s="1420">
        <v>374952.7</v>
      </c>
      <c r="ER100" s="1420">
        <v>425241.22</v>
      </c>
      <c r="ES100" s="1422">
        <v>0</v>
      </c>
      <c r="ET100" s="1422">
        <v>0</v>
      </c>
      <c r="EU100" s="1420">
        <v>9172421.9000000004</v>
      </c>
      <c r="EV100" s="1420">
        <v>9055069.3499999996</v>
      </c>
      <c r="EW100" s="1420">
        <v>261600.93</v>
      </c>
      <c r="EX100" s="1420">
        <v>548908.93999999994</v>
      </c>
      <c r="EY100" s="1420">
        <v>374952.7</v>
      </c>
      <c r="EZ100" s="1420">
        <v>425241.22</v>
      </c>
      <c r="FA100" s="1420">
        <v>8535868.2699999996</v>
      </c>
      <c r="FB100" s="1420">
        <v>8080919.1900000004</v>
      </c>
      <c r="FC100" s="1420">
        <v>691903.66</v>
      </c>
      <c r="FD100" s="1439"/>
      <c r="FE100" s="1420">
        <v>7843964.6100000003</v>
      </c>
      <c r="FF100" s="1439"/>
      <c r="FG100" s="1422">
        <v>9041</v>
      </c>
      <c r="FH100" s="1439"/>
      <c r="FI100" s="1420">
        <v>64.14</v>
      </c>
      <c r="FJ100" s="1439"/>
      <c r="FK100" s="1422">
        <v>46267</v>
      </c>
      <c r="FL100" s="1439"/>
      <c r="FM100" s="1420">
        <v>71.39</v>
      </c>
      <c r="FN100" s="1439"/>
      <c r="FO100" s="1422">
        <v>48342</v>
      </c>
      <c r="FP100" s="1439"/>
      <c r="FQ100" s="1420">
        <v>876741.82</v>
      </c>
      <c r="FR100" s="1439"/>
      <c r="FS100" s="1420">
        <v>25632.43</v>
      </c>
      <c r="FT100" s="1439"/>
      <c r="FU100" s="1422">
        <v>0</v>
      </c>
      <c r="FV100" s="1439"/>
      <c r="FW100" s="1420">
        <v>851109.39</v>
      </c>
      <c r="FX100" s="1439"/>
      <c r="FY100" s="1420">
        <v>561614.15</v>
      </c>
      <c r="FZ100" s="1439"/>
      <c r="GA100" s="1422">
        <v>0</v>
      </c>
      <c r="GB100" s="1439"/>
    </row>
    <row r="101" spans="1:184" ht="12.75" customHeight="1" thickBot="1">
      <c r="A101" s="1418" t="s">
        <v>426</v>
      </c>
      <c r="B101" s="1418" t="s">
        <v>427</v>
      </c>
      <c r="C101" s="1420">
        <v>49.3</v>
      </c>
      <c r="D101" s="1439"/>
      <c r="E101" s="1420">
        <v>622.04</v>
      </c>
      <c r="F101" s="1439"/>
      <c r="G101" s="1421">
        <v>-0.15</v>
      </c>
      <c r="H101" s="1439"/>
      <c r="I101" s="1420">
        <v>655.35</v>
      </c>
      <c r="J101" s="1439"/>
      <c r="K101" s="1420">
        <v>686.83</v>
      </c>
      <c r="L101" s="1439"/>
      <c r="M101" s="1422">
        <v>62716367</v>
      </c>
      <c r="N101" s="1439"/>
      <c r="O101" s="1422">
        <v>25</v>
      </c>
      <c r="P101" s="1439"/>
      <c r="Q101" s="1422">
        <v>25</v>
      </c>
      <c r="R101" s="1439"/>
      <c r="S101" s="1422">
        <v>0</v>
      </c>
      <c r="T101" s="1439"/>
      <c r="U101" s="1422">
        <v>0</v>
      </c>
      <c r="V101" s="1439"/>
      <c r="W101" s="1420">
        <v>14.18</v>
      </c>
      <c r="X101" s="1439"/>
      <c r="Y101" s="1420">
        <v>39.18</v>
      </c>
      <c r="Z101" s="1439"/>
      <c r="AA101" s="1422">
        <v>5795000</v>
      </c>
      <c r="AB101" s="1439"/>
      <c r="AC101" s="1420">
        <v>2314816.5499999998</v>
      </c>
      <c r="AD101" s="1422">
        <v>2408083</v>
      </c>
      <c r="AE101" s="1420">
        <v>727083.06</v>
      </c>
      <c r="AF101" s="1422">
        <v>443803</v>
      </c>
      <c r="AG101" s="1420">
        <v>2788.38</v>
      </c>
      <c r="AH101" s="1422">
        <v>0</v>
      </c>
      <c r="AI101" s="1422">
        <v>2596137</v>
      </c>
      <c r="AJ101" s="1422">
        <v>2411884</v>
      </c>
      <c r="AK101" s="1422">
        <v>31479</v>
      </c>
      <c r="AL101" s="1422">
        <v>31479</v>
      </c>
      <c r="AM101" s="1422">
        <v>0</v>
      </c>
      <c r="AN101" s="1422">
        <v>0</v>
      </c>
      <c r="AO101" s="1422">
        <v>150786</v>
      </c>
      <c r="AP101" s="1422">
        <v>94464</v>
      </c>
      <c r="AQ101" s="1422">
        <v>0</v>
      </c>
      <c r="AR101" s="1422">
        <v>0</v>
      </c>
      <c r="AS101" s="1422">
        <v>0</v>
      </c>
      <c r="AT101" s="1422">
        <v>0</v>
      </c>
      <c r="AU101" s="1422">
        <v>0</v>
      </c>
      <c r="AV101" s="1422">
        <v>0</v>
      </c>
      <c r="AW101" s="1422">
        <v>40554</v>
      </c>
      <c r="AX101" s="1422">
        <v>40554</v>
      </c>
      <c r="AY101" s="1420">
        <v>5863643.9900000002</v>
      </c>
      <c r="AZ101" s="1422">
        <v>5430267</v>
      </c>
      <c r="BA101" s="1422">
        <v>0</v>
      </c>
      <c r="BB101" s="1422">
        <v>0</v>
      </c>
      <c r="BC101" s="1422">
        <v>28407</v>
      </c>
      <c r="BD101" s="1422">
        <v>27805</v>
      </c>
      <c r="BE101" s="1420">
        <v>2789.32</v>
      </c>
      <c r="BF101" s="1422">
        <v>0</v>
      </c>
      <c r="BG101" s="1422">
        <v>0</v>
      </c>
      <c r="BH101" s="1422">
        <v>0</v>
      </c>
      <c r="BI101" s="1422">
        <v>0</v>
      </c>
      <c r="BJ101" s="1422">
        <v>0</v>
      </c>
      <c r="BK101" s="1422">
        <v>0</v>
      </c>
      <c r="BL101" s="1422">
        <v>0</v>
      </c>
      <c r="BM101" s="1422">
        <v>163680</v>
      </c>
      <c r="BN101" s="1420">
        <v>318866.26</v>
      </c>
      <c r="BO101" s="1420">
        <v>2813.67</v>
      </c>
      <c r="BP101" s="1422">
        <v>0</v>
      </c>
      <c r="BQ101" s="1420">
        <v>29250.32</v>
      </c>
      <c r="BR101" s="1420">
        <v>52147.5</v>
      </c>
      <c r="BS101" s="1420">
        <v>2344.4</v>
      </c>
      <c r="BT101" s="1422">
        <v>2344</v>
      </c>
      <c r="BU101" s="1422">
        <v>0</v>
      </c>
      <c r="BV101" s="1422">
        <v>0</v>
      </c>
      <c r="BW101" s="1422">
        <v>0</v>
      </c>
      <c r="BX101" s="1422">
        <v>0</v>
      </c>
      <c r="BY101" s="1422">
        <v>0</v>
      </c>
      <c r="BZ101" s="1422">
        <v>0</v>
      </c>
      <c r="CA101" s="1422">
        <v>25260</v>
      </c>
      <c r="CB101" s="1422">
        <v>19301</v>
      </c>
      <c r="CC101" s="1420">
        <v>254544.71</v>
      </c>
      <c r="CD101" s="1420">
        <v>420463.76</v>
      </c>
      <c r="CE101" s="1420">
        <v>1028731.59</v>
      </c>
      <c r="CF101" s="1420">
        <v>638886.81999999995</v>
      </c>
      <c r="CG101" s="1422">
        <v>0</v>
      </c>
      <c r="CH101" s="1422">
        <v>0</v>
      </c>
      <c r="CI101" s="1422">
        <v>0</v>
      </c>
      <c r="CJ101" s="1422">
        <v>0</v>
      </c>
      <c r="CK101" s="1422">
        <v>0</v>
      </c>
      <c r="CL101" s="1422">
        <v>0</v>
      </c>
      <c r="CM101" s="1420">
        <v>2105.5</v>
      </c>
      <c r="CN101" s="1422">
        <v>0</v>
      </c>
      <c r="CO101" s="1420">
        <v>27716.97</v>
      </c>
      <c r="CP101" s="1422">
        <v>0</v>
      </c>
      <c r="CQ101" s="1422">
        <v>0</v>
      </c>
      <c r="CR101" s="1422">
        <v>0</v>
      </c>
      <c r="CS101" s="1420">
        <v>29822.47</v>
      </c>
      <c r="CT101" s="1422">
        <v>0</v>
      </c>
      <c r="CU101" s="1420">
        <v>7176742.7599999998</v>
      </c>
      <c r="CV101" s="1420">
        <v>6489617.5800000001</v>
      </c>
      <c r="CW101" s="1420">
        <v>2389576.75</v>
      </c>
      <c r="CX101" s="1420">
        <v>2194578.64</v>
      </c>
      <c r="CY101" s="1420">
        <v>242370.75</v>
      </c>
      <c r="CZ101" s="1420">
        <v>232481.72</v>
      </c>
      <c r="DA101" s="1420">
        <v>232805.51</v>
      </c>
      <c r="DB101" s="1420">
        <v>304733.90999999997</v>
      </c>
      <c r="DC101" s="1422">
        <v>0</v>
      </c>
      <c r="DD101" s="1422">
        <v>0</v>
      </c>
      <c r="DE101" s="1420">
        <v>85616.320000000007</v>
      </c>
      <c r="DF101" s="1422">
        <v>55712</v>
      </c>
      <c r="DG101" s="1420">
        <v>179641.09</v>
      </c>
      <c r="DH101" s="1420">
        <v>197891.41</v>
      </c>
      <c r="DI101" s="1420">
        <v>3130010.42</v>
      </c>
      <c r="DJ101" s="1420">
        <v>2985397.68</v>
      </c>
      <c r="DK101" s="1420">
        <v>153910.93</v>
      </c>
      <c r="DL101" s="1420">
        <v>153283.35999999999</v>
      </c>
      <c r="DM101" s="1420">
        <v>209923.49</v>
      </c>
      <c r="DN101" s="1420">
        <v>193527.48</v>
      </c>
      <c r="DO101" s="1420">
        <v>795979.98</v>
      </c>
      <c r="DP101" s="1420">
        <v>818425.58</v>
      </c>
      <c r="DQ101" s="1420">
        <v>215356.2</v>
      </c>
      <c r="DR101" s="1420">
        <v>393751.9</v>
      </c>
      <c r="DS101" s="1420">
        <v>12882.52</v>
      </c>
      <c r="DT101" s="1422">
        <v>2500</v>
      </c>
      <c r="DU101" s="1420">
        <v>1388053.12</v>
      </c>
      <c r="DV101" s="1420">
        <v>1561488.32</v>
      </c>
      <c r="DW101" s="1420">
        <v>339816.73</v>
      </c>
      <c r="DX101" s="1420">
        <v>412331.28</v>
      </c>
      <c r="DY101" s="1420">
        <v>695175.97</v>
      </c>
      <c r="DZ101" s="1420">
        <v>695069.53</v>
      </c>
      <c r="EA101" s="1420">
        <v>399935.97</v>
      </c>
      <c r="EB101" s="1420">
        <v>327978.31</v>
      </c>
      <c r="EC101" s="1420">
        <v>1434928.67</v>
      </c>
      <c r="ED101" s="1420">
        <v>1435379.12</v>
      </c>
      <c r="EE101" s="1420">
        <v>343252.78</v>
      </c>
      <c r="EF101" s="1420">
        <v>348078.11</v>
      </c>
      <c r="EG101" s="1422">
        <v>0</v>
      </c>
      <c r="EH101" s="1422">
        <v>0</v>
      </c>
      <c r="EI101" s="1422">
        <v>0</v>
      </c>
      <c r="EJ101" s="1422">
        <v>500</v>
      </c>
      <c r="EK101" s="1422">
        <v>0</v>
      </c>
      <c r="EL101" s="1422">
        <v>0</v>
      </c>
      <c r="EM101" s="1420">
        <v>343252.78</v>
      </c>
      <c r="EN101" s="1420">
        <v>348578.11</v>
      </c>
      <c r="EO101" s="1420">
        <v>382183.57</v>
      </c>
      <c r="EP101" s="1420">
        <v>1128196.19</v>
      </c>
      <c r="EQ101" s="1420">
        <v>312603.65999999997</v>
      </c>
      <c r="ER101" s="1422">
        <v>456400</v>
      </c>
      <c r="ES101" s="1422">
        <v>0</v>
      </c>
      <c r="ET101" s="1422">
        <v>0</v>
      </c>
      <c r="EU101" s="1420">
        <v>6991032.2199999997</v>
      </c>
      <c r="EV101" s="1420">
        <v>7915439.4199999999</v>
      </c>
      <c r="EW101" s="1420">
        <v>441253.97</v>
      </c>
      <c r="EX101" s="1420">
        <v>1266349.94</v>
      </c>
      <c r="EY101" s="1420">
        <v>312603.65999999997</v>
      </c>
      <c r="EZ101" s="1422">
        <v>456400</v>
      </c>
      <c r="FA101" s="1420">
        <v>6237174.5899999999</v>
      </c>
      <c r="FB101" s="1420">
        <v>6192689.4800000004</v>
      </c>
      <c r="FC101" s="1420">
        <v>266055.26</v>
      </c>
      <c r="FD101" s="1439"/>
      <c r="FE101" s="1420">
        <v>5971119.3300000001</v>
      </c>
      <c r="FF101" s="1439"/>
      <c r="FG101" s="1422">
        <v>9599</v>
      </c>
      <c r="FH101" s="1439"/>
      <c r="FI101" s="1420">
        <v>51.02</v>
      </c>
      <c r="FJ101" s="1439"/>
      <c r="FK101" s="1422">
        <v>41847</v>
      </c>
      <c r="FL101" s="1439"/>
      <c r="FM101" s="1420">
        <v>57.52</v>
      </c>
      <c r="FN101" s="1439"/>
      <c r="FO101" s="1422">
        <v>44218</v>
      </c>
      <c r="FP101" s="1439"/>
      <c r="FQ101" s="1420">
        <v>2830978.95</v>
      </c>
      <c r="FR101" s="1439"/>
      <c r="FS101" s="1420">
        <v>66941.58</v>
      </c>
      <c r="FT101" s="1439"/>
      <c r="FU101" s="1422">
        <v>0</v>
      </c>
      <c r="FV101" s="1439"/>
      <c r="FW101" s="1420">
        <v>2764037.37</v>
      </c>
      <c r="FX101" s="1439"/>
      <c r="FY101" s="1420">
        <v>562642.98</v>
      </c>
      <c r="FZ101" s="1439"/>
      <c r="GA101" s="1422">
        <v>0</v>
      </c>
      <c r="GB101" s="1439"/>
    </row>
    <row r="102" spans="1:184" ht="12.75" customHeight="1" thickBot="1">
      <c r="A102" s="1418" t="s">
        <v>428</v>
      </c>
      <c r="B102" s="1418" t="s">
        <v>429</v>
      </c>
      <c r="C102" s="1420">
        <v>457.32</v>
      </c>
      <c r="D102" s="1439"/>
      <c r="E102" s="1420">
        <v>2019.57</v>
      </c>
      <c r="F102" s="1439"/>
      <c r="G102" s="1421">
        <v>-0.03</v>
      </c>
      <c r="H102" s="1439"/>
      <c r="I102" s="1420">
        <v>2107.77</v>
      </c>
      <c r="J102" s="1439"/>
      <c r="K102" s="1420">
        <v>2134.91</v>
      </c>
      <c r="L102" s="1439"/>
      <c r="M102" s="1422">
        <v>182909161</v>
      </c>
      <c r="N102" s="1439"/>
      <c r="O102" s="1422">
        <v>25</v>
      </c>
      <c r="P102" s="1439"/>
      <c r="Q102" s="1422">
        <v>25</v>
      </c>
      <c r="R102" s="1439"/>
      <c r="S102" s="1422">
        <v>0</v>
      </c>
      <c r="T102" s="1439"/>
      <c r="U102" s="1422">
        <v>0</v>
      </c>
      <c r="V102" s="1439"/>
      <c r="W102" s="1420">
        <v>12.65</v>
      </c>
      <c r="X102" s="1439"/>
      <c r="Y102" s="1420">
        <v>37.65</v>
      </c>
      <c r="Z102" s="1439"/>
      <c r="AA102" s="1420">
        <v>12623549.42</v>
      </c>
      <c r="AB102" s="1439"/>
      <c r="AC102" s="1420">
        <v>6504312.2199999997</v>
      </c>
      <c r="AD102" s="1422">
        <v>6332315</v>
      </c>
      <c r="AE102" s="1420">
        <v>1021909.2</v>
      </c>
      <c r="AF102" s="1422">
        <v>421258</v>
      </c>
      <c r="AG102" s="1420">
        <v>8987.15</v>
      </c>
      <c r="AH102" s="1422">
        <v>6000</v>
      </c>
      <c r="AI102" s="1422">
        <v>8460179</v>
      </c>
      <c r="AJ102" s="1422">
        <v>8465031</v>
      </c>
      <c r="AK102" s="1422">
        <v>83485</v>
      </c>
      <c r="AL102" s="1422">
        <v>0</v>
      </c>
      <c r="AM102" s="1422">
        <v>24211</v>
      </c>
      <c r="AN102" s="1422">
        <v>0</v>
      </c>
      <c r="AO102" s="1422">
        <v>0</v>
      </c>
      <c r="AP102" s="1422">
        <v>73636</v>
      </c>
      <c r="AQ102" s="1422">
        <v>0</v>
      </c>
      <c r="AR102" s="1422">
        <v>0</v>
      </c>
      <c r="AS102" s="1422">
        <v>0</v>
      </c>
      <c r="AT102" s="1422">
        <v>0</v>
      </c>
      <c r="AU102" s="1422">
        <v>0</v>
      </c>
      <c r="AV102" s="1422">
        <v>0</v>
      </c>
      <c r="AW102" s="1422">
        <v>0</v>
      </c>
      <c r="AX102" s="1422">
        <v>1000</v>
      </c>
      <c r="AY102" s="1420">
        <v>16103083.57</v>
      </c>
      <c r="AZ102" s="1422">
        <v>15299240</v>
      </c>
      <c r="BA102" s="1422">
        <v>0</v>
      </c>
      <c r="BB102" s="1422">
        <v>0</v>
      </c>
      <c r="BC102" s="1422">
        <v>88300</v>
      </c>
      <c r="BD102" s="1422">
        <v>89462</v>
      </c>
      <c r="BE102" s="1420">
        <v>6163.63</v>
      </c>
      <c r="BF102" s="1422">
        <v>8000</v>
      </c>
      <c r="BG102" s="1422">
        <v>1250</v>
      </c>
      <c r="BH102" s="1422">
        <v>600</v>
      </c>
      <c r="BI102" s="1422">
        <v>184095</v>
      </c>
      <c r="BJ102" s="1422">
        <v>129780</v>
      </c>
      <c r="BK102" s="1422">
        <v>12599</v>
      </c>
      <c r="BL102" s="1422">
        <v>12000</v>
      </c>
      <c r="BM102" s="1422">
        <v>719200</v>
      </c>
      <c r="BN102" s="1422">
        <v>1020101</v>
      </c>
      <c r="BO102" s="1420">
        <v>101671.67</v>
      </c>
      <c r="BP102" s="1422">
        <v>106000</v>
      </c>
      <c r="BQ102" s="1420">
        <v>133427.31</v>
      </c>
      <c r="BR102" s="1422">
        <v>115917</v>
      </c>
      <c r="BS102" s="1420">
        <v>7335.73</v>
      </c>
      <c r="BT102" s="1422">
        <v>7000</v>
      </c>
      <c r="BU102" s="1422">
        <v>50000</v>
      </c>
      <c r="BV102" s="1422">
        <v>0</v>
      </c>
      <c r="BW102" s="1422">
        <v>0</v>
      </c>
      <c r="BX102" s="1422">
        <v>0</v>
      </c>
      <c r="BY102" s="1422">
        <v>0</v>
      </c>
      <c r="BZ102" s="1422">
        <v>0</v>
      </c>
      <c r="CA102" s="1422">
        <v>109653</v>
      </c>
      <c r="CB102" s="1422">
        <v>3099232</v>
      </c>
      <c r="CC102" s="1420">
        <v>1413695.34</v>
      </c>
      <c r="CD102" s="1422">
        <v>4588092</v>
      </c>
      <c r="CE102" s="1420">
        <v>3140043.07</v>
      </c>
      <c r="CF102" s="1420">
        <v>3123200.75</v>
      </c>
      <c r="CG102" s="1420">
        <v>3407057.32</v>
      </c>
      <c r="CH102" s="1422">
        <v>181747</v>
      </c>
      <c r="CI102" s="1422">
        <v>0</v>
      </c>
      <c r="CJ102" s="1422">
        <v>0</v>
      </c>
      <c r="CK102" s="1422">
        <v>0</v>
      </c>
      <c r="CL102" s="1422">
        <v>0</v>
      </c>
      <c r="CM102" s="1422">
        <v>0</v>
      </c>
      <c r="CN102" s="1422">
        <v>0</v>
      </c>
      <c r="CO102" s="1422">
        <v>0</v>
      </c>
      <c r="CP102" s="1422">
        <v>0</v>
      </c>
      <c r="CQ102" s="1422">
        <v>0</v>
      </c>
      <c r="CR102" s="1422">
        <v>0</v>
      </c>
      <c r="CS102" s="1420">
        <v>3407057.32</v>
      </c>
      <c r="CT102" s="1422">
        <v>181747</v>
      </c>
      <c r="CU102" s="1420">
        <v>24063879.300000001</v>
      </c>
      <c r="CV102" s="1420">
        <v>23192279.75</v>
      </c>
      <c r="CW102" s="1420">
        <v>7098576.0800000001</v>
      </c>
      <c r="CX102" s="1420">
        <v>7438866.3099999996</v>
      </c>
      <c r="CY102" s="1420">
        <v>1246431.67</v>
      </c>
      <c r="CZ102" s="1420">
        <v>1221577.24</v>
      </c>
      <c r="DA102" s="1420">
        <v>414283.15</v>
      </c>
      <c r="DB102" s="1422">
        <v>356645</v>
      </c>
      <c r="DC102" s="1422">
        <v>0</v>
      </c>
      <c r="DD102" s="1422">
        <v>0</v>
      </c>
      <c r="DE102" s="1420">
        <v>897110.53</v>
      </c>
      <c r="DF102" s="1420">
        <v>801432.86</v>
      </c>
      <c r="DG102" s="1420">
        <v>1165067.58</v>
      </c>
      <c r="DH102" s="1420">
        <v>1362651.52</v>
      </c>
      <c r="DI102" s="1420">
        <v>10821469.01</v>
      </c>
      <c r="DJ102" s="1420">
        <v>11181172.93</v>
      </c>
      <c r="DK102" s="1420">
        <v>413976.68</v>
      </c>
      <c r="DL102" s="1420">
        <v>433097.02</v>
      </c>
      <c r="DM102" s="1420">
        <v>379181.94</v>
      </c>
      <c r="DN102" s="1422">
        <v>397056</v>
      </c>
      <c r="DO102" s="1420">
        <v>1549390.02</v>
      </c>
      <c r="DP102" s="1420">
        <v>1605606.03</v>
      </c>
      <c r="DQ102" s="1420">
        <v>844358.93</v>
      </c>
      <c r="DR102" s="1422">
        <v>921814</v>
      </c>
      <c r="DS102" s="1420">
        <v>53093.43</v>
      </c>
      <c r="DT102" s="1422">
        <v>40914</v>
      </c>
      <c r="DU102" s="1422">
        <v>3240001</v>
      </c>
      <c r="DV102" s="1420">
        <v>3398487.05</v>
      </c>
      <c r="DW102" s="1420">
        <v>1196801.3799999999</v>
      </c>
      <c r="DX102" s="1420">
        <v>1186014.2</v>
      </c>
      <c r="DY102" s="1420">
        <v>1548098.47</v>
      </c>
      <c r="DZ102" s="1420">
        <v>1498076.06</v>
      </c>
      <c r="EA102" s="1420">
        <v>946609.01</v>
      </c>
      <c r="EB102" s="1422">
        <v>1003055</v>
      </c>
      <c r="EC102" s="1420">
        <v>3691508.86</v>
      </c>
      <c r="ED102" s="1420">
        <v>3687145.26</v>
      </c>
      <c r="EE102" s="1420">
        <v>981692.87</v>
      </c>
      <c r="EF102" s="1420">
        <v>1032471.83</v>
      </c>
      <c r="EG102" s="1422">
        <v>0</v>
      </c>
      <c r="EH102" s="1422">
        <v>0</v>
      </c>
      <c r="EI102" s="1420">
        <v>7824.54</v>
      </c>
      <c r="EJ102" s="1422">
        <v>300</v>
      </c>
      <c r="EK102" s="1422">
        <v>0</v>
      </c>
      <c r="EL102" s="1422">
        <v>0</v>
      </c>
      <c r="EM102" s="1420">
        <v>989517.41</v>
      </c>
      <c r="EN102" s="1420">
        <v>1032771.83</v>
      </c>
      <c r="EO102" s="1422">
        <v>620650</v>
      </c>
      <c r="EP102" s="1420">
        <v>7794882.3200000003</v>
      </c>
      <c r="EQ102" s="1420">
        <v>708802.57</v>
      </c>
      <c r="ER102" s="1422">
        <v>963523</v>
      </c>
      <c r="ES102" s="1420">
        <v>164.99</v>
      </c>
      <c r="ET102" s="1422">
        <v>0</v>
      </c>
      <c r="EU102" s="1420">
        <v>20072113.84</v>
      </c>
      <c r="EV102" s="1420">
        <v>28057982.390000001</v>
      </c>
      <c r="EW102" s="1420">
        <v>678031.53</v>
      </c>
      <c r="EX102" s="1420">
        <v>7931857.71</v>
      </c>
      <c r="EY102" s="1420">
        <v>708802.57</v>
      </c>
      <c r="EZ102" s="1422">
        <v>963523</v>
      </c>
      <c r="FA102" s="1420">
        <v>18685279.739999998</v>
      </c>
      <c r="FB102" s="1420">
        <v>19162601.68</v>
      </c>
      <c r="FC102" s="1420">
        <v>585013.85</v>
      </c>
      <c r="FD102" s="1439"/>
      <c r="FE102" s="1420">
        <v>18100265.890000001</v>
      </c>
      <c r="FF102" s="1439"/>
      <c r="FG102" s="1422">
        <v>8962</v>
      </c>
      <c r="FH102" s="1439"/>
      <c r="FI102" s="1420">
        <v>146.27000000000001</v>
      </c>
      <c r="FJ102" s="1439"/>
      <c r="FK102" s="1422">
        <v>45978</v>
      </c>
      <c r="FL102" s="1439"/>
      <c r="FM102" s="1420">
        <v>158.13</v>
      </c>
      <c r="FN102" s="1439"/>
      <c r="FO102" s="1422">
        <v>48410</v>
      </c>
      <c r="FP102" s="1439"/>
      <c r="FQ102" s="1420">
        <v>2520471.0699999998</v>
      </c>
      <c r="FR102" s="1439"/>
      <c r="FS102" s="1420">
        <v>152678.70000000001</v>
      </c>
      <c r="FT102" s="1439"/>
      <c r="FU102" s="1422">
        <v>0</v>
      </c>
      <c r="FV102" s="1439"/>
      <c r="FW102" s="1420">
        <v>2367792.37</v>
      </c>
      <c r="FX102" s="1439"/>
      <c r="FY102" s="1420">
        <v>4690922.32</v>
      </c>
      <c r="FZ102" s="1439"/>
      <c r="GA102" s="1422">
        <v>0</v>
      </c>
      <c r="GB102" s="1439"/>
    </row>
    <row r="103" spans="1:184" ht="12.75" customHeight="1" thickBot="1">
      <c r="A103" s="1418" t="s">
        <v>430</v>
      </c>
      <c r="B103" s="1418" t="s">
        <v>431</v>
      </c>
      <c r="C103" s="1420">
        <v>73.08</v>
      </c>
      <c r="D103" s="1439"/>
      <c r="E103" s="1420">
        <v>438.75</v>
      </c>
      <c r="F103" s="1439"/>
      <c r="G103" s="1421">
        <v>0.12</v>
      </c>
      <c r="H103" s="1439"/>
      <c r="I103" s="1420">
        <v>455.04</v>
      </c>
      <c r="J103" s="1439"/>
      <c r="K103" s="1420">
        <v>474.03</v>
      </c>
      <c r="L103" s="1439"/>
      <c r="M103" s="1422">
        <v>21556823</v>
      </c>
      <c r="N103" s="1439"/>
      <c r="O103" s="1422">
        <v>25</v>
      </c>
      <c r="P103" s="1439"/>
      <c r="Q103" s="1422">
        <v>25</v>
      </c>
      <c r="R103" s="1439"/>
      <c r="S103" s="1422">
        <v>0</v>
      </c>
      <c r="T103" s="1439"/>
      <c r="U103" s="1422">
        <v>0</v>
      </c>
      <c r="V103" s="1439"/>
      <c r="W103" s="1420">
        <v>15.8</v>
      </c>
      <c r="X103" s="1439"/>
      <c r="Y103" s="1420">
        <v>40.799999999999997</v>
      </c>
      <c r="Z103" s="1439"/>
      <c r="AA103" s="1422">
        <v>3940000</v>
      </c>
      <c r="AB103" s="1439"/>
      <c r="AC103" s="1420">
        <v>758357.5</v>
      </c>
      <c r="AD103" s="1422">
        <v>864920</v>
      </c>
      <c r="AE103" s="1420">
        <v>343241.35</v>
      </c>
      <c r="AF103" s="1422">
        <v>214225</v>
      </c>
      <c r="AG103" s="1420">
        <v>2008.68</v>
      </c>
      <c r="AH103" s="1422">
        <v>0</v>
      </c>
      <c r="AI103" s="1422">
        <v>2343687</v>
      </c>
      <c r="AJ103" s="1420">
        <v>2260187.3199999998</v>
      </c>
      <c r="AK103" s="1422">
        <v>3406</v>
      </c>
      <c r="AL103" s="1422">
        <v>0</v>
      </c>
      <c r="AM103" s="1422">
        <v>0</v>
      </c>
      <c r="AN103" s="1422">
        <v>0</v>
      </c>
      <c r="AO103" s="1422">
        <v>29814</v>
      </c>
      <c r="AP103" s="1422">
        <v>61778</v>
      </c>
      <c r="AQ103" s="1422">
        <v>0</v>
      </c>
      <c r="AR103" s="1422">
        <v>0</v>
      </c>
      <c r="AS103" s="1422">
        <v>0</v>
      </c>
      <c r="AT103" s="1422">
        <v>0</v>
      </c>
      <c r="AU103" s="1422">
        <v>0</v>
      </c>
      <c r="AV103" s="1422">
        <v>0</v>
      </c>
      <c r="AW103" s="1422">
        <v>1190</v>
      </c>
      <c r="AX103" s="1422">
        <v>0</v>
      </c>
      <c r="AY103" s="1420">
        <v>3481704.53</v>
      </c>
      <c r="AZ103" s="1420">
        <v>3401110.32</v>
      </c>
      <c r="BA103" s="1422">
        <v>0</v>
      </c>
      <c r="BB103" s="1422">
        <v>0</v>
      </c>
      <c r="BC103" s="1422">
        <v>19606</v>
      </c>
      <c r="BD103" s="1422">
        <v>19237</v>
      </c>
      <c r="BE103" s="1422">
        <v>0</v>
      </c>
      <c r="BF103" s="1422">
        <v>0</v>
      </c>
      <c r="BG103" s="1422">
        <v>2100</v>
      </c>
      <c r="BH103" s="1422">
        <v>0</v>
      </c>
      <c r="BI103" s="1422">
        <v>0</v>
      </c>
      <c r="BJ103" s="1422">
        <v>0</v>
      </c>
      <c r="BK103" s="1422">
        <v>0</v>
      </c>
      <c r="BL103" s="1422">
        <v>0</v>
      </c>
      <c r="BM103" s="1422">
        <v>105152</v>
      </c>
      <c r="BN103" s="1422">
        <v>111826</v>
      </c>
      <c r="BO103" s="1420">
        <v>1941.93</v>
      </c>
      <c r="BP103" s="1422">
        <v>0</v>
      </c>
      <c r="BQ103" s="1420">
        <v>9749.51</v>
      </c>
      <c r="BR103" s="1420">
        <v>10833.22</v>
      </c>
      <c r="BS103" s="1420">
        <v>1678.1</v>
      </c>
      <c r="BT103" s="1422">
        <v>16000</v>
      </c>
      <c r="BU103" s="1422">
        <v>0</v>
      </c>
      <c r="BV103" s="1422">
        <v>0</v>
      </c>
      <c r="BW103" s="1422">
        <v>97200</v>
      </c>
      <c r="BX103" s="1422">
        <v>97200</v>
      </c>
      <c r="BY103" s="1422">
        <v>0</v>
      </c>
      <c r="BZ103" s="1422">
        <v>0</v>
      </c>
      <c r="CA103" s="1420">
        <v>620952.35</v>
      </c>
      <c r="CB103" s="1422">
        <v>289080</v>
      </c>
      <c r="CC103" s="1420">
        <v>858379.89</v>
      </c>
      <c r="CD103" s="1420">
        <v>544176.22</v>
      </c>
      <c r="CE103" s="1420">
        <v>559383.12</v>
      </c>
      <c r="CF103" s="1420">
        <v>383359.52</v>
      </c>
      <c r="CG103" s="1420">
        <v>21379.85</v>
      </c>
      <c r="CH103" s="1422">
        <v>0</v>
      </c>
      <c r="CI103" s="1422">
        <v>0</v>
      </c>
      <c r="CJ103" s="1422">
        <v>0</v>
      </c>
      <c r="CK103" s="1422">
        <v>0</v>
      </c>
      <c r="CL103" s="1422">
        <v>0</v>
      </c>
      <c r="CM103" s="1422">
        <v>0</v>
      </c>
      <c r="CN103" s="1422">
        <v>0</v>
      </c>
      <c r="CO103" s="1420">
        <v>5875.87</v>
      </c>
      <c r="CP103" s="1422">
        <v>0</v>
      </c>
      <c r="CQ103" s="1422">
        <v>0</v>
      </c>
      <c r="CR103" s="1422">
        <v>0</v>
      </c>
      <c r="CS103" s="1420">
        <v>27255.72</v>
      </c>
      <c r="CT103" s="1422">
        <v>0</v>
      </c>
      <c r="CU103" s="1420">
        <v>4926723.26</v>
      </c>
      <c r="CV103" s="1420">
        <v>4328646.0599999996</v>
      </c>
      <c r="CW103" s="1420">
        <v>1939584.34</v>
      </c>
      <c r="CX103" s="1420">
        <v>1773927.62</v>
      </c>
      <c r="CY103" s="1420">
        <v>224144.25</v>
      </c>
      <c r="CZ103" s="1422">
        <v>207898</v>
      </c>
      <c r="DA103" s="1420">
        <v>170546.34</v>
      </c>
      <c r="DB103" s="1420">
        <v>167942.67</v>
      </c>
      <c r="DC103" s="1422">
        <v>0</v>
      </c>
      <c r="DD103" s="1422">
        <v>0</v>
      </c>
      <c r="DE103" s="1420">
        <v>70325.279999999999</v>
      </c>
      <c r="DF103" s="1420">
        <v>77403.070000000007</v>
      </c>
      <c r="DG103" s="1420">
        <v>46541.18</v>
      </c>
      <c r="DH103" s="1420">
        <v>45603.71</v>
      </c>
      <c r="DI103" s="1420">
        <v>2451141.39</v>
      </c>
      <c r="DJ103" s="1420">
        <v>2272775.0699999998</v>
      </c>
      <c r="DK103" s="1420">
        <v>148417.32</v>
      </c>
      <c r="DL103" s="1420">
        <v>137558.16</v>
      </c>
      <c r="DM103" s="1420">
        <v>97942.76</v>
      </c>
      <c r="DN103" s="1420">
        <v>102392.89</v>
      </c>
      <c r="DO103" s="1420">
        <v>418849.77</v>
      </c>
      <c r="DP103" s="1420">
        <v>673700.2</v>
      </c>
      <c r="DQ103" s="1420">
        <v>226528.32</v>
      </c>
      <c r="DR103" s="1420">
        <v>133636.49</v>
      </c>
      <c r="DS103" s="1420">
        <v>3093.79</v>
      </c>
      <c r="DT103" s="1422">
        <v>6300</v>
      </c>
      <c r="DU103" s="1420">
        <v>894831.96</v>
      </c>
      <c r="DV103" s="1420">
        <v>1053587.74</v>
      </c>
      <c r="DW103" s="1420">
        <v>221289.37</v>
      </c>
      <c r="DX103" s="1420">
        <v>257113.79</v>
      </c>
      <c r="DY103" s="1420">
        <v>200123.41</v>
      </c>
      <c r="DZ103" s="1420">
        <v>202580.49</v>
      </c>
      <c r="EA103" s="1420">
        <v>183879.26</v>
      </c>
      <c r="EB103" s="1420">
        <v>134812.04</v>
      </c>
      <c r="EC103" s="1420">
        <v>605292.04</v>
      </c>
      <c r="ED103" s="1420">
        <v>594506.31999999995</v>
      </c>
      <c r="EE103" s="1420">
        <v>208203.59</v>
      </c>
      <c r="EF103" s="1420">
        <v>208608.63</v>
      </c>
      <c r="EG103" s="1422">
        <v>0</v>
      </c>
      <c r="EH103" s="1422">
        <v>0</v>
      </c>
      <c r="EI103" s="1420">
        <v>357.34</v>
      </c>
      <c r="EJ103" s="1422">
        <v>1000</v>
      </c>
      <c r="EK103" s="1422">
        <v>0</v>
      </c>
      <c r="EL103" s="1422">
        <v>0</v>
      </c>
      <c r="EM103" s="1420">
        <v>208560.93</v>
      </c>
      <c r="EN103" s="1420">
        <v>209608.63</v>
      </c>
      <c r="EO103" s="1420">
        <v>794935.69</v>
      </c>
      <c r="EP103" s="1422">
        <v>0</v>
      </c>
      <c r="EQ103" s="1420">
        <v>290161.26</v>
      </c>
      <c r="ER103" s="1422">
        <v>295467</v>
      </c>
      <c r="ES103" s="1422">
        <v>0</v>
      </c>
      <c r="ET103" s="1422">
        <v>0</v>
      </c>
      <c r="EU103" s="1420">
        <v>5244923.2699999996</v>
      </c>
      <c r="EV103" s="1420">
        <v>4425944.76</v>
      </c>
      <c r="EW103" s="1420">
        <v>923262.39</v>
      </c>
      <c r="EX103" s="1420">
        <v>19146.38</v>
      </c>
      <c r="EY103" s="1420">
        <v>290161.26</v>
      </c>
      <c r="EZ103" s="1422">
        <v>295467</v>
      </c>
      <c r="FA103" s="1420">
        <v>4031499.62</v>
      </c>
      <c r="FB103" s="1420">
        <v>4111331.38</v>
      </c>
      <c r="FC103" s="1420">
        <v>392819.48</v>
      </c>
      <c r="FD103" s="1439"/>
      <c r="FE103" s="1420">
        <v>3638680.14</v>
      </c>
      <c r="FF103" s="1439"/>
      <c r="FG103" s="1422">
        <v>8293</v>
      </c>
      <c r="FH103" s="1439"/>
      <c r="FI103" s="1420">
        <v>32.049999999999997</v>
      </c>
      <c r="FJ103" s="1439"/>
      <c r="FK103" s="1422">
        <v>39454</v>
      </c>
      <c r="FL103" s="1439"/>
      <c r="FM103" s="1420">
        <v>35.549999999999997</v>
      </c>
      <c r="FN103" s="1439"/>
      <c r="FO103" s="1422">
        <v>41662</v>
      </c>
      <c r="FP103" s="1439"/>
      <c r="FQ103" s="1420">
        <v>208264.53</v>
      </c>
      <c r="FR103" s="1439"/>
      <c r="FS103" s="1420">
        <v>416.21</v>
      </c>
      <c r="FT103" s="1439"/>
      <c r="FU103" s="1422">
        <v>0</v>
      </c>
      <c r="FV103" s="1439"/>
      <c r="FW103" s="1420">
        <v>207848.32000000001</v>
      </c>
      <c r="FX103" s="1439"/>
      <c r="FY103" s="1420">
        <v>862619.73</v>
      </c>
      <c r="FZ103" s="1439"/>
      <c r="GA103" s="1422">
        <v>0</v>
      </c>
      <c r="GB103" s="1439"/>
    </row>
    <row r="104" spans="1:184" ht="12.75" customHeight="1" thickBot="1">
      <c r="A104" s="1418" t="s">
        <v>432</v>
      </c>
      <c r="B104" s="1418" t="s">
        <v>433</v>
      </c>
      <c r="C104" s="1420">
        <v>227.68</v>
      </c>
      <c r="D104" s="1439"/>
      <c r="E104" s="1420">
        <v>514.19000000000005</v>
      </c>
      <c r="F104" s="1439"/>
      <c r="G104" s="1421">
        <v>-0.01</v>
      </c>
      <c r="H104" s="1439"/>
      <c r="I104" s="1420">
        <v>543.46</v>
      </c>
      <c r="J104" s="1439"/>
      <c r="K104" s="1420">
        <v>513.5</v>
      </c>
      <c r="L104" s="1439"/>
      <c r="M104" s="1422">
        <v>36102616</v>
      </c>
      <c r="N104" s="1439"/>
      <c r="O104" s="1422">
        <v>32</v>
      </c>
      <c r="P104" s="1439"/>
      <c r="Q104" s="1422">
        <v>25</v>
      </c>
      <c r="R104" s="1439"/>
      <c r="S104" s="1422">
        <v>7</v>
      </c>
      <c r="T104" s="1439"/>
      <c r="U104" s="1422">
        <v>0</v>
      </c>
      <c r="V104" s="1439"/>
      <c r="W104" s="1422">
        <v>11</v>
      </c>
      <c r="X104" s="1439"/>
      <c r="Y104" s="1422">
        <v>43</v>
      </c>
      <c r="Z104" s="1439"/>
      <c r="AA104" s="1422">
        <v>3223920</v>
      </c>
      <c r="AB104" s="1439"/>
      <c r="AC104" s="1420">
        <v>1432205.55</v>
      </c>
      <c r="AD104" s="1422">
        <v>1514663</v>
      </c>
      <c r="AE104" s="1420">
        <v>372336.3</v>
      </c>
      <c r="AF104" s="1422">
        <v>285700</v>
      </c>
      <c r="AG104" s="1422">
        <v>0</v>
      </c>
      <c r="AH104" s="1422">
        <v>0</v>
      </c>
      <c r="AI104" s="1422">
        <v>2225096</v>
      </c>
      <c r="AJ104" s="1422">
        <v>2461172</v>
      </c>
      <c r="AK104" s="1422">
        <v>32188</v>
      </c>
      <c r="AL104" s="1422">
        <v>0</v>
      </c>
      <c r="AM104" s="1422">
        <v>180344</v>
      </c>
      <c r="AN104" s="1422">
        <v>0</v>
      </c>
      <c r="AO104" s="1422">
        <v>0</v>
      </c>
      <c r="AP104" s="1422">
        <v>0</v>
      </c>
      <c r="AQ104" s="1422">
        <v>0</v>
      </c>
      <c r="AR104" s="1422">
        <v>0</v>
      </c>
      <c r="AS104" s="1422">
        <v>0</v>
      </c>
      <c r="AT104" s="1422">
        <v>0</v>
      </c>
      <c r="AU104" s="1422">
        <v>0</v>
      </c>
      <c r="AV104" s="1422">
        <v>0</v>
      </c>
      <c r="AW104" s="1422">
        <v>0</v>
      </c>
      <c r="AX104" s="1422">
        <v>0</v>
      </c>
      <c r="AY104" s="1420">
        <v>4242169.8499999996</v>
      </c>
      <c r="AZ104" s="1422">
        <v>4261535</v>
      </c>
      <c r="BA104" s="1422">
        <v>0</v>
      </c>
      <c r="BB104" s="1422">
        <v>0</v>
      </c>
      <c r="BC104" s="1422">
        <v>21238</v>
      </c>
      <c r="BD104" s="1422">
        <v>23100</v>
      </c>
      <c r="BE104" s="1422">
        <v>0</v>
      </c>
      <c r="BF104" s="1422">
        <v>0</v>
      </c>
      <c r="BG104" s="1422">
        <v>200</v>
      </c>
      <c r="BH104" s="1422">
        <v>0</v>
      </c>
      <c r="BI104" s="1422">
        <v>813</v>
      </c>
      <c r="BJ104" s="1422">
        <v>30134</v>
      </c>
      <c r="BK104" s="1422">
        <v>5567</v>
      </c>
      <c r="BL104" s="1422">
        <v>5000</v>
      </c>
      <c r="BM104" s="1422">
        <v>150288</v>
      </c>
      <c r="BN104" s="1422">
        <v>151800</v>
      </c>
      <c r="BO104" s="1420">
        <v>25567.45</v>
      </c>
      <c r="BP104" s="1422">
        <v>0</v>
      </c>
      <c r="BQ104" s="1422">
        <v>3250</v>
      </c>
      <c r="BR104" s="1422">
        <v>0</v>
      </c>
      <c r="BS104" s="1420">
        <v>2285.48</v>
      </c>
      <c r="BT104" s="1422">
        <v>2400</v>
      </c>
      <c r="BU104" s="1422">
        <v>0</v>
      </c>
      <c r="BV104" s="1422">
        <v>0</v>
      </c>
      <c r="BW104" s="1422">
        <v>0</v>
      </c>
      <c r="BX104" s="1422">
        <v>0</v>
      </c>
      <c r="BY104" s="1422">
        <v>0</v>
      </c>
      <c r="BZ104" s="1422">
        <v>0</v>
      </c>
      <c r="CA104" s="1420">
        <v>163634.14000000001</v>
      </c>
      <c r="CB104" s="1422">
        <v>52159</v>
      </c>
      <c r="CC104" s="1420">
        <v>372843.07</v>
      </c>
      <c r="CD104" s="1422">
        <v>264593</v>
      </c>
      <c r="CE104" s="1420">
        <v>883265.57</v>
      </c>
      <c r="CF104" s="1422">
        <v>642716</v>
      </c>
      <c r="CG104" s="1422">
        <v>0</v>
      </c>
      <c r="CH104" s="1422">
        <v>0</v>
      </c>
      <c r="CI104" s="1422">
        <v>0</v>
      </c>
      <c r="CJ104" s="1422">
        <v>0</v>
      </c>
      <c r="CK104" s="1422">
        <v>0</v>
      </c>
      <c r="CL104" s="1422">
        <v>0</v>
      </c>
      <c r="CM104" s="1422">
        <v>500</v>
      </c>
      <c r="CN104" s="1422">
        <v>0</v>
      </c>
      <c r="CO104" s="1422">
        <v>0</v>
      </c>
      <c r="CP104" s="1422">
        <v>0</v>
      </c>
      <c r="CQ104" s="1422">
        <v>0</v>
      </c>
      <c r="CR104" s="1422">
        <v>0</v>
      </c>
      <c r="CS104" s="1422">
        <v>500</v>
      </c>
      <c r="CT104" s="1422">
        <v>0</v>
      </c>
      <c r="CU104" s="1420">
        <v>5498778.4900000002</v>
      </c>
      <c r="CV104" s="1422">
        <v>5168844</v>
      </c>
      <c r="CW104" s="1420">
        <v>2250415.36</v>
      </c>
      <c r="CX104" s="1420">
        <v>2045296.68</v>
      </c>
      <c r="CY104" s="1420">
        <v>314900.69</v>
      </c>
      <c r="CZ104" s="1420">
        <v>324367.21999999997</v>
      </c>
      <c r="DA104" s="1420">
        <v>217106.64</v>
      </c>
      <c r="DB104" s="1420">
        <v>216028.54</v>
      </c>
      <c r="DC104" s="1422">
        <v>0</v>
      </c>
      <c r="DD104" s="1422">
        <v>0</v>
      </c>
      <c r="DE104" s="1422">
        <v>212468</v>
      </c>
      <c r="DF104" s="1420">
        <v>185231.69</v>
      </c>
      <c r="DG104" s="1420">
        <v>195410.02</v>
      </c>
      <c r="DH104" s="1420">
        <v>187616.57</v>
      </c>
      <c r="DI104" s="1420">
        <v>3190300.71</v>
      </c>
      <c r="DJ104" s="1420">
        <v>2958540.7</v>
      </c>
      <c r="DK104" s="1420">
        <v>165485.73000000001</v>
      </c>
      <c r="DL104" s="1420">
        <v>159900.85</v>
      </c>
      <c r="DM104" s="1420">
        <v>66707.429999999993</v>
      </c>
      <c r="DN104" s="1420">
        <v>54005.3</v>
      </c>
      <c r="DO104" s="1420">
        <v>415545.54</v>
      </c>
      <c r="DP104" s="1420">
        <v>408814.3</v>
      </c>
      <c r="DQ104" s="1420">
        <v>270302.03999999998</v>
      </c>
      <c r="DR104" s="1420">
        <v>282249.46000000002</v>
      </c>
      <c r="DS104" s="1422">
        <v>0</v>
      </c>
      <c r="DT104" s="1422">
        <v>0</v>
      </c>
      <c r="DU104" s="1420">
        <v>918040.74</v>
      </c>
      <c r="DV104" s="1420">
        <v>904969.91</v>
      </c>
      <c r="DW104" s="1420">
        <v>215975.92</v>
      </c>
      <c r="DX104" s="1420">
        <v>208888.05</v>
      </c>
      <c r="DY104" s="1420">
        <v>171878.37</v>
      </c>
      <c r="DZ104" s="1420">
        <v>204345.64</v>
      </c>
      <c r="EA104" s="1420">
        <v>124389.45</v>
      </c>
      <c r="EB104" s="1420">
        <v>127611.08</v>
      </c>
      <c r="EC104" s="1420">
        <v>512243.74</v>
      </c>
      <c r="ED104" s="1420">
        <v>540844.77</v>
      </c>
      <c r="EE104" s="1420">
        <v>338418.7</v>
      </c>
      <c r="EF104" s="1420">
        <v>359051.53</v>
      </c>
      <c r="EG104" s="1422">
        <v>0</v>
      </c>
      <c r="EH104" s="1422">
        <v>0</v>
      </c>
      <c r="EI104" s="1422">
        <v>0</v>
      </c>
      <c r="EJ104" s="1422">
        <v>5188</v>
      </c>
      <c r="EK104" s="1422">
        <v>0</v>
      </c>
      <c r="EL104" s="1422">
        <v>0</v>
      </c>
      <c r="EM104" s="1420">
        <v>338418.7</v>
      </c>
      <c r="EN104" s="1420">
        <v>364239.53</v>
      </c>
      <c r="EO104" s="1420">
        <v>485264.07</v>
      </c>
      <c r="EP104" s="1422">
        <v>0</v>
      </c>
      <c r="EQ104" s="1420">
        <v>401981.97</v>
      </c>
      <c r="ER104" s="1420">
        <v>267014.53999999998</v>
      </c>
      <c r="ES104" s="1422">
        <v>0</v>
      </c>
      <c r="ET104" s="1422">
        <v>0</v>
      </c>
      <c r="EU104" s="1420">
        <v>5846249.9299999997</v>
      </c>
      <c r="EV104" s="1420">
        <v>5035609.45</v>
      </c>
      <c r="EW104" s="1420">
        <v>584862.06999999995</v>
      </c>
      <c r="EX104" s="1422">
        <v>109162</v>
      </c>
      <c r="EY104" s="1420">
        <v>401981.97</v>
      </c>
      <c r="EZ104" s="1420">
        <v>267014.53999999998</v>
      </c>
      <c r="FA104" s="1420">
        <v>4859405.8899999997</v>
      </c>
      <c r="FB104" s="1420">
        <v>4659432.91</v>
      </c>
      <c r="FC104" s="1420">
        <v>291170.2</v>
      </c>
      <c r="FD104" s="1439"/>
      <c r="FE104" s="1420">
        <v>4568235.6900000004</v>
      </c>
      <c r="FF104" s="1439"/>
      <c r="FG104" s="1422">
        <v>8884</v>
      </c>
      <c r="FH104" s="1439"/>
      <c r="FI104" s="1420">
        <v>48.32</v>
      </c>
      <c r="FJ104" s="1439"/>
      <c r="FK104" s="1422">
        <v>40530</v>
      </c>
      <c r="FL104" s="1439"/>
      <c r="FM104" s="1420">
        <v>50.58</v>
      </c>
      <c r="FN104" s="1439"/>
      <c r="FO104" s="1422">
        <v>41771</v>
      </c>
      <c r="FP104" s="1439"/>
      <c r="FQ104" s="1420">
        <v>837663.51</v>
      </c>
      <c r="FR104" s="1439"/>
      <c r="FS104" s="1420">
        <v>4240.9399999999996</v>
      </c>
      <c r="FT104" s="1439"/>
      <c r="FU104" s="1422">
        <v>0</v>
      </c>
      <c r="FV104" s="1439"/>
      <c r="FW104" s="1420">
        <v>833422.57</v>
      </c>
      <c r="FX104" s="1439"/>
      <c r="FY104" s="1422">
        <v>0</v>
      </c>
      <c r="FZ104" s="1439"/>
      <c r="GA104" s="1422">
        <v>0</v>
      </c>
      <c r="GB104" s="1439"/>
    </row>
    <row r="105" spans="1:184" ht="12.75" customHeight="1" thickBot="1">
      <c r="A105" s="1418" t="s">
        <v>434</v>
      </c>
      <c r="B105" s="1418" t="s">
        <v>435</v>
      </c>
      <c r="C105" s="1420">
        <v>263.51</v>
      </c>
      <c r="D105" s="1439"/>
      <c r="E105" s="1420">
        <v>467.78</v>
      </c>
      <c r="F105" s="1439"/>
      <c r="G105" s="1421">
        <v>-0.21</v>
      </c>
      <c r="H105" s="1439"/>
      <c r="I105" s="1420">
        <v>478.73</v>
      </c>
      <c r="J105" s="1439"/>
      <c r="K105" s="1420">
        <v>498.78</v>
      </c>
      <c r="L105" s="1439"/>
      <c r="M105" s="1422">
        <v>57839673</v>
      </c>
      <c r="N105" s="1439"/>
      <c r="O105" s="1422">
        <v>25</v>
      </c>
      <c r="P105" s="1439"/>
      <c r="Q105" s="1422">
        <v>25</v>
      </c>
      <c r="R105" s="1439"/>
      <c r="S105" s="1422">
        <v>0</v>
      </c>
      <c r="T105" s="1439"/>
      <c r="U105" s="1422">
        <v>0</v>
      </c>
      <c r="V105" s="1439"/>
      <c r="W105" s="1422">
        <v>9</v>
      </c>
      <c r="X105" s="1439"/>
      <c r="Y105" s="1422">
        <v>34</v>
      </c>
      <c r="Z105" s="1439"/>
      <c r="AA105" s="1420">
        <v>3489442.65</v>
      </c>
      <c r="AB105" s="1439"/>
      <c r="AC105" s="1420">
        <v>1634618.03</v>
      </c>
      <c r="AD105" s="1422">
        <v>2423960</v>
      </c>
      <c r="AE105" s="1420">
        <v>297956.86</v>
      </c>
      <c r="AF105" s="1422">
        <v>137959</v>
      </c>
      <c r="AG105" s="1422">
        <v>0</v>
      </c>
      <c r="AH105" s="1422">
        <v>0</v>
      </c>
      <c r="AI105" s="1422">
        <v>1825580</v>
      </c>
      <c r="AJ105" s="1422">
        <v>1520363</v>
      </c>
      <c r="AK105" s="1422">
        <v>51269</v>
      </c>
      <c r="AL105" s="1422">
        <v>0</v>
      </c>
      <c r="AM105" s="1422">
        <v>0</v>
      </c>
      <c r="AN105" s="1422">
        <v>0</v>
      </c>
      <c r="AO105" s="1422">
        <v>0</v>
      </c>
      <c r="AP105" s="1422">
        <v>55511</v>
      </c>
      <c r="AQ105" s="1422">
        <v>0</v>
      </c>
      <c r="AR105" s="1422">
        <v>0</v>
      </c>
      <c r="AS105" s="1422">
        <v>205014</v>
      </c>
      <c r="AT105" s="1422">
        <v>0</v>
      </c>
      <c r="AU105" s="1422">
        <v>26875</v>
      </c>
      <c r="AV105" s="1422">
        <v>21500</v>
      </c>
      <c r="AW105" s="1422">
        <v>0</v>
      </c>
      <c r="AX105" s="1422">
        <v>0</v>
      </c>
      <c r="AY105" s="1420">
        <v>4041312.89</v>
      </c>
      <c r="AZ105" s="1422">
        <v>4159293</v>
      </c>
      <c r="BA105" s="1422">
        <v>0</v>
      </c>
      <c r="BB105" s="1422">
        <v>0</v>
      </c>
      <c r="BC105" s="1422">
        <v>20630</v>
      </c>
      <c r="BD105" s="1422">
        <v>20372</v>
      </c>
      <c r="BE105" s="1420">
        <v>297204.96999999997</v>
      </c>
      <c r="BF105" s="1422">
        <v>125000</v>
      </c>
      <c r="BG105" s="1422">
        <v>50</v>
      </c>
      <c r="BH105" s="1422">
        <v>0</v>
      </c>
      <c r="BI105" s="1422">
        <v>0</v>
      </c>
      <c r="BJ105" s="1422">
        <v>0</v>
      </c>
      <c r="BK105" s="1422">
        <v>1465</v>
      </c>
      <c r="BL105" s="1422">
        <v>0</v>
      </c>
      <c r="BM105" s="1422">
        <v>436480</v>
      </c>
      <c r="BN105" s="1422">
        <v>663366</v>
      </c>
      <c r="BO105" s="1420">
        <v>5891.34</v>
      </c>
      <c r="BP105" s="1422">
        <v>0</v>
      </c>
      <c r="BQ105" s="1422">
        <v>0</v>
      </c>
      <c r="BR105" s="1422">
        <v>0</v>
      </c>
      <c r="BS105" s="1420">
        <v>2331.0100000000002</v>
      </c>
      <c r="BT105" s="1422">
        <v>2331</v>
      </c>
      <c r="BU105" s="1422">
        <v>0</v>
      </c>
      <c r="BV105" s="1422">
        <v>0</v>
      </c>
      <c r="BW105" s="1422">
        <v>230633</v>
      </c>
      <c r="BX105" s="1422">
        <v>230633</v>
      </c>
      <c r="BY105" s="1422">
        <v>0</v>
      </c>
      <c r="BZ105" s="1422">
        <v>0</v>
      </c>
      <c r="CA105" s="1420">
        <v>18569.099999999999</v>
      </c>
      <c r="CB105" s="1422">
        <v>7289</v>
      </c>
      <c r="CC105" s="1420">
        <v>1013254.42</v>
      </c>
      <c r="CD105" s="1422">
        <v>1048991</v>
      </c>
      <c r="CE105" s="1420">
        <v>1257644.93</v>
      </c>
      <c r="CF105" s="1420">
        <v>1058809.57</v>
      </c>
      <c r="CG105" s="1420">
        <v>1002425.6</v>
      </c>
      <c r="CH105" s="1422">
        <v>0</v>
      </c>
      <c r="CI105" s="1422">
        <v>0</v>
      </c>
      <c r="CJ105" s="1422">
        <v>0</v>
      </c>
      <c r="CK105" s="1422">
        <v>0</v>
      </c>
      <c r="CL105" s="1422">
        <v>0</v>
      </c>
      <c r="CM105" s="1422">
        <v>500</v>
      </c>
      <c r="CN105" s="1422">
        <v>0</v>
      </c>
      <c r="CO105" s="1420">
        <v>10290.73</v>
      </c>
      <c r="CP105" s="1422">
        <v>0</v>
      </c>
      <c r="CQ105" s="1422">
        <v>0</v>
      </c>
      <c r="CR105" s="1422">
        <v>0</v>
      </c>
      <c r="CS105" s="1420">
        <v>1013216.33</v>
      </c>
      <c r="CT105" s="1422">
        <v>0</v>
      </c>
      <c r="CU105" s="1420">
        <v>7325428.5700000003</v>
      </c>
      <c r="CV105" s="1420">
        <v>6267093.5700000003</v>
      </c>
      <c r="CW105" s="1420">
        <v>2426115.92</v>
      </c>
      <c r="CX105" s="1420">
        <v>2157706.2000000002</v>
      </c>
      <c r="CY105" s="1420">
        <v>287230.98</v>
      </c>
      <c r="CZ105" s="1420">
        <v>259200.07</v>
      </c>
      <c r="DA105" s="1420">
        <v>210794.33</v>
      </c>
      <c r="DB105" s="1420">
        <v>218245.97</v>
      </c>
      <c r="DC105" s="1422">
        <v>0</v>
      </c>
      <c r="DD105" s="1422">
        <v>0</v>
      </c>
      <c r="DE105" s="1420">
        <v>281548.38</v>
      </c>
      <c r="DF105" s="1420">
        <v>235887.96</v>
      </c>
      <c r="DG105" s="1420">
        <v>127709.09</v>
      </c>
      <c r="DH105" s="1420">
        <v>173349.9</v>
      </c>
      <c r="DI105" s="1420">
        <v>3333398.7</v>
      </c>
      <c r="DJ105" s="1420">
        <v>3044390.1</v>
      </c>
      <c r="DK105" s="1420">
        <v>163331.76999999999</v>
      </c>
      <c r="DL105" s="1420">
        <v>172824.49</v>
      </c>
      <c r="DM105" s="1420">
        <v>150735.67000000001</v>
      </c>
      <c r="DN105" s="1420">
        <v>275637.73</v>
      </c>
      <c r="DO105" s="1420">
        <v>572513.52</v>
      </c>
      <c r="DP105" s="1420">
        <v>574897.51</v>
      </c>
      <c r="DQ105" s="1420">
        <v>340789.53</v>
      </c>
      <c r="DR105" s="1420">
        <v>232185.2</v>
      </c>
      <c r="DS105" s="1420">
        <v>8408.34</v>
      </c>
      <c r="DT105" s="1422">
        <v>500</v>
      </c>
      <c r="DU105" s="1420">
        <v>1235778.83</v>
      </c>
      <c r="DV105" s="1420">
        <v>1256044.93</v>
      </c>
      <c r="DW105" s="1420">
        <v>172085.82</v>
      </c>
      <c r="DX105" s="1420">
        <v>188816.39</v>
      </c>
      <c r="DY105" s="1420">
        <v>547585.98</v>
      </c>
      <c r="DZ105" s="1420">
        <v>680559.76</v>
      </c>
      <c r="EA105" s="1420">
        <v>247063.6</v>
      </c>
      <c r="EB105" s="1420">
        <v>217156.2</v>
      </c>
      <c r="EC105" s="1420">
        <v>966735.4</v>
      </c>
      <c r="ED105" s="1420">
        <v>1086532.3500000001</v>
      </c>
      <c r="EE105" s="1420">
        <v>282492.74</v>
      </c>
      <c r="EF105" s="1420">
        <v>141798.21</v>
      </c>
      <c r="EG105" s="1422">
        <v>0</v>
      </c>
      <c r="EH105" s="1422">
        <v>0</v>
      </c>
      <c r="EI105" s="1422">
        <v>0</v>
      </c>
      <c r="EJ105" s="1422">
        <v>5065</v>
      </c>
      <c r="EK105" s="1422">
        <v>0</v>
      </c>
      <c r="EL105" s="1422">
        <v>0</v>
      </c>
      <c r="EM105" s="1420">
        <v>282492.74</v>
      </c>
      <c r="EN105" s="1420">
        <v>146863.21</v>
      </c>
      <c r="EO105" s="1420">
        <v>543383.32999999996</v>
      </c>
      <c r="EP105" s="1422">
        <v>0</v>
      </c>
      <c r="EQ105" s="1420">
        <v>193607.17</v>
      </c>
      <c r="ER105" s="1422">
        <v>335623</v>
      </c>
      <c r="ES105" s="1422">
        <v>0</v>
      </c>
      <c r="ET105" s="1422">
        <v>0</v>
      </c>
      <c r="EU105" s="1420">
        <v>6555396.1699999999</v>
      </c>
      <c r="EV105" s="1420">
        <v>5869453.5899999999</v>
      </c>
      <c r="EW105" s="1420">
        <v>804236.37</v>
      </c>
      <c r="EX105" s="1420">
        <v>87469.58</v>
      </c>
      <c r="EY105" s="1420">
        <v>193607.17</v>
      </c>
      <c r="EZ105" s="1422">
        <v>335623</v>
      </c>
      <c r="FA105" s="1420">
        <v>5557552.6299999999</v>
      </c>
      <c r="FB105" s="1420">
        <v>5446361.0099999998</v>
      </c>
      <c r="FC105" s="1420">
        <v>366148.88</v>
      </c>
      <c r="FD105" s="1439"/>
      <c r="FE105" s="1420">
        <v>5191403.75</v>
      </c>
      <c r="FF105" s="1439"/>
      <c r="FG105" s="1422">
        <v>11097</v>
      </c>
      <c r="FH105" s="1439"/>
      <c r="FI105" s="1420">
        <v>42.33</v>
      </c>
      <c r="FJ105" s="1439"/>
      <c r="FK105" s="1422">
        <v>45202</v>
      </c>
      <c r="FL105" s="1439"/>
      <c r="FM105" s="1420">
        <v>49.91</v>
      </c>
      <c r="FN105" s="1439"/>
      <c r="FO105" s="1422">
        <v>48703</v>
      </c>
      <c r="FP105" s="1439"/>
      <c r="FQ105" s="1420">
        <v>997637.32</v>
      </c>
      <c r="FR105" s="1439"/>
      <c r="FS105" s="1420">
        <v>48683.87</v>
      </c>
      <c r="FT105" s="1439"/>
      <c r="FU105" s="1422">
        <v>0</v>
      </c>
      <c r="FV105" s="1439"/>
      <c r="FW105" s="1420">
        <v>948953.45</v>
      </c>
      <c r="FX105" s="1439"/>
      <c r="FY105" s="1420">
        <v>785166.03</v>
      </c>
      <c r="FZ105" s="1439"/>
      <c r="GA105" s="1422">
        <v>0</v>
      </c>
      <c r="GB105" s="1439"/>
    </row>
    <row r="106" spans="1:184" ht="12.75" customHeight="1" thickBot="1">
      <c r="A106" s="1418" t="s">
        <v>436</v>
      </c>
      <c r="B106" s="1418" t="s">
        <v>437</v>
      </c>
      <c r="C106" s="1420">
        <v>237.09</v>
      </c>
      <c r="D106" s="1439"/>
      <c r="E106" s="1420">
        <v>1864.65</v>
      </c>
      <c r="F106" s="1439"/>
      <c r="G106" s="1421">
        <v>0.06</v>
      </c>
      <c r="H106" s="1439"/>
      <c r="I106" s="1420">
        <v>1938.51</v>
      </c>
      <c r="J106" s="1439"/>
      <c r="K106" s="1420">
        <v>1902.16</v>
      </c>
      <c r="L106" s="1439"/>
      <c r="M106" s="1422">
        <v>126391513</v>
      </c>
      <c r="N106" s="1439"/>
      <c r="O106" s="1422">
        <v>25</v>
      </c>
      <c r="P106" s="1439"/>
      <c r="Q106" s="1422">
        <v>25</v>
      </c>
      <c r="R106" s="1439"/>
      <c r="S106" s="1422">
        <v>0</v>
      </c>
      <c r="T106" s="1439"/>
      <c r="U106" s="1422">
        <v>0</v>
      </c>
      <c r="V106" s="1439"/>
      <c r="W106" s="1420">
        <v>6.7</v>
      </c>
      <c r="X106" s="1439"/>
      <c r="Y106" s="1420">
        <v>31.7</v>
      </c>
      <c r="Z106" s="1439"/>
      <c r="AA106" s="1420">
        <v>3122788.9</v>
      </c>
      <c r="AB106" s="1439"/>
      <c r="AC106" s="1420">
        <v>3897846.31</v>
      </c>
      <c r="AD106" s="1422">
        <v>3901074</v>
      </c>
      <c r="AE106" s="1420">
        <v>836140.74</v>
      </c>
      <c r="AF106" s="1422">
        <v>353340</v>
      </c>
      <c r="AG106" s="1422">
        <v>0</v>
      </c>
      <c r="AH106" s="1422">
        <v>0</v>
      </c>
      <c r="AI106" s="1422">
        <v>8396051</v>
      </c>
      <c r="AJ106" s="1422">
        <v>8836903</v>
      </c>
      <c r="AK106" s="1422">
        <v>99508</v>
      </c>
      <c r="AL106" s="1422">
        <v>0</v>
      </c>
      <c r="AM106" s="1422">
        <v>264362</v>
      </c>
      <c r="AN106" s="1422">
        <v>0</v>
      </c>
      <c r="AO106" s="1422">
        <v>0</v>
      </c>
      <c r="AP106" s="1422">
        <v>0</v>
      </c>
      <c r="AQ106" s="1422">
        <v>0</v>
      </c>
      <c r="AR106" s="1422">
        <v>0</v>
      </c>
      <c r="AS106" s="1422">
        <v>0</v>
      </c>
      <c r="AT106" s="1422">
        <v>0</v>
      </c>
      <c r="AU106" s="1422">
        <v>0</v>
      </c>
      <c r="AV106" s="1422">
        <v>0</v>
      </c>
      <c r="AW106" s="1422">
        <v>0</v>
      </c>
      <c r="AX106" s="1422">
        <v>0</v>
      </c>
      <c r="AY106" s="1420">
        <v>13493908.050000001</v>
      </c>
      <c r="AZ106" s="1422">
        <v>13091317</v>
      </c>
      <c r="BA106" s="1422">
        <v>0</v>
      </c>
      <c r="BB106" s="1422">
        <v>0</v>
      </c>
      <c r="BC106" s="1422">
        <v>78673</v>
      </c>
      <c r="BD106" s="1422">
        <v>82364</v>
      </c>
      <c r="BE106" s="1420">
        <v>2338.4</v>
      </c>
      <c r="BF106" s="1422">
        <v>0</v>
      </c>
      <c r="BG106" s="1422">
        <v>50</v>
      </c>
      <c r="BH106" s="1422">
        <v>0</v>
      </c>
      <c r="BI106" s="1422">
        <v>137329</v>
      </c>
      <c r="BJ106" s="1422">
        <v>148971</v>
      </c>
      <c r="BK106" s="1422">
        <v>64460</v>
      </c>
      <c r="BL106" s="1422">
        <v>65780</v>
      </c>
      <c r="BM106" s="1422">
        <v>615536</v>
      </c>
      <c r="BN106" s="1422">
        <v>630982</v>
      </c>
      <c r="BO106" s="1420">
        <v>103302.39999999999</v>
      </c>
      <c r="BP106" s="1422">
        <v>85000</v>
      </c>
      <c r="BQ106" s="1420">
        <v>51458.559999999998</v>
      </c>
      <c r="BR106" s="1422">
        <v>48750</v>
      </c>
      <c r="BS106" s="1420">
        <v>8271.7199999999993</v>
      </c>
      <c r="BT106" s="1422">
        <v>8300</v>
      </c>
      <c r="BU106" s="1422">
        <v>0</v>
      </c>
      <c r="BV106" s="1422">
        <v>0</v>
      </c>
      <c r="BW106" s="1422">
        <v>0</v>
      </c>
      <c r="BX106" s="1422">
        <v>0</v>
      </c>
      <c r="BY106" s="1422">
        <v>0</v>
      </c>
      <c r="BZ106" s="1422">
        <v>0</v>
      </c>
      <c r="CA106" s="1422">
        <v>108296</v>
      </c>
      <c r="CB106" s="1422">
        <v>106651</v>
      </c>
      <c r="CC106" s="1420">
        <v>1169715.08</v>
      </c>
      <c r="CD106" s="1422">
        <v>1176798</v>
      </c>
      <c r="CE106" s="1420">
        <v>2920225.06</v>
      </c>
      <c r="CF106" s="1420">
        <v>2461841.6800000002</v>
      </c>
      <c r="CG106" s="1422">
        <v>258600</v>
      </c>
      <c r="CH106" s="1422">
        <v>0</v>
      </c>
      <c r="CI106" s="1422">
        <v>0</v>
      </c>
      <c r="CJ106" s="1422">
        <v>0</v>
      </c>
      <c r="CK106" s="1420">
        <v>6663.94</v>
      </c>
      <c r="CL106" s="1422">
        <v>0</v>
      </c>
      <c r="CM106" s="1422">
        <v>0</v>
      </c>
      <c r="CN106" s="1422">
        <v>0</v>
      </c>
      <c r="CO106" s="1422">
        <v>0</v>
      </c>
      <c r="CP106" s="1422">
        <v>0</v>
      </c>
      <c r="CQ106" s="1422">
        <v>0</v>
      </c>
      <c r="CR106" s="1422">
        <v>0</v>
      </c>
      <c r="CS106" s="1420">
        <v>265263.94</v>
      </c>
      <c r="CT106" s="1422">
        <v>0</v>
      </c>
      <c r="CU106" s="1420">
        <v>17849112.129999999</v>
      </c>
      <c r="CV106" s="1420">
        <v>16729956.68</v>
      </c>
      <c r="CW106" s="1420">
        <v>7032633.3499999996</v>
      </c>
      <c r="CX106" s="1420">
        <v>7008826.0800000001</v>
      </c>
      <c r="CY106" s="1420">
        <v>1191915.6100000001</v>
      </c>
      <c r="CZ106" s="1420">
        <v>1144036.6599999999</v>
      </c>
      <c r="DA106" s="1420">
        <v>853461.73</v>
      </c>
      <c r="DB106" s="1420">
        <v>808795.96</v>
      </c>
      <c r="DC106" s="1422">
        <v>0</v>
      </c>
      <c r="DD106" s="1422">
        <v>0</v>
      </c>
      <c r="DE106" s="1420">
        <v>493191.37</v>
      </c>
      <c r="DF106" s="1422">
        <v>418161</v>
      </c>
      <c r="DG106" s="1420">
        <v>438756.53</v>
      </c>
      <c r="DH106" s="1420">
        <v>464755.31</v>
      </c>
      <c r="DI106" s="1420">
        <v>10009958.59</v>
      </c>
      <c r="DJ106" s="1420">
        <v>9844575.0099999998</v>
      </c>
      <c r="DK106" s="1420">
        <v>339223.96</v>
      </c>
      <c r="DL106" s="1420">
        <v>375693.76</v>
      </c>
      <c r="DM106" s="1420">
        <v>258381.52</v>
      </c>
      <c r="DN106" s="1420">
        <v>195011.87</v>
      </c>
      <c r="DO106" s="1420">
        <v>1103650.31</v>
      </c>
      <c r="DP106" s="1420">
        <v>1147263.6399999999</v>
      </c>
      <c r="DQ106" s="1420">
        <v>734773.12</v>
      </c>
      <c r="DR106" s="1420">
        <v>537775.16</v>
      </c>
      <c r="DS106" s="1420">
        <v>29812.83</v>
      </c>
      <c r="DT106" s="1422">
        <v>12500</v>
      </c>
      <c r="DU106" s="1420">
        <v>2465841.7400000002</v>
      </c>
      <c r="DV106" s="1420">
        <v>2268244.4300000002</v>
      </c>
      <c r="DW106" s="1420">
        <v>630314.31000000006</v>
      </c>
      <c r="DX106" s="1420">
        <v>668028.30000000005</v>
      </c>
      <c r="DY106" s="1420">
        <v>1152177.28</v>
      </c>
      <c r="DZ106" s="1420">
        <v>721277.35</v>
      </c>
      <c r="EA106" s="1420">
        <v>920588.22</v>
      </c>
      <c r="EB106" s="1420">
        <v>917420.21</v>
      </c>
      <c r="EC106" s="1420">
        <v>2703079.81</v>
      </c>
      <c r="ED106" s="1420">
        <v>2306725.86</v>
      </c>
      <c r="EE106" s="1420">
        <v>1096853.23</v>
      </c>
      <c r="EF106" s="1420">
        <v>1131735.99</v>
      </c>
      <c r="EG106" s="1420">
        <v>13766.06</v>
      </c>
      <c r="EH106" s="1422">
        <v>0</v>
      </c>
      <c r="EI106" s="1420">
        <v>35.119999999999997</v>
      </c>
      <c r="EJ106" s="1422">
        <v>1000</v>
      </c>
      <c r="EK106" s="1422">
        <v>0</v>
      </c>
      <c r="EL106" s="1422">
        <v>0</v>
      </c>
      <c r="EM106" s="1420">
        <v>1110654.4099999999</v>
      </c>
      <c r="EN106" s="1420">
        <v>1132735.99</v>
      </c>
      <c r="EO106" s="1420">
        <v>25463.45</v>
      </c>
      <c r="EP106" s="1422">
        <v>35000</v>
      </c>
      <c r="EQ106" s="1420">
        <v>903911.04</v>
      </c>
      <c r="ER106" s="1422">
        <v>744753</v>
      </c>
      <c r="ES106" s="1422">
        <v>0</v>
      </c>
      <c r="ET106" s="1422">
        <v>133000</v>
      </c>
      <c r="EU106" s="1420">
        <v>17218909.039999999</v>
      </c>
      <c r="EV106" s="1420">
        <v>16465034.289999999</v>
      </c>
      <c r="EW106" s="1420">
        <v>289052.2</v>
      </c>
      <c r="EX106" s="1422">
        <v>314500</v>
      </c>
      <c r="EY106" s="1420">
        <v>903911.04</v>
      </c>
      <c r="EZ106" s="1422">
        <v>744753</v>
      </c>
      <c r="FA106" s="1420">
        <v>16025945.800000001</v>
      </c>
      <c r="FB106" s="1420">
        <v>15405781.289999999</v>
      </c>
      <c r="FC106" s="1420">
        <v>607890.86</v>
      </c>
      <c r="FD106" s="1439"/>
      <c r="FE106" s="1420">
        <v>15418054.939999999</v>
      </c>
      <c r="FF106" s="1439"/>
      <c r="FG106" s="1422">
        <v>8268</v>
      </c>
      <c r="FH106" s="1439"/>
      <c r="FI106" s="1420">
        <v>127.29</v>
      </c>
      <c r="FJ106" s="1439"/>
      <c r="FK106" s="1422">
        <v>52390</v>
      </c>
      <c r="FL106" s="1439"/>
      <c r="FM106" s="1420">
        <v>139.13</v>
      </c>
      <c r="FN106" s="1439"/>
      <c r="FO106" s="1422">
        <v>54111</v>
      </c>
      <c r="FP106" s="1439"/>
      <c r="FQ106" s="1420">
        <v>4227709.1500000004</v>
      </c>
      <c r="FR106" s="1439"/>
      <c r="FS106" s="1420">
        <v>28534.83</v>
      </c>
      <c r="FT106" s="1439"/>
      <c r="FU106" s="1422">
        <v>0</v>
      </c>
      <c r="FV106" s="1439"/>
      <c r="FW106" s="1420">
        <v>4199174.32</v>
      </c>
      <c r="FX106" s="1439"/>
      <c r="FY106" s="1422">
        <v>258600</v>
      </c>
      <c r="FZ106" s="1439"/>
      <c r="GA106" s="1422">
        <v>0</v>
      </c>
      <c r="GB106" s="1439"/>
    </row>
    <row r="107" spans="1:184" ht="12.75" customHeight="1" thickBot="1">
      <c r="A107" s="1418" t="s">
        <v>438</v>
      </c>
      <c r="B107" s="1418" t="s">
        <v>439</v>
      </c>
      <c r="C107" s="1420">
        <v>218.67</v>
      </c>
      <c r="D107" s="1439"/>
      <c r="E107" s="1420">
        <v>2787.38</v>
      </c>
      <c r="F107" s="1439"/>
      <c r="G107" s="1421">
        <v>0.02</v>
      </c>
      <c r="H107" s="1439"/>
      <c r="I107" s="1420">
        <v>2943.02</v>
      </c>
      <c r="J107" s="1439"/>
      <c r="K107" s="1420">
        <v>2869.51</v>
      </c>
      <c r="L107" s="1439"/>
      <c r="M107" s="1422">
        <v>240921103</v>
      </c>
      <c r="N107" s="1439"/>
      <c r="O107" s="1420">
        <v>28.9</v>
      </c>
      <c r="P107" s="1439"/>
      <c r="Q107" s="1422">
        <v>25</v>
      </c>
      <c r="R107" s="1439"/>
      <c r="S107" s="1420">
        <v>3.9</v>
      </c>
      <c r="T107" s="1439"/>
      <c r="U107" s="1422">
        <v>0</v>
      </c>
      <c r="V107" s="1439"/>
      <c r="W107" s="1420">
        <v>9.85</v>
      </c>
      <c r="X107" s="1439"/>
      <c r="Y107" s="1420">
        <v>38.75</v>
      </c>
      <c r="Z107" s="1439"/>
      <c r="AA107" s="1422">
        <v>24995000</v>
      </c>
      <c r="AB107" s="1439"/>
      <c r="AC107" s="1420">
        <v>8768382.8000000007</v>
      </c>
      <c r="AD107" s="1422">
        <v>9136308</v>
      </c>
      <c r="AE107" s="1420">
        <v>2063287.25</v>
      </c>
      <c r="AF107" s="1422">
        <v>1113100</v>
      </c>
      <c r="AG107" s="1420">
        <v>3332.33</v>
      </c>
      <c r="AH107" s="1422">
        <v>0</v>
      </c>
      <c r="AI107" s="1422">
        <v>11667007</v>
      </c>
      <c r="AJ107" s="1422">
        <v>12220308</v>
      </c>
      <c r="AK107" s="1422">
        <v>49463</v>
      </c>
      <c r="AL107" s="1422">
        <v>0</v>
      </c>
      <c r="AM107" s="1422">
        <v>449120</v>
      </c>
      <c r="AN107" s="1422">
        <v>0</v>
      </c>
      <c r="AO107" s="1422">
        <v>0</v>
      </c>
      <c r="AP107" s="1422">
        <v>0</v>
      </c>
      <c r="AQ107" s="1422">
        <v>697617</v>
      </c>
      <c r="AR107" s="1422">
        <v>0</v>
      </c>
      <c r="AS107" s="1422">
        <v>0</v>
      </c>
      <c r="AT107" s="1422">
        <v>0</v>
      </c>
      <c r="AU107" s="1422">
        <v>18008</v>
      </c>
      <c r="AV107" s="1422">
        <v>14406</v>
      </c>
      <c r="AW107" s="1422">
        <v>0</v>
      </c>
      <c r="AX107" s="1422">
        <v>0</v>
      </c>
      <c r="AY107" s="1420">
        <v>23716217.379999999</v>
      </c>
      <c r="AZ107" s="1422">
        <v>22484122</v>
      </c>
      <c r="BA107" s="1422">
        <v>0</v>
      </c>
      <c r="BB107" s="1422">
        <v>0</v>
      </c>
      <c r="BC107" s="1422">
        <v>118683</v>
      </c>
      <c r="BD107" s="1422">
        <v>125041</v>
      </c>
      <c r="BE107" s="1420">
        <v>22138.69</v>
      </c>
      <c r="BF107" s="1422">
        <v>31400</v>
      </c>
      <c r="BG107" s="1422">
        <v>2450</v>
      </c>
      <c r="BH107" s="1422">
        <v>0</v>
      </c>
      <c r="BI107" s="1422">
        <v>172231</v>
      </c>
      <c r="BJ107" s="1422">
        <v>147562</v>
      </c>
      <c r="BK107" s="1422">
        <v>87607</v>
      </c>
      <c r="BL107" s="1422">
        <v>97175</v>
      </c>
      <c r="BM107" s="1422">
        <v>799056</v>
      </c>
      <c r="BN107" s="1422">
        <v>829334</v>
      </c>
      <c r="BO107" s="1420">
        <v>962375.71</v>
      </c>
      <c r="BP107" s="1420">
        <v>947630.16</v>
      </c>
      <c r="BQ107" s="1422">
        <v>4550</v>
      </c>
      <c r="BR107" s="1422">
        <v>0</v>
      </c>
      <c r="BS107" s="1420">
        <v>11136.27</v>
      </c>
      <c r="BT107" s="1422">
        <v>12000</v>
      </c>
      <c r="BU107" s="1422">
        <v>0</v>
      </c>
      <c r="BV107" s="1422">
        <v>0</v>
      </c>
      <c r="BW107" s="1422">
        <v>840362</v>
      </c>
      <c r="BX107" s="1422">
        <v>827000</v>
      </c>
      <c r="BY107" s="1422">
        <v>0</v>
      </c>
      <c r="BZ107" s="1422">
        <v>0</v>
      </c>
      <c r="CA107" s="1422">
        <v>161837</v>
      </c>
      <c r="CB107" s="1422">
        <v>105645</v>
      </c>
      <c r="CC107" s="1420">
        <v>3182426.67</v>
      </c>
      <c r="CD107" s="1420">
        <v>3122787.16</v>
      </c>
      <c r="CE107" s="1420">
        <v>5495958.2000000002</v>
      </c>
      <c r="CF107" s="1420">
        <v>3557746.98</v>
      </c>
      <c r="CG107" s="1420">
        <v>4914577.13</v>
      </c>
      <c r="CH107" s="1422">
        <v>0</v>
      </c>
      <c r="CI107" s="1422">
        <v>0</v>
      </c>
      <c r="CJ107" s="1422">
        <v>0</v>
      </c>
      <c r="CK107" s="1422">
        <v>0</v>
      </c>
      <c r="CL107" s="1422">
        <v>0</v>
      </c>
      <c r="CM107" s="1422">
        <v>0</v>
      </c>
      <c r="CN107" s="1422">
        <v>0</v>
      </c>
      <c r="CO107" s="1420">
        <v>3885.04</v>
      </c>
      <c r="CP107" s="1422">
        <v>0</v>
      </c>
      <c r="CQ107" s="1422">
        <v>0</v>
      </c>
      <c r="CR107" s="1422">
        <v>0</v>
      </c>
      <c r="CS107" s="1420">
        <v>4918462.17</v>
      </c>
      <c r="CT107" s="1422">
        <v>0</v>
      </c>
      <c r="CU107" s="1420">
        <v>37313064.420000002</v>
      </c>
      <c r="CV107" s="1420">
        <v>29164656.140000001</v>
      </c>
      <c r="CW107" s="1420">
        <v>10340308.35</v>
      </c>
      <c r="CX107" s="1420">
        <v>9595117.2799999993</v>
      </c>
      <c r="CY107" s="1420">
        <v>2650139.04</v>
      </c>
      <c r="CZ107" s="1420">
        <v>2739851.48</v>
      </c>
      <c r="DA107" s="1420">
        <v>883321.97</v>
      </c>
      <c r="DB107" s="1420">
        <v>755708.94</v>
      </c>
      <c r="DC107" s="1422">
        <v>0</v>
      </c>
      <c r="DD107" s="1422">
        <v>0</v>
      </c>
      <c r="DE107" s="1420">
        <v>517024.4</v>
      </c>
      <c r="DF107" s="1420">
        <v>484909.47</v>
      </c>
      <c r="DG107" s="1422">
        <v>925342</v>
      </c>
      <c r="DH107" s="1420">
        <v>884687.29</v>
      </c>
      <c r="DI107" s="1420">
        <v>15316135.76</v>
      </c>
      <c r="DJ107" s="1420">
        <v>14460274.460000001</v>
      </c>
      <c r="DK107" s="1420">
        <v>437555.34</v>
      </c>
      <c r="DL107" s="1420">
        <v>407071.49</v>
      </c>
      <c r="DM107" s="1420">
        <v>823564.75</v>
      </c>
      <c r="DN107" s="1420">
        <v>883227.8</v>
      </c>
      <c r="DO107" s="1422">
        <v>3786143</v>
      </c>
      <c r="DP107" s="1420">
        <v>3695389.12</v>
      </c>
      <c r="DQ107" s="1420">
        <v>1312738.3799999999</v>
      </c>
      <c r="DR107" s="1420">
        <v>1340582.08</v>
      </c>
      <c r="DS107" s="1420">
        <v>56610.78</v>
      </c>
      <c r="DT107" s="1422">
        <v>35000</v>
      </c>
      <c r="DU107" s="1420">
        <v>6416612.25</v>
      </c>
      <c r="DV107" s="1420">
        <v>6361270.4900000002</v>
      </c>
      <c r="DW107" s="1420">
        <v>1008563.12</v>
      </c>
      <c r="DX107" s="1420">
        <v>979149.3</v>
      </c>
      <c r="DY107" s="1420">
        <v>1819522.88</v>
      </c>
      <c r="DZ107" s="1420">
        <v>2311246.2999999998</v>
      </c>
      <c r="EA107" s="1420">
        <v>1230681.26</v>
      </c>
      <c r="EB107" s="1420">
        <v>1238711.3400000001</v>
      </c>
      <c r="EC107" s="1420">
        <v>4058767.26</v>
      </c>
      <c r="ED107" s="1420">
        <v>4529106.9400000004</v>
      </c>
      <c r="EE107" s="1420">
        <v>1840499.2</v>
      </c>
      <c r="EF107" s="1420">
        <v>1738087.47</v>
      </c>
      <c r="EG107" s="1420">
        <v>167837.28</v>
      </c>
      <c r="EH107" s="1422">
        <v>0</v>
      </c>
      <c r="EI107" s="1420">
        <v>1623848.23</v>
      </c>
      <c r="EJ107" s="1420">
        <v>1484855.85</v>
      </c>
      <c r="EK107" s="1422">
        <v>0</v>
      </c>
      <c r="EL107" s="1422">
        <v>0</v>
      </c>
      <c r="EM107" s="1420">
        <v>3632184.71</v>
      </c>
      <c r="EN107" s="1420">
        <v>3222943.32</v>
      </c>
      <c r="EO107" s="1420">
        <v>1599092.26</v>
      </c>
      <c r="EP107" s="1420">
        <v>4214581.5599999996</v>
      </c>
      <c r="EQ107" s="1422">
        <v>662131</v>
      </c>
      <c r="ER107" s="1422">
        <v>1102500</v>
      </c>
      <c r="ES107" s="1422">
        <v>0</v>
      </c>
      <c r="ET107" s="1422">
        <v>0</v>
      </c>
      <c r="EU107" s="1420">
        <v>31684923.239999998</v>
      </c>
      <c r="EV107" s="1420">
        <v>33890676.770000003</v>
      </c>
      <c r="EW107" s="1420">
        <v>1943864.01</v>
      </c>
      <c r="EX107" s="1420">
        <v>4560731.5599999996</v>
      </c>
      <c r="EY107" s="1422">
        <v>662131</v>
      </c>
      <c r="EZ107" s="1422">
        <v>1102500</v>
      </c>
      <c r="FA107" s="1420">
        <v>29078928.23</v>
      </c>
      <c r="FB107" s="1420">
        <v>28227445.210000001</v>
      </c>
      <c r="FC107" s="1420">
        <v>3871637.41</v>
      </c>
      <c r="FD107" s="1439"/>
      <c r="FE107" s="1420">
        <v>25207290.82</v>
      </c>
      <c r="FF107" s="1439"/>
      <c r="FG107" s="1422">
        <v>9043</v>
      </c>
      <c r="FH107" s="1439"/>
      <c r="FI107" s="1420">
        <v>188.6</v>
      </c>
      <c r="FJ107" s="1439"/>
      <c r="FK107" s="1422">
        <v>37468</v>
      </c>
      <c r="FL107" s="1439"/>
      <c r="FM107" s="1420">
        <v>206.48</v>
      </c>
      <c r="FN107" s="1439"/>
      <c r="FO107" s="1422">
        <v>40264</v>
      </c>
      <c r="FP107" s="1439"/>
      <c r="FQ107" s="1420">
        <v>4443972.57</v>
      </c>
      <c r="FR107" s="1439"/>
      <c r="FS107" s="1420">
        <v>24447.27</v>
      </c>
      <c r="FT107" s="1439"/>
      <c r="FU107" s="1422">
        <v>0</v>
      </c>
      <c r="FV107" s="1439"/>
      <c r="FW107" s="1420">
        <v>4419525.3</v>
      </c>
      <c r="FX107" s="1439"/>
      <c r="FY107" s="1420">
        <v>4249105.21</v>
      </c>
      <c r="FZ107" s="1439"/>
      <c r="GA107" s="1422">
        <v>0</v>
      </c>
      <c r="GB107" s="1439"/>
    </row>
    <row r="108" spans="1:184" ht="12.75" customHeight="1" thickBot="1">
      <c r="A108" s="1418" t="s">
        <v>440</v>
      </c>
      <c r="B108" s="1418" t="s">
        <v>441</v>
      </c>
      <c r="C108" s="1420">
        <v>52.27</v>
      </c>
      <c r="D108" s="1439"/>
      <c r="E108" s="1420">
        <v>1445.79</v>
      </c>
      <c r="F108" s="1439"/>
      <c r="G108" s="1421">
        <v>0.09</v>
      </c>
      <c r="H108" s="1439"/>
      <c r="I108" s="1420">
        <v>1513.93</v>
      </c>
      <c r="J108" s="1439"/>
      <c r="K108" s="1420">
        <v>1507.61</v>
      </c>
      <c r="L108" s="1439"/>
      <c r="M108" s="1422">
        <v>52712627</v>
      </c>
      <c r="N108" s="1439"/>
      <c r="O108" s="1422">
        <v>25</v>
      </c>
      <c r="P108" s="1439"/>
      <c r="Q108" s="1422">
        <v>25</v>
      </c>
      <c r="R108" s="1439"/>
      <c r="S108" s="1422">
        <v>0</v>
      </c>
      <c r="T108" s="1439"/>
      <c r="U108" s="1422">
        <v>0</v>
      </c>
      <c r="V108" s="1439"/>
      <c r="W108" s="1420">
        <v>15.2</v>
      </c>
      <c r="X108" s="1439"/>
      <c r="Y108" s="1420">
        <v>40.200000000000003</v>
      </c>
      <c r="Z108" s="1439"/>
      <c r="AA108" s="1420">
        <v>8283512.3300000001</v>
      </c>
      <c r="AB108" s="1439"/>
      <c r="AC108" s="1420">
        <v>1944084.91</v>
      </c>
      <c r="AD108" s="1422">
        <v>2114905</v>
      </c>
      <c r="AE108" s="1420">
        <v>898487.37</v>
      </c>
      <c r="AF108" s="1422">
        <v>438800</v>
      </c>
      <c r="AG108" s="1420">
        <v>1647.13</v>
      </c>
      <c r="AH108" s="1422">
        <v>1000</v>
      </c>
      <c r="AI108" s="1422">
        <v>7871450</v>
      </c>
      <c r="AJ108" s="1422">
        <v>8033292</v>
      </c>
      <c r="AK108" s="1422">
        <v>0</v>
      </c>
      <c r="AL108" s="1422">
        <v>0</v>
      </c>
      <c r="AM108" s="1422">
        <v>45955</v>
      </c>
      <c r="AN108" s="1422">
        <v>0</v>
      </c>
      <c r="AO108" s="1422">
        <v>0</v>
      </c>
      <c r="AP108" s="1422">
        <v>0</v>
      </c>
      <c r="AQ108" s="1422">
        <v>0</v>
      </c>
      <c r="AR108" s="1422">
        <v>0</v>
      </c>
      <c r="AS108" s="1422">
        <v>0</v>
      </c>
      <c r="AT108" s="1422">
        <v>0</v>
      </c>
      <c r="AU108" s="1422">
        <v>99156</v>
      </c>
      <c r="AV108" s="1422">
        <v>89325</v>
      </c>
      <c r="AW108" s="1422">
        <v>0</v>
      </c>
      <c r="AX108" s="1422">
        <v>0</v>
      </c>
      <c r="AY108" s="1420">
        <v>10860780.41</v>
      </c>
      <c r="AZ108" s="1422">
        <v>10677322</v>
      </c>
      <c r="BA108" s="1422">
        <v>4732</v>
      </c>
      <c r="BB108" s="1422">
        <v>0</v>
      </c>
      <c r="BC108" s="1422">
        <v>62355</v>
      </c>
      <c r="BD108" s="1422">
        <v>64323</v>
      </c>
      <c r="BE108" s="1420">
        <v>7448.92</v>
      </c>
      <c r="BF108" s="1422">
        <v>0</v>
      </c>
      <c r="BG108" s="1422">
        <v>2204</v>
      </c>
      <c r="BH108" s="1422">
        <v>0</v>
      </c>
      <c r="BI108" s="1422">
        <v>22997</v>
      </c>
      <c r="BJ108" s="1422">
        <v>18694</v>
      </c>
      <c r="BK108" s="1422">
        <v>8497</v>
      </c>
      <c r="BL108" s="1422">
        <v>0</v>
      </c>
      <c r="BM108" s="1422">
        <v>461280</v>
      </c>
      <c r="BN108" s="1422">
        <v>459954</v>
      </c>
      <c r="BO108" s="1420">
        <v>248006.63</v>
      </c>
      <c r="BP108" s="1422">
        <v>110200</v>
      </c>
      <c r="BQ108" s="1420">
        <v>3611.98</v>
      </c>
      <c r="BR108" s="1422">
        <v>0</v>
      </c>
      <c r="BS108" s="1420">
        <v>5873.26</v>
      </c>
      <c r="BT108" s="1422">
        <v>5900</v>
      </c>
      <c r="BU108" s="1422">
        <v>0</v>
      </c>
      <c r="BV108" s="1422">
        <v>0</v>
      </c>
      <c r="BW108" s="1422">
        <v>513250</v>
      </c>
      <c r="BX108" s="1422">
        <v>576430</v>
      </c>
      <c r="BY108" s="1422">
        <v>0</v>
      </c>
      <c r="BZ108" s="1422">
        <v>0</v>
      </c>
      <c r="CA108" s="1420">
        <v>565906.19999999995</v>
      </c>
      <c r="CB108" s="1422">
        <v>155740</v>
      </c>
      <c r="CC108" s="1420">
        <v>1906161.99</v>
      </c>
      <c r="CD108" s="1422">
        <v>1391241</v>
      </c>
      <c r="CE108" s="1420">
        <v>2705822.74</v>
      </c>
      <c r="CF108" s="1420">
        <v>1732653.42</v>
      </c>
      <c r="CG108" s="1420">
        <v>2009340.5</v>
      </c>
      <c r="CH108" s="1422">
        <v>0</v>
      </c>
      <c r="CI108" s="1422">
        <v>0</v>
      </c>
      <c r="CJ108" s="1422">
        <v>0</v>
      </c>
      <c r="CK108" s="1420">
        <v>3617.07</v>
      </c>
      <c r="CL108" s="1422">
        <v>0</v>
      </c>
      <c r="CM108" s="1420">
        <v>3211.58</v>
      </c>
      <c r="CN108" s="1422">
        <v>0</v>
      </c>
      <c r="CO108" s="1422">
        <v>0</v>
      </c>
      <c r="CP108" s="1422">
        <v>0</v>
      </c>
      <c r="CQ108" s="1422">
        <v>0</v>
      </c>
      <c r="CR108" s="1422">
        <v>0</v>
      </c>
      <c r="CS108" s="1420">
        <v>2016169.15</v>
      </c>
      <c r="CT108" s="1422">
        <v>0</v>
      </c>
      <c r="CU108" s="1420">
        <v>17488934.289999999</v>
      </c>
      <c r="CV108" s="1420">
        <v>13801216.42</v>
      </c>
      <c r="CW108" s="1420">
        <v>5497228.0599999996</v>
      </c>
      <c r="CX108" s="1420">
        <v>5622862.5499999998</v>
      </c>
      <c r="CY108" s="1420">
        <v>1020044.22</v>
      </c>
      <c r="CZ108" s="1420">
        <v>1064568.3500000001</v>
      </c>
      <c r="DA108" s="1420">
        <v>444221.43</v>
      </c>
      <c r="DB108" s="1420">
        <v>434764.3</v>
      </c>
      <c r="DC108" s="1422">
        <v>0</v>
      </c>
      <c r="DD108" s="1422">
        <v>0</v>
      </c>
      <c r="DE108" s="1420">
        <v>694722.16</v>
      </c>
      <c r="DF108" s="1420">
        <v>440779.31</v>
      </c>
      <c r="DG108" s="1420">
        <v>102498.47</v>
      </c>
      <c r="DH108" s="1420">
        <v>109094.94</v>
      </c>
      <c r="DI108" s="1420">
        <v>7758714.3399999999</v>
      </c>
      <c r="DJ108" s="1420">
        <v>7672069.4500000002</v>
      </c>
      <c r="DK108" s="1420">
        <v>216462.7</v>
      </c>
      <c r="DL108" s="1420">
        <v>286835.28000000003</v>
      </c>
      <c r="DM108" s="1420">
        <v>129605.19</v>
      </c>
      <c r="DN108" s="1420">
        <v>121498.76</v>
      </c>
      <c r="DO108" s="1420">
        <v>1671337.32</v>
      </c>
      <c r="DP108" s="1420">
        <v>2177391.02</v>
      </c>
      <c r="DQ108" s="1420">
        <v>650864.91</v>
      </c>
      <c r="DR108" s="1420">
        <v>627377.43999999994</v>
      </c>
      <c r="DS108" s="1420">
        <v>55775.47</v>
      </c>
      <c r="DT108" s="1420">
        <v>32617.07</v>
      </c>
      <c r="DU108" s="1420">
        <v>2724045.59</v>
      </c>
      <c r="DV108" s="1420">
        <v>3245719.57</v>
      </c>
      <c r="DW108" s="1420">
        <v>654813.54</v>
      </c>
      <c r="DX108" s="1420">
        <v>646520.63</v>
      </c>
      <c r="DY108" s="1420">
        <v>779633.42</v>
      </c>
      <c r="DZ108" s="1420">
        <v>825740.77</v>
      </c>
      <c r="EA108" s="1420">
        <v>643356.89</v>
      </c>
      <c r="EB108" s="1420">
        <v>627351.76</v>
      </c>
      <c r="EC108" s="1420">
        <v>2077803.85</v>
      </c>
      <c r="ED108" s="1420">
        <v>2099613.16</v>
      </c>
      <c r="EE108" s="1420">
        <v>821644.48</v>
      </c>
      <c r="EF108" s="1420">
        <v>762244.55</v>
      </c>
      <c r="EG108" s="1420">
        <v>168054.18</v>
      </c>
      <c r="EH108" s="1422">
        <v>0</v>
      </c>
      <c r="EI108" s="1420">
        <v>189110.07</v>
      </c>
      <c r="EJ108" s="1420">
        <v>395677.82</v>
      </c>
      <c r="EK108" s="1422">
        <v>0</v>
      </c>
      <c r="EL108" s="1422">
        <v>0</v>
      </c>
      <c r="EM108" s="1420">
        <v>1178808.73</v>
      </c>
      <c r="EN108" s="1420">
        <v>1157922.3700000001</v>
      </c>
      <c r="EO108" s="1420">
        <v>546401.68999999994</v>
      </c>
      <c r="EP108" s="1420">
        <v>2003900.48</v>
      </c>
      <c r="EQ108" s="1422">
        <v>460170</v>
      </c>
      <c r="ER108" s="1422">
        <v>583284</v>
      </c>
      <c r="ES108" s="1422">
        <v>69813</v>
      </c>
      <c r="ET108" s="1422">
        <v>0</v>
      </c>
      <c r="EU108" s="1420">
        <v>14815757.199999999</v>
      </c>
      <c r="EV108" s="1420">
        <v>16762509.029999999</v>
      </c>
      <c r="EW108" s="1420">
        <v>847361.39</v>
      </c>
      <c r="EX108" s="1420">
        <v>2381009.23</v>
      </c>
      <c r="EY108" s="1422">
        <v>460170</v>
      </c>
      <c r="EZ108" s="1422">
        <v>583284</v>
      </c>
      <c r="FA108" s="1420">
        <v>13508225.810000001</v>
      </c>
      <c r="FB108" s="1420">
        <v>13798215.800000001</v>
      </c>
      <c r="FC108" s="1420">
        <v>1357750.92</v>
      </c>
      <c r="FD108" s="1439"/>
      <c r="FE108" s="1420">
        <v>12150474.890000001</v>
      </c>
      <c r="FF108" s="1439"/>
      <c r="FG108" s="1422">
        <v>8404</v>
      </c>
      <c r="FH108" s="1439"/>
      <c r="FI108" s="1420">
        <v>97.32</v>
      </c>
      <c r="FJ108" s="1439"/>
      <c r="FK108" s="1422">
        <v>41509</v>
      </c>
      <c r="FL108" s="1439"/>
      <c r="FM108" s="1420">
        <v>105.62</v>
      </c>
      <c r="FN108" s="1439"/>
      <c r="FO108" s="1422">
        <v>43719</v>
      </c>
      <c r="FP108" s="1439"/>
      <c r="FQ108" s="1420">
        <v>1019931.91</v>
      </c>
      <c r="FR108" s="1439"/>
      <c r="FS108" s="1420">
        <v>26551.439999999999</v>
      </c>
      <c r="FT108" s="1439"/>
      <c r="FU108" s="1422">
        <v>0</v>
      </c>
      <c r="FV108" s="1439"/>
      <c r="FW108" s="1420">
        <v>993380.47</v>
      </c>
      <c r="FX108" s="1439"/>
      <c r="FY108" s="1420">
        <v>3304268.97</v>
      </c>
      <c r="FZ108" s="1439"/>
      <c r="GA108" s="1422">
        <v>0</v>
      </c>
      <c r="GB108" s="1439"/>
    </row>
    <row r="109" spans="1:184" ht="12.75" customHeight="1" thickBot="1">
      <c r="A109" s="1418" t="s">
        <v>442</v>
      </c>
      <c r="B109" s="1418" t="s">
        <v>443</v>
      </c>
      <c r="C109" s="1420">
        <v>166.38</v>
      </c>
      <c r="D109" s="1439"/>
      <c r="E109" s="1420">
        <v>499.66</v>
      </c>
      <c r="F109" s="1439"/>
      <c r="G109" s="1421">
        <v>-7.0000000000000007E-2</v>
      </c>
      <c r="H109" s="1439"/>
      <c r="I109" s="1420">
        <v>520.54999999999995</v>
      </c>
      <c r="J109" s="1439"/>
      <c r="K109" s="1420">
        <v>514.75</v>
      </c>
      <c r="L109" s="1439"/>
      <c r="M109" s="1422">
        <v>49693644</v>
      </c>
      <c r="N109" s="1439"/>
      <c r="O109" s="1420">
        <v>33.39</v>
      </c>
      <c r="P109" s="1439"/>
      <c r="Q109" s="1422">
        <v>25</v>
      </c>
      <c r="R109" s="1439"/>
      <c r="S109" s="1420">
        <v>8.39</v>
      </c>
      <c r="T109" s="1439"/>
      <c r="U109" s="1422">
        <v>0</v>
      </c>
      <c r="V109" s="1439"/>
      <c r="W109" s="1420">
        <v>5.41</v>
      </c>
      <c r="X109" s="1439"/>
      <c r="Y109" s="1420">
        <v>38.799999999999997</v>
      </c>
      <c r="Z109" s="1439"/>
      <c r="AA109" s="1420">
        <v>1123785.78</v>
      </c>
      <c r="AB109" s="1439"/>
      <c r="AC109" s="1420">
        <v>1592050.52</v>
      </c>
      <c r="AD109" s="1422">
        <v>1435000</v>
      </c>
      <c r="AE109" s="1420">
        <v>259280.95</v>
      </c>
      <c r="AF109" s="1422">
        <v>101000</v>
      </c>
      <c r="AG109" s="1420">
        <v>618.54999999999995</v>
      </c>
      <c r="AH109" s="1422">
        <v>0</v>
      </c>
      <c r="AI109" s="1422">
        <v>2161700</v>
      </c>
      <c r="AJ109" s="1422">
        <v>1995865</v>
      </c>
      <c r="AK109" s="1422">
        <v>39475</v>
      </c>
      <c r="AL109" s="1422">
        <v>0</v>
      </c>
      <c r="AM109" s="1422">
        <v>38291</v>
      </c>
      <c r="AN109" s="1422">
        <v>0</v>
      </c>
      <c r="AO109" s="1422">
        <v>0</v>
      </c>
      <c r="AP109" s="1422">
        <v>0</v>
      </c>
      <c r="AQ109" s="1422">
        <v>0</v>
      </c>
      <c r="AR109" s="1422">
        <v>0</v>
      </c>
      <c r="AS109" s="1422">
        <v>0</v>
      </c>
      <c r="AT109" s="1422">
        <v>0</v>
      </c>
      <c r="AU109" s="1422">
        <v>13361</v>
      </c>
      <c r="AV109" s="1422">
        <v>10689</v>
      </c>
      <c r="AW109" s="1422">
        <v>0</v>
      </c>
      <c r="AX109" s="1422">
        <v>0</v>
      </c>
      <c r="AY109" s="1420">
        <v>4104777.02</v>
      </c>
      <c r="AZ109" s="1422">
        <v>3542554</v>
      </c>
      <c r="BA109" s="1422">
        <v>0</v>
      </c>
      <c r="BB109" s="1422">
        <v>0</v>
      </c>
      <c r="BC109" s="1422">
        <v>21290</v>
      </c>
      <c r="BD109" s="1422">
        <v>22166</v>
      </c>
      <c r="BE109" s="1422">
        <v>3600</v>
      </c>
      <c r="BF109" s="1422">
        <v>0</v>
      </c>
      <c r="BG109" s="1422">
        <v>0</v>
      </c>
      <c r="BH109" s="1422">
        <v>0</v>
      </c>
      <c r="BI109" s="1422">
        <v>37623</v>
      </c>
      <c r="BJ109" s="1422">
        <v>25000</v>
      </c>
      <c r="BK109" s="1422">
        <v>0</v>
      </c>
      <c r="BL109" s="1422">
        <v>0</v>
      </c>
      <c r="BM109" s="1422">
        <v>164672</v>
      </c>
      <c r="BN109" s="1422">
        <v>175582</v>
      </c>
      <c r="BO109" s="1420">
        <v>82470.11</v>
      </c>
      <c r="BP109" s="1422">
        <v>52200</v>
      </c>
      <c r="BQ109" s="1420">
        <v>7854.28</v>
      </c>
      <c r="BR109" s="1422">
        <v>0</v>
      </c>
      <c r="BS109" s="1420">
        <v>8576.4699999999993</v>
      </c>
      <c r="BT109" s="1422">
        <v>2000</v>
      </c>
      <c r="BU109" s="1422">
        <v>0</v>
      </c>
      <c r="BV109" s="1422">
        <v>0</v>
      </c>
      <c r="BW109" s="1422">
        <v>303000</v>
      </c>
      <c r="BX109" s="1422">
        <v>303000</v>
      </c>
      <c r="BY109" s="1422">
        <v>0</v>
      </c>
      <c r="BZ109" s="1422">
        <v>0</v>
      </c>
      <c r="CA109" s="1420">
        <v>18789.080000000002</v>
      </c>
      <c r="CB109" s="1422">
        <v>11641</v>
      </c>
      <c r="CC109" s="1420">
        <v>647874.93999999994</v>
      </c>
      <c r="CD109" s="1422">
        <v>591589</v>
      </c>
      <c r="CE109" s="1420">
        <v>852348.72</v>
      </c>
      <c r="CF109" s="1420">
        <v>605616.73</v>
      </c>
      <c r="CG109" s="1422">
        <v>0</v>
      </c>
      <c r="CH109" s="1422">
        <v>0</v>
      </c>
      <c r="CI109" s="1422">
        <v>0</v>
      </c>
      <c r="CJ109" s="1422">
        <v>0</v>
      </c>
      <c r="CK109" s="1422">
        <v>0</v>
      </c>
      <c r="CL109" s="1422">
        <v>0</v>
      </c>
      <c r="CM109" s="1422">
        <v>0</v>
      </c>
      <c r="CN109" s="1422">
        <v>0</v>
      </c>
      <c r="CO109" s="1422">
        <v>0</v>
      </c>
      <c r="CP109" s="1422">
        <v>0</v>
      </c>
      <c r="CQ109" s="1422">
        <v>0</v>
      </c>
      <c r="CR109" s="1422">
        <v>0</v>
      </c>
      <c r="CS109" s="1422">
        <v>0</v>
      </c>
      <c r="CT109" s="1422">
        <v>0</v>
      </c>
      <c r="CU109" s="1420">
        <v>5605000.6799999997</v>
      </c>
      <c r="CV109" s="1420">
        <v>4739759.7300000004</v>
      </c>
      <c r="CW109" s="1420">
        <v>2228363.9700000002</v>
      </c>
      <c r="CX109" s="1420">
        <v>2109755.16</v>
      </c>
      <c r="CY109" s="1420">
        <v>390988.93</v>
      </c>
      <c r="CZ109" s="1420">
        <v>394981.02</v>
      </c>
      <c r="DA109" s="1420">
        <v>125236.37</v>
      </c>
      <c r="DB109" s="1420">
        <v>154590.16</v>
      </c>
      <c r="DC109" s="1422">
        <v>0</v>
      </c>
      <c r="DD109" s="1422">
        <v>0</v>
      </c>
      <c r="DE109" s="1420">
        <v>55884.86</v>
      </c>
      <c r="DF109" s="1420">
        <v>92120.95</v>
      </c>
      <c r="DG109" s="1420">
        <v>92490.73</v>
      </c>
      <c r="DH109" s="1420">
        <v>136014.85</v>
      </c>
      <c r="DI109" s="1420">
        <v>2892964.86</v>
      </c>
      <c r="DJ109" s="1420">
        <v>2887462.14</v>
      </c>
      <c r="DK109" s="1420">
        <v>178449.27</v>
      </c>
      <c r="DL109" s="1420">
        <v>187961.72</v>
      </c>
      <c r="DM109" s="1420">
        <v>46069.35</v>
      </c>
      <c r="DN109" s="1420">
        <v>46164.29</v>
      </c>
      <c r="DO109" s="1420">
        <v>576122.9</v>
      </c>
      <c r="DP109" s="1420">
        <v>442302.04</v>
      </c>
      <c r="DQ109" s="1420">
        <v>214327.67999999999</v>
      </c>
      <c r="DR109" s="1420">
        <v>332250.05</v>
      </c>
      <c r="DS109" s="1420">
        <v>16671.79</v>
      </c>
      <c r="DT109" s="1420">
        <v>6038.66</v>
      </c>
      <c r="DU109" s="1420">
        <v>1031640.99</v>
      </c>
      <c r="DV109" s="1420">
        <v>1014716.76</v>
      </c>
      <c r="DW109" s="1420">
        <v>153566.57</v>
      </c>
      <c r="DX109" s="1420">
        <v>199596.14</v>
      </c>
      <c r="DY109" s="1420">
        <v>263499.64</v>
      </c>
      <c r="DZ109" s="1420">
        <v>268147.84999999998</v>
      </c>
      <c r="EA109" s="1420">
        <v>151131.31</v>
      </c>
      <c r="EB109" s="1420">
        <v>156615.89000000001</v>
      </c>
      <c r="EC109" s="1420">
        <v>568197.52</v>
      </c>
      <c r="ED109" s="1420">
        <v>624359.88</v>
      </c>
      <c r="EE109" s="1420">
        <v>319982.18</v>
      </c>
      <c r="EF109" s="1420">
        <v>309549.86</v>
      </c>
      <c r="EG109" s="1422">
        <v>0</v>
      </c>
      <c r="EH109" s="1422">
        <v>0</v>
      </c>
      <c r="EI109" s="1420">
        <v>101.85</v>
      </c>
      <c r="EJ109" s="1422">
        <v>0</v>
      </c>
      <c r="EK109" s="1422">
        <v>0</v>
      </c>
      <c r="EL109" s="1422">
        <v>0</v>
      </c>
      <c r="EM109" s="1420">
        <v>320084.03000000003</v>
      </c>
      <c r="EN109" s="1420">
        <v>309549.86</v>
      </c>
      <c r="EO109" s="1422">
        <v>75508</v>
      </c>
      <c r="EP109" s="1422">
        <v>44561</v>
      </c>
      <c r="EQ109" s="1420">
        <v>293781.12</v>
      </c>
      <c r="ER109" s="1422">
        <v>119379</v>
      </c>
      <c r="ES109" s="1422">
        <v>4046</v>
      </c>
      <c r="ET109" s="1422">
        <v>0</v>
      </c>
      <c r="EU109" s="1420">
        <v>5186222.5199999996</v>
      </c>
      <c r="EV109" s="1420">
        <v>5000028.6399999997</v>
      </c>
      <c r="EW109" s="1420">
        <v>152151.98000000001</v>
      </c>
      <c r="EX109" s="1422">
        <v>184561</v>
      </c>
      <c r="EY109" s="1420">
        <v>293781.12</v>
      </c>
      <c r="EZ109" s="1422">
        <v>119379</v>
      </c>
      <c r="FA109" s="1420">
        <v>4740289.42</v>
      </c>
      <c r="FB109" s="1420">
        <v>4696088.6399999997</v>
      </c>
      <c r="FC109" s="1420">
        <v>555906.5</v>
      </c>
      <c r="FD109" s="1439"/>
      <c r="FE109" s="1420">
        <v>4184382.92</v>
      </c>
      <c r="FF109" s="1439"/>
      <c r="FG109" s="1422">
        <v>8374</v>
      </c>
      <c r="FH109" s="1439"/>
      <c r="FI109" s="1420">
        <v>38.47</v>
      </c>
      <c r="FJ109" s="1439"/>
      <c r="FK109" s="1422">
        <v>38357</v>
      </c>
      <c r="FL109" s="1439"/>
      <c r="FM109" s="1420">
        <v>41.38</v>
      </c>
      <c r="FN109" s="1439"/>
      <c r="FO109" s="1422">
        <v>40561</v>
      </c>
      <c r="FP109" s="1439"/>
      <c r="FQ109" s="1420">
        <v>2885893.63</v>
      </c>
      <c r="FR109" s="1439"/>
      <c r="FS109" s="1420">
        <v>7823.66</v>
      </c>
      <c r="FT109" s="1439"/>
      <c r="FU109" s="1422">
        <v>0</v>
      </c>
      <c r="FV109" s="1439"/>
      <c r="FW109" s="1420">
        <v>2878069.97</v>
      </c>
      <c r="FX109" s="1439"/>
      <c r="FY109" s="1420">
        <v>405094.39</v>
      </c>
      <c r="FZ109" s="1439"/>
      <c r="GA109" s="1422">
        <v>0</v>
      </c>
      <c r="GB109" s="1439"/>
    </row>
    <row r="110" spans="1:184" ht="12.75" customHeight="1" thickBot="1">
      <c r="A110" s="1418" t="s">
        <v>444</v>
      </c>
      <c r="B110" s="1418" t="s">
        <v>445</v>
      </c>
      <c r="C110" s="1420">
        <v>270.54000000000002</v>
      </c>
      <c r="D110" s="1439"/>
      <c r="E110" s="1420">
        <v>784.16</v>
      </c>
      <c r="F110" s="1439"/>
      <c r="G110" s="1421">
        <v>7.0000000000000007E-2</v>
      </c>
      <c r="H110" s="1439"/>
      <c r="I110" s="1420">
        <v>828.93</v>
      </c>
      <c r="J110" s="1439"/>
      <c r="K110" s="1420">
        <v>831.65</v>
      </c>
      <c r="L110" s="1439"/>
      <c r="M110" s="1422">
        <v>141616799</v>
      </c>
      <c r="N110" s="1439"/>
      <c r="O110" s="1420">
        <v>34.9</v>
      </c>
      <c r="P110" s="1439"/>
      <c r="Q110" s="1422">
        <v>25</v>
      </c>
      <c r="R110" s="1439"/>
      <c r="S110" s="1420">
        <v>9.9</v>
      </c>
      <c r="T110" s="1439"/>
      <c r="U110" s="1422">
        <v>0</v>
      </c>
      <c r="V110" s="1439"/>
      <c r="W110" s="1420">
        <v>3.3</v>
      </c>
      <c r="X110" s="1439"/>
      <c r="Y110" s="1420">
        <v>38.200000000000003</v>
      </c>
      <c r="Z110" s="1439"/>
      <c r="AA110" s="1420">
        <v>3327486.84</v>
      </c>
      <c r="AB110" s="1439"/>
      <c r="AC110" s="1420">
        <v>5275596.5599999996</v>
      </c>
      <c r="AD110" s="1422">
        <v>4965747</v>
      </c>
      <c r="AE110" s="1420">
        <v>681759.37</v>
      </c>
      <c r="AF110" s="1420">
        <v>478968.98</v>
      </c>
      <c r="AG110" s="1420">
        <v>922.77</v>
      </c>
      <c r="AH110" s="1422">
        <v>1000</v>
      </c>
      <c r="AI110" s="1422">
        <v>1602132</v>
      </c>
      <c r="AJ110" s="1422">
        <v>1597539</v>
      </c>
      <c r="AK110" s="1422">
        <v>36155</v>
      </c>
      <c r="AL110" s="1422">
        <v>35000</v>
      </c>
      <c r="AM110" s="1422">
        <v>72848</v>
      </c>
      <c r="AN110" s="1422">
        <v>0</v>
      </c>
      <c r="AO110" s="1422">
        <v>0</v>
      </c>
      <c r="AP110" s="1422">
        <v>6820</v>
      </c>
      <c r="AQ110" s="1422">
        <v>0</v>
      </c>
      <c r="AR110" s="1422">
        <v>0</v>
      </c>
      <c r="AS110" s="1422">
        <v>32848</v>
      </c>
      <c r="AT110" s="1422">
        <v>32000</v>
      </c>
      <c r="AU110" s="1422">
        <v>17965</v>
      </c>
      <c r="AV110" s="1422">
        <v>14372</v>
      </c>
      <c r="AW110" s="1422">
        <v>0</v>
      </c>
      <c r="AX110" s="1422">
        <v>0</v>
      </c>
      <c r="AY110" s="1420">
        <v>7720226.7000000002</v>
      </c>
      <c r="AZ110" s="1420">
        <v>7131446.9800000004</v>
      </c>
      <c r="BA110" s="1422">
        <v>0</v>
      </c>
      <c r="BB110" s="1422">
        <v>0</v>
      </c>
      <c r="BC110" s="1422">
        <v>34397</v>
      </c>
      <c r="BD110" s="1422">
        <v>35151</v>
      </c>
      <c r="BE110" s="1420">
        <v>28564.29</v>
      </c>
      <c r="BF110" s="1422">
        <v>22400</v>
      </c>
      <c r="BG110" s="1422">
        <v>150</v>
      </c>
      <c r="BH110" s="1422">
        <v>0</v>
      </c>
      <c r="BI110" s="1422">
        <v>9832</v>
      </c>
      <c r="BJ110" s="1422">
        <v>28518</v>
      </c>
      <c r="BK110" s="1422">
        <v>0</v>
      </c>
      <c r="BL110" s="1422">
        <v>0</v>
      </c>
      <c r="BM110" s="1422">
        <v>240064</v>
      </c>
      <c r="BN110" s="1422">
        <v>270710</v>
      </c>
      <c r="BO110" s="1420">
        <v>182498.72</v>
      </c>
      <c r="BP110" s="1422">
        <v>108628</v>
      </c>
      <c r="BQ110" s="1422">
        <v>0</v>
      </c>
      <c r="BR110" s="1422">
        <v>0</v>
      </c>
      <c r="BS110" s="1420">
        <v>3235.85</v>
      </c>
      <c r="BT110" s="1422">
        <v>3200</v>
      </c>
      <c r="BU110" s="1422">
        <v>0</v>
      </c>
      <c r="BV110" s="1422">
        <v>0</v>
      </c>
      <c r="BW110" s="1422">
        <v>391040</v>
      </c>
      <c r="BX110" s="1422">
        <v>388800</v>
      </c>
      <c r="BY110" s="1422">
        <v>0</v>
      </c>
      <c r="BZ110" s="1422">
        <v>0</v>
      </c>
      <c r="CA110" s="1422">
        <v>36450</v>
      </c>
      <c r="CB110" s="1422">
        <v>49500</v>
      </c>
      <c r="CC110" s="1420">
        <v>926231.86</v>
      </c>
      <c r="CD110" s="1422">
        <v>906907</v>
      </c>
      <c r="CE110" s="1420">
        <v>1361221.1</v>
      </c>
      <c r="CF110" s="1420">
        <v>1390744.42</v>
      </c>
      <c r="CG110" s="1422">
        <v>478700</v>
      </c>
      <c r="CH110" s="1422">
        <v>0</v>
      </c>
      <c r="CI110" s="1422">
        <v>0</v>
      </c>
      <c r="CJ110" s="1422">
        <v>0</v>
      </c>
      <c r="CK110" s="1422">
        <v>0</v>
      </c>
      <c r="CL110" s="1422">
        <v>0</v>
      </c>
      <c r="CM110" s="1422">
        <v>1000</v>
      </c>
      <c r="CN110" s="1422">
        <v>0</v>
      </c>
      <c r="CO110" s="1422">
        <v>14620</v>
      </c>
      <c r="CP110" s="1422">
        <v>0</v>
      </c>
      <c r="CQ110" s="1422">
        <v>0</v>
      </c>
      <c r="CR110" s="1422">
        <v>0</v>
      </c>
      <c r="CS110" s="1422">
        <v>494320</v>
      </c>
      <c r="CT110" s="1422">
        <v>0</v>
      </c>
      <c r="CU110" s="1420">
        <v>10501999.66</v>
      </c>
      <c r="CV110" s="1420">
        <v>9429098.4000000004</v>
      </c>
      <c r="CW110" s="1420">
        <v>3719338.42</v>
      </c>
      <c r="CX110" s="1420">
        <v>3312744.49</v>
      </c>
      <c r="CY110" s="1420">
        <v>712704.77</v>
      </c>
      <c r="CZ110" s="1420">
        <v>771273.81</v>
      </c>
      <c r="DA110" s="1420">
        <v>341730.17</v>
      </c>
      <c r="DB110" s="1420">
        <v>353543.29</v>
      </c>
      <c r="DC110" s="1422">
        <v>0</v>
      </c>
      <c r="DD110" s="1422">
        <v>0</v>
      </c>
      <c r="DE110" s="1420">
        <v>276815.14</v>
      </c>
      <c r="DF110" s="1420">
        <v>349201.74</v>
      </c>
      <c r="DG110" s="1420">
        <v>344598.62</v>
      </c>
      <c r="DH110" s="1420">
        <v>451362.08</v>
      </c>
      <c r="DI110" s="1420">
        <v>5395187.1200000001</v>
      </c>
      <c r="DJ110" s="1420">
        <v>5238125.41</v>
      </c>
      <c r="DK110" s="1420">
        <v>294059.59999999998</v>
      </c>
      <c r="DL110" s="1420">
        <v>262889.34000000003</v>
      </c>
      <c r="DM110" s="1420">
        <v>185503.62</v>
      </c>
      <c r="DN110" s="1420">
        <v>123969.79</v>
      </c>
      <c r="DO110" s="1420">
        <v>1249870.5900000001</v>
      </c>
      <c r="DP110" s="1420">
        <v>1224099.44</v>
      </c>
      <c r="DQ110" s="1420">
        <v>500843.62</v>
      </c>
      <c r="DR110" s="1420">
        <v>541999.01</v>
      </c>
      <c r="DS110" s="1420">
        <v>46184.46</v>
      </c>
      <c r="DT110" s="1422">
        <v>13500</v>
      </c>
      <c r="DU110" s="1420">
        <v>2276461.89</v>
      </c>
      <c r="DV110" s="1420">
        <v>2166457.58</v>
      </c>
      <c r="DW110" s="1420">
        <v>339121.24</v>
      </c>
      <c r="DX110" s="1420">
        <v>430030.88</v>
      </c>
      <c r="DY110" s="1420">
        <v>579405.07999999996</v>
      </c>
      <c r="DZ110" s="1420">
        <v>541428.54</v>
      </c>
      <c r="EA110" s="1420">
        <v>316248.38</v>
      </c>
      <c r="EB110" s="1420">
        <v>329759.81</v>
      </c>
      <c r="EC110" s="1420">
        <v>1234774.7</v>
      </c>
      <c r="ED110" s="1420">
        <v>1301219.23</v>
      </c>
      <c r="EE110" s="1420">
        <v>526598.5</v>
      </c>
      <c r="EF110" s="1420">
        <v>504348.58</v>
      </c>
      <c r="EG110" s="1420">
        <v>22193.56</v>
      </c>
      <c r="EH110" s="1422">
        <v>0</v>
      </c>
      <c r="EI110" s="1420">
        <v>73881.759999999995</v>
      </c>
      <c r="EJ110" s="1420">
        <v>45669.5</v>
      </c>
      <c r="EK110" s="1422">
        <v>0</v>
      </c>
      <c r="EL110" s="1422">
        <v>0</v>
      </c>
      <c r="EM110" s="1420">
        <v>622673.81999999995</v>
      </c>
      <c r="EN110" s="1420">
        <v>550018.07999999996</v>
      </c>
      <c r="EO110" s="1420">
        <v>634578.27</v>
      </c>
      <c r="EP110" s="1422">
        <v>1269898</v>
      </c>
      <c r="EQ110" s="1420">
        <v>312494.36</v>
      </c>
      <c r="ER110" s="1420">
        <v>303483.12</v>
      </c>
      <c r="ES110" s="1422">
        <v>0</v>
      </c>
      <c r="ET110" s="1422">
        <v>500</v>
      </c>
      <c r="EU110" s="1420">
        <v>10476170.16</v>
      </c>
      <c r="EV110" s="1420">
        <v>10829701.42</v>
      </c>
      <c r="EW110" s="1420">
        <v>1007986.93</v>
      </c>
      <c r="EX110" s="1420">
        <v>1708458.43</v>
      </c>
      <c r="EY110" s="1420">
        <v>312494.36</v>
      </c>
      <c r="EZ110" s="1420">
        <v>303483.12</v>
      </c>
      <c r="FA110" s="1420">
        <v>9155688.8699999992</v>
      </c>
      <c r="FB110" s="1420">
        <v>8817759.8699999992</v>
      </c>
      <c r="FC110" s="1420">
        <v>981702.4</v>
      </c>
      <c r="FD110" s="1439"/>
      <c r="FE110" s="1420">
        <v>8173986.4699999997</v>
      </c>
      <c r="FF110" s="1439"/>
      <c r="FG110" s="1422">
        <v>10423</v>
      </c>
      <c r="FH110" s="1439"/>
      <c r="FI110" s="1420">
        <v>70.63</v>
      </c>
      <c r="FJ110" s="1439"/>
      <c r="FK110" s="1422">
        <v>39802</v>
      </c>
      <c r="FL110" s="1439"/>
      <c r="FM110" s="1420">
        <v>77.180000000000007</v>
      </c>
      <c r="FN110" s="1439"/>
      <c r="FO110" s="1422">
        <v>41319</v>
      </c>
      <c r="FP110" s="1439"/>
      <c r="FQ110" s="1420">
        <v>5696047.3300000001</v>
      </c>
      <c r="FR110" s="1439"/>
      <c r="FS110" s="1420">
        <v>63342.080000000002</v>
      </c>
      <c r="FT110" s="1439"/>
      <c r="FU110" s="1422">
        <v>0</v>
      </c>
      <c r="FV110" s="1439"/>
      <c r="FW110" s="1420">
        <v>5632705.25</v>
      </c>
      <c r="FX110" s="1439"/>
      <c r="FY110" s="1420">
        <v>1211894.3400000001</v>
      </c>
      <c r="FZ110" s="1439"/>
      <c r="GA110" s="1422">
        <v>0</v>
      </c>
      <c r="GB110" s="1439"/>
    </row>
    <row r="111" spans="1:184" ht="12.75" customHeight="1" thickBot="1">
      <c r="A111" s="1418" t="s">
        <v>446</v>
      </c>
      <c r="B111" s="1418" t="s">
        <v>447</v>
      </c>
      <c r="C111" s="1420">
        <v>192.65</v>
      </c>
      <c r="D111" s="1439"/>
      <c r="E111" s="1420">
        <v>394.84</v>
      </c>
      <c r="F111" s="1439"/>
      <c r="G111" s="1421">
        <v>-0.13</v>
      </c>
      <c r="H111" s="1439"/>
      <c r="I111" s="1420">
        <v>419.37</v>
      </c>
      <c r="J111" s="1439"/>
      <c r="K111" s="1420">
        <v>407.59</v>
      </c>
      <c r="L111" s="1439"/>
      <c r="M111" s="1422">
        <v>30336500</v>
      </c>
      <c r="N111" s="1439"/>
      <c r="O111" s="1422">
        <v>25</v>
      </c>
      <c r="P111" s="1439"/>
      <c r="Q111" s="1422">
        <v>25</v>
      </c>
      <c r="R111" s="1439"/>
      <c r="S111" s="1422">
        <v>0</v>
      </c>
      <c r="T111" s="1439"/>
      <c r="U111" s="1422">
        <v>0</v>
      </c>
      <c r="V111" s="1439"/>
      <c r="W111" s="1420">
        <v>17.3</v>
      </c>
      <c r="X111" s="1439"/>
      <c r="Y111" s="1420">
        <v>42.3</v>
      </c>
      <c r="Z111" s="1439"/>
      <c r="AA111" s="1420">
        <v>3914044.17</v>
      </c>
      <c r="AB111" s="1439"/>
      <c r="AC111" s="1420">
        <v>1151685.44</v>
      </c>
      <c r="AD111" s="1422">
        <v>1156466</v>
      </c>
      <c r="AE111" s="1420">
        <v>317119.28999999998</v>
      </c>
      <c r="AF111" s="1422">
        <v>85500</v>
      </c>
      <c r="AG111" s="1420">
        <v>1211.55</v>
      </c>
      <c r="AH111" s="1422">
        <v>1000</v>
      </c>
      <c r="AI111" s="1422">
        <v>1710510</v>
      </c>
      <c r="AJ111" s="1422">
        <v>1780042</v>
      </c>
      <c r="AK111" s="1422">
        <v>33779</v>
      </c>
      <c r="AL111" s="1422">
        <v>0</v>
      </c>
      <c r="AM111" s="1422">
        <v>70906</v>
      </c>
      <c r="AN111" s="1422">
        <v>0</v>
      </c>
      <c r="AO111" s="1422">
        <v>0</v>
      </c>
      <c r="AP111" s="1422">
        <v>0</v>
      </c>
      <c r="AQ111" s="1422">
        <v>0</v>
      </c>
      <c r="AR111" s="1422">
        <v>0</v>
      </c>
      <c r="AS111" s="1422">
        <v>0</v>
      </c>
      <c r="AT111" s="1422">
        <v>0</v>
      </c>
      <c r="AU111" s="1422">
        <v>0</v>
      </c>
      <c r="AV111" s="1422">
        <v>0</v>
      </c>
      <c r="AW111" s="1422">
        <v>0</v>
      </c>
      <c r="AX111" s="1422">
        <v>0</v>
      </c>
      <c r="AY111" s="1420">
        <v>3285211.28</v>
      </c>
      <c r="AZ111" s="1422">
        <v>3023008</v>
      </c>
      <c r="BA111" s="1422">
        <v>0</v>
      </c>
      <c r="BB111" s="1422">
        <v>0</v>
      </c>
      <c r="BC111" s="1422">
        <v>16858</v>
      </c>
      <c r="BD111" s="1422">
        <v>17741</v>
      </c>
      <c r="BE111" s="1422">
        <v>5200</v>
      </c>
      <c r="BF111" s="1422">
        <v>0</v>
      </c>
      <c r="BG111" s="1422">
        <v>500</v>
      </c>
      <c r="BH111" s="1422">
        <v>0</v>
      </c>
      <c r="BI111" s="1422">
        <v>4510</v>
      </c>
      <c r="BJ111" s="1422">
        <v>0</v>
      </c>
      <c r="BK111" s="1422">
        <v>0</v>
      </c>
      <c r="BL111" s="1422">
        <v>0</v>
      </c>
      <c r="BM111" s="1422">
        <v>118048</v>
      </c>
      <c r="BN111" s="1422">
        <v>124476</v>
      </c>
      <c r="BO111" s="1420">
        <v>1669.76</v>
      </c>
      <c r="BP111" s="1422">
        <v>0</v>
      </c>
      <c r="BQ111" s="1422">
        <v>0</v>
      </c>
      <c r="BR111" s="1422">
        <v>0</v>
      </c>
      <c r="BS111" s="1420">
        <v>1605.05</v>
      </c>
      <c r="BT111" s="1422">
        <v>1600</v>
      </c>
      <c r="BU111" s="1422">
        <v>0</v>
      </c>
      <c r="BV111" s="1422">
        <v>0</v>
      </c>
      <c r="BW111" s="1422">
        <v>0</v>
      </c>
      <c r="BX111" s="1422">
        <v>0</v>
      </c>
      <c r="BY111" s="1422">
        <v>0</v>
      </c>
      <c r="BZ111" s="1422">
        <v>0</v>
      </c>
      <c r="CA111" s="1422">
        <v>41597</v>
      </c>
      <c r="CB111" s="1422">
        <v>38795</v>
      </c>
      <c r="CC111" s="1420">
        <v>189987.81</v>
      </c>
      <c r="CD111" s="1422">
        <v>182612</v>
      </c>
      <c r="CE111" s="1420">
        <v>1202673.2</v>
      </c>
      <c r="CF111" s="1420">
        <v>769216.99</v>
      </c>
      <c r="CG111" s="1422">
        <v>0</v>
      </c>
      <c r="CH111" s="1422">
        <v>0</v>
      </c>
      <c r="CI111" s="1422">
        <v>0</v>
      </c>
      <c r="CJ111" s="1422">
        <v>0</v>
      </c>
      <c r="CK111" s="1422">
        <v>0</v>
      </c>
      <c r="CL111" s="1422">
        <v>0</v>
      </c>
      <c r="CM111" s="1422">
        <v>0</v>
      </c>
      <c r="CN111" s="1422">
        <v>0</v>
      </c>
      <c r="CO111" s="1420">
        <v>8359.7199999999993</v>
      </c>
      <c r="CP111" s="1422">
        <v>0</v>
      </c>
      <c r="CQ111" s="1422">
        <v>0</v>
      </c>
      <c r="CR111" s="1422">
        <v>0</v>
      </c>
      <c r="CS111" s="1420">
        <v>8359.7199999999993</v>
      </c>
      <c r="CT111" s="1422">
        <v>0</v>
      </c>
      <c r="CU111" s="1420">
        <v>4686232.01</v>
      </c>
      <c r="CV111" s="1420">
        <v>3974836.99</v>
      </c>
      <c r="CW111" s="1420">
        <v>1555457.78</v>
      </c>
      <c r="CX111" s="1420">
        <v>1370433.02</v>
      </c>
      <c r="CY111" s="1420">
        <v>271868.45</v>
      </c>
      <c r="CZ111" s="1420">
        <v>249630.53</v>
      </c>
      <c r="DA111" s="1420">
        <v>146610.1</v>
      </c>
      <c r="DB111" s="1420">
        <v>139807.42000000001</v>
      </c>
      <c r="DC111" s="1422">
        <v>0</v>
      </c>
      <c r="DD111" s="1422">
        <v>0</v>
      </c>
      <c r="DE111" s="1420">
        <v>23928.71</v>
      </c>
      <c r="DF111" s="1420">
        <v>26848.25</v>
      </c>
      <c r="DG111" s="1420">
        <v>157396.64000000001</v>
      </c>
      <c r="DH111" s="1420">
        <v>147555.32</v>
      </c>
      <c r="DI111" s="1420">
        <v>2155261.6800000002</v>
      </c>
      <c r="DJ111" s="1420">
        <v>1934274.54</v>
      </c>
      <c r="DK111" s="1420">
        <v>147641.69</v>
      </c>
      <c r="DL111" s="1420">
        <v>134489.20000000001</v>
      </c>
      <c r="DM111" s="1420">
        <v>84734.37</v>
      </c>
      <c r="DN111" s="1420">
        <v>70800.240000000005</v>
      </c>
      <c r="DO111" s="1422">
        <v>442967</v>
      </c>
      <c r="DP111" s="1420">
        <v>409004.91</v>
      </c>
      <c r="DQ111" s="1420">
        <v>170931.74</v>
      </c>
      <c r="DR111" s="1420">
        <v>202193.33</v>
      </c>
      <c r="DS111" s="1420">
        <v>16362.74</v>
      </c>
      <c r="DT111" s="1422">
        <v>0</v>
      </c>
      <c r="DU111" s="1420">
        <v>862637.54</v>
      </c>
      <c r="DV111" s="1420">
        <v>816487.68</v>
      </c>
      <c r="DW111" s="1420">
        <v>143181.23000000001</v>
      </c>
      <c r="DX111" s="1420">
        <v>146367.79</v>
      </c>
      <c r="DY111" s="1420">
        <v>534715.69999999995</v>
      </c>
      <c r="DZ111" s="1420">
        <v>379329.92</v>
      </c>
      <c r="EA111" s="1420">
        <v>190314.75</v>
      </c>
      <c r="EB111" s="1420">
        <v>238030.19</v>
      </c>
      <c r="EC111" s="1420">
        <v>868211.68</v>
      </c>
      <c r="ED111" s="1420">
        <v>763727.9</v>
      </c>
      <c r="EE111" s="1420">
        <v>346679.46</v>
      </c>
      <c r="EF111" s="1420">
        <v>341196.66</v>
      </c>
      <c r="EG111" s="1422">
        <v>760</v>
      </c>
      <c r="EH111" s="1422">
        <v>0</v>
      </c>
      <c r="EI111" s="1420">
        <v>26.21</v>
      </c>
      <c r="EJ111" s="1422">
        <v>1000</v>
      </c>
      <c r="EK111" s="1422">
        <v>0</v>
      </c>
      <c r="EL111" s="1422">
        <v>0</v>
      </c>
      <c r="EM111" s="1420">
        <v>347465.67</v>
      </c>
      <c r="EN111" s="1420">
        <v>342196.66</v>
      </c>
      <c r="EO111" s="1420">
        <v>158838.13</v>
      </c>
      <c r="EP111" s="1420">
        <v>49789.279999999999</v>
      </c>
      <c r="EQ111" s="1420">
        <v>273812.76</v>
      </c>
      <c r="ER111" s="1420">
        <v>280569.76</v>
      </c>
      <c r="ES111" s="1422">
        <v>0</v>
      </c>
      <c r="ET111" s="1422">
        <v>0</v>
      </c>
      <c r="EU111" s="1420">
        <v>4666227.46</v>
      </c>
      <c r="EV111" s="1420">
        <v>4187045.82</v>
      </c>
      <c r="EW111" s="1420">
        <v>221607.91</v>
      </c>
      <c r="EX111" s="1420">
        <v>66125.179999999993</v>
      </c>
      <c r="EY111" s="1420">
        <v>273812.76</v>
      </c>
      <c r="EZ111" s="1420">
        <v>280569.76</v>
      </c>
      <c r="FA111" s="1420">
        <v>4170806.79</v>
      </c>
      <c r="FB111" s="1420">
        <v>3840350.88</v>
      </c>
      <c r="FC111" s="1420">
        <v>314555.11</v>
      </c>
      <c r="FD111" s="1439"/>
      <c r="FE111" s="1420">
        <v>3856251.68</v>
      </c>
      <c r="FF111" s="1439"/>
      <c r="FG111" s="1422">
        <v>9766</v>
      </c>
      <c r="FH111" s="1439"/>
      <c r="FI111" s="1420">
        <v>36.21</v>
      </c>
      <c r="FJ111" s="1439"/>
      <c r="FK111" s="1422">
        <v>36786</v>
      </c>
      <c r="FL111" s="1439"/>
      <c r="FM111" s="1420">
        <v>39.31</v>
      </c>
      <c r="FN111" s="1439"/>
      <c r="FO111" s="1422">
        <v>38549</v>
      </c>
      <c r="FP111" s="1439"/>
      <c r="FQ111" s="1420">
        <v>808987.06</v>
      </c>
      <c r="FR111" s="1439"/>
      <c r="FS111" s="1420">
        <v>16025.2</v>
      </c>
      <c r="FT111" s="1439"/>
      <c r="FU111" s="1422">
        <v>0</v>
      </c>
      <c r="FV111" s="1439"/>
      <c r="FW111" s="1420">
        <v>792961.86</v>
      </c>
      <c r="FX111" s="1439"/>
      <c r="FY111" s="1420">
        <v>176848.5</v>
      </c>
      <c r="FZ111" s="1439"/>
      <c r="GA111" s="1422">
        <v>0</v>
      </c>
      <c r="GB111" s="1439"/>
    </row>
    <row r="112" spans="1:184" ht="12.75" customHeight="1" thickBot="1">
      <c r="A112" s="1418" t="s">
        <v>448</v>
      </c>
      <c r="B112" s="1418" t="s">
        <v>449</v>
      </c>
      <c r="C112" s="1420">
        <v>257.55</v>
      </c>
      <c r="D112" s="1439"/>
      <c r="E112" s="1420">
        <v>868.55</v>
      </c>
      <c r="F112" s="1439"/>
      <c r="G112" s="1421">
        <v>0.05</v>
      </c>
      <c r="H112" s="1439"/>
      <c r="I112" s="1420">
        <v>907.44</v>
      </c>
      <c r="J112" s="1439"/>
      <c r="K112" s="1420">
        <v>905.58</v>
      </c>
      <c r="L112" s="1439"/>
      <c r="M112" s="1422">
        <v>64308002</v>
      </c>
      <c r="N112" s="1439"/>
      <c r="O112" s="1420">
        <v>25.12</v>
      </c>
      <c r="P112" s="1439"/>
      <c r="Q112" s="1422">
        <v>25</v>
      </c>
      <c r="R112" s="1439"/>
      <c r="S112" s="1420">
        <v>0.12</v>
      </c>
      <c r="T112" s="1439"/>
      <c r="U112" s="1422">
        <v>0</v>
      </c>
      <c r="V112" s="1439"/>
      <c r="W112" s="1420">
        <v>13.1</v>
      </c>
      <c r="X112" s="1439"/>
      <c r="Y112" s="1420">
        <v>38.22</v>
      </c>
      <c r="Z112" s="1439"/>
      <c r="AA112" s="1422">
        <v>6985000</v>
      </c>
      <c r="AB112" s="1439"/>
      <c r="AC112" s="1420">
        <v>2196386.42</v>
      </c>
      <c r="AD112" s="1422">
        <v>1855667</v>
      </c>
      <c r="AE112" s="1420">
        <v>405663.8</v>
      </c>
      <c r="AF112" s="1422">
        <v>203100</v>
      </c>
      <c r="AG112" s="1422">
        <v>0</v>
      </c>
      <c r="AH112" s="1422">
        <v>0</v>
      </c>
      <c r="AI112" s="1422">
        <v>3932899</v>
      </c>
      <c r="AJ112" s="1422">
        <v>4018909</v>
      </c>
      <c r="AK112" s="1422">
        <v>92855</v>
      </c>
      <c r="AL112" s="1422">
        <v>0</v>
      </c>
      <c r="AM112" s="1422">
        <v>56923</v>
      </c>
      <c r="AN112" s="1422">
        <v>0</v>
      </c>
      <c r="AO112" s="1422">
        <v>0</v>
      </c>
      <c r="AP112" s="1422">
        <v>0</v>
      </c>
      <c r="AQ112" s="1422">
        <v>0</v>
      </c>
      <c r="AR112" s="1422">
        <v>0</v>
      </c>
      <c r="AS112" s="1422">
        <v>134362</v>
      </c>
      <c r="AT112" s="1422">
        <v>0</v>
      </c>
      <c r="AU112" s="1422">
        <v>0</v>
      </c>
      <c r="AV112" s="1422">
        <v>0</v>
      </c>
      <c r="AW112" s="1420">
        <v>44818.66</v>
      </c>
      <c r="AX112" s="1422">
        <v>0</v>
      </c>
      <c r="AY112" s="1420">
        <v>6863907.8799999999</v>
      </c>
      <c r="AZ112" s="1422">
        <v>6077676</v>
      </c>
      <c r="BA112" s="1422">
        <v>0</v>
      </c>
      <c r="BB112" s="1422">
        <v>0</v>
      </c>
      <c r="BC112" s="1422">
        <v>37455</v>
      </c>
      <c r="BD112" s="1422">
        <v>38590</v>
      </c>
      <c r="BE112" s="1422">
        <v>387456</v>
      </c>
      <c r="BF112" s="1422">
        <v>0</v>
      </c>
      <c r="BG112" s="1422">
        <v>2600</v>
      </c>
      <c r="BH112" s="1422">
        <v>0</v>
      </c>
      <c r="BI112" s="1422">
        <v>17552</v>
      </c>
      <c r="BJ112" s="1422">
        <v>25243</v>
      </c>
      <c r="BK112" s="1422">
        <v>0</v>
      </c>
      <c r="BL112" s="1422">
        <v>0</v>
      </c>
      <c r="BM112" s="1422">
        <v>263872</v>
      </c>
      <c r="BN112" s="1422">
        <v>259072</v>
      </c>
      <c r="BO112" s="1420">
        <v>73304.39</v>
      </c>
      <c r="BP112" s="1422">
        <v>0</v>
      </c>
      <c r="BQ112" s="1420">
        <v>29858.959999999999</v>
      </c>
      <c r="BR112" s="1422">
        <v>0</v>
      </c>
      <c r="BS112" s="1420">
        <v>3548.46</v>
      </c>
      <c r="BT112" s="1422">
        <v>3500</v>
      </c>
      <c r="BU112" s="1422">
        <v>0</v>
      </c>
      <c r="BV112" s="1422">
        <v>0</v>
      </c>
      <c r="BW112" s="1422">
        <v>97700</v>
      </c>
      <c r="BX112" s="1422">
        <v>97200</v>
      </c>
      <c r="BY112" s="1422">
        <v>0</v>
      </c>
      <c r="BZ112" s="1422">
        <v>0</v>
      </c>
      <c r="CA112" s="1422">
        <v>31074</v>
      </c>
      <c r="CB112" s="1422">
        <v>28530</v>
      </c>
      <c r="CC112" s="1420">
        <v>944420.81</v>
      </c>
      <c r="CD112" s="1422">
        <v>452135</v>
      </c>
      <c r="CE112" s="1420">
        <v>1412196.89</v>
      </c>
      <c r="CF112" s="1422">
        <v>1116917</v>
      </c>
      <c r="CG112" s="1420">
        <v>123189.14</v>
      </c>
      <c r="CH112" s="1422">
        <v>0</v>
      </c>
      <c r="CI112" s="1422">
        <v>0</v>
      </c>
      <c r="CJ112" s="1422">
        <v>0</v>
      </c>
      <c r="CK112" s="1422">
        <v>0</v>
      </c>
      <c r="CL112" s="1422">
        <v>0</v>
      </c>
      <c r="CM112" s="1422">
        <v>0</v>
      </c>
      <c r="CN112" s="1422">
        <v>0</v>
      </c>
      <c r="CO112" s="1422">
        <v>0</v>
      </c>
      <c r="CP112" s="1422">
        <v>0</v>
      </c>
      <c r="CQ112" s="1422">
        <v>0</v>
      </c>
      <c r="CR112" s="1422">
        <v>0</v>
      </c>
      <c r="CS112" s="1420">
        <v>123189.14</v>
      </c>
      <c r="CT112" s="1422">
        <v>0</v>
      </c>
      <c r="CU112" s="1420">
        <v>9343714.7200000007</v>
      </c>
      <c r="CV112" s="1422">
        <v>7646728</v>
      </c>
      <c r="CW112" s="1420">
        <v>3200474.35</v>
      </c>
      <c r="CX112" s="1422">
        <v>2792104</v>
      </c>
      <c r="CY112" s="1420">
        <v>560783.68999999994</v>
      </c>
      <c r="CZ112" s="1420">
        <v>662332.26</v>
      </c>
      <c r="DA112" s="1420">
        <v>263253.49</v>
      </c>
      <c r="DB112" s="1422">
        <v>221130</v>
      </c>
      <c r="DC112" s="1422">
        <v>0</v>
      </c>
      <c r="DD112" s="1422">
        <v>0</v>
      </c>
      <c r="DE112" s="1420">
        <v>270755.13</v>
      </c>
      <c r="DF112" s="1422">
        <v>239902</v>
      </c>
      <c r="DG112" s="1420">
        <v>174266.1</v>
      </c>
      <c r="DH112" s="1422">
        <v>284440</v>
      </c>
      <c r="DI112" s="1420">
        <v>4469532.76</v>
      </c>
      <c r="DJ112" s="1420">
        <v>4199908.26</v>
      </c>
      <c r="DK112" s="1420">
        <v>171244.67</v>
      </c>
      <c r="DL112" s="1422">
        <v>175118</v>
      </c>
      <c r="DM112" s="1420">
        <v>138673.45000000001</v>
      </c>
      <c r="DN112" s="1422">
        <v>122438</v>
      </c>
      <c r="DO112" s="1420">
        <v>877779.24</v>
      </c>
      <c r="DP112" s="1422">
        <v>865870</v>
      </c>
      <c r="DQ112" s="1420">
        <v>663449.46</v>
      </c>
      <c r="DR112" s="1422">
        <v>380077</v>
      </c>
      <c r="DS112" s="1420">
        <v>3577.9</v>
      </c>
      <c r="DT112" s="1422">
        <v>12000</v>
      </c>
      <c r="DU112" s="1420">
        <v>1854724.72</v>
      </c>
      <c r="DV112" s="1422">
        <v>1555503</v>
      </c>
      <c r="DW112" s="1420">
        <v>285012.01</v>
      </c>
      <c r="DX112" s="1422">
        <v>319975</v>
      </c>
      <c r="DY112" s="1420">
        <v>300011.89</v>
      </c>
      <c r="DZ112" s="1422">
        <v>352315</v>
      </c>
      <c r="EA112" s="1420">
        <v>361089.19</v>
      </c>
      <c r="EB112" s="1422">
        <v>358970</v>
      </c>
      <c r="EC112" s="1420">
        <v>946113.09</v>
      </c>
      <c r="ED112" s="1422">
        <v>1031260</v>
      </c>
      <c r="EE112" s="1420">
        <v>562486.99</v>
      </c>
      <c r="EF112" s="1422">
        <v>506061</v>
      </c>
      <c r="EG112" s="1422">
        <v>0</v>
      </c>
      <c r="EH112" s="1422">
        <v>0</v>
      </c>
      <c r="EI112" s="1420">
        <v>102.11</v>
      </c>
      <c r="EJ112" s="1422">
        <v>350</v>
      </c>
      <c r="EK112" s="1422">
        <v>0</v>
      </c>
      <c r="EL112" s="1422">
        <v>0</v>
      </c>
      <c r="EM112" s="1420">
        <v>562589.1</v>
      </c>
      <c r="EN112" s="1422">
        <v>506411</v>
      </c>
      <c r="EO112" s="1420">
        <v>240899.67</v>
      </c>
      <c r="EP112" s="1422">
        <v>65106</v>
      </c>
      <c r="EQ112" s="1420">
        <v>377045.27</v>
      </c>
      <c r="ER112" s="1422">
        <v>435309</v>
      </c>
      <c r="ES112" s="1422">
        <v>0</v>
      </c>
      <c r="ET112" s="1422">
        <v>0</v>
      </c>
      <c r="EU112" s="1420">
        <v>8450904.6099999994</v>
      </c>
      <c r="EV112" s="1420">
        <v>7793497.2599999998</v>
      </c>
      <c r="EW112" s="1420">
        <v>706501.14</v>
      </c>
      <c r="EX112" s="1422">
        <v>141963</v>
      </c>
      <c r="EY112" s="1420">
        <v>377045.27</v>
      </c>
      <c r="EZ112" s="1422">
        <v>435309</v>
      </c>
      <c r="FA112" s="1420">
        <v>7367358.2000000002</v>
      </c>
      <c r="FB112" s="1420">
        <v>7216225.2599999998</v>
      </c>
      <c r="FC112" s="1420">
        <v>496578.1</v>
      </c>
      <c r="FD112" s="1439"/>
      <c r="FE112" s="1420">
        <v>6870780.0999999996</v>
      </c>
      <c r="FF112" s="1439"/>
      <c r="FG112" s="1422">
        <v>7910</v>
      </c>
      <c r="FH112" s="1439"/>
      <c r="FI112" s="1420">
        <v>67.61</v>
      </c>
      <c r="FJ112" s="1439"/>
      <c r="FK112" s="1422">
        <v>40377</v>
      </c>
      <c r="FL112" s="1439"/>
      <c r="FM112" s="1420">
        <v>72.599999999999994</v>
      </c>
      <c r="FN112" s="1439"/>
      <c r="FO112" s="1422">
        <v>42210</v>
      </c>
      <c r="FP112" s="1439"/>
      <c r="FQ112" s="1420">
        <v>1774271.52</v>
      </c>
      <c r="FR112" s="1439"/>
      <c r="FS112" s="1420">
        <v>88264.79</v>
      </c>
      <c r="FT112" s="1439"/>
      <c r="FU112" s="1422">
        <v>0</v>
      </c>
      <c r="FV112" s="1439"/>
      <c r="FW112" s="1420">
        <v>1686006.73</v>
      </c>
      <c r="FX112" s="1439"/>
      <c r="FY112" s="1420">
        <v>1727928.56</v>
      </c>
      <c r="FZ112" s="1439"/>
      <c r="GA112" s="1422">
        <v>0</v>
      </c>
      <c r="GB112" s="1439"/>
    </row>
    <row r="113" spans="1:184" ht="12.75" customHeight="1" thickBot="1">
      <c r="A113" s="1418" t="s">
        <v>450</v>
      </c>
      <c r="B113" s="1418" t="s">
        <v>451</v>
      </c>
      <c r="C113" s="1420">
        <v>180.17</v>
      </c>
      <c r="D113" s="1439"/>
      <c r="E113" s="1420">
        <v>479.01</v>
      </c>
      <c r="F113" s="1439"/>
      <c r="G113" s="1421">
        <v>-0.05</v>
      </c>
      <c r="H113" s="1439"/>
      <c r="I113" s="1422">
        <v>512</v>
      </c>
      <c r="J113" s="1439"/>
      <c r="K113" s="1420">
        <v>517.44000000000005</v>
      </c>
      <c r="L113" s="1439"/>
      <c r="M113" s="1422">
        <v>51230561</v>
      </c>
      <c r="N113" s="1439"/>
      <c r="O113" s="1422">
        <v>25</v>
      </c>
      <c r="P113" s="1439"/>
      <c r="Q113" s="1422">
        <v>25</v>
      </c>
      <c r="R113" s="1439"/>
      <c r="S113" s="1422">
        <v>0</v>
      </c>
      <c r="T113" s="1439"/>
      <c r="U113" s="1422">
        <v>0</v>
      </c>
      <c r="V113" s="1439"/>
      <c r="W113" s="1422">
        <v>11</v>
      </c>
      <c r="X113" s="1439"/>
      <c r="Y113" s="1422">
        <v>36</v>
      </c>
      <c r="Z113" s="1439"/>
      <c r="AA113" s="1420">
        <v>3887296.18</v>
      </c>
      <c r="AB113" s="1439"/>
      <c r="AC113" s="1420">
        <v>1655806.61</v>
      </c>
      <c r="AD113" s="1422">
        <v>1682000</v>
      </c>
      <c r="AE113" s="1420">
        <v>331884.78999999998</v>
      </c>
      <c r="AF113" s="1422">
        <v>334800</v>
      </c>
      <c r="AG113" s="1422">
        <v>0</v>
      </c>
      <c r="AH113" s="1422">
        <v>0</v>
      </c>
      <c r="AI113" s="1422">
        <v>1900034</v>
      </c>
      <c r="AJ113" s="1422">
        <v>1889273</v>
      </c>
      <c r="AK113" s="1422">
        <v>78148</v>
      </c>
      <c r="AL113" s="1422">
        <v>78000</v>
      </c>
      <c r="AM113" s="1422">
        <v>60725</v>
      </c>
      <c r="AN113" s="1422">
        <v>0</v>
      </c>
      <c r="AO113" s="1422">
        <v>0</v>
      </c>
      <c r="AP113" s="1422">
        <v>34714</v>
      </c>
      <c r="AQ113" s="1422">
        <v>0</v>
      </c>
      <c r="AR113" s="1422">
        <v>0</v>
      </c>
      <c r="AS113" s="1422">
        <v>0</v>
      </c>
      <c r="AT113" s="1422">
        <v>0</v>
      </c>
      <c r="AU113" s="1422">
        <v>0</v>
      </c>
      <c r="AV113" s="1422">
        <v>0</v>
      </c>
      <c r="AW113" s="1422">
        <v>0</v>
      </c>
      <c r="AX113" s="1422">
        <v>0</v>
      </c>
      <c r="AY113" s="1420">
        <v>4026598.4</v>
      </c>
      <c r="AZ113" s="1422">
        <v>4018787</v>
      </c>
      <c r="BA113" s="1422">
        <v>0</v>
      </c>
      <c r="BB113" s="1422">
        <v>0</v>
      </c>
      <c r="BC113" s="1422">
        <v>21401</v>
      </c>
      <c r="BD113" s="1422">
        <v>21690</v>
      </c>
      <c r="BE113" s="1420">
        <v>3523.68</v>
      </c>
      <c r="BF113" s="1422">
        <v>6000</v>
      </c>
      <c r="BG113" s="1422">
        <v>100</v>
      </c>
      <c r="BH113" s="1422">
        <v>0</v>
      </c>
      <c r="BI113" s="1422">
        <v>62448</v>
      </c>
      <c r="BJ113" s="1422">
        <v>61636</v>
      </c>
      <c r="BK113" s="1422">
        <v>0</v>
      </c>
      <c r="BL113" s="1422">
        <v>0</v>
      </c>
      <c r="BM113" s="1422">
        <v>387872</v>
      </c>
      <c r="BN113" s="1422">
        <v>369380</v>
      </c>
      <c r="BO113" s="1420">
        <v>95568.12</v>
      </c>
      <c r="BP113" s="1422">
        <v>114093</v>
      </c>
      <c r="BQ113" s="1422">
        <v>0</v>
      </c>
      <c r="BR113" s="1422">
        <v>10656</v>
      </c>
      <c r="BS113" s="1420">
        <v>2361.21</v>
      </c>
      <c r="BT113" s="1422">
        <v>2400</v>
      </c>
      <c r="BU113" s="1422">
        <v>0</v>
      </c>
      <c r="BV113" s="1422">
        <v>0</v>
      </c>
      <c r="BW113" s="1422">
        <v>145800</v>
      </c>
      <c r="BX113" s="1422">
        <v>145800</v>
      </c>
      <c r="BY113" s="1422">
        <v>0</v>
      </c>
      <c r="BZ113" s="1422">
        <v>0</v>
      </c>
      <c r="CA113" s="1420">
        <v>37595.83</v>
      </c>
      <c r="CB113" s="1422">
        <v>13092</v>
      </c>
      <c r="CC113" s="1420">
        <v>756669.84</v>
      </c>
      <c r="CD113" s="1422">
        <v>744747</v>
      </c>
      <c r="CE113" s="1420">
        <v>1152954.07</v>
      </c>
      <c r="CF113" s="1420">
        <v>961446.69</v>
      </c>
      <c r="CG113" s="1420">
        <v>760070.09</v>
      </c>
      <c r="CH113" s="1422">
        <v>400000</v>
      </c>
      <c r="CI113" s="1422">
        <v>0</v>
      </c>
      <c r="CJ113" s="1422">
        <v>0</v>
      </c>
      <c r="CK113" s="1420">
        <v>3238.2</v>
      </c>
      <c r="CL113" s="1422">
        <v>0</v>
      </c>
      <c r="CM113" s="1422">
        <v>0</v>
      </c>
      <c r="CN113" s="1422">
        <v>0</v>
      </c>
      <c r="CO113" s="1422">
        <v>0</v>
      </c>
      <c r="CP113" s="1422">
        <v>0</v>
      </c>
      <c r="CQ113" s="1422">
        <v>0</v>
      </c>
      <c r="CR113" s="1422">
        <v>0</v>
      </c>
      <c r="CS113" s="1420">
        <v>763308.29</v>
      </c>
      <c r="CT113" s="1422">
        <v>400000</v>
      </c>
      <c r="CU113" s="1420">
        <v>6699530.5999999996</v>
      </c>
      <c r="CV113" s="1420">
        <v>6124980.6900000004</v>
      </c>
      <c r="CW113" s="1420">
        <v>1825864.58</v>
      </c>
      <c r="CX113" s="1422">
        <v>1854878</v>
      </c>
      <c r="CY113" s="1420">
        <v>327608.28999999998</v>
      </c>
      <c r="CZ113" s="1420">
        <v>447099.47</v>
      </c>
      <c r="DA113" s="1420">
        <v>204066.13</v>
      </c>
      <c r="DB113" s="1422">
        <v>229907</v>
      </c>
      <c r="DC113" s="1422">
        <v>0</v>
      </c>
      <c r="DD113" s="1422">
        <v>0</v>
      </c>
      <c r="DE113" s="1420">
        <v>342929.91999999998</v>
      </c>
      <c r="DF113" s="1422">
        <v>364998</v>
      </c>
      <c r="DG113" s="1420">
        <v>241588.53</v>
      </c>
      <c r="DH113" s="1422">
        <v>224747</v>
      </c>
      <c r="DI113" s="1420">
        <v>2942057.45</v>
      </c>
      <c r="DJ113" s="1420">
        <v>3121629.47</v>
      </c>
      <c r="DK113" s="1420">
        <v>179788.7</v>
      </c>
      <c r="DL113" s="1422">
        <v>183525</v>
      </c>
      <c r="DM113" s="1420">
        <v>89179.53</v>
      </c>
      <c r="DN113" s="1422">
        <v>65024</v>
      </c>
      <c r="DO113" s="1420">
        <v>499401.36</v>
      </c>
      <c r="DP113" s="1420">
        <v>454055.2</v>
      </c>
      <c r="DQ113" s="1420">
        <v>394646.39</v>
      </c>
      <c r="DR113" s="1422">
        <v>315467</v>
      </c>
      <c r="DS113" s="1420">
        <v>23614.880000000001</v>
      </c>
      <c r="DT113" s="1422">
        <v>20150</v>
      </c>
      <c r="DU113" s="1420">
        <v>1186630.8600000001</v>
      </c>
      <c r="DV113" s="1420">
        <v>1038221.2</v>
      </c>
      <c r="DW113" s="1420">
        <v>161701.71</v>
      </c>
      <c r="DX113" s="1422">
        <v>147834</v>
      </c>
      <c r="DY113" s="1420">
        <v>437559.82</v>
      </c>
      <c r="DZ113" s="1420">
        <v>430673.12</v>
      </c>
      <c r="EA113" s="1420">
        <v>235729.18</v>
      </c>
      <c r="EB113" s="1422">
        <v>271204</v>
      </c>
      <c r="EC113" s="1420">
        <v>834990.71</v>
      </c>
      <c r="ED113" s="1420">
        <v>849711.12</v>
      </c>
      <c r="EE113" s="1420">
        <v>390815.37</v>
      </c>
      <c r="EF113" s="1420">
        <v>377163.09</v>
      </c>
      <c r="EG113" s="1422">
        <v>0</v>
      </c>
      <c r="EH113" s="1422">
        <v>0</v>
      </c>
      <c r="EI113" s="1422">
        <v>0</v>
      </c>
      <c r="EJ113" s="1422">
        <v>0</v>
      </c>
      <c r="EK113" s="1422">
        <v>0</v>
      </c>
      <c r="EL113" s="1422">
        <v>0</v>
      </c>
      <c r="EM113" s="1420">
        <v>390815.37</v>
      </c>
      <c r="EN113" s="1420">
        <v>377163.09</v>
      </c>
      <c r="EO113" s="1420">
        <v>306929.34999999998</v>
      </c>
      <c r="EP113" s="1420">
        <v>1208262.8600000001</v>
      </c>
      <c r="EQ113" s="1420">
        <v>237238.94</v>
      </c>
      <c r="ER113" s="1422">
        <v>316656</v>
      </c>
      <c r="ES113" s="1422">
        <v>38796</v>
      </c>
      <c r="ET113" s="1422">
        <v>0</v>
      </c>
      <c r="EU113" s="1420">
        <v>5937458.6799999997</v>
      </c>
      <c r="EV113" s="1420">
        <v>6911643.7400000002</v>
      </c>
      <c r="EW113" s="1420">
        <v>431731.73</v>
      </c>
      <c r="EX113" s="1420">
        <v>1272959.8600000001</v>
      </c>
      <c r="EY113" s="1420">
        <v>237238.94</v>
      </c>
      <c r="EZ113" s="1422">
        <v>316656</v>
      </c>
      <c r="FA113" s="1420">
        <v>5268488.01</v>
      </c>
      <c r="FB113" s="1420">
        <v>5322027.88</v>
      </c>
      <c r="FC113" s="1420">
        <v>486807.81</v>
      </c>
      <c r="FD113" s="1439"/>
      <c r="FE113" s="1420">
        <v>4781680.2</v>
      </c>
      <c r="FF113" s="1439"/>
      <c r="FG113" s="1422">
        <v>9982</v>
      </c>
      <c r="FH113" s="1439"/>
      <c r="FI113" s="1420">
        <v>41.31</v>
      </c>
      <c r="FJ113" s="1439"/>
      <c r="FK113" s="1422">
        <v>39606</v>
      </c>
      <c r="FL113" s="1439"/>
      <c r="FM113" s="1420">
        <v>45.92</v>
      </c>
      <c r="FN113" s="1439"/>
      <c r="FO113" s="1422">
        <v>43725</v>
      </c>
      <c r="FP113" s="1439"/>
      <c r="FQ113" s="1420">
        <v>1492134.26</v>
      </c>
      <c r="FR113" s="1439"/>
      <c r="FS113" s="1420">
        <v>14237.32</v>
      </c>
      <c r="FT113" s="1439"/>
      <c r="FU113" s="1422">
        <v>0</v>
      </c>
      <c r="FV113" s="1439"/>
      <c r="FW113" s="1420">
        <v>1477896.94</v>
      </c>
      <c r="FX113" s="1439"/>
      <c r="FY113" s="1420">
        <v>52880.41</v>
      </c>
      <c r="FZ113" s="1439"/>
      <c r="GA113" s="1422">
        <v>0</v>
      </c>
      <c r="GB113" s="1439"/>
    </row>
    <row r="114" spans="1:184" ht="12.75" customHeight="1" thickBot="1">
      <c r="A114" s="1418" t="s">
        <v>452</v>
      </c>
      <c r="B114" s="1418" t="s">
        <v>453</v>
      </c>
      <c r="C114" s="1420">
        <v>339.15</v>
      </c>
      <c r="D114" s="1439"/>
      <c r="E114" s="1420">
        <v>1326.26</v>
      </c>
      <c r="F114" s="1439"/>
      <c r="G114" s="1421">
        <v>-0.11</v>
      </c>
      <c r="H114" s="1439"/>
      <c r="I114" s="1420">
        <v>1419.42</v>
      </c>
      <c r="J114" s="1439"/>
      <c r="K114" s="1420">
        <v>1415.2</v>
      </c>
      <c r="L114" s="1439"/>
      <c r="M114" s="1422">
        <v>125817299</v>
      </c>
      <c r="N114" s="1439"/>
      <c r="O114" s="1422">
        <v>25</v>
      </c>
      <c r="P114" s="1439"/>
      <c r="Q114" s="1422">
        <v>25</v>
      </c>
      <c r="R114" s="1439"/>
      <c r="S114" s="1422">
        <v>0</v>
      </c>
      <c r="T114" s="1439"/>
      <c r="U114" s="1422">
        <v>0</v>
      </c>
      <c r="V114" s="1439"/>
      <c r="W114" s="1422">
        <v>12</v>
      </c>
      <c r="X114" s="1439"/>
      <c r="Y114" s="1422">
        <v>37</v>
      </c>
      <c r="Z114" s="1439"/>
      <c r="AA114" s="1420">
        <v>9291549.8100000005</v>
      </c>
      <c r="AB114" s="1439"/>
      <c r="AC114" s="1420">
        <v>4338949.41</v>
      </c>
      <c r="AD114" s="1420">
        <v>4412048.8099999996</v>
      </c>
      <c r="AE114" s="1420">
        <v>570397.4</v>
      </c>
      <c r="AF114" s="1420">
        <v>246112.06</v>
      </c>
      <c r="AG114" s="1422">
        <v>0</v>
      </c>
      <c r="AH114" s="1422">
        <v>0</v>
      </c>
      <c r="AI114" s="1422">
        <v>5539600</v>
      </c>
      <c r="AJ114" s="1422">
        <v>5680830</v>
      </c>
      <c r="AK114" s="1422">
        <v>86930</v>
      </c>
      <c r="AL114" s="1422">
        <v>0</v>
      </c>
      <c r="AM114" s="1422">
        <v>0</v>
      </c>
      <c r="AN114" s="1422">
        <v>0</v>
      </c>
      <c r="AO114" s="1422">
        <v>168554</v>
      </c>
      <c r="AP114" s="1420">
        <v>171909.12</v>
      </c>
      <c r="AQ114" s="1422">
        <v>0</v>
      </c>
      <c r="AR114" s="1422">
        <v>0</v>
      </c>
      <c r="AS114" s="1422">
        <v>0</v>
      </c>
      <c r="AT114" s="1422">
        <v>0</v>
      </c>
      <c r="AU114" s="1422">
        <v>0</v>
      </c>
      <c r="AV114" s="1422">
        <v>0</v>
      </c>
      <c r="AW114" s="1422">
        <v>750</v>
      </c>
      <c r="AX114" s="1422">
        <v>0</v>
      </c>
      <c r="AY114" s="1420">
        <v>10705180.810000001</v>
      </c>
      <c r="AZ114" s="1420">
        <v>10510899.99</v>
      </c>
      <c r="BA114" s="1422">
        <v>0</v>
      </c>
      <c r="BB114" s="1422">
        <v>0</v>
      </c>
      <c r="BC114" s="1422">
        <v>58533</v>
      </c>
      <c r="BD114" s="1422">
        <v>60479</v>
      </c>
      <c r="BE114" s="1420">
        <v>36460.58</v>
      </c>
      <c r="BF114" s="1422">
        <v>12800</v>
      </c>
      <c r="BG114" s="1422">
        <v>1100</v>
      </c>
      <c r="BH114" s="1422">
        <v>0</v>
      </c>
      <c r="BI114" s="1422">
        <v>51803</v>
      </c>
      <c r="BJ114" s="1422">
        <v>64206</v>
      </c>
      <c r="BK114" s="1422">
        <v>10841</v>
      </c>
      <c r="BL114" s="1422">
        <v>0</v>
      </c>
      <c r="BM114" s="1422">
        <v>1039616</v>
      </c>
      <c r="BN114" s="1422">
        <v>1060576</v>
      </c>
      <c r="BO114" s="1420">
        <v>128046.57</v>
      </c>
      <c r="BP114" s="1420">
        <v>187006.43</v>
      </c>
      <c r="BQ114" s="1422">
        <v>3800</v>
      </c>
      <c r="BR114" s="1422">
        <v>0</v>
      </c>
      <c r="BS114" s="1420">
        <v>6311.35</v>
      </c>
      <c r="BT114" s="1422">
        <v>6300</v>
      </c>
      <c r="BU114" s="1422">
        <v>0</v>
      </c>
      <c r="BV114" s="1422">
        <v>0</v>
      </c>
      <c r="BW114" s="1422">
        <v>495720</v>
      </c>
      <c r="BX114" s="1422">
        <v>495720</v>
      </c>
      <c r="BY114" s="1422">
        <v>0</v>
      </c>
      <c r="BZ114" s="1422">
        <v>0</v>
      </c>
      <c r="CA114" s="1420">
        <v>71222.77</v>
      </c>
      <c r="CB114" s="1422">
        <v>20428</v>
      </c>
      <c r="CC114" s="1420">
        <v>1903454.27</v>
      </c>
      <c r="CD114" s="1420">
        <v>1907515.43</v>
      </c>
      <c r="CE114" s="1420">
        <v>3883591.29</v>
      </c>
      <c r="CF114" s="1420">
        <v>3563178.49</v>
      </c>
      <c r="CG114" s="1422">
        <v>0</v>
      </c>
      <c r="CH114" s="1422">
        <v>0</v>
      </c>
      <c r="CI114" s="1422">
        <v>0</v>
      </c>
      <c r="CJ114" s="1422">
        <v>0</v>
      </c>
      <c r="CK114" s="1420">
        <v>23951.27</v>
      </c>
      <c r="CL114" s="1422">
        <v>29500</v>
      </c>
      <c r="CM114" s="1422">
        <v>0</v>
      </c>
      <c r="CN114" s="1422">
        <v>0</v>
      </c>
      <c r="CO114" s="1422">
        <v>0</v>
      </c>
      <c r="CP114" s="1422">
        <v>0</v>
      </c>
      <c r="CQ114" s="1422">
        <v>0</v>
      </c>
      <c r="CR114" s="1422">
        <v>0</v>
      </c>
      <c r="CS114" s="1420">
        <v>23951.27</v>
      </c>
      <c r="CT114" s="1422">
        <v>29500</v>
      </c>
      <c r="CU114" s="1420">
        <v>16516177.640000001</v>
      </c>
      <c r="CV114" s="1420">
        <v>16011093.91</v>
      </c>
      <c r="CW114" s="1420">
        <v>5075539.68</v>
      </c>
      <c r="CX114" s="1420">
        <v>5462439.7699999996</v>
      </c>
      <c r="CY114" s="1420">
        <v>1109807.1599999999</v>
      </c>
      <c r="CZ114" s="1420">
        <v>1269955.79</v>
      </c>
      <c r="DA114" s="1420">
        <v>399456.84</v>
      </c>
      <c r="DB114" s="1420">
        <v>451361.93</v>
      </c>
      <c r="DC114" s="1422">
        <v>0</v>
      </c>
      <c r="DD114" s="1422">
        <v>0</v>
      </c>
      <c r="DE114" s="1420">
        <v>933699.11</v>
      </c>
      <c r="DF114" s="1420">
        <v>1037837.19</v>
      </c>
      <c r="DG114" s="1420">
        <v>783520.5</v>
      </c>
      <c r="DH114" s="1420">
        <v>772742.36</v>
      </c>
      <c r="DI114" s="1420">
        <v>8302023.29</v>
      </c>
      <c r="DJ114" s="1420">
        <v>8994337.0399999991</v>
      </c>
      <c r="DK114" s="1420">
        <v>325855.89</v>
      </c>
      <c r="DL114" s="1420">
        <v>310868.65999999997</v>
      </c>
      <c r="DM114" s="1420">
        <v>302632.24</v>
      </c>
      <c r="DN114" s="1420">
        <v>204063.56</v>
      </c>
      <c r="DO114" s="1420">
        <v>1443661.39</v>
      </c>
      <c r="DP114" s="1420">
        <v>1257051.21</v>
      </c>
      <c r="DQ114" s="1420">
        <v>579929.75</v>
      </c>
      <c r="DR114" s="1420">
        <v>624006.11</v>
      </c>
      <c r="DS114" s="1420">
        <v>70950.97</v>
      </c>
      <c r="DT114" s="1420">
        <v>74370.350000000006</v>
      </c>
      <c r="DU114" s="1420">
        <v>2723030.24</v>
      </c>
      <c r="DV114" s="1420">
        <v>2470359.89</v>
      </c>
      <c r="DW114" s="1420">
        <v>565911.06000000006</v>
      </c>
      <c r="DX114" s="1420">
        <v>556923.13</v>
      </c>
      <c r="DY114" s="1420">
        <v>1045192.84</v>
      </c>
      <c r="DZ114" s="1420">
        <v>1322981.43</v>
      </c>
      <c r="EA114" s="1420">
        <v>604664.19999999995</v>
      </c>
      <c r="EB114" s="1420">
        <v>622936.72</v>
      </c>
      <c r="EC114" s="1420">
        <v>2215768.1</v>
      </c>
      <c r="ED114" s="1420">
        <v>2502841.2799999998</v>
      </c>
      <c r="EE114" s="1420">
        <v>954698.9</v>
      </c>
      <c r="EF114" s="1422">
        <v>865700</v>
      </c>
      <c r="EG114" s="1420">
        <v>474.26</v>
      </c>
      <c r="EH114" s="1422">
        <v>0</v>
      </c>
      <c r="EI114" s="1422">
        <v>7686</v>
      </c>
      <c r="EJ114" s="1420">
        <v>16009.03</v>
      </c>
      <c r="EK114" s="1422">
        <v>0</v>
      </c>
      <c r="EL114" s="1422">
        <v>0</v>
      </c>
      <c r="EM114" s="1420">
        <v>962859.16</v>
      </c>
      <c r="EN114" s="1420">
        <v>881709.03</v>
      </c>
      <c r="EO114" s="1420">
        <v>642994.01</v>
      </c>
      <c r="EP114" s="1420">
        <v>673748.45</v>
      </c>
      <c r="EQ114" s="1420">
        <v>932779.63</v>
      </c>
      <c r="ER114" s="1420">
        <v>935641.59</v>
      </c>
      <c r="ES114" s="1422">
        <v>0</v>
      </c>
      <c r="ET114" s="1420">
        <v>5090.92</v>
      </c>
      <c r="EU114" s="1420">
        <v>15779454.43</v>
      </c>
      <c r="EV114" s="1420">
        <v>16463728.199999999</v>
      </c>
      <c r="EW114" s="1420">
        <v>799014.91</v>
      </c>
      <c r="EX114" s="1420">
        <v>932361.04</v>
      </c>
      <c r="EY114" s="1420">
        <v>932779.63</v>
      </c>
      <c r="EZ114" s="1420">
        <v>935641.59</v>
      </c>
      <c r="FA114" s="1420">
        <v>14047659.890000001</v>
      </c>
      <c r="FB114" s="1420">
        <v>14595725.57</v>
      </c>
      <c r="FC114" s="1420">
        <v>942267.28</v>
      </c>
      <c r="FD114" s="1439"/>
      <c r="FE114" s="1420">
        <v>13105392.609999999</v>
      </c>
      <c r="FF114" s="1439"/>
      <c r="FG114" s="1422">
        <v>9881</v>
      </c>
      <c r="FH114" s="1439"/>
      <c r="FI114" s="1420">
        <v>111.05</v>
      </c>
      <c r="FJ114" s="1439"/>
      <c r="FK114" s="1422">
        <v>37773</v>
      </c>
      <c r="FL114" s="1439"/>
      <c r="FM114" s="1420">
        <v>121.95</v>
      </c>
      <c r="FN114" s="1439"/>
      <c r="FO114" s="1422">
        <v>40127</v>
      </c>
      <c r="FP114" s="1439"/>
      <c r="FQ114" s="1420">
        <v>2832680.48</v>
      </c>
      <c r="FR114" s="1439"/>
      <c r="FS114" s="1420">
        <v>668631.87</v>
      </c>
      <c r="FT114" s="1439"/>
      <c r="FU114" s="1422">
        <v>0</v>
      </c>
      <c r="FV114" s="1439"/>
      <c r="FW114" s="1420">
        <v>2164048.61</v>
      </c>
      <c r="FX114" s="1439"/>
      <c r="FY114" s="1420">
        <v>1071448.27</v>
      </c>
      <c r="FZ114" s="1439"/>
      <c r="GA114" s="1422">
        <v>0</v>
      </c>
      <c r="GB114" s="1439"/>
    </row>
    <row r="115" spans="1:184" ht="12.75" customHeight="1" thickBot="1">
      <c r="A115" s="1418" t="s">
        <v>454</v>
      </c>
      <c r="B115" s="1418" t="s">
        <v>455</v>
      </c>
      <c r="C115" s="1420">
        <v>254.66</v>
      </c>
      <c r="D115" s="1439"/>
      <c r="E115" s="1420">
        <v>769.9</v>
      </c>
      <c r="F115" s="1439"/>
      <c r="G115" s="1421">
        <v>-0.05</v>
      </c>
      <c r="H115" s="1439"/>
      <c r="I115" s="1420">
        <v>813.32</v>
      </c>
      <c r="J115" s="1439"/>
      <c r="K115" s="1420">
        <v>803.87</v>
      </c>
      <c r="L115" s="1439"/>
      <c r="M115" s="1422">
        <v>50619433</v>
      </c>
      <c r="N115" s="1439"/>
      <c r="O115" s="1422">
        <v>25</v>
      </c>
      <c r="P115" s="1439"/>
      <c r="Q115" s="1422">
        <v>25</v>
      </c>
      <c r="R115" s="1439"/>
      <c r="S115" s="1422">
        <v>0</v>
      </c>
      <c r="T115" s="1439"/>
      <c r="U115" s="1422">
        <v>0</v>
      </c>
      <c r="V115" s="1439"/>
      <c r="W115" s="1422">
        <v>8</v>
      </c>
      <c r="X115" s="1439"/>
      <c r="Y115" s="1422">
        <v>33</v>
      </c>
      <c r="Z115" s="1439"/>
      <c r="AA115" s="1422">
        <v>5070000</v>
      </c>
      <c r="AB115" s="1439"/>
      <c r="AC115" s="1420">
        <v>1531061.68</v>
      </c>
      <c r="AD115" s="1422">
        <v>1679500</v>
      </c>
      <c r="AE115" s="1420">
        <v>411302.99</v>
      </c>
      <c r="AF115" s="1422">
        <v>255200</v>
      </c>
      <c r="AG115" s="1422">
        <v>0</v>
      </c>
      <c r="AH115" s="1422">
        <v>0</v>
      </c>
      <c r="AI115" s="1422">
        <v>3630267</v>
      </c>
      <c r="AJ115" s="1422">
        <v>3767553</v>
      </c>
      <c r="AK115" s="1422">
        <v>58311</v>
      </c>
      <c r="AL115" s="1422">
        <v>50113</v>
      </c>
      <c r="AM115" s="1422">
        <v>60396</v>
      </c>
      <c r="AN115" s="1422">
        <v>7979</v>
      </c>
      <c r="AO115" s="1422">
        <v>0</v>
      </c>
      <c r="AP115" s="1422">
        <v>0</v>
      </c>
      <c r="AQ115" s="1422">
        <v>0</v>
      </c>
      <c r="AR115" s="1422">
        <v>0</v>
      </c>
      <c r="AS115" s="1422">
        <v>77274</v>
      </c>
      <c r="AT115" s="1422">
        <v>79000</v>
      </c>
      <c r="AU115" s="1422">
        <v>0</v>
      </c>
      <c r="AV115" s="1422">
        <v>0</v>
      </c>
      <c r="AW115" s="1422">
        <v>0</v>
      </c>
      <c r="AX115" s="1422">
        <v>0</v>
      </c>
      <c r="AY115" s="1420">
        <v>5768612.6699999999</v>
      </c>
      <c r="AZ115" s="1422">
        <v>5839345</v>
      </c>
      <c r="BA115" s="1422">
        <v>0</v>
      </c>
      <c r="BB115" s="1422">
        <v>0</v>
      </c>
      <c r="BC115" s="1422">
        <v>33248</v>
      </c>
      <c r="BD115" s="1422">
        <v>34542</v>
      </c>
      <c r="BE115" s="1420">
        <v>4825.3100000000004</v>
      </c>
      <c r="BF115" s="1422">
        <v>2800</v>
      </c>
      <c r="BG115" s="1422">
        <v>0</v>
      </c>
      <c r="BH115" s="1422">
        <v>0</v>
      </c>
      <c r="BI115" s="1422">
        <v>47862</v>
      </c>
      <c r="BJ115" s="1422">
        <v>10238</v>
      </c>
      <c r="BK115" s="1422">
        <v>586</v>
      </c>
      <c r="BL115" s="1422">
        <v>0</v>
      </c>
      <c r="BM115" s="1422">
        <v>269824</v>
      </c>
      <c r="BN115" s="1422">
        <v>267674</v>
      </c>
      <c r="BO115" s="1420">
        <v>3293.21</v>
      </c>
      <c r="BP115" s="1422">
        <v>0</v>
      </c>
      <c r="BQ115" s="1420">
        <v>50386.22</v>
      </c>
      <c r="BR115" s="1422">
        <v>0</v>
      </c>
      <c r="BS115" s="1420">
        <v>3424.37</v>
      </c>
      <c r="BT115" s="1422">
        <v>0</v>
      </c>
      <c r="BU115" s="1422">
        <v>0</v>
      </c>
      <c r="BV115" s="1422">
        <v>0</v>
      </c>
      <c r="BW115" s="1422">
        <v>291114</v>
      </c>
      <c r="BX115" s="1422">
        <v>291600</v>
      </c>
      <c r="BY115" s="1422">
        <v>0</v>
      </c>
      <c r="BZ115" s="1422">
        <v>0</v>
      </c>
      <c r="CA115" s="1422">
        <v>66902</v>
      </c>
      <c r="CB115" s="1422">
        <v>60750</v>
      </c>
      <c r="CC115" s="1420">
        <v>771465.11</v>
      </c>
      <c r="CD115" s="1422">
        <v>667604</v>
      </c>
      <c r="CE115" s="1420">
        <v>1561574.92</v>
      </c>
      <c r="CF115" s="1420">
        <v>839562.23999999999</v>
      </c>
      <c r="CG115" s="1422">
        <v>0</v>
      </c>
      <c r="CH115" s="1422">
        <v>0</v>
      </c>
      <c r="CI115" s="1422">
        <v>0</v>
      </c>
      <c r="CJ115" s="1422">
        <v>0</v>
      </c>
      <c r="CK115" s="1422">
        <v>0</v>
      </c>
      <c r="CL115" s="1422">
        <v>0</v>
      </c>
      <c r="CM115" s="1420">
        <v>100221.38</v>
      </c>
      <c r="CN115" s="1422">
        <v>0</v>
      </c>
      <c r="CO115" s="1422">
        <v>0</v>
      </c>
      <c r="CP115" s="1422">
        <v>0</v>
      </c>
      <c r="CQ115" s="1422">
        <v>0</v>
      </c>
      <c r="CR115" s="1422">
        <v>0</v>
      </c>
      <c r="CS115" s="1420">
        <v>100221.38</v>
      </c>
      <c r="CT115" s="1422">
        <v>0</v>
      </c>
      <c r="CU115" s="1420">
        <v>8201874.0800000001</v>
      </c>
      <c r="CV115" s="1420">
        <v>7346511.2400000002</v>
      </c>
      <c r="CW115" s="1420">
        <v>3209620.81</v>
      </c>
      <c r="CX115" s="1420">
        <v>3131804.11</v>
      </c>
      <c r="CY115" s="1420">
        <v>362587.82</v>
      </c>
      <c r="CZ115" s="1420">
        <v>360419.24</v>
      </c>
      <c r="DA115" s="1420">
        <v>265943.3</v>
      </c>
      <c r="DB115" s="1422">
        <v>272521</v>
      </c>
      <c r="DC115" s="1422">
        <v>0</v>
      </c>
      <c r="DD115" s="1422">
        <v>0</v>
      </c>
      <c r="DE115" s="1420">
        <v>239954.88</v>
      </c>
      <c r="DF115" s="1420">
        <v>156789.66</v>
      </c>
      <c r="DG115" s="1420">
        <v>113251.03</v>
      </c>
      <c r="DH115" s="1420">
        <v>111498.36</v>
      </c>
      <c r="DI115" s="1420">
        <v>4191357.84</v>
      </c>
      <c r="DJ115" s="1420">
        <v>4033032.37</v>
      </c>
      <c r="DK115" s="1420">
        <v>236061.38</v>
      </c>
      <c r="DL115" s="1422">
        <v>218232</v>
      </c>
      <c r="DM115" s="1420">
        <v>82488.23</v>
      </c>
      <c r="DN115" s="1422">
        <v>82754</v>
      </c>
      <c r="DO115" s="1420">
        <v>990831.2</v>
      </c>
      <c r="DP115" s="1422">
        <v>811130</v>
      </c>
      <c r="DQ115" s="1420">
        <v>263730.5</v>
      </c>
      <c r="DR115" s="1422">
        <v>263236</v>
      </c>
      <c r="DS115" s="1420">
        <v>29330.77</v>
      </c>
      <c r="DT115" s="1422">
        <v>21312</v>
      </c>
      <c r="DU115" s="1420">
        <v>1602442.08</v>
      </c>
      <c r="DV115" s="1422">
        <v>1396664</v>
      </c>
      <c r="DW115" s="1420">
        <v>177346.49</v>
      </c>
      <c r="DX115" s="1420">
        <v>200159.47</v>
      </c>
      <c r="DY115" s="1420">
        <v>603183.89</v>
      </c>
      <c r="DZ115" s="1420">
        <v>647695.21</v>
      </c>
      <c r="EA115" s="1420">
        <v>365280.87</v>
      </c>
      <c r="EB115" s="1422">
        <v>381799</v>
      </c>
      <c r="EC115" s="1420">
        <v>1145811.25</v>
      </c>
      <c r="ED115" s="1420">
        <v>1229653.68</v>
      </c>
      <c r="EE115" s="1420">
        <v>443759.77</v>
      </c>
      <c r="EF115" s="1422">
        <v>477230</v>
      </c>
      <c r="EG115" s="1420">
        <v>32414.84</v>
      </c>
      <c r="EH115" s="1422">
        <v>5666</v>
      </c>
      <c r="EI115" s="1420">
        <v>12447.74</v>
      </c>
      <c r="EJ115" s="1422">
        <v>1000</v>
      </c>
      <c r="EK115" s="1422">
        <v>0</v>
      </c>
      <c r="EL115" s="1422">
        <v>0</v>
      </c>
      <c r="EM115" s="1420">
        <v>488622.35</v>
      </c>
      <c r="EN115" s="1422">
        <v>483896</v>
      </c>
      <c r="EO115" s="1420">
        <v>548923.28</v>
      </c>
      <c r="EP115" s="1422">
        <v>25000</v>
      </c>
      <c r="EQ115" s="1420">
        <v>373113.78</v>
      </c>
      <c r="ER115" s="1422">
        <v>373654</v>
      </c>
      <c r="ES115" s="1422">
        <v>0</v>
      </c>
      <c r="ET115" s="1422">
        <v>0</v>
      </c>
      <c r="EU115" s="1420">
        <v>8350270.5800000001</v>
      </c>
      <c r="EV115" s="1420">
        <v>7541900.0499999998</v>
      </c>
      <c r="EW115" s="1420">
        <v>869120.75</v>
      </c>
      <c r="EX115" s="1422">
        <v>156064</v>
      </c>
      <c r="EY115" s="1420">
        <v>373113.78</v>
      </c>
      <c r="EZ115" s="1422">
        <v>373654</v>
      </c>
      <c r="FA115" s="1420">
        <v>7108036.0499999998</v>
      </c>
      <c r="FB115" s="1420">
        <v>7012182.0499999998</v>
      </c>
      <c r="FC115" s="1420">
        <v>668575.52</v>
      </c>
      <c r="FD115" s="1439"/>
      <c r="FE115" s="1420">
        <v>6439460.5300000003</v>
      </c>
      <c r="FF115" s="1439"/>
      <c r="FG115" s="1422">
        <v>8364</v>
      </c>
      <c r="FH115" s="1439"/>
      <c r="FI115" s="1420">
        <v>63.53</v>
      </c>
      <c r="FJ115" s="1439"/>
      <c r="FK115" s="1422">
        <v>38149</v>
      </c>
      <c r="FL115" s="1439"/>
      <c r="FM115" s="1420">
        <v>71.5</v>
      </c>
      <c r="FN115" s="1439"/>
      <c r="FO115" s="1422">
        <v>40812</v>
      </c>
      <c r="FP115" s="1439"/>
      <c r="FQ115" s="1420">
        <v>1967314.85</v>
      </c>
      <c r="FR115" s="1439"/>
      <c r="FS115" s="1420">
        <v>79043.28</v>
      </c>
      <c r="FT115" s="1439"/>
      <c r="FU115" s="1422">
        <v>0</v>
      </c>
      <c r="FV115" s="1439"/>
      <c r="FW115" s="1420">
        <v>1888271.57</v>
      </c>
      <c r="FX115" s="1439"/>
      <c r="FY115" s="1422">
        <v>0</v>
      </c>
      <c r="FZ115" s="1439"/>
      <c r="GA115" s="1422">
        <v>0</v>
      </c>
      <c r="GB115" s="1439"/>
    </row>
    <row r="116" spans="1:184" ht="12.75" customHeight="1" thickBot="1">
      <c r="A116" s="1418" t="s">
        <v>456</v>
      </c>
      <c r="B116" s="1418" t="s">
        <v>457</v>
      </c>
      <c r="C116" s="1420">
        <v>414.07</v>
      </c>
      <c r="D116" s="1439"/>
      <c r="E116" s="1420">
        <v>1425.52</v>
      </c>
      <c r="F116" s="1439"/>
      <c r="G116" s="1421">
        <v>-0.21</v>
      </c>
      <c r="H116" s="1439"/>
      <c r="I116" s="1420">
        <v>1522.96</v>
      </c>
      <c r="J116" s="1439"/>
      <c r="K116" s="1420">
        <v>1598.98</v>
      </c>
      <c r="L116" s="1439"/>
      <c r="M116" s="1422">
        <v>95080989</v>
      </c>
      <c r="N116" s="1439"/>
      <c r="O116" s="1422">
        <v>25</v>
      </c>
      <c r="P116" s="1439"/>
      <c r="Q116" s="1422">
        <v>25</v>
      </c>
      <c r="R116" s="1439"/>
      <c r="S116" s="1422">
        <v>0</v>
      </c>
      <c r="T116" s="1439"/>
      <c r="U116" s="1422">
        <v>0</v>
      </c>
      <c r="V116" s="1439"/>
      <c r="W116" s="1420">
        <v>15.8</v>
      </c>
      <c r="X116" s="1439"/>
      <c r="Y116" s="1420">
        <v>40.799999999999997</v>
      </c>
      <c r="Z116" s="1439"/>
      <c r="AA116" s="1420">
        <v>14563707.949999999</v>
      </c>
      <c r="AB116" s="1439"/>
      <c r="AC116" s="1420">
        <v>3714784.11</v>
      </c>
      <c r="AD116" s="1420">
        <v>3879304.36</v>
      </c>
      <c r="AE116" s="1420">
        <v>248122.46</v>
      </c>
      <c r="AF116" s="1422">
        <v>47450</v>
      </c>
      <c r="AG116" s="1420">
        <v>93.37</v>
      </c>
      <c r="AH116" s="1422">
        <v>0</v>
      </c>
      <c r="AI116" s="1422">
        <v>7304918</v>
      </c>
      <c r="AJ116" s="1422">
        <v>7045925</v>
      </c>
      <c r="AK116" s="1422">
        <v>45043</v>
      </c>
      <c r="AL116" s="1420">
        <v>58237.1</v>
      </c>
      <c r="AM116" s="1422">
        <v>0</v>
      </c>
      <c r="AN116" s="1422">
        <v>0</v>
      </c>
      <c r="AO116" s="1422">
        <v>413328</v>
      </c>
      <c r="AP116" s="1422">
        <v>222996</v>
      </c>
      <c r="AQ116" s="1422">
        <v>0</v>
      </c>
      <c r="AR116" s="1422">
        <v>0</v>
      </c>
      <c r="AS116" s="1422">
        <v>0</v>
      </c>
      <c r="AT116" s="1422">
        <v>0</v>
      </c>
      <c r="AU116" s="1422">
        <v>53137</v>
      </c>
      <c r="AV116" s="1422">
        <v>42510</v>
      </c>
      <c r="AW116" s="1422">
        <v>0</v>
      </c>
      <c r="AX116" s="1422">
        <v>0</v>
      </c>
      <c r="AY116" s="1420">
        <v>11779425.939999999</v>
      </c>
      <c r="AZ116" s="1420">
        <v>11296422.460000001</v>
      </c>
      <c r="BA116" s="1422">
        <v>0</v>
      </c>
      <c r="BB116" s="1422">
        <v>0</v>
      </c>
      <c r="BC116" s="1422">
        <v>66134</v>
      </c>
      <c r="BD116" s="1422">
        <v>64688</v>
      </c>
      <c r="BE116" s="1420">
        <v>8492.64</v>
      </c>
      <c r="BF116" s="1422">
        <v>0</v>
      </c>
      <c r="BG116" s="1422">
        <v>50</v>
      </c>
      <c r="BH116" s="1422">
        <v>0</v>
      </c>
      <c r="BI116" s="1422">
        <v>0</v>
      </c>
      <c r="BJ116" s="1422">
        <v>0</v>
      </c>
      <c r="BK116" s="1422">
        <v>0</v>
      </c>
      <c r="BL116" s="1422">
        <v>0</v>
      </c>
      <c r="BM116" s="1422">
        <v>2202240</v>
      </c>
      <c r="BN116" s="1422">
        <v>2132790</v>
      </c>
      <c r="BO116" s="1420">
        <v>6550.41</v>
      </c>
      <c r="BP116" s="1422">
        <v>0</v>
      </c>
      <c r="BQ116" s="1420">
        <v>78812.52</v>
      </c>
      <c r="BR116" s="1422">
        <v>0</v>
      </c>
      <c r="BS116" s="1420">
        <v>6212.47</v>
      </c>
      <c r="BT116" s="1422">
        <v>6300</v>
      </c>
      <c r="BU116" s="1422">
        <v>0</v>
      </c>
      <c r="BV116" s="1422">
        <v>0</v>
      </c>
      <c r="BW116" s="1420">
        <v>607544.37</v>
      </c>
      <c r="BX116" s="1422">
        <v>0</v>
      </c>
      <c r="BY116" s="1422">
        <v>0</v>
      </c>
      <c r="BZ116" s="1422">
        <v>0</v>
      </c>
      <c r="CA116" s="1420">
        <v>1302107.93</v>
      </c>
      <c r="CB116" s="1422">
        <v>1131815</v>
      </c>
      <c r="CC116" s="1420">
        <v>4278144.34</v>
      </c>
      <c r="CD116" s="1422">
        <v>3335593</v>
      </c>
      <c r="CE116" s="1420">
        <v>4047142.63</v>
      </c>
      <c r="CF116" s="1420">
        <v>4349282.43</v>
      </c>
      <c r="CG116" s="1422">
        <v>0</v>
      </c>
      <c r="CH116" s="1422">
        <v>0</v>
      </c>
      <c r="CI116" s="1422">
        <v>0</v>
      </c>
      <c r="CJ116" s="1422">
        <v>0</v>
      </c>
      <c r="CK116" s="1422">
        <v>0</v>
      </c>
      <c r="CL116" s="1422">
        <v>0</v>
      </c>
      <c r="CM116" s="1422">
        <v>0</v>
      </c>
      <c r="CN116" s="1422">
        <v>0</v>
      </c>
      <c r="CO116" s="1422">
        <v>0</v>
      </c>
      <c r="CP116" s="1422">
        <v>0</v>
      </c>
      <c r="CQ116" s="1422">
        <v>0</v>
      </c>
      <c r="CR116" s="1422">
        <v>0</v>
      </c>
      <c r="CS116" s="1422">
        <v>0</v>
      </c>
      <c r="CT116" s="1422">
        <v>0</v>
      </c>
      <c r="CU116" s="1420">
        <v>20104712.91</v>
      </c>
      <c r="CV116" s="1420">
        <v>18981297.890000001</v>
      </c>
      <c r="CW116" s="1420">
        <v>6553607.9000000004</v>
      </c>
      <c r="CX116" s="1420">
        <v>6064867.2999999998</v>
      </c>
      <c r="CY116" s="1420">
        <v>1292740.93</v>
      </c>
      <c r="CZ116" s="1420">
        <v>1340574.47</v>
      </c>
      <c r="DA116" s="1420">
        <v>550144.28</v>
      </c>
      <c r="DB116" s="1420">
        <v>464778.07</v>
      </c>
      <c r="DC116" s="1422">
        <v>0</v>
      </c>
      <c r="DD116" s="1422">
        <v>0</v>
      </c>
      <c r="DE116" s="1420">
        <v>1324332.52</v>
      </c>
      <c r="DF116" s="1420">
        <v>1307977.1000000001</v>
      </c>
      <c r="DG116" s="1420">
        <v>278650.33</v>
      </c>
      <c r="DH116" s="1420">
        <v>311571.99</v>
      </c>
      <c r="DI116" s="1420">
        <v>9999475.9600000009</v>
      </c>
      <c r="DJ116" s="1420">
        <v>9489768.9299999997</v>
      </c>
      <c r="DK116" s="1420">
        <v>368854.6</v>
      </c>
      <c r="DL116" s="1420">
        <v>388044.24</v>
      </c>
      <c r="DM116" s="1420">
        <v>187052.38</v>
      </c>
      <c r="DN116" s="1420">
        <v>214816.95</v>
      </c>
      <c r="DO116" s="1420">
        <v>2158894.73</v>
      </c>
      <c r="DP116" s="1420">
        <v>2170204.02</v>
      </c>
      <c r="DQ116" s="1420">
        <v>846823.91</v>
      </c>
      <c r="DR116" s="1420">
        <v>542431.24</v>
      </c>
      <c r="DS116" s="1420">
        <v>22763.91</v>
      </c>
      <c r="DT116" s="1420">
        <v>6562.55</v>
      </c>
      <c r="DU116" s="1420">
        <v>3584389.53</v>
      </c>
      <c r="DV116" s="1422">
        <v>3322059</v>
      </c>
      <c r="DW116" s="1420">
        <v>1109213.47</v>
      </c>
      <c r="DX116" s="1420">
        <v>1033797.03</v>
      </c>
      <c r="DY116" s="1420">
        <v>2192178.56</v>
      </c>
      <c r="DZ116" s="1420">
        <v>2203988.9900000002</v>
      </c>
      <c r="EA116" s="1420">
        <v>559333.43000000005</v>
      </c>
      <c r="EB116" s="1420">
        <v>527937.52</v>
      </c>
      <c r="EC116" s="1420">
        <v>3860725.46</v>
      </c>
      <c r="ED116" s="1420">
        <v>3765723.54</v>
      </c>
      <c r="EE116" s="1420">
        <v>1058255.72</v>
      </c>
      <c r="EF116" s="1420">
        <v>986211.6</v>
      </c>
      <c r="EG116" s="1422">
        <v>0</v>
      </c>
      <c r="EH116" s="1422">
        <v>0</v>
      </c>
      <c r="EI116" s="1422">
        <v>0</v>
      </c>
      <c r="EJ116" s="1422">
        <v>0</v>
      </c>
      <c r="EK116" s="1422">
        <v>0</v>
      </c>
      <c r="EL116" s="1422">
        <v>0</v>
      </c>
      <c r="EM116" s="1420">
        <v>1058255.72</v>
      </c>
      <c r="EN116" s="1420">
        <v>986211.6</v>
      </c>
      <c r="EO116" s="1420">
        <v>1949226.33</v>
      </c>
      <c r="EP116" s="1420">
        <v>1794382.15</v>
      </c>
      <c r="EQ116" s="1420">
        <v>1030721.14</v>
      </c>
      <c r="ER116" s="1420">
        <v>1030721.14</v>
      </c>
      <c r="ES116" s="1420">
        <v>11350.21</v>
      </c>
      <c r="ET116" s="1420">
        <v>11350.21</v>
      </c>
      <c r="EU116" s="1420">
        <v>21494144.350000001</v>
      </c>
      <c r="EV116" s="1420">
        <v>20400216.57</v>
      </c>
      <c r="EW116" s="1420">
        <v>2261452.19</v>
      </c>
      <c r="EX116" s="1420">
        <v>2107887.4500000002</v>
      </c>
      <c r="EY116" s="1420">
        <v>1030721.14</v>
      </c>
      <c r="EZ116" s="1420">
        <v>1030721.14</v>
      </c>
      <c r="FA116" s="1420">
        <v>18201971.02</v>
      </c>
      <c r="FB116" s="1420">
        <v>17261607.98</v>
      </c>
      <c r="FC116" s="1420">
        <v>894435.08</v>
      </c>
      <c r="FD116" s="1439"/>
      <c r="FE116" s="1420">
        <v>17307535.940000001</v>
      </c>
      <c r="FF116" s="1439"/>
      <c r="FG116" s="1422">
        <v>12141</v>
      </c>
      <c r="FH116" s="1439"/>
      <c r="FI116" s="1420">
        <v>115.23</v>
      </c>
      <c r="FJ116" s="1439"/>
      <c r="FK116" s="1422">
        <v>47510</v>
      </c>
      <c r="FL116" s="1439"/>
      <c r="FM116" s="1420">
        <v>124.29</v>
      </c>
      <c r="FN116" s="1439"/>
      <c r="FO116" s="1422">
        <v>49110</v>
      </c>
      <c r="FP116" s="1439"/>
      <c r="FQ116" s="1420">
        <v>6138355.5899999999</v>
      </c>
      <c r="FR116" s="1439"/>
      <c r="FS116" s="1420">
        <v>1926924.68</v>
      </c>
      <c r="FT116" s="1439"/>
      <c r="FU116" s="1422">
        <v>0</v>
      </c>
      <c r="FV116" s="1439"/>
      <c r="FW116" s="1420">
        <v>4211430.91</v>
      </c>
      <c r="FX116" s="1439"/>
      <c r="FY116" s="1422">
        <v>0</v>
      </c>
      <c r="FZ116" s="1439"/>
      <c r="GA116" s="1422">
        <v>0</v>
      </c>
      <c r="GB116" s="1439"/>
    </row>
    <row r="117" spans="1:184" ht="12.75" customHeight="1" thickBot="1">
      <c r="A117" s="1418" t="s">
        <v>458</v>
      </c>
      <c r="B117" s="1418" t="s">
        <v>459</v>
      </c>
      <c r="C117" s="1420">
        <v>183.31</v>
      </c>
      <c r="D117" s="1439"/>
      <c r="E117" s="1420">
        <v>4413.5600000000004</v>
      </c>
      <c r="F117" s="1439"/>
      <c r="G117" s="1421">
        <v>-0.13</v>
      </c>
      <c r="H117" s="1439"/>
      <c r="I117" s="1420">
        <v>4727.2</v>
      </c>
      <c r="J117" s="1439"/>
      <c r="K117" s="1420">
        <v>4809.57</v>
      </c>
      <c r="L117" s="1439"/>
      <c r="M117" s="1422">
        <v>352463781</v>
      </c>
      <c r="N117" s="1439"/>
      <c r="O117" s="1422">
        <v>25</v>
      </c>
      <c r="P117" s="1439"/>
      <c r="Q117" s="1422">
        <v>25</v>
      </c>
      <c r="R117" s="1439"/>
      <c r="S117" s="1422">
        <v>0</v>
      </c>
      <c r="T117" s="1439"/>
      <c r="U117" s="1422">
        <v>2</v>
      </c>
      <c r="V117" s="1439"/>
      <c r="W117" s="1420">
        <v>14.7</v>
      </c>
      <c r="X117" s="1439"/>
      <c r="Y117" s="1420">
        <v>41.7</v>
      </c>
      <c r="Z117" s="1439"/>
      <c r="AA117" s="1422">
        <v>36915000</v>
      </c>
      <c r="AB117" s="1439"/>
      <c r="AC117" s="1420">
        <v>13606889.58</v>
      </c>
      <c r="AD117" s="1422">
        <v>12685730</v>
      </c>
      <c r="AE117" s="1420">
        <v>1006188.3</v>
      </c>
      <c r="AF117" s="1422">
        <v>628508</v>
      </c>
      <c r="AG117" s="1420">
        <v>283.74</v>
      </c>
      <c r="AH117" s="1422">
        <v>284</v>
      </c>
      <c r="AI117" s="1422">
        <v>20673040</v>
      </c>
      <c r="AJ117" s="1422">
        <v>20447500</v>
      </c>
      <c r="AK117" s="1422">
        <v>268558</v>
      </c>
      <c r="AL117" s="1422">
        <v>235100</v>
      </c>
      <c r="AM117" s="1422">
        <v>0</v>
      </c>
      <c r="AN117" s="1422">
        <v>0</v>
      </c>
      <c r="AO117" s="1422">
        <v>301180</v>
      </c>
      <c r="AP117" s="1422">
        <v>230953</v>
      </c>
      <c r="AQ117" s="1422">
        <v>0</v>
      </c>
      <c r="AR117" s="1422">
        <v>0</v>
      </c>
      <c r="AS117" s="1422">
        <v>0</v>
      </c>
      <c r="AT117" s="1422">
        <v>0</v>
      </c>
      <c r="AU117" s="1422">
        <v>0</v>
      </c>
      <c r="AV117" s="1422">
        <v>0</v>
      </c>
      <c r="AW117" s="1420">
        <v>8082.13</v>
      </c>
      <c r="AX117" s="1422">
        <v>0</v>
      </c>
      <c r="AY117" s="1420">
        <v>35864221.75</v>
      </c>
      <c r="AZ117" s="1422">
        <v>34228075</v>
      </c>
      <c r="BA117" s="1422">
        <v>0</v>
      </c>
      <c r="BB117" s="1422">
        <v>0</v>
      </c>
      <c r="BC117" s="1422">
        <v>198924</v>
      </c>
      <c r="BD117" s="1422">
        <v>200643</v>
      </c>
      <c r="BE117" s="1420">
        <v>128260.38</v>
      </c>
      <c r="BF117" s="1420">
        <v>54357.25</v>
      </c>
      <c r="BG117" s="1422">
        <v>600</v>
      </c>
      <c r="BH117" s="1422">
        <v>0</v>
      </c>
      <c r="BI117" s="1422">
        <v>145008</v>
      </c>
      <c r="BJ117" s="1422">
        <v>206131</v>
      </c>
      <c r="BK117" s="1422">
        <v>7032</v>
      </c>
      <c r="BL117" s="1422">
        <v>0</v>
      </c>
      <c r="BM117" s="1422">
        <v>3732896</v>
      </c>
      <c r="BN117" s="1422">
        <v>3809168</v>
      </c>
      <c r="BO117" s="1420">
        <v>543707.04</v>
      </c>
      <c r="BP117" s="1422">
        <v>0</v>
      </c>
      <c r="BQ117" s="1420">
        <v>95687.52</v>
      </c>
      <c r="BR117" s="1422">
        <v>102375</v>
      </c>
      <c r="BS117" s="1420">
        <v>17169.43</v>
      </c>
      <c r="BT117" s="1422">
        <v>17201</v>
      </c>
      <c r="BU117" s="1422">
        <v>0</v>
      </c>
      <c r="BV117" s="1422">
        <v>0</v>
      </c>
      <c r="BW117" s="1422">
        <v>388800</v>
      </c>
      <c r="BX117" s="1422">
        <v>388800</v>
      </c>
      <c r="BY117" s="1422">
        <v>0</v>
      </c>
      <c r="BZ117" s="1422">
        <v>0</v>
      </c>
      <c r="CA117" s="1420">
        <v>233549.96</v>
      </c>
      <c r="CB117" s="1420">
        <v>419482.69</v>
      </c>
      <c r="CC117" s="1420">
        <v>5491634.3300000001</v>
      </c>
      <c r="CD117" s="1420">
        <v>5198157.9400000004</v>
      </c>
      <c r="CE117" s="1420">
        <v>13527685.51</v>
      </c>
      <c r="CF117" s="1420">
        <v>8803450.5199999996</v>
      </c>
      <c r="CG117" s="1420">
        <v>23628.6</v>
      </c>
      <c r="CH117" s="1422">
        <v>0</v>
      </c>
      <c r="CI117" s="1422">
        <v>0</v>
      </c>
      <c r="CJ117" s="1422">
        <v>0</v>
      </c>
      <c r="CK117" s="1422">
        <v>118000</v>
      </c>
      <c r="CL117" s="1422">
        <v>85000</v>
      </c>
      <c r="CM117" s="1422">
        <v>0</v>
      </c>
      <c r="CN117" s="1422">
        <v>0</v>
      </c>
      <c r="CO117" s="1420">
        <v>31080.34</v>
      </c>
      <c r="CP117" s="1422">
        <v>0</v>
      </c>
      <c r="CQ117" s="1422">
        <v>0</v>
      </c>
      <c r="CR117" s="1422">
        <v>0</v>
      </c>
      <c r="CS117" s="1420">
        <v>172708.94</v>
      </c>
      <c r="CT117" s="1422">
        <v>85000</v>
      </c>
      <c r="CU117" s="1420">
        <v>55056250.530000001</v>
      </c>
      <c r="CV117" s="1420">
        <v>48314683.460000001</v>
      </c>
      <c r="CW117" s="1420">
        <v>21671755.690000001</v>
      </c>
      <c r="CX117" s="1420">
        <v>17415428.27</v>
      </c>
      <c r="CY117" s="1420">
        <v>3460997.36</v>
      </c>
      <c r="CZ117" s="1420">
        <v>3045999.67</v>
      </c>
      <c r="DA117" s="1420">
        <v>1514825.71</v>
      </c>
      <c r="DB117" s="1420">
        <v>1381037.92</v>
      </c>
      <c r="DC117" s="1422">
        <v>0</v>
      </c>
      <c r="DD117" s="1422">
        <v>0</v>
      </c>
      <c r="DE117" s="1420">
        <v>4914228.1900000004</v>
      </c>
      <c r="DF117" s="1420">
        <v>2512621.04</v>
      </c>
      <c r="DG117" s="1420">
        <v>1245252.51</v>
      </c>
      <c r="DH117" s="1420">
        <v>1515807.73</v>
      </c>
      <c r="DI117" s="1420">
        <v>32807059.460000001</v>
      </c>
      <c r="DJ117" s="1420">
        <v>25870894.629999999</v>
      </c>
      <c r="DK117" s="1420">
        <v>935538.72</v>
      </c>
      <c r="DL117" s="1420">
        <v>578130.14</v>
      </c>
      <c r="DM117" s="1420">
        <v>2736081.35</v>
      </c>
      <c r="DN117" s="1420">
        <v>1548236.45</v>
      </c>
      <c r="DO117" s="1420">
        <v>6676840.9800000004</v>
      </c>
      <c r="DP117" s="1420">
        <v>6713658.1399999997</v>
      </c>
      <c r="DQ117" s="1420">
        <v>1718797.29</v>
      </c>
      <c r="DR117" s="1420">
        <v>1404814.08</v>
      </c>
      <c r="DS117" s="1420">
        <v>123848.68</v>
      </c>
      <c r="DT117" s="1420">
        <v>204670.92</v>
      </c>
      <c r="DU117" s="1420">
        <v>12191107.02</v>
      </c>
      <c r="DV117" s="1420">
        <v>10449509.73</v>
      </c>
      <c r="DW117" s="1420">
        <v>1896161.29</v>
      </c>
      <c r="DX117" s="1420">
        <v>2174107.42</v>
      </c>
      <c r="DY117" s="1420">
        <v>4760124.28</v>
      </c>
      <c r="DZ117" s="1420">
        <v>3563897.63</v>
      </c>
      <c r="EA117" s="1420">
        <v>2098948.21</v>
      </c>
      <c r="EB117" s="1420">
        <v>2024147.28</v>
      </c>
      <c r="EC117" s="1420">
        <v>8755233.7799999993</v>
      </c>
      <c r="ED117" s="1420">
        <v>7762152.3300000001</v>
      </c>
      <c r="EE117" s="1420">
        <v>2664361.37</v>
      </c>
      <c r="EF117" s="1420">
        <v>2199270.0699999998</v>
      </c>
      <c r="EG117" s="1420">
        <v>20.96</v>
      </c>
      <c r="EH117" s="1422">
        <v>0</v>
      </c>
      <c r="EI117" s="1420">
        <v>30169.02</v>
      </c>
      <c r="EJ117" s="1420">
        <v>30169.02</v>
      </c>
      <c r="EK117" s="1422">
        <v>0</v>
      </c>
      <c r="EL117" s="1422">
        <v>0</v>
      </c>
      <c r="EM117" s="1420">
        <v>2694551.35</v>
      </c>
      <c r="EN117" s="1420">
        <v>2229439.09</v>
      </c>
      <c r="EO117" s="1420">
        <v>-580252.36</v>
      </c>
      <c r="EP117" s="1420">
        <v>232557.69</v>
      </c>
      <c r="EQ117" s="1420">
        <v>1550051.63</v>
      </c>
      <c r="ER117" s="1420">
        <v>2154018.7599999998</v>
      </c>
      <c r="ES117" s="1420">
        <v>410892.52</v>
      </c>
      <c r="ET117" s="1420">
        <v>348.16</v>
      </c>
      <c r="EU117" s="1420">
        <v>57828643.399999999</v>
      </c>
      <c r="EV117" s="1420">
        <v>48698920.390000001</v>
      </c>
      <c r="EW117" s="1420">
        <v>2717109.9</v>
      </c>
      <c r="EX117" s="1420">
        <v>394670.47</v>
      </c>
      <c r="EY117" s="1420">
        <v>1550051.63</v>
      </c>
      <c r="EZ117" s="1420">
        <v>2154018.7599999998</v>
      </c>
      <c r="FA117" s="1420">
        <v>53561481.869999997</v>
      </c>
      <c r="FB117" s="1420">
        <v>46150231.159999996</v>
      </c>
      <c r="FC117" s="1420">
        <v>1997309.84</v>
      </c>
      <c r="FD117" s="1439"/>
      <c r="FE117" s="1420">
        <v>51564172.030000001</v>
      </c>
      <c r="FF117" s="1439"/>
      <c r="FG117" s="1422">
        <v>11683</v>
      </c>
      <c r="FH117" s="1439"/>
      <c r="FI117" s="1420">
        <v>337.96</v>
      </c>
      <c r="FJ117" s="1439"/>
      <c r="FK117" s="1422">
        <v>51933</v>
      </c>
      <c r="FL117" s="1439"/>
      <c r="FM117" s="1420">
        <v>360.21</v>
      </c>
      <c r="FN117" s="1439"/>
      <c r="FO117" s="1422">
        <v>51906</v>
      </c>
      <c r="FP117" s="1439"/>
      <c r="FQ117" s="1420">
        <v>13360394.17</v>
      </c>
      <c r="FR117" s="1439"/>
      <c r="FS117" s="1420">
        <v>22655.99</v>
      </c>
      <c r="FT117" s="1439"/>
      <c r="FU117" s="1422">
        <v>0</v>
      </c>
      <c r="FV117" s="1439"/>
      <c r="FW117" s="1420">
        <v>13337738.18</v>
      </c>
      <c r="FX117" s="1439"/>
      <c r="FY117" s="1420">
        <v>3862658.19</v>
      </c>
      <c r="FZ117" s="1439"/>
      <c r="GA117" s="1420">
        <v>1358357.12</v>
      </c>
      <c r="GB117" s="1439"/>
    </row>
    <row r="118" spans="1:184" ht="12.75" customHeight="1" thickBot="1">
      <c r="A118" s="1418" t="s">
        <v>460</v>
      </c>
      <c r="B118" s="1418" t="s">
        <v>461</v>
      </c>
      <c r="C118" s="1420">
        <v>116.48</v>
      </c>
      <c r="D118" s="1439"/>
      <c r="E118" s="1420">
        <v>2915.5</v>
      </c>
      <c r="F118" s="1439"/>
      <c r="G118" s="1421">
        <v>-0.08</v>
      </c>
      <c r="H118" s="1439"/>
      <c r="I118" s="1420">
        <v>3092.07</v>
      </c>
      <c r="J118" s="1439"/>
      <c r="K118" s="1420">
        <v>3056.64</v>
      </c>
      <c r="L118" s="1439"/>
      <c r="M118" s="1422">
        <v>107371912</v>
      </c>
      <c r="N118" s="1439"/>
      <c r="O118" s="1420">
        <v>26.1</v>
      </c>
      <c r="P118" s="1439"/>
      <c r="Q118" s="1422">
        <v>25</v>
      </c>
      <c r="R118" s="1439"/>
      <c r="S118" s="1420">
        <v>1.1000000000000001</v>
      </c>
      <c r="T118" s="1439"/>
      <c r="U118" s="1422">
        <v>0</v>
      </c>
      <c r="V118" s="1439"/>
      <c r="W118" s="1420">
        <v>5.7</v>
      </c>
      <c r="X118" s="1439"/>
      <c r="Y118" s="1420">
        <v>31.8</v>
      </c>
      <c r="Z118" s="1439"/>
      <c r="AA118" s="1422">
        <v>2280000</v>
      </c>
      <c r="AB118" s="1439"/>
      <c r="AC118" s="1420">
        <v>3183005.43</v>
      </c>
      <c r="AD118" s="1420">
        <v>3183005.43</v>
      </c>
      <c r="AE118" s="1420">
        <v>506801.13</v>
      </c>
      <c r="AF118" s="1420">
        <v>225379.12</v>
      </c>
      <c r="AG118" s="1420">
        <v>155.86000000000001</v>
      </c>
      <c r="AH118" s="1420">
        <v>155.86000000000001</v>
      </c>
      <c r="AI118" s="1422">
        <v>15870797</v>
      </c>
      <c r="AJ118" s="1422">
        <v>16421221</v>
      </c>
      <c r="AK118" s="1422">
        <v>76461</v>
      </c>
      <c r="AL118" s="1422">
        <v>76461</v>
      </c>
      <c r="AM118" s="1422">
        <v>221390</v>
      </c>
      <c r="AN118" s="1422">
        <v>0</v>
      </c>
      <c r="AO118" s="1422">
        <v>0</v>
      </c>
      <c r="AP118" s="1422">
        <v>0</v>
      </c>
      <c r="AQ118" s="1422">
        <v>0</v>
      </c>
      <c r="AR118" s="1422">
        <v>0</v>
      </c>
      <c r="AS118" s="1422">
        <v>0</v>
      </c>
      <c r="AT118" s="1422">
        <v>0</v>
      </c>
      <c r="AU118" s="1422">
        <v>235434</v>
      </c>
      <c r="AV118" s="1422">
        <v>188347</v>
      </c>
      <c r="AW118" s="1422">
        <v>0</v>
      </c>
      <c r="AX118" s="1422">
        <v>0</v>
      </c>
      <c r="AY118" s="1420">
        <v>20094044.420000002</v>
      </c>
      <c r="AZ118" s="1420">
        <v>20094569.41</v>
      </c>
      <c r="BA118" s="1420">
        <v>913877.01</v>
      </c>
      <c r="BB118" s="1420">
        <v>847358.14</v>
      </c>
      <c r="BC118" s="1422">
        <v>126423</v>
      </c>
      <c r="BD118" s="1422">
        <v>131457</v>
      </c>
      <c r="BE118" s="1422">
        <v>19000</v>
      </c>
      <c r="BF118" s="1422">
        <v>34800</v>
      </c>
      <c r="BG118" s="1422">
        <v>900</v>
      </c>
      <c r="BH118" s="1422">
        <v>0</v>
      </c>
      <c r="BI118" s="1422">
        <v>26328</v>
      </c>
      <c r="BJ118" s="1422">
        <v>0</v>
      </c>
      <c r="BK118" s="1422">
        <v>0</v>
      </c>
      <c r="BL118" s="1422">
        <v>0</v>
      </c>
      <c r="BM118" s="1422">
        <v>998944</v>
      </c>
      <c r="BN118" s="1422">
        <v>1091948</v>
      </c>
      <c r="BO118" s="1420">
        <v>12521.92</v>
      </c>
      <c r="BP118" s="1422">
        <v>0</v>
      </c>
      <c r="BQ118" s="1420">
        <v>187687.52</v>
      </c>
      <c r="BR118" s="1420">
        <v>127562.5</v>
      </c>
      <c r="BS118" s="1420">
        <v>10211.129999999999</v>
      </c>
      <c r="BT118" s="1422">
        <v>10211</v>
      </c>
      <c r="BU118" s="1422">
        <v>0</v>
      </c>
      <c r="BV118" s="1422">
        <v>0</v>
      </c>
      <c r="BW118" s="1422">
        <v>0</v>
      </c>
      <c r="BX118" s="1422">
        <v>0</v>
      </c>
      <c r="BY118" s="1422">
        <v>0</v>
      </c>
      <c r="BZ118" s="1422">
        <v>0</v>
      </c>
      <c r="CA118" s="1420">
        <v>1528632.27</v>
      </c>
      <c r="CB118" s="1422">
        <v>171434</v>
      </c>
      <c r="CC118" s="1420">
        <v>3824524.85</v>
      </c>
      <c r="CD118" s="1420">
        <v>2414770.64</v>
      </c>
      <c r="CE118" s="1420">
        <v>4934401.6399999997</v>
      </c>
      <c r="CF118" s="1420">
        <v>4724865.3499999996</v>
      </c>
      <c r="CG118" s="1422">
        <v>0</v>
      </c>
      <c r="CH118" s="1422">
        <v>0</v>
      </c>
      <c r="CI118" s="1422">
        <v>0</v>
      </c>
      <c r="CJ118" s="1422">
        <v>0</v>
      </c>
      <c r="CK118" s="1422">
        <v>4710</v>
      </c>
      <c r="CL118" s="1422">
        <v>4710</v>
      </c>
      <c r="CM118" s="1422">
        <v>2400</v>
      </c>
      <c r="CN118" s="1422">
        <v>0</v>
      </c>
      <c r="CO118" s="1422">
        <v>0</v>
      </c>
      <c r="CP118" s="1422">
        <v>0</v>
      </c>
      <c r="CQ118" s="1422">
        <v>0</v>
      </c>
      <c r="CR118" s="1422">
        <v>0</v>
      </c>
      <c r="CS118" s="1422">
        <v>7110</v>
      </c>
      <c r="CT118" s="1422">
        <v>4710</v>
      </c>
      <c r="CU118" s="1420">
        <v>28860080.91</v>
      </c>
      <c r="CV118" s="1420">
        <v>27238915.399999999</v>
      </c>
      <c r="CW118" s="1420">
        <v>10276313.09</v>
      </c>
      <c r="CX118" s="1420">
        <v>9806206.0700000003</v>
      </c>
      <c r="CY118" s="1420">
        <v>1952313.46</v>
      </c>
      <c r="CZ118" s="1420">
        <v>1731933.12</v>
      </c>
      <c r="DA118" s="1420">
        <v>744379.53</v>
      </c>
      <c r="DB118" s="1420">
        <v>911036.72</v>
      </c>
      <c r="DC118" s="1420">
        <v>1007952.63</v>
      </c>
      <c r="DD118" s="1420">
        <v>899528.58</v>
      </c>
      <c r="DE118" s="1420">
        <v>658673.79</v>
      </c>
      <c r="DF118" s="1420">
        <v>977533.8</v>
      </c>
      <c r="DG118" s="1420">
        <v>855203.83</v>
      </c>
      <c r="DH118" s="1420">
        <v>977105.05</v>
      </c>
      <c r="DI118" s="1420">
        <v>15494836.33</v>
      </c>
      <c r="DJ118" s="1420">
        <v>15303343.34</v>
      </c>
      <c r="DK118" s="1420">
        <v>369679.07</v>
      </c>
      <c r="DL118" s="1420">
        <v>337497.72</v>
      </c>
      <c r="DM118" s="1420">
        <v>343418.53</v>
      </c>
      <c r="DN118" s="1420">
        <v>320641.26</v>
      </c>
      <c r="DO118" s="1420">
        <v>2739308.1</v>
      </c>
      <c r="DP118" s="1420">
        <v>2919152.6</v>
      </c>
      <c r="DQ118" s="1420">
        <v>1563016.14</v>
      </c>
      <c r="DR118" s="1420">
        <v>1422321.94</v>
      </c>
      <c r="DS118" s="1420">
        <v>22960.21</v>
      </c>
      <c r="DT118" s="1420">
        <v>8803.61</v>
      </c>
      <c r="DU118" s="1420">
        <v>5038382.05</v>
      </c>
      <c r="DV118" s="1420">
        <v>5008417.13</v>
      </c>
      <c r="DW118" s="1420">
        <v>972706.18</v>
      </c>
      <c r="DX118" s="1420">
        <v>958633.99</v>
      </c>
      <c r="DY118" s="1420">
        <v>2324666.81</v>
      </c>
      <c r="DZ118" s="1420">
        <v>3076790.59</v>
      </c>
      <c r="EA118" s="1420">
        <v>1473322.88</v>
      </c>
      <c r="EB118" s="1420">
        <v>1453214.81</v>
      </c>
      <c r="EC118" s="1420">
        <v>4770695.87</v>
      </c>
      <c r="ED118" s="1420">
        <v>5488639.3899999997</v>
      </c>
      <c r="EE118" s="1420">
        <v>1400960.35</v>
      </c>
      <c r="EF118" s="1420">
        <v>1336492.73</v>
      </c>
      <c r="EG118" s="1422">
        <v>0</v>
      </c>
      <c r="EH118" s="1422">
        <v>0</v>
      </c>
      <c r="EI118" s="1420">
        <v>1727.67</v>
      </c>
      <c r="EJ118" s="1420">
        <v>1727.67</v>
      </c>
      <c r="EK118" s="1422">
        <v>0</v>
      </c>
      <c r="EL118" s="1422">
        <v>0</v>
      </c>
      <c r="EM118" s="1420">
        <v>1402688.02</v>
      </c>
      <c r="EN118" s="1420">
        <v>1338220.3999999999</v>
      </c>
      <c r="EO118" s="1420">
        <v>2083052.66</v>
      </c>
      <c r="EP118" s="1420">
        <v>1856217.82</v>
      </c>
      <c r="EQ118" s="1422">
        <v>144490</v>
      </c>
      <c r="ER118" s="1422">
        <v>99490</v>
      </c>
      <c r="ES118" s="1420">
        <v>1752.23</v>
      </c>
      <c r="ET118" s="1422">
        <v>0</v>
      </c>
      <c r="EU118" s="1420">
        <v>28935897.16</v>
      </c>
      <c r="EV118" s="1420">
        <v>29094328.079999998</v>
      </c>
      <c r="EW118" s="1420">
        <v>2839434.56</v>
      </c>
      <c r="EX118" s="1420">
        <v>2679727.5099999998</v>
      </c>
      <c r="EY118" s="1422">
        <v>144490</v>
      </c>
      <c r="EZ118" s="1422">
        <v>99490</v>
      </c>
      <c r="FA118" s="1420">
        <v>25951972.600000001</v>
      </c>
      <c r="FB118" s="1420">
        <v>26315110.57</v>
      </c>
      <c r="FC118" s="1420">
        <v>1583175.44</v>
      </c>
      <c r="FD118" s="1439"/>
      <c r="FE118" s="1420">
        <v>24368797.16</v>
      </c>
      <c r="FF118" s="1439"/>
      <c r="FG118" s="1422">
        <v>8358</v>
      </c>
      <c r="FH118" s="1439"/>
      <c r="FI118" s="1420">
        <v>190.34</v>
      </c>
      <c r="FJ118" s="1439"/>
      <c r="FK118" s="1422">
        <v>48621</v>
      </c>
      <c r="FL118" s="1439"/>
      <c r="FM118" s="1420">
        <v>205.81</v>
      </c>
      <c r="FN118" s="1439"/>
      <c r="FO118" s="1422">
        <v>51117</v>
      </c>
      <c r="FP118" s="1439"/>
      <c r="FQ118" s="1420">
        <v>7394021.1699999999</v>
      </c>
      <c r="FR118" s="1439"/>
      <c r="FS118" s="1420">
        <v>566146.44999999995</v>
      </c>
      <c r="FT118" s="1439"/>
      <c r="FU118" s="1422">
        <v>0</v>
      </c>
      <c r="FV118" s="1439"/>
      <c r="FW118" s="1420">
        <v>6827874.7199999997</v>
      </c>
      <c r="FX118" s="1439"/>
      <c r="FY118" s="1422">
        <v>0</v>
      </c>
      <c r="FZ118" s="1439"/>
      <c r="GA118" s="1422">
        <v>0</v>
      </c>
      <c r="GB118" s="1439"/>
    </row>
    <row r="119" spans="1:184" ht="12.75" customHeight="1" thickBot="1">
      <c r="A119" s="1418" t="s">
        <v>462</v>
      </c>
      <c r="B119" s="1418" t="s">
        <v>463</v>
      </c>
      <c r="C119" s="1420">
        <v>105.3</v>
      </c>
      <c r="D119" s="1439"/>
      <c r="E119" s="1420">
        <v>2894.26</v>
      </c>
      <c r="F119" s="1439"/>
      <c r="G119" s="1421">
        <v>-0.02</v>
      </c>
      <c r="H119" s="1439"/>
      <c r="I119" s="1420">
        <v>2999.96</v>
      </c>
      <c r="J119" s="1439"/>
      <c r="K119" s="1420">
        <v>3010.09</v>
      </c>
      <c r="L119" s="1439"/>
      <c r="M119" s="1422">
        <v>252552274</v>
      </c>
      <c r="N119" s="1439"/>
      <c r="O119" s="1422">
        <v>25</v>
      </c>
      <c r="P119" s="1439"/>
      <c r="Q119" s="1422">
        <v>25</v>
      </c>
      <c r="R119" s="1439"/>
      <c r="S119" s="1422">
        <v>0</v>
      </c>
      <c r="T119" s="1439"/>
      <c r="U119" s="1422">
        <v>0</v>
      </c>
      <c r="V119" s="1439"/>
      <c r="W119" s="1420">
        <v>14.2</v>
      </c>
      <c r="X119" s="1439"/>
      <c r="Y119" s="1420">
        <v>39.200000000000003</v>
      </c>
      <c r="Z119" s="1439"/>
      <c r="AA119" s="1422">
        <v>24165000</v>
      </c>
      <c r="AB119" s="1439"/>
      <c r="AC119" s="1420">
        <v>9114896.1600000001</v>
      </c>
      <c r="AD119" s="1422">
        <v>9700161</v>
      </c>
      <c r="AE119" s="1420">
        <v>890939.33</v>
      </c>
      <c r="AF119" s="1422">
        <v>487000</v>
      </c>
      <c r="AG119" s="1420">
        <v>152.62</v>
      </c>
      <c r="AH119" s="1422">
        <v>0</v>
      </c>
      <c r="AI119" s="1422">
        <v>12128068</v>
      </c>
      <c r="AJ119" s="1422">
        <v>12342545</v>
      </c>
      <c r="AK119" s="1422">
        <v>210989</v>
      </c>
      <c r="AL119" s="1422">
        <v>0</v>
      </c>
      <c r="AM119" s="1422">
        <v>0</v>
      </c>
      <c r="AN119" s="1422">
        <v>0</v>
      </c>
      <c r="AO119" s="1422">
        <v>220382</v>
      </c>
      <c r="AP119" s="1422">
        <v>0</v>
      </c>
      <c r="AQ119" s="1422">
        <v>0</v>
      </c>
      <c r="AR119" s="1422">
        <v>0</v>
      </c>
      <c r="AS119" s="1422">
        <v>0</v>
      </c>
      <c r="AT119" s="1422">
        <v>0</v>
      </c>
      <c r="AU119" s="1422">
        <v>0</v>
      </c>
      <c r="AV119" s="1422">
        <v>0</v>
      </c>
      <c r="AW119" s="1422">
        <v>0</v>
      </c>
      <c r="AX119" s="1422">
        <v>0</v>
      </c>
      <c r="AY119" s="1420">
        <v>22565427.109999999</v>
      </c>
      <c r="AZ119" s="1422">
        <v>22529706</v>
      </c>
      <c r="BA119" s="1422">
        <v>0</v>
      </c>
      <c r="BB119" s="1422">
        <v>0</v>
      </c>
      <c r="BC119" s="1422">
        <v>124497</v>
      </c>
      <c r="BD119" s="1422">
        <v>127818</v>
      </c>
      <c r="BE119" s="1420">
        <v>9943.56</v>
      </c>
      <c r="BF119" s="1422">
        <v>7600</v>
      </c>
      <c r="BG119" s="1422">
        <v>1000</v>
      </c>
      <c r="BH119" s="1422">
        <v>0</v>
      </c>
      <c r="BI119" s="1422">
        <v>14017</v>
      </c>
      <c r="BJ119" s="1422">
        <v>44683</v>
      </c>
      <c r="BK119" s="1422">
        <v>6446</v>
      </c>
      <c r="BL119" s="1422">
        <v>6578</v>
      </c>
      <c r="BM119" s="1422">
        <v>537168</v>
      </c>
      <c r="BN119" s="1422">
        <v>580888</v>
      </c>
      <c r="BO119" s="1420">
        <v>21136.71</v>
      </c>
      <c r="BP119" s="1422">
        <v>0</v>
      </c>
      <c r="BQ119" s="1422">
        <v>24375</v>
      </c>
      <c r="BR119" s="1422">
        <v>36563</v>
      </c>
      <c r="BS119" s="1420">
        <v>9783.76</v>
      </c>
      <c r="BT119" s="1422">
        <v>9800</v>
      </c>
      <c r="BU119" s="1422">
        <v>0</v>
      </c>
      <c r="BV119" s="1422">
        <v>0</v>
      </c>
      <c r="BW119" s="1422">
        <v>0</v>
      </c>
      <c r="BX119" s="1422">
        <v>0</v>
      </c>
      <c r="BY119" s="1422">
        <v>0</v>
      </c>
      <c r="BZ119" s="1422">
        <v>0</v>
      </c>
      <c r="CA119" s="1420">
        <v>1359796.43</v>
      </c>
      <c r="CB119" s="1422">
        <v>159531</v>
      </c>
      <c r="CC119" s="1420">
        <v>2108163.46</v>
      </c>
      <c r="CD119" s="1422">
        <v>973461</v>
      </c>
      <c r="CE119" s="1420">
        <v>3546726.74</v>
      </c>
      <c r="CF119" s="1420">
        <v>1874779.97</v>
      </c>
      <c r="CG119" s="1422">
        <v>0</v>
      </c>
      <c r="CH119" s="1422">
        <v>0</v>
      </c>
      <c r="CI119" s="1422">
        <v>0</v>
      </c>
      <c r="CJ119" s="1422">
        <v>0</v>
      </c>
      <c r="CK119" s="1422">
        <v>0</v>
      </c>
      <c r="CL119" s="1422">
        <v>0</v>
      </c>
      <c r="CM119" s="1422">
        <v>1500</v>
      </c>
      <c r="CN119" s="1422">
        <v>0</v>
      </c>
      <c r="CO119" s="1420">
        <v>35375.82</v>
      </c>
      <c r="CP119" s="1422">
        <v>0</v>
      </c>
      <c r="CQ119" s="1420">
        <v>194648.27</v>
      </c>
      <c r="CR119" s="1422">
        <v>0</v>
      </c>
      <c r="CS119" s="1420">
        <v>231524.09</v>
      </c>
      <c r="CT119" s="1422">
        <v>0</v>
      </c>
      <c r="CU119" s="1420">
        <v>28451841.399999999</v>
      </c>
      <c r="CV119" s="1420">
        <v>25377946.969999999</v>
      </c>
      <c r="CW119" s="1420">
        <v>11072587.42</v>
      </c>
      <c r="CX119" s="1420">
        <v>10806165.58</v>
      </c>
      <c r="CY119" s="1420">
        <v>1558158.5</v>
      </c>
      <c r="CZ119" s="1420">
        <v>1557309.75</v>
      </c>
      <c r="DA119" s="1420">
        <v>490965.83</v>
      </c>
      <c r="DB119" s="1420">
        <v>488289.36</v>
      </c>
      <c r="DC119" s="1422">
        <v>0</v>
      </c>
      <c r="DD119" s="1422">
        <v>0</v>
      </c>
      <c r="DE119" s="1420">
        <v>698084.01</v>
      </c>
      <c r="DF119" s="1420">
        <v>684015.87</v>
      </c>
      <c r="DG119" s="1420">
        <v>375834.37</v>
      </c>
      <c r="DH119" s="1420">
        <v>362806.15</v>
      </c>
      <c r="DI119" s="1420">
        <v>14195630.130000001</v>
      </c>
      <c r="DJ119" s="1420">
        <v>13898586.710000001</v>
      </c>
      <c r="DK119" s="1420">
        <v>455459.25</v>
      </c>
      <c r="DL119" s="1420">
        <v>545915.25</v>
      </c>
      <c r="DM119" s="1420">
        <v>498122.54</v>
      </c>
      <c r="DN119" s="1420">
        <v>315808.45</v>
      </c>
      <c r="DO119" s="1420">
        <v>2911033.67</v>
      </c>
      <c r="DP119" s="1420">
        <v>3087657.94</v>
      </c>
      <c r="DQ119" s="1420">
        <v>920098.26</v>
      </c>
      <c r="DR119" s="1420">
        <v>766246.55</v>
      </c>
      <c r="DS119" s="1420">
        <v>37353.769999999997</v>
      </c>
      <c r="DT119" s="1422">
        <v>15600</v>
      </c>
      <c r="DU119" s="1420">
        <v>4822067.49</v>
      </c>
      <c r="DV119" s="1420">
        <v>4731228.1900000004</v>
      </c>
      <c r="DW119" s="1420">
        <v>1091360.8600000001</v>
      </c>
      <c r="DX119" s="1420">
        <v>1226253.6599999999</v>
      </c>
      <c r="DY119" s="1420">
        <v>2045119.64</v>
      </c>
      <c r="DZ119" s="1420">
        <v>1491593.57</v>
      </c>
      <c r="EA119" s="1420">
        <v>1280220.72</v>
      </c>
      <c r="EB119" s="1420">
        <v>1317748.8400000001</v>
      </c>
      <c r="EC119" s="1420">
        <v>4416701.22</v>
      </c>
      <c r="ED119" s="1420">
        <v>4035596.07</v>
      </c>
      <c r="EE119" s="1420">
        <v>1353370.81</v>
      </c>
      <c r="EF119" s="1420">
        <v>1320730.06</v>
      </c>
      <c r="EG119" s="1422">
        <v>0</v>
      </c>
      <c r="EH119" s="1422">
        <v>0</v>
      </c>
      <c r="EI119" s="1420">
        <v>2646.46</v>
      </c>
      <c r="EJ119" s="1420">
        <v>11327.12</v>
      </c>
      <c r="EK119" s="1422">
        <v>0</v>
      </c>
      <c r="EL119" s="1422">
        <v>0</v>
      </c>
      <c r="EM119" s="1420">
        <v>1356017.27</v>
      </c>
      <c r="EN119" s="1420">
        <v>1332057.18</v>
      </c>
      <c r="EO119" s="1420">
        <v>6133543.2800000003</v>
      </c>
      <c r="EP119" s="1422">
        <v>10500</v>
      </c>
      <c r="EQ119" s="1420">
        <v>1672902.54</v>
      </c>
      <c r="ER119" s="1422">
        <v>1677733</v>
      </c>
      <c r="ES119" s="1420">
        <v>11690.17</v>
      </c>
      <c r="ET119" s="1422">
        <v>0</v>
      </c>
      <c r="EU119" s="1420">
        <v>32608552.100000001</v>
      </c>
      <c r="EV119" s="1420">
        <v>25685701.149999999</v>
      </c>
      <c r="EW119" s="1420">
        <v>6801276.9299999997</v>
      </c>
      <c r="EX119" s="1422">
        <v>208100</v>
      </c>
      <c r="EY119" s="1420">
        <v>1672902.54</v>
      </c>
      <c r="EZ119" s="1422">
        <v>1677733</v>
      </c>
      <c r="FA119" s="1420">
        <v>24134372.629999999</v>
      </c>
      <c r="FB119" s="1420">
        <v>23799868.149999999</v>
      </c>
      <c r="FC119" s="1420">
        <v>809031.13</v>
      </c>
      <c r="FD119" s="1439"/>
      <c r="FE119" s="1420">
        <v>23325341.5</v>
      </c>
      <c r="FF119" s="1439"/>
      <c r="FG119" s="1422">
        <v>8059</v>
      </c>
      <c r="FH119" s="1439"/>
      <c r="FI119" s="1420">
        <v>185.14</v>
      </c>
      <c r="FJ119" s="1439"/>
      <c r="FK119" s="1422">
        <v>51954</v>
      </c>
      <c r="FL119" s="1439"/>
      <c r="FM119" s="1420">
        <v>199.27</v>
      </c>
      <c r="FN119" s="1439"/>
      <c r="FO119" s="1422">
        <v>54262</v>
      </c>
      <c r="FP119" s="1439"/>
      <c r="FQ119" s="1420">
        <v>2793633.76</v>
      </c>
      <c r="FR119" s="1439"/>
      <c r="FS119" s="1420">
        <v>37204.25</v>
      </c>
      <c r="FT119" s="1439"/>
      <c r="FU119" s="1422">
        <v>0</v>
      </c>
      <c r="FV119" s="1439"/>
      <c r="FW119" s="1420">
        <v>2756429.51</v>
      </c>
      <c r="FX119" s="1439"/>
      <c r="FY119" s="1420">
        <v>4087564.89</v>
      </c>
      <c r="FZ119" s="1439"/>
      <c r="GA119" s="1422">
        <v>0</v>
      </c>
      <c r="GB119" s="1439"/>
    </row>
    <row r="120" spans="1:184" ht="12.75" customHeight="1" thickBot="1">
      <c r="A120" s="1418" t="s">
        <v>464</v>
      </c>
      <c r="B120" s="1418" t="s">
        <v>465</v>
      </c>
      <c r="C120" s="1420">
        <v>116.11</v>
      </c>
      <c r="D120" s="1439"/>
      <c r="E120" s="1420">
        <v>2363.65</v>
      </c>
      <c r="F120" s="1439"/>
      <c r="G120" s="1421">
        <v>0.06</v>
      </c>
      <c r="H120" s="1439"/>
      <c r="I120" s="1420">
        <v>2484.38</v>
      </c>
      <c r="J120" s="1439"/>
      <c r="K120" s="1420">
        <v>2516.81</v>
      </c>
      <c r="L120" s="1439"/>
      <c r="M120" s="1422">
        <v>147781428</v>
      </c>
      <c r="N120" s="1439"/>
      <c r="O120" s="1422">
        <v>25</v>
      </c>
      <c r="P120" s="1439"/>
      <c r="Q120" s="1422">
        <v>25</v>
      </c>
      <c r="R120" s="1439"/>
      <c r="S120" s="1422">
        <v>0</v>
      </c>
      <c r="T120" s="1439"/>
      <c r="U120" s="1422">
        <v>0</v>
      </c>
      <c r="V120" s="1439"/>
      <c r="W120" s="1420">
        <v>9.5</v>
      </c>
      <c r="X120" s="1439"/>
      <c r="Y120" s="1420">
        <v>34.5</v>
      </c>
      <c r="Z120" s="1439"/>
      <c r="AA120" s="1422">
        <v>13020000</v>
      </c>
      <c r="AB120" s="1439"/>
      <c r="AC120" s="1420">
        <v>5324707.72</v>
      </c>
      <c r="AD120" s="1422">
        <v>5096490</v>
      </c>
      <c r="AE120" s="1420">
        <v>820466.85</v>
      </c>
      <c r="AF120" s="1420">
        <v>381235.18</v>
      </c>
      <c r="AG120" s="1422">
        <v>0</v>
      </c>
      <c r="AH120" s="1422">
        <v>0</v>
      </c>
      <c r="AI120" s="1422">
        <v>11456350</v>
      </c>
      <c r="AJ120" s="1422">
        <v>11683440</v>
      </c>
      <c r="AK120" s="1422">
        <v>108341</v>
      </c>
      <c r="AL120" s="1422">
        <v>0</v>
      </c>
      <c r="AM120" s="1422">
        <v>0</v>
      </c>
      <c r="AN120" s="1422">
        <v>0</v>
      </c>
      <c r="AO120" s="1422">
        <v>106637</v>
      </c>
      <c r="AP120" s="1422">
        <v>61225</v>
      </c>
      <c r="AQ120" s="1422">
        <v>0</v>
      </c>
      <c r="AR120" s="1422">
        <v>0</v>
      </c>
      <c r="AS120" s="1422">
        <v>0</v>
      </c>
      <c r="AT120" s="1422">
        <v>0</v>
      </c>
      <c r="AU120" s="1422">
        <v>0</v>
      </c>
      <c r="AV120" s="1422">
        <v>0</v>
      </c>
      <c r="AW120" s="1422">
        <v>0</v>
      </c>
      <c r="AX120" s="1422">
        <v>0</v>
      </c>
      <c r="AY120" s="1420">
        <v>17816502.57</v>
      </c>
      <c r="AZ120" s="1420">
        <v>17222390.18</v>
      </c>
      <c r="BA120" s="1420">
        <v>142843.79999999999</v>
      </c>
      <c r="BB120" s="1420">
        <v>139724.54999999999</v>
      </c>
      <c r="BC120" s="1422">
        <v>104095</v>
      </c>
      <c r="BD120" s="1422">
        <v>105818</v>
      </c>
      <c r="BE120" s="1420">
        <v>6178.62</v>
      </c>
      <c r="BF120" s="1422">
        <v>0</v>
      </c>
      <c r="BG120" s="1422">
        <v>1700</v>
      </c>
      <c r="BH120" s="1422">
        <v>0</v>
      </c>
      <c r="BI120" s="1422">
        <v>203841</v>
      </c>
      <c r="BJ120" s="1422">
        <v>208576</v>
      </c>
      <c r="BK120" s="1422">
        <v>96690</v>
      </c>
      <c r="BL120" s="1422">
        <v>98000</v>
      </c>
      <c r="BM120" s="1422">
        <v>833776</v>
      </c>
      <c r="BN120" s="1422">
        <v>854128</v>
      </c>
      <c r="BO120" s="1420">
        <v>44760.46</v>
      </c>
      <c r="BP120" s="1422">
        <v>12000</v>
      </c>
      <c r="BQ120" s="1420">
        <v>51952.67</v>
      </c>
      <c r="BR120" s="1422">
        <v>15000</v>
      </c>
      <c r="BS120" s="1420">
        <v>9468.73</v>
      </c>
      <c r="BT120" s="1422">
        <v>10000</v>
      </c>
      <c r="BU120" s="1422">
        <v>0</v>
      </c>
      <c r="BV120" s="1422">
        <v>0</v>
      </c>
      <c r="BW120" s="1422">
        <v>0</v>
      </c>
      <c r="BX120" s="1422">
        <v>0</v>
      </c>
      <c r="BY120" s="1422">
        <v>0</v>
      </c>
      <c r="BZ120" s="1422">
        <v>0</v>
      </c>
      <c r="CA120" s="1420">
        <v>492541.81</v>
      </c>
      <c r="CB120" s="1420">
        <v>595745.69999999995</v>
      </c>
      <c r="CC120" s="1420">
        <v>1987848.09</v>
      </c>
      <c r="CD120" s="1420">
        <v>2038992.25</v>
      </c>
      <c r="CE120" s="1420">
        <v>4573385.1900000004</v>
      </c>
      <c r="CF120" s="1420">
        <v>2797891.95</v>
      </c>
      <c r="CG120" s="1422">
        <v>987690</v>
      </c>
      <c r="CH120" s="1422">
        <v>0</v>
      </c>
      <c r="CI120" s="1422">
        <v>0</v>
      </c>
      <c r="CJ120" s="1422">
        <v>0</v>
      </c>
      <c r="CK120" s="1422">
        <v>21249</v>
      </c>
      <c r="CL120" s="1420">
        <v>14046.04</v>
      </c>
      <c r="CM120" s="1422">
        <v>0</v>
      </c>
      <c r="CN120" s="1422">
        <v>0</v>
      </c>
      <c r="CO120" s="1422">
        <v>0</v>
      </c>
      <c r="CP120" s="1422">
        <v>0</v>
      </c>
      <c r="CQ120" s="1422">
        <v>0</v>
      </c>
      <c r="CR120" s="1422">
        <v>0</v>
      </c>
      <c r="CS120" s="1422">
        <v>1008939</v>
      </c>
      <c r="CT120" s="1420">
        <v>14046.04</v>
      </c>
      <c r="CU120" s="1420">
        <v>25386674.850000001</v>
      </c>
      <c r="CV120" s="1420">
        <v>22073320.420000002</v>
      </c>
      <c r="CW120" s="1420">
        <v>7983810.1299999999</v>
      </c>
      <c r="CX120" s="1420">
        <v>7871979.5599999996</v>
      </c>
      <c r="CY120" s="1420">
        <v>1707883.03</v>
      </c>
      <c r="CZ120" s="1420">
        <v>1738073.39</v>
      </c>
      <c r="DA120" s="1420">
        <v>478871.44</v>
      </c>
      <c r="DB120" s="1420">
        <v>451681.47</v>
      </c>
      <c r="DC120" s="1420">
        <v>161284.64000000001</v>
      </c>
      <c r="DD120" s="1420">
        <v>160594.5</v>
      </c>
      <c r="DE120" s="1420">
        <v>700957.24</v>
      </c>
      <c r="DF120" s="1420">
        <v>635669.4</v>
      </c>
      <c r="DG120" s="1420">
        <v>1711342.38</v>
      </c>
      <c r="DH120" s="1420">
        <v>1717004.81</v>
      </c>
      <c r="DI120" s="1420">
        <v>12744148.859999999</v>
      </c>
      <c r="DJ120" s="1420">
        <v>12575003.130000001</v>
      </c>
      <c r="DK120" s="1420">
        <v>530375.81999999995</v>
      </c>
      <c r="DL120" s="1420">
        <v>660332.41</v>
      </c>
      <c r="DM120" s="1420">
        <v>1195859.76</v>
      </c>
      <c r="DN120" s="1420">
        <v>722134.07</v>
      </c>
      <c r="DO120" s="1420">
        <v>2060506.7</v>
      </c>
      <c r="DP120" s="1420">
        <v>1818805.94</v>
      </c>
      <c r="DQ120" s="1420">
        <v>854407.97</v>
      </c>
      <c r="DR120" s="1420">
        <v>971295.65</v>
      </c>
      <c r="DS120" s="1420">
        <v>88028.62</v>
      </c>
      <c r="DT120" s="1420">
        <v>49046.04</v>
      </c>
      <c r="DU120" s="1420">
        <v>4729178.87</v>
      </c>
      <c r="DV120" s="1420">
        <v>4221614.1100000003</v>
      </c>
      <c r="DW120" s="1420">
        <v>750979.76</v>
      </c>
      <c r="DX120" s="1420">
        <v>783997.39</v>
      </c>
      <c r="DY120" s="1420">
        <v>1262181.44</v>
      </c>
      <c r="DZ120" s="1420">
        <v>1080864.29</v>
      </c>
      <c r="EA120" s="1420">
        <v>1178725.93</v>
      </c>
      <c r="EB120" s="1420">
        <v>1199113.81</v>
      </c>
      <c r="EC120" s="1420">
        <v>3191887.13</v>
      </c>
      <c r="ED120" s="1420">
        <v>3063975.49</v>
      </c>
      <c r="EE120" s="1420">
        <v>1256036.3</v>
      </c>
      <c r="EF120" s="1420">
        <v>1196673.3799999999</v>
      </c>
      <c r="EG120" s="1420">
        <v>11772.08</v>
      </c>
      <c r="EH120" s="1422">
        <v>0</v>
      </c>
      <c r="EI120" s="1420">
        <v>520.52</v>
      </c>
      <c r="EJ120" s="1422">
        <v>0</v>
      </c>
      <c r="EK120" s="1422">
        <v>0</v>
      </c>
      <c r="EL120" s="1422">
        <v>0</v>
      </c>
      <c r="EM120" s="1420">
        <v>1268328.8999999999</v>
      </c>
      <c r="EN120" s="1420">
        <v>1196673.3799999999</v>
      </c>
      <c r="EO120" s="1420">
        <v>1894726.37</v>
      </c>
      <c r="EP120" s="1420">
        <v>911479.55</v>
      </c>
      <c r="EQ120" s="1420">
        <v>932360.72</v>
      </c>
      <c r="ER120" s="1420">
        <v>1030162.5</v>
      </c>
      <c r="ES120" s="1420">
        <v>15998.74</v>
      </c>
      <c r="ET120" s="1422">
        <v>0</v>
      </c>
      <c r="EU120" s="1420">
        <v>24776629.59</v>
      </c>
      <c r="EV120" s="1420">
        <v>22998908.16</v>
      </c>
      <c r="EW120" s="1420">
        <v>2191666.6800000002</v>
      </c>
      <c r="EX120" s="1420">
        <v>1174279.55</v>
      </c>
      <c r="EY120" s="1420">
        <v>932360.72</v>
      </c>
      <c r="EZ120" s="1420">
        <v>1030162.5</v>
      </c>
      <c r="FA120" s="1420">
        <v>21652602.190000001</v>
      </c>
      <c r="FB120" s="1420">
        <v>20794466.109999999</v>
      </c>
      <c r="FC120" s="1420">
        <v>967167.3</v>
      </c>
      <c r="FD120" s="1439"/>
      <c r="FE120" s="1420">
        <v>20685434.890000001</v>
      </c>
      <c r="FF120" s="1439"/>
      <c r="FG120" s="1422">
        <v>8751</v>
      </c>
      <c r="FH120" s="1439"/>
      <c r="FI120" s="1420">
        <v>174.12</v>
      </c>
      <c r="FJ120" s="1439"/>
      <c r="FK120" s="1422">
        <v>45249</v>
      </c>
      <c r="FL120" s="1439"/>
      <c r="FM120" s="1420">
        <v>188.28</v>
      </c>
      <c r="FN120" s="1439"/>
      <c r="FO120" s="1422">
        <v>47745</v>
      </c>
      <c r="FP120" s="1439"/>
      <c r="FQ120" s="1420">
        <v>4212549.62</v>
      </c>
      <c r="FR120" s="1439"/>
      <c r="FS120" s="1420">
        <v>21756.48</v>
      </c>
      <c r="FT120" s="1439"/>
      <c r="FU120" s="1422">
        <v>0</v>
      </c>
      <c r="FV120" s="1439"/>
      <c r="FW120" s="1420">
        <v>4190793.14</v>
      </c>
      <c r="FX120" s="1439"/>
      <c r="FY120" s="1420">
        <v>2224675.2200000002</v>
      </c>
      <c r="FZ120" s="1439"/>
      <c r="GA120" s="1422">
        <v>0</v>
      </c>
      <c r="GB120" s="1439"/>
    </row>
    <row r="121" spans="1:184" ht="12.75" customHeight="1" thickBot="1">
      <c r="A121" s="1418" t="s">
        <v>466</v>
      </c>
      <c r="B121" s="1418" t="s">
        <v>467</v>
      </c>
      <c r="C121" s="1420">
        <v>309.23</v>
      </c>
      <c r="D121" s="1439"/>
      <c r="E121" s="1420">
        <v>1003.72</v>
      </c>
      <c r="F121" s="1439"/>
      <c r="G121" s="1421">
        <v>-0.04</v>
      </c>
      <c r="H121" s="1439"/>
      <c r="I121" s="1420">
        <v>1067.0999999999999</v>
      </c>
      <c r="J121" s="1439"/>
      <c r="K121" s="1420">
        <v>1083.74</v>
      </c>
      <c r="L121" s="1439"/>
      <c r="M121" s="1422">
        <v>60983982</v>
      </c>
      <c r="N121" s="1439"/>
      <c r="O121" s="1422">
        <v>25</v>
      </c>
      <c r="P121" s="1439"/>
      <c r="Q121" s="1422">
        <v>25</v>
      </c>
      <c r="R121" s="1439"/>
      <c r="S121" s="1422">
        <v>0</v>
      </c>
      <c r="T121" s="1439"/>
      <c r="U121" s="1422">
        <v>0</v>
      </c>
      <c r="V121" s="1439"/>
      <c r="W121" s="1420">
        <v>10.33</v>
      </c>
      <c r="X121" s="1439"/>
      <c r="Y121" s="1420">
        <v>35.33</v>
      </c>
      <c r="Z121" s="1439"/>
      <c r="AA121" s="1420">
        <v>5029648.83</v>
      </c>
      <c r="AB121" s="1439"/>
      <c r="AC121" s="1420">
        <v>2049464.62</v>
      </c>
      <c r="AD121" s="1422">
        <v>1953775</v>
      </c>
      <c r="AE121" s="1420">
        <v>417889.49</v>
      </c>
      <c r="AF121" s="1422">
        <v>130600</v>
      </c>
      <c r="AG121" s="1422">
        <v>0</v>
      </c>
      <c r="AH121" s="1422">
        <v>0</v>
      </c>
      <c r="AI121" s="1422">
        <v>4796875</v>
      </c>
      <c r="AJ121" s="1422">
        <v>4844920</v>
      </c>
      <c r="AK121" s="1422">
        <v>85876</v>
      </c>
      <c r="AL121" s="1422">
        <v>82000</v>
      </c>
      <c r="AM121" s="1422">
        <v>0</v>
      </c>
      <c r="AN121" s="1422">
        <v>0</v>
      </c>
      <c r="AO121" s="1422">
        <v>89231</v>
      </c>
      <c r="AP121" s="1422">
        <v>51333</v>
      </c>
      <c r="AQ121" s="1422">
        <v>0</v>
      </c>
      <c r="AR121" s="1422">
        <v>0</v>
      </c>
      <c r="AS121" s="1422">
        <v>0</v>
      </c>
      <c r="AT121" s="1422">
        <v>0</v>
      </c>
      <c r="AU121" s="1422">
        <v>37528</v>
      </c>
      <c r="AV121" s="1422">
        <v>30022</v>
      </c>
      <c r="AW121" s="1422">
        <v>0</v>
      </c>
      <c r="AX121" s="1422">
        <v>0</v>
      </c>
      <c r="AY121" s="1420">
        <v>7476864.1100000003</v>
      </c>
      <c r="AZ121" s="1422">
        <v>7092650</v>
      </c>
      <c r="BA121" s="1422">
        <v>0</v>
      </c>
      <c r="BB121" s="1422">
        <v>0</v>
      </c>
      <c r="BC121" s="1422">
        <v>44823</v>
      </c>
      <c r="BD121" s="1422">
        <v>45221</v>
      </c>
      <c r="BE121" s="1422">
        <v>3800</v>
      </c>
      <c r="BF121" s="1422">
        <v>4800</v>
      </c>
      <c r="BG121" s="1422">
        <v>600</v>
      </c>
      <c r="BH121" s="1422">
        <v>0</v>
      </c>
      <c r="BI121" s="1422">
        <v>37664</v>
      </c>
      <c r="BJ121" s="1422">
        <v>50486</v>
      </c>
      <c r="BK121" s="1422">
        <v>1758</v>
      </c>
      <c r="BL121" s="1422">
        <v>0</v>
      </c>
      <c r="BM121" s="1422">
        <v>327856</v>
      </c>
      <c r="BN121" s="1422">
        <v>326876</v>
      </c>
      <c r="BO121" s="1420">
        <v>4439.7</v>
      </c>
      <c r="BP121" s="1422">
        <v>0</v>
      </c>
      <c r="BQ121" s="1420">
        <v>5417.12</v>
      </c>
      <c r="BR121" s="1422">
        <v>8125</v>
      </c>
      <c r="BS121" s="1420">
        <v>4267.32</v>
      </c>
      <c r="BT121" s="1422">
        <v>4500</v>
      </c>
      <c r="BU121" s="1422">
        <v>0</v>
      </c>
      <c r="BV121" s="1422">
        <v>0</v>
      </c>
      <c r="BW121" s="1422">
        <v>160520</v>
      </c>
      <c r="BX121" s="1422">
        <v>194400</v>
      </c>
      <c r="BY121" s="1422">
        <v>0</v>
      </c>
      <c r="BZ121" s="1422">
        <v>0</v>
      </c>
      <c r="CA121" s="1420">
        <v>82058.16</v>
      </c>
      <c r="CB121" s="1422">
        <v>148274</v>
      </c>
      <c r="CC121" s="1420">
        <v>673203.3</v>
      </c>
      <c r="CD121" s="1422">
        <v>782682</v>
      </c>
      <c r="CE121" s="1420">
        <v>1942862.44</v>
      </c>
      <c r="CF121" s="1420">
        <v>2399076.31</v>
      </c>
      <c r="CG121" s="1422">
        <v>377300</v>
      </c>
      <c r="CH121" s="1422">
        <v>0</v>
      </c>
      <c r="CI121" s="1422">
        <v>0</v>
      </c>
      <c r="CJ121" s="1422">
        <v>0</v>
      </c>
      <c r="CK121" s="1422">
        <v>0</v>
      </c>
      <c r="CL121" s="1422">
        <v>0</v>
      </c>
      <c r="CM121" s="1422">
        <v>0</v>
      </c>
      <c r="CN121" s="1422">
        <v>0</v>
      </c>
      <c r="CO121" s="1422">
        <v>0</v>
      </c>
      <c r="CP121" s="1422">
        <v>0</v>
      </c>
      <c r="CQ121" s="1422">
        <v>0</v>
      </c>
      <c r="CR121" s="1422">
        <v>0</v>
      </c>
      <c r="CS121" s="1422">
        <v>377300</v>
      </c>
      <c r="CT121" s="1422">
        <v>0</v>
      </c>
      <c r="CU121" s="1420">
        <v>10470229.85</v>
      </c>
      <c r="CV121" s="1420">
        <v>10274408.310000001</v>
      </c>
      <c r="CW121" s="1420">
        <v>4008230.18</v>
      </c>
      <c r="CX121" s="1420">
        <v>3782853.04</v>
      </c>
      <c r="CY121" s="1420">
        <v>685828.13</v>
      </c>
      <c r="CZ121" s="1420">
        <v>666924.98</v>
      </c>
      <c r="DA121" s="1420">
        <v>343717.25</v>
      </c>
      <c r="DB121" s="1420">
        <v>456135.23</v>
      </c>
      <c r="DC121" s="1422">
        <v>0</v>
      </c>
      <c r="DD121" s="1422">
        <v>0</v>
      </c>
      <c r="DE121" s="1420">
        <v>318383.14</v>
      </c>
      <c r="DF121" s="1420">
        <v>369711.5</v>
      </c>
      <c r="DG121" s="1420">
        <v>298601.73</v>
      </c>
      <c r="DH121" s="1420">
        <v>307615.92</v>
      </c>
      <c r="DI121" s="1420">
        <v>5654760.4299999997</v>
      </c>
      <c r="DJ121" s="1420">
        <v>5583240.6699999999</v>
      </c>
      <c r="DK121" s="1420">
        <v>178414.29</v>
      </c>
      <c r="DL121" s="1422">
        <v>170946</v>
      </c>
      <c r="DM121" s="1420">
        <v>227426.1</v>
      </c>
      <c r="DN121" s="1420">
        <v>266207.02</v>
      </c>
      <c r="DO121" s="1420">
        <v>958024.54</v>
      </c>
      <c r="DP121" s="1422">
        <v>751195</v>
      </c>
      <c r="DQ121" s="1420">
        <v>554798.29</v>
      </c>
      <c r="DR121" s="1422">
        <v>445542</v>
      </c>
      <c r="DS121" s="1420">
        <v>11892.73</v>
      </c>
      <c r="DT121" s="1422">
        <v>11000</v>
      </c>
      <c r="DU121" s="1420">
        <v>1930555.95</v>
      </c>
      <c r="DV121" s="1420">
        <v>1644890.02</v>
      </c>
      <c r="DW121" s="1420">
        <v>389636.57</v>
      </c>
      <c r="DX121" s="1422">
        <v>415334</v>
      </c>
      <c r="DY121" s="1420">
        <v>502866.98</v>
      </c>
      <c r="DZ121" s="1420">
        <v>520733.71</v>
      </c>
      <c r="EA121" s="1420">
        <v>360368.59</v>
      </c>
      <c r="EB121" s="1422">
        <v>379330</v>
      </c>
      <c r="EC121" s="1420">
        <v>1252872.1399999999</v>
      </c>
      <c r="ED121" s="1420">
        <v>1315397.71</v>
      </c>
      <c r="EE121" s="1420">
        <v>470938.2</v>
      </c>
      <c r="EF121" s="1422">
        <v>486110</v>
      </c>
      <c r="EG121" s="1422">
        <v>0</v>
      </c>
      <c r="EH121" s="1422">
        <v>0</v>
      </c>
      <c r="EI121" s="1420">
        <v>99.29</v>
      </c>
      <c r="EJ121" s="1422">
        <v>500</v>
      </c>
      <c r="EK121" s="1422">
        <v>0</v>
      </c>
      <c r="EL121" s="1422">
        <v>0</v>
      </c>
      <c r="EM121" s="1420">
        <v>471037.49</v>
      </c>
      <c r="EN121" s="1422">
        <v>486610</v>
      </c>
      <c r="EO121" s="1420">
        <v>459388.45</v>
      </c>
      <c r="EP121" s="1420">
        <v>1157803.51</v>
      </c>
      <c r="EQ121" s="1420">
        <v>369617.5</v>
      </c>
      <c r="ER121" s="1422">
        <v>343430</v>
      </c>
      <c r="ES121" s="1422">
        <v>0</v>
      </c>
      <c r="ET121" s="1422">
        <v>0</v>
      </c>
      <c r="EU121" s="1420">
        <v>10138231.960000001</v>
      </c>
      <c r="EV121" s="1420">
        <v>10531371.91</v>
      </c>
      <c r="EW121" s="1420">
        <v>759949.39</v>
      </c>
      <c r="EX121" s="1420">
        <v>1222840.69</v>
      </c>
      <c r="EY121" s="1420">
        <v>369617.5</v>
      </c>
      <c r="EZ121" s="1422">
        <v>343430</v>
      </c>
      <c r="FA121" s="1420">
        <v>9008665.0700000003</v>
      </c>
      <c r="FB121" s="1420">
        <v>8965101.2200000007</v>
      </c>
      <c r="FC121" s="1420">
        <v>454027.76</v>
      </c>
      <c r="FD121" s="1439"/>
      <c r="FE121" s="1420">
        <v>8554637.3100000005</v>
      </c>
      <c r="FF121" s="1439"/>
      <c r="FG121" s="1422">
        <v>8522</v>
      </c>
      <c r="FH121" s="1439"/>
      <c r="FI121" s="1420">
        <v>76.959999999999994</v>
      </c>
      <c r="FJ121" s="1439"/>
      <c r="FK121" s="1422">
        <v>48123</v>
      </c>
      <c r="FL121" s="1439"/>
      <c r="FM121" s="1420">
        <v>82.37</v>
      </c>
      <c r="FN121" s="1439"/>
      <c r="FO121" s="1422">
        <v>49866</v>
      </c>
      <c r="FP121" s="1439"/>
      <c r="FQ121" s="1420">
        <v>1656438.6</v>
      </c>
      <c r="FR121" s="1439"/>
      <c r="FS121" s="1420">
        <v>36718.019999999997</v>
      </c>
      <c r="FT121" s="1439"/>
      <c r="FU121" s="1422">
        <v>0</v>
      </c>
      <c r="FV121" s="1439"/>
      <c r="FW121" s="1420">
        <v>1619720.58</v>
      </c>
      <c r="FX121" s="1439"/>
      <c r="FY121" s="1420">
        <v>1394210.09</v>
      </c>
      <c r="FZ121" s="1439"/>
      <c r="GA121" s="1422">
        <v>0</v>
      </c>
      <c r="GB121" s="1439"/>
    </row>
    <row r="122" spans="1:184" ht="12.75" customHeight="1" thickBot="1">
      <c r="A122" s="1418" t="s">
        <v>468</v>
      </c>
      <c r="B122" s="1418" t="s">
        <v>469</v>
      </c>
      <c r="C122" s="1420">
        <v>88.25</v>
      </c>
      <c r="D122" s="1439"/>
      <c r="E122" s="1420">
        <v>570.45000000000005</v>
      </c>
      <c r="F122" s="1439"/>
      <c r="G122" s="1421">
        <v>0.01</v>
      </c>
      <c r="H122" s="1439"/>
      <c r="I122" s="1420">
        <v>608.03</v>
      </c>
      <c r="J122" s="1439"/>
      <c r="K122" s="1420">
        <v>616.05999999999995</v>
      </c>
      <c r="L122" s="1439"/>
      <c r="M122" s="1422">
        <v>27491068</v>
      </c>
      <c r="N122" s="1439"/>
      <c r="O122" s="1422">
        <v>25</v>
      </c>
      <c r="P122" s="1439"/>
      <c r="Q122" s="1422">
        <v>25</v>
      </c>
      <c r="R122" s="1439"/>
      <c r="S122" s="1422">
        <v>0</v>
      </c>
      <c r="T122" s="1439"/>
      <c r="U122" s="1422">
        <v>0</v>
      </c>
      <c r="V122" s="1439"/>
      <c r="W122" s="1422">
        <v>12</v>
      </c>
      <c r="X122" s="1439"/>
      <c r="Y122" s="1422">
        <v>37</v>
      </c>
      <c r="Z122" s="1439"/>
      <c r="AA122" s="1420">
        <v>4646418.9800000004</v>
      </c>
      <c r="AB122" s="1439"/>
      <c r="AC122" s="1420">
        <v>988889.15</v>
      </c>
      <c r="AD122" s="1422">
        <v>847000</v>
      </c>
      <c r="AE122" s="1420">
        <v>283222.23</v>
      </c>
      <c r="AF122" s="1422">
        <v>192300</v>
      </c>
      <c r="AG122" s="1422">
        <v>0</v>
      </c>
      <c r="AH122" s="1422">
        <v>0</v>
      </c>
      <c r="AI122" s="1422">
        <v>3007510</v>
      </c>
      <c r="AJ122" s="1422">
        <v>3405726</v>
      </c>
      <c r="AK122" s="1422">
        <v>50990</v>
      </c>
      <c r="AL122" s="1422">
        <v>50000</v>
      </c>
      <c r="AM122" s="1422">
        <v>59478</v>
      </c>
      <c r="AN122" s="1422">
        <v>0</v>
      </c>
      <c r="AO122" s="1422">
        <v>0</v>
      </c>
      <c r="AP122" s="1422">
        <v>21873</v>
      </c>
      <c r="AQ122" s="1422">
        <v>0</v>
      </c>
      <c r="AR122" s="1422">
        <v>0</v>
      </c>
      <c r="AS122" s="1422">
        <v>0</v>
      </c>
      <c r="AT122" s="1422">
        <v>0</v>
      </c>
      <c r="AU122" s="1422">
        <v>21870</v>
      </c>
      <c r="AV122" s="1422">
        <v>17496</v>
      </c>
      <c r="AW122" s="1422">
        <v>0</v>
      </c>
      <c r="AX122" s="1422">
        <v>0</v>
      </c>
      <c r="AY122" s="1420">
        <v>4411959.38</v>
      </c>
      <c r="AZ122" s="1422">
        <v>4534395</v>
      </c>
      <c r="BA122" s="1422">
        <v>0</v>
      </c>
      <c r="BB122" s="1422">
        <v>0</v>
      </c>
      <c r="BC122" s="1422">
        <v>25480</v>
      </c>
      <c r="BD122" s="1422">
        <v>25807</v>
      </c>
      <c r="BE122" s="1420">
        <v>1392.96</v>
      </c>
      <c r="BF122" s="1422">
        <v>3200</v>
      </c>
      <c r="BG122" s="1422">
        <v>0</v>
      </c>
      <c r="BH122" s="1422">
        <v>0</v>
      </c>
      <c r="BI122" s="1422">
        <v>75816</v>
      </c>
      <c r="BJ122" s="1422">
        <v>85553</v>
      </c>
      <c r="BK122" s="1422">
        <v>3516</v>
      </c>
      <c r="BL122" s="1422">
        <v>0</v>
      </c>
      <c r="BM122" s="1422">
        <v>461280</v>
      </c>
      <c r="BN122" s="1422">
        <v>466532</v>
      </c>
      <c r="BO122" s="1420">
        <v>2523.79</v>
      </c>
      <c r="BP122" s="1422">
        <v>0</v>
      </c>
      <c r="BQ122" s="1422">
        <v>0</v>
      </c>
      <c r="BR122" s="1422">
        <v>0</v>
      </c>
      <c r="BS122" s="1420">
        <v>2714.64</v>
      </c>
      <c r="BT122" s="1422">
        <v>2800</v>
      </c>
      <c r="BU122" s="1422">
        <v>0</v>
      </c>
      <c r="BV122" s="1422">
        <v>0</v>
      </c>
      <c r="BW122" s="1422">
        <v>0</v>
      </c>
      <c r="BX122" s="1422">
        <v>0</v>
      </c>
      <c r="BY122" s="1422">
        <v>0</v>
      </c>
      <c r="BZ122" s="1422">
        <v>0</v>
      </c>
      <c r="CA122" s="1422">
        <v>908760</v>
      </c>
      <c r="CB122" s="1422">
        <v>312500</v>
      </c>
      <c r="CC122" s="1420">
        <v>1481483.39</v>
      </c>
      <c r="CD122" s="1422">
        <v>896392</v>
      </c>
      <c r="CE122" s="1420">
        <v>1894934.43</v>
      </c>
      <c r="CF122" s="1420">
        <v>1110177.56</v>
      </c>
      <c r="CG122" s="1422">
        <v>0</v>
      </c>
      <c r="CH122" s="1422">
        <v>0</v>
      </c>
      <c r="CI122" s="1422">
        <v>0</v>
      </c>
      <c r="CJ122" s="1422">
        <v>0</v>
      </c>
      <c r="CK122" s="1420">
        <v>384.72</v>
      </c>
      <c r="CL122" s="1422">
        <v>0</v>
      </c>
      <c r="CM122" s="1422">
        <v>0</v>
      </c>
      <c r="CN122" s="1422">
        <v>0</v>
      </c>
      <c r="CO122" s="1422">
        <v>0</v>
      </c>
      <c r="CP122" s="1422">
        <v>0</v>
      </c>
      <c r="CQ122" s="1422">
        <v>0</v>
      </c>
      <c r="CR122" s="1422">
        <v>0</v>
      </c>
      <c r="CS122" s="1420">
        <v>384.72</v>
      </c>
      <c r="CT122" s="1422">
        <v>0</v>
      </c>
      <c r="CU122" s="1420">
        <v>7788761.9199999999</v>
      </c>
      <c r="CV122" s="1420">
        <v>6540964.5599999996</v>
      </c>
      <c r="CW122" s="1420">
        <v>2373314.11</v>
      </c>
      <c r="CX122" s="1420">
        <v>2407572.67</v>
      </c>
      <c r="CY122" s="1420">
        <v>395104.16</v>
      </c>
      <c r="CZ122" s="1422">
        <v>410272</v>
      </c>
      <c r="DA122" s="1422">
        <v>189399</v>
      </c>
      <c r="DB122" s="1422">
        <v>194478</v>
      </c>
      <c r="DC122" s="1422">
        <v>0</v>
      </c>
      <c r="DD122" s="1422">
        <v>0</v>
      </c>
      <c r="DE122" s="1420">
        <v>245526.66</v>
      </c>
      <c r="DF122" s="1422">
        <v>231261</v>
      </c>
      <c r="DG122" s="1420">
        <v>144789.01</v>
      </c>
      <c r="DH122" s="1422">
        <v>145085</v>
      </c>
      <c r="DI122" s="1420">
        <v>3348132.94</v>
      </c>
      <c r="DJ122" s="1420">
        <v>3388668.67</v>
      </c>
      <c r="DK122" s="1420">
        <v>115839.43</v>
      </c>
      <c r="DL122" s="1422">
        <v>107757</v>
      </c>
      <c r="DM122" s="1420">
        <v>74981.09</v>
      </c>
      <c r="DN122" s="1420">
        <v>89609.33</v>
      </c>
      <c r="DO122" s="1420">
        <v>413657.71</v>
      </c>
      <c r="DP122" s="1422">
        <v>428154</v>
      </c>
      <c r="DQ122" s="1420">
        <v>320624.06</v>
      </c>
      <c r="DR122" s="1422">
        <v>307045</v>
      </c>
      <c r="DS122" s="1420">
        <v>15613.33</v>
      </c>
      <c r="DT122" s="1422">
        <v>10000</v>
      </c>
      <c r="DU122" s="1420">
        <v>940715.62</v>
      </c>
      <c r="DV122" s="1420">
        <v>942565.33</v>
      </c>
      <c r="DW122" s="1420">
        <v>264335.77</v>
      </c>
      <c r="DX122" s="1422">
        <v>281861</v>
      </c>
      <c r="DY122" s="1420">
        <v>503017.32</v>
      </c>
      <c r="DZ122" s="1422">
        <v>467696</v>
      </c>
      <c r="EA122" s="1420">
        <v>222475.45</v>
      </c>
      <c r="EB122" s="1422">
        <v>213544</v>
      </c>
      <c r="EC122" s="1420">
        <v>989828.54</v>
      </c>
      <c r="ED122" s="1422">
        <v>963101</v>
      </c>
      <c r="EE122" s="1420">
        <v>433677.37</v>
      </c>
      <c r="EF122" s="1422">
        <v>492836</v>
      </c>
      <c r="EG122" s="1420">
        <v>9681.58</v>
      </c>
      <c r="EH122" s="1422">
        <v>0</v>
      </c>
      <c r="EI122" s="1420">
        <v>863.62</v>
      </c>
      <c r="EJ122" s="1422">
        <v>0</v>
      </c>
      <c r="EK122" s="1422">
        <v>0</v>
      </c>
      <c r="EL122" s="1422">
        <v>0</v>
      </c>
      <c r="EM122" s="1420">
        <v>444222.57</v>
      </c>
      <c r="EN122" s="1422">
        <v>492836</v>
      </c>
      <c r="EO122" s="1420">
        <v>1872564.34</v>
      </c>
      <c r="EP122" s="1422">
        <v>75777</v>
      </c>
      <c r="EQ122" s="1420">
        <v>341412.59</v>
      </c>
      <c r="ER122" s="1422">
        <v>255905</v>
      </c>
      <c r="ES122" s="1422">
        <v>55300</v>
      </c>
      <c r="ET122" s="1422">
        <v>0</v>
      </c>
      <c r="EU122" s="1420">
        <v>7992176.5999999996</v>
      </c>
      <c r="EV122" s="1422">
        <v>6118853</v>
      </c>
      <c r="EW122" s="1420">
        <v>2011155.86</v>
      </c>
      <c r="EX122" s="1422">
        <v>108537</v>
      </c>
      <c r="EY122" s="1420">
        <v>341412.59</v>
      </c>
      <c r="EZ122" s="1422">
        <v>255905</v>
      </c>
      <c r="FA122" s="1420">
        <v>5639608.1500000004</v>
      </c>
      <c r="FB122" s="1422">
        <v>5754411</v>
      </c>
      <c r="FC122" s="1420">
        <v>225144.27</v>
      </c>
      <c r="FD122" s="1439"/>
      <c r="FE122" s="1420">
        <v>5414463.8799999999</v>
      </c>
      <c r="FF122" s="1439"/>
      <c r="FG122" s="1422">
        <v>9491</v>
      </c>
      <c r="FH122" s="1439"/>
      <c r="FI122" s="1420">
        <v>51.93</v>
      </c>
      <c r="FJ122" s="1439"/>
      <c r="FK122" s="1422">
        <v>39247</v>
      </c>
      <c r="FL122" s="1439"/>
      <c r="FM122" s="1420">
        <v>53.93</v>
      </c>
      <c r="FN122" s="1439"/>
      <c r="FO122" s="1422">
        <v>43453</v>
      </c>
      <c r="FP122" s="1439"/>
      <c r="FQ122" s="1420">
        <v>1300267.54</v>
      </c>
      <c r="FR122" s="1439"/>
      <c r="FS122" s="1420">
        <v>11641.81</v>
      </c>
      <c r="FT122" s="1439"/>
      <c r="FU122" s="1422">
        <v>0</v>
      </c>
      <c r="FV122" s="1439"/>
      <c r="FW122" s="1420">
        <v>1288625.73</v>
      </c>
      <c r="FX122" s="1439"/>
      <c r="FY122" s="1420">
        <v>1727816.5</v>
      </c>
      <c r="FZ122" s="1439"/>
      <c r="GA122" s="1422">
        <v>0</v>
      </c>
      <c r="GB122" s="1439"/>
    </row>
    <row r="123" spans="1:184" ht="12.75" customHeight="1" thickBot="1">
      <c r="A123" s="1418" t="s">
        <v>470</v>
      </c>
      <c r="B123" s="1418" t="s">
        <v>471</v>
      </c>
      <c r="C123" s="1420">
        <v>256.04000000000002</v>
      </c>
      <c r="D123" s="1439"/>
      <c r="E123" s="1420">
        <v>358.65</v>
      </c>
      <c r="F123" s="1439"/>
      <c r="G123" s="1421">
        <v>-0.02</v>
      </c>
      <c r="H123" s="1439"/>
      <c r="I123" s="1420">
        <v>378.63</v>
      </c>
      <c r="J123" s="1439"/>
      <c r="K123" s="1422">
        <v>412</v>
      </c>
      <c r="L123" s="1439"/>
      <c r="M123" s="1422">
        <v>29885682</v>
      </c>
      <c r="N123" s="1439"/>
      <c r="O123" s="1422">
        <v>29</v>
      </c>
      <c r="P123" s="1439"/>
      <c r="Q123" s="1422">
        <v>25</v>
      </c>
      <c r="R123" s="1439"/>
      <c r="S123" s="1422">
        <v>4</v>
      </c>
      <c r="T123" s="1439"/>
      <c r="U123" s="1422">
        <v>0</v>
      </c>
      <c r="V123" s="1439"/>
      <c r="W123" s="1422">
        <v>3</v>
      </c>
      <c r="X123" s="1439"/>
      <c r="Y123" s="1422">
        <v>32</v>
      </c>
      <c r="Z123" s="1439"/>
      <c r="AA123" s="1422">
        <v>1971624</v>
      </c>
      <c r="AB123" s="1439"/>
      <c r="AC123" s="1420">
        <v>866792.69</v>
      </c>
      <c r="AD123" s="1422">
        <v>866796</v>
      </c>
      <c r="AE123" s="1420">
        <v>222686.68</v>
      </c>
      <c r="AF123" s="1422">
        <v>233720</v>
      </c>
      <c r="AG123" s="1420">
        <v>78535.360000000001</v>
      </c>
      <c r="AH123" s="1422">
        <v>0</v>
      </c>
      <c r="AI123" s="1422">
        <v>1633324</v>
      </c>
      <c r="AJ123" s="1422">
        <v>1574373</v>
      </c>
      <c r="AK123" s="1422">
        <v>101131</v>
      </c>
      <c r="AL123" s="1422">
        <v>6928</v>
      </c>
      <c r="AM123" s="1422">
        <v>0</v>
      </c>
      <c r="AN123" s="1422">
        <v>0</v>
      </c>
      <c r="AO123" s="1422">
        <v>0</v>
      </c>
      <c r="AP123" s="1422">
        <v>0</v>
      </c>
      <c r="AQ123" s="1422">
        <v>0</v>
      </c>
      <c r="AR123" s="1422">
        <v>0</v>
      </c>
      <c r="AS123" s="1422">
        <v>0</v>
      </c>
      <c r="AT123" s="1422">
        <v>110000</v>
      </c>
      <c r="AU123" s="1422">
        <v>0</v>
      </c>
      <c r="AV123" s="1422">
        <v>0</v>
      </c>
      <c r="AW123" s="1422">
        <v>0</v>
      </c>
      <c r="AX123" s="1422">
        <v>0</v>
      </c>
      <c r="AY123" s="1420">
        <v>2902469.73</v>
      </c>
      <c r="AZ123" s="1422">
        <v>2791817</v>
      </c>
      <c r="BA123" s="1422">
        <v>0</v>
      </c>
      <c r="BB123" s="1422">
        <v>0</v>
      </c>
      <c r="BC123" s="1422">
        <v>17040</v>
      </c>
      <c r="BD123" s="1422">
        <v>15677</v>
      </c>
      <c r="BE123" s="1420">
        <v>197121.99</v>
      </c>
      <c r="BF123" s="1422">
        <v>0</v>
      </c>
      <c r="BG123" s="1422">
        <v>200</v>
      </c>
      <c r="BH123" s="1422">
        <v>0</v>
      </c>
      <c r="BI123" s="1422">
        <v>9223</v>
      </c>
      <c r="BJ123" s="1422">
        <v>2570</v>
      </c>
      <c r="BK123" s="1422">
        <v>0</v>
      </c>
      <c r="BL123" s="1422">
        <v>0</v>
      </c>
      <c r="BM123" s="1422">
        <v>313472</v>
      </c>
      <c r="BN123" s="1422">
        <v>106218</v>
      </c>
      <c r="BO123" s="1420">
        <v>2723.82</v>
      </c>
      <c r="BP123" s="1422">
        <v>0</v>
      </c>
      <c r="BQ123" s="1422">
        <v>0</v>
      </c>
      <c r="BR123" s="1422">
        <v>0</v>
      </c>
      <c r="BS123" s="1420">
        <v>1741.86</v>
      </c>
      <c r="BT123" s="1422">
        <v>0</v>
      </c>
      <c r="BU123" s="1422">
        <v>0</v>
      </c>
      <c r="BV123" s="1422">
        <v>0</v>
      </c>
      <c r="BW123" s="1422">
        <v>0</v>
      </c>
      <c r="BX123" s="1422">
        <v>0</v>
      </c>
      <c r="BY123" s="1422">
        <v>0</v>
      </c>
      <c r="BZ123" s="1422">
        <v>0</v>
      </c>
      <c r="CA123" s="1420">
        <v>13501.69</v>
      </c>
      <c r="CB123" s="1422">
        <v>9953</v>
      </c>
      <c r="CC123" s="1420">
        <v>555024.36</v>
      </c>
      <c r="CD123" s="1422">
        <v>134418</v>
      </c>
      <c r="CE123" s="1420">
        <v>860901.51</v>
      </c>
      <c r="CF123" s="1420">
        <v>537578.31999999995</v>
      </c>
      <c r="CG123" s="1420">
        <v>918239.7</v>
      </c>
      <c r="CH123" s="1422">
        <v>3300</v>
      </c>
      <c r="CI123" s="1422">
        <v>0</v>
      </c>
      <c r="CJ123" s="1422">
        <v>0</v>
      </c>
      <c r="CK123" s="1422">
        <v>2737</v>
      </c>
      <c r="CL123" s="1422">
        <v>0</v>
      </c>
      <c r="CM123" s="1422">
        <v>0</v>
      </c>
      <c r="CN123" s="1422">
        <v>0</v>
      </c>
      <c r="CO123" s="1422">
        <v>0</v>
      </c>
      <c r="CP123" s="1422">
        <v>0</v>
      </c>
      <c r="CQ123" s="1422">
        <v>0</v>
      </c>
      <c r="CR123" s="1422">
        <v>0</v>
      </c>
      <c r="CS123" s="1420">
        <v>920976.7</v>
      </c>
      <c r="CT123" s="1422">
        <v>3300</v>
      </c>
      <c r="CU123" s="1420">
        <v>5239372.3</v>
      </c>
      <c r="CV123" s="1420">
        <v>3467113.32</v>
      </c>
      <c r="CW123" s="1420">
        <v>1467348.76</v>
      </c>
      <c r="CX123" s="1420">
        <v>1194984.02</v>
      </c>
      <c r="CY123" s="1420">
        <v>220233.29</v>
      </c>
      <c r="CZ123" s="1420">
        <v>241947.21</v>
      </c>
      <c r="DA123" s="1420">
        <v>133666.20000000001</v>
      </c>
      <c r="DB123" s="1420">
        <v>135950.64000000001</v>
      </c>
      <c r="DC123" s="1422">
        <v>0</v>
      </c>
      <c r="DD123" s="1422">
        <v>0</v>
      </c>
      <c r="DE123" s="1420">
        <v>315004.67</v>
      </c>
      <c r="DF123" s="1420">
        <v>428088.3</v>
      </c>
      <c r="DG123" s="1420">
        <v>29065.69</v>
      </c>
      <c r="DH123" s="1420">
        <v>33006.300000000003</v>
      </c>
      <c r="DI123" s="1420">
        <v>2165318.61</v>
      </c>
      <c r="DJ123" s="1420">
        <v>2033976.47</v>
      </c>
      <c r="DK123" s="1420">
        <v>184856.15</v>
      </c>
      <c r="DL123" s="1420">
        <v>175221.22</v>
      </c>
      <c r="DM123" s="1420">
        <v>43212.81</v>
      </c>
      <c r="DN123" s="1420">
        <v>47874.74</v>
      </c>
      <c r="DO123" s="1420">
        <v>255898.55</v>
      </c>
      <c r="DP123" s="1420">
        <v>248484.18</v>
      </c>
      <c r="DQ123" s="1420">
        <v>208572.85</v>
      </c>
      <c r="DR123" s="1420">
        <v>122117.31</v>
      </c>
      <c r="DS123" s="1420">
        <v>4881.1400000000003</v>
      </c>
      <c r="DT123" s="1422">
        <v>4844</v>
      </c>
      <c r="DU123" s="1420">
        <v>697421.5</v>
      </c>
      <c r="DV123" s="1420">
        <v>598541.44999999995</v>
      </c>
      <c r="DW123" s="1420">
        <v>68214.789999999994</v>
      </c>
      <c r="DX123" s="1420">
        <v>75219.78</v>
      </c>
      <c r="DY123" s="1420">
        <v>279918.21000000002</v>
      </c>
      <c r="DZ123" s="1420">
        <v>184705.69</v>
      </c>
      <c r="EA123" s="1420">
        <v>137658.9</v>
      </c>
      <c r="EB123" s="1420">
        <v>146402.59</v>
      </c>
      <c r="EC123" s="1420">
        <v>485791.9</v>
      </c>
      <c r="ED123" s="1420">
        <v>406328.06</v>
      </c>
      <c r="EE123" s="1420">
        <v>248405.44</v>
      </c>
      <c r="EF123" s="1420">
        <v>242086.02</v>
      </c>
      <c r="EG123" s="1422">
        <v>0</v>
      </c>
      <c r="EH123" s="1422">
        <v>0</v>
      </c>
      <c r="EI123" s="1422">
        <v>0</v>
      </c>
      <c r="EJ123" s="1422">
        <v>0</v>
      </c>
      <c r="EK123" s="1422">
        <v>0</v>
      </c>
      <c r="EL123" s="1422">
        <v>0</v>
      </c>
      <c r="EM123" s="1420">
        <v>248405.44</v>
      </c>
      <c r="EN123" s="1420">
        <v>242086.02</v>
      </c>
      <c r="EO123" s="1420">
        <v>394382.86</v>
      </c>
      <c r="EP123" s="1420">
        <v>2214429.75</v>
      </c>
      <c r="EQ123" s="1420">
        <v>59830.99</v>
      </c>
      <c r="ER123" s="1420">
        <v>36427.46</v>
      </c>
      <c r="ES123" s="1422">
        <v>36172</v>
      </c>
      <c r="ET123" s="1422">
        <v>0</v>
      </c>
      <c r="EU123" s="1420">
        <v>4087323.3</v>
      </c>
      <c r="EV123" s="1420">
        <v>5531789.21</v>
      </c>
      <c r="EW123" s="1420">
        <v>503724.22</v>
      </c>
      <c r="EX123" s="1420">
        <v>2247929.75</v>
      </c>
      <c r="EY123" s="1420">
        <v>59830.99</v>
      </c>
      <c r="EZ123" s="1420">
        <v>36427.46</v>
      </c>
      <c r="FA123" s="1420">
        <v>3523768.09</v>
      </c>
      <c r="FB123" s="1422">
        <v>3247432</v>
      </c>
      <c r="FC123" s="1420">
        <v>219095.37</v>
      </c>
      <c r="FD123" s="1439"/>
      <c r="FE123" s="1420">
        <v>3304672.72</v>
      </c>
      <c r="FF123" s="1439"/>
      <c r="FG123" s="1422">
        <v>9214</v>
      </c>
      <c r="FH123" s="1439"/>
      <c r="FI123" s="1420">
        <v>21.9</v>
      </c>
      <c r="FJ123" s="1439"/>
      <c r="FK123" s="1422">
        <v>59649</v>
      </c>
      <c r="FL123" s="1439"/>
      <c r="FM123" s="1420">
        <v>24.2</v>
      </c>
      <c r="FN123" s="1439"/>
      <c r="FO123" s="1422">
        <v>61271</v>
      </c>
      <c r="FP123" s="1439"/>
      <c r="FQ123" s="1420">
        <v>3643649.97</v>
      </c>
      <c r="FR123" s="1439"/>
      <c r="FS123" s="1420">
        <v>114412.56</v>
      </c>
      <c r="FT123" s="1439"/>
      <c r="FU123" s="1422">
        <v>0</v>
      </c>
      <c r="FV123" s="1439"/>
      <c r="FW123" s="1420">
        <v>3529237.41</v>
      </c>
      <c r="FX123" s="1439"/>
      <c r="FY123" s="1420">
        <v>850878.75</v>
      </c>
      <c r="FZ123" s="1439"/>
      <c r="GA123" s="1422">
        <v>0</v>
      </c>
      <c r="GB123" s="1439"/>
    </row>
    <row r="124" spans="1:184" ht="12.75" customHeight="1" thickBot="1">
      <c r="A124" s="1418" t="s">
        <v>472</v>
      </c>
      <c r="B124" s="1418" t="s">
        <v>473</v>
      </c>
      <c r="C124" s="1420">
        <v>388.65</v>
      </c>
      <c r="D124" s="1439"/>
      <c r="E124" s="1420">
        <v>701.77</v>
      </c>
      <c r="F124" s="1439"/>
      <c r="G124" s="1421">
        <v>-0.2</v>
      </c>
      <c r="H124" s="1439"/>
      <c r="I124" s="1420">
        <v>747.26</v>
      </c>
      <c r="J124" s="1439"/>
      <c r="K124" s="1420">
        <v>792.85</v>
      </c>
      <c r="L124" s="1439"/>
      <c r="M124" s="1422">
        <v>66377341</v>
      </c>
      <c r="N124" s="1439"/>
      <c r="O124" s="1420">
        <v>26.7</v>
      </c>
      <c r="P124" s="1439"/>
      <c r="Q124" s="1422">
        <v>25</v>
      </c>
      <c r="R124" s="1439"/>
      <c r="S124" s="1420">
        <v>1.7</v>
      </c>
      <c r="T124" s="1439"/>
      <c r="U124" s="1422">
        <v>0</v>
      </c>
      <c r="V124" s="1439"/>
      <c r="W124" s="1420">
        <v>6.1</v>
      </c>
      <c r="X124" s="1439"/>
      <c r="Y124" s="1420">
        <v>32.799999999999997</v>
      </c>
      <c r="Z124" s="1439"/>
      <c r="AA124" s="1422">
        <v>3460200</v>
      </c>
      <c r="AB124" s="1439"/>
      <c r="AC124" s="1420">
        <v>2009352.08</v>
      </c>
      <c r="AD124" s="1422">
        <v>1991000</v>
      </c>
      <c r="AE124" s="1420">
        <v>340527.68</v>
      </c>
      <c r="AF124" s="1422">
        <v>117975</v>
      </c>
      <c r="AG124" s="1420">
        <v>156931.03</v>
      </c>
      <c r="AH124" s="1422">
        <v>135000</v>
      </c>
      <c r="AI124" s="1422">
        <v>3040017</v>
      </c>
      <c r="AJ124" s="1422">
        <v>2873134</v>
      </c>
      <c r="AK124" s="1422">
        <v>100233</v>
      </c>
      <c r="AL124" s="1422">
        <v>82000</v>
      </c>
      <c r="AM124" s="1422">
        <v>0</v>
      </c>
      <c r="AN124" s="1422">
        <v>0</v>
      </c>
      <c r="AO124" s="1422">
        <v>0</v>
      </c>
      <c r="AP124" s="1422">
        <v>128317</v>
      </c>
      <c r="AQ124" s="1422">
        <v>0</v>
      </c>
      <c r="AR124" s="1422">
        <v>0</v>
      </c>
      <c r="AS124" s="1422">
        <v>0</v>
      </c>
      <c r="AT124" s="1422">
        <v>0</v>
      </c>
      <c r="AU124" s="1422">
        <v>0</v>
      </c>
      <c r="AV124" s="1422">
        <v>0</v>
      </c>
      <c r="AW124" s="1422">
        <v>0</v>
      </c>
      <c r="AX124" s="1422">
        <v>0</v>
      </c>
      <c r="AY124" s="1420">
        <v>5647060.79</v>
      </c>
      <c r="AZ124" s="1422">
        <v>5327426</v>
      </c>
      <c r="BA124" s="1422">
        <v>0</v>
      </c>
      <c r="BB124" s="1422">
        <v>0</v>
      </c>
      <c r="BC124" s="1422">
        <v>32792</v>
      </c>
      <c r="BD124" s="1422">
        <v>31831</v>
      </c>
      <c r="BE124" s="1420">
        <v>175641.4</v>
      </c>
      <c r="BF124" s="1422">
        <v>9200</v>
      </c>
      <c r="BG124" s="1422">
        <v>0</v>
      </c>
      <c r="BH124" s="1422">
        <v>0</v>
      </c>
      <c r="BI124" s="1422">
        <v>30635</v>
      </c>
      <c r="BJ124" s="1422">
        <v>23000</v>
      </c>
      <c r="BK124" s="1422">
        <v>0</v>
      </c>
      <c r="BL124" s="1422">
        <v>0</v>
      </c>
      <c r="BM124" s="1422">
        <v>649760</v>
      </c>
      <c r="BN124" s="1422">
        <v>649704</v>
      </c>
      <c r="BO124" s="1420">
        <v>27384.639999999999</v>
      </c>
      <c r="BP124" s="1422">
        <v>0</v>
      </c>
      <c r="BQ124" s="1422">
        <v>0</v>
      </c>
      <c r="BR124" s="1422">
        <v>0</v>
      </c>
      <c r="BS124" s="1420">
        <v>3033.58</v>
      </c>
      <c r="BT124" s="1422">
        <v>3000</v>
      </c>
      <c r="BU124" s="1422">
        <v>0</v>
      </c>
      <c r="BV124" s="1422">
        <v>0</v>
      </c>
      <c r="BW124" s="1422">
        <v>0</v>
      </c>
      <c r="BX124" s="1422">
        <v>0</v>
      </c>
      <c r="BY124" s="1422">
        <v>0</v>
      </c>
      <c r="BZ124" s="1422">
        <v>0</v>
      </c>
      <c r="CA124" s="1422">
        <v>28665</v>
      </c>
      <c r="CB124" s="1420">
        <v>367711.86</v>
      </c>
      <c r="CC124" s="1420">
        <v>947911.62</v>
      </c>
      <c r="CD124" s="1420">
        <v>1084446.8600000001</v>
      </c>
      <c r="CE124" s="1420">
        <v>2183420.73</v>
      </c>
      <c r="CF124" s="1420">
        <v>1469394.06</v>
      </c>
      <c r="CG124" s="1420">
        <v>2295875.69</v>
      </c>
      <c r="CH124" s="1422">
        <v>0</v>
      </c>
      <c r="CI124" s="1422">
        <v>0</v>
      </c>
      <c r="CJ124" s="1422">
        <v>0</v>
      </c>
      <c r="CK124" s="1420">
        <v>32363.47</v>
      </c>
      <c r="CL124" s="1422">
        <v>10000</v>
      </c>
      <c r="CM124" s="1422">
        <v>4386</v>
      </c>
      <c r="CN124" s="1422">
        <v>0</v>
      </c>
      <c r="CO124" s="1422">
        <v>0</v>
      </c>
      <c r="CP124" s="1422">
        <v>0</v>
      </c>
      <c r="CQ124" s="1422">
        <v>0</v>
      </c>
      <c r="CR124" s="1422">
        <v>25000</v>
      </c>
      <c r="CS124" s="1420">
        <v>2332625.16</v>
      </c>
      <c r="CT124" s="1422">
        <v>35000</v>
      </c>
      <c r="CU124" s="1420">
        <v>11111018.300000001</v>
      </c>
      <c r="CV124" s="1420">
        <v>7916266.9199999999</v>
      </c>
      <c r="CW124" s="1420">
        <v>2808930.24</v>
      </c>
      <c r="CX124" s="1420">
        <v>2586383.94</v>
      </c>
      <c r="CY124" s="1420">
        <v>498850.01</v>
      </c>
      <c r="CZ124" s="1420">
        <v>489224.5</v>
      </c>
      <c r="DA124" s="1420">
        <v>316268.11</v>
      </c>
      <c r="DB124" s="1420">
        <v>308021.78999999998</v>
      </c>
      <c r="DC124" s="1422">
        <v>0</v>
      </c>
      <c r="DD124" s="1422">
        <v>0</v>
      </c>
      <c r="DE124" s="1420">
        <v>328331.52000000002</v>
      </c>
      <c r="DF124" s="1420">
        <v>348823.46</v>
      </c>
      <c r="DG124" s="1420">
        <v>195787.39</v>
      </c>
      <c r="DH124" s="1420">
        <v>164419.45000000001</v>
      </c>
      <c r="DI124" s="1420">
        <v>4148167.27</v>
      </c>
      <c r="DJ124" s="1420">
        <v>3896873.14</v>
      </c>
      <c r="DK124" s="1422">
        <v>274647</v>
      </c>
      <c r="DL124" s="1420">
        <v>243179.05</v>
      </c>
      <c r="DM124" s="1420">
        <v>266962.98</v>
      </c>
      <c r="DN124" s="1420">
        <v>267645.01</v>
      </c>
      <c r="DO124" s="1420">
        <v>913100.47</v>
      </c>
      <c r="DP124" s="1420">
        <v>1962784.52</v>
      </c>
      <c r="DQ124" s="1420">
        <v>311173.53999999998</v>
      </c>
      <c r="DR124" s="1420">
        <v>421402.44</v>
      </c>
      <c r="DS124" s="1420">
        <v>59463.02</v>
      </c>
      <c r="DT124" s="1422">
        <v>37299</v>
      </c>
      <c r="DU124" s="1420">
        <v>1825347.01</v>
      </c>
      <c r="DV124" s="1420">
        <v>2932310.02</v>
      </c>
      <c r="DW124" s="1420">
        <v>389795.98</v>
      </c>
      <c r="DX124" s="1420">
        <v>364651.71</v>
      </c>
      <c r="DY124" s="1420">
        <v>999452.82</v>
      </c>
      <c r="DZ124" s="1420">
        <v>743591.2</v>
      </c>
      <c r="EA124" s="1420">
        <v>280912.92</v>
      </c>
      <c r="EB124" s="1420">
        <v>377646.35</v>
      </c>
      <c r="EC124" s="1420">
        <v>1670161.72</v>
      </c>
      <c r="ED124" s="1420">
        <v>1485889.26</v>
      </c>
      <c r="EE124" s="1420">
        <v>461393.37</v>
      </c>
      <c r="EF124" s="1420">
        <v>456763.77</v>
      </c>
      <c r="EG124" s="1420">
        <v>49164.97</v>
      </c>
      <c r="EH124" s="1422">
        <v>0</v>
      </c>
      <c r="EI124" s="1420">
        <v>6296.97</v>
      </c>
      <c r="EJ124" s="1420">
        <v>17117.96</v>
      </c>
      <c r="EK124" s="1422">
        <v>0</v>
      </c>
      <c r="EL124" s="1422">
        <v>0</v>
      </c>
      <c r="EM124" s="1420">
        <v>516855.31</v>
      </c>
      <c r="EN124" s="1420">
        <v>473881.73</v>
      </c>
      <c r="EO124" s="1420">
        <v>292499.8</v>
      </c>
      <c r="EP124" s="1420">
        <v>1187593.22</v>
      </c>
      <c r="EQ124" s="1420">
        <v>207767.93</v>
      </c>
      <c r="ER124" s="1420">
        <v>208233.11</v>
      </c>
      <c r="ES124" s="1420">
        <v>4768.38</v>
      </c>
      <c r="ET124" s="1422">
        <v>0</v>
      </c>
      <c r="EU124" s="1420">
        <v>8665567.4199999999</v>
      </c>
      <c r="EV124" s="1420">
        <v>10184780.48</v>
      </c>
      <c r="EW124" s="1420">
        <v>404598.64</v>
      </c>
      <c r="EX124" s="1420">
        <v>1296318.22</v>
      </c>
      <c r="EY124" s="1420">
        <v>207767.93</v>
      </c>
      <c r="EZ124" s="1420">
        <v>208233.11</v>
      </c>
      <c r="FA124" s="1420">
        <v>8053200.8499999996</v>
      </c>
      <c r="FB124" s="1420">
        <v>8680229.1500000004</v>
      </c>
      <c r="FC124" s="1420">
        <v>296110.43</v>
      </c>
      <c r="FD124" s="1439"/>
      <c r="FE124" s="1420">
        <v>7757090.4199999999</v>
      </c>
      <c r="FF124" s="1439"/>
      <c r="FG124" s="1422">
        <v>11053</v>
      </c>
      <c r="FH124" s="1439"/>
      <c r="FI124" s="1420">
        <v>61.86</v>
      </c>
      <c r="FJ124" s="1439"/>
      <c r="FK124" s="1422">
        <v>40404</v>
      </c>
      <c r="FL124" s="1439"/>
      <c r="FM124" s="1420">
        <v>70.790000000000006</v>
      </c>
      <c r="FN124" s="1439"/>
      <c r="FO124" s="1422">
        <v>42795</v>
      </c>
      <c r="FP124" s="1439"/>
      <c r="FQ124" s="1420">
        <v>2429041.91</v>
      </c>
      <c r="FR124" s="1439"/>
      <c r="FS124" s="1420">
        <v>231097.62</v>
      </c>
      <c r="FT124" s="1439"/>
      <c r="FU124" s="1422">
        <v>0</v>
      </c>
      <c r="FV124" s="1439"/>
      <c r="FW124" s="1420">
        <v>2197944.29</v>
      </c>
      <c r="FX124" s="1439"/>
      <c r="FY124" s="1420">
        <v>3397833.24</v>
      </c>
      <c r="FZ124" s="1439"/>
      <c r="GA124" s="1422">
        <v>0</v>
      </c>
      <c r="GB124" s="1439"/>
    </row>
    <row r="125" spans="1:184" ht="12.75" customHeight="1" thickBot="1">
      <c r="A125" s="1418" t="s">
        <v>474</v>
      </c>
      <c r="B125" s="1418" t="s">
        <v>475</v>
      </c>
      <c r="C125" s="1420">
        <v>125.2</v>
      </c>
      <c r="D125" s="1439"/>
      <c r="E125" s="1420">
        <v>900.29</v>
      </c>
      <c r="F125" s="1439"/>
      <c r="G125" s="1421">
        <v>0.01</v>
      </c>
      <c r="H125" s="1439"/>
      <c r="I125" s="1420">
        <v>945.68</v>
      </c>
      <c r="J125" s="1439"/>
      <c r="K125" s="1420">
        <v>995.46</v>
      </c>
      <c r="L125" s="1439"/>
      <c r="M125" s="1422">
        <v>38032915</v>
      </c>
      <c r="N125" s="1439"/>
      <c r="O125" s="1422">
        <v>25</v>
      </c>
      <c r="P125" s="1439"/>
      <c r="Q125" s="1422">
        <v>25</v>
      </c>
      <c r="R125" s="1439"/>
      <c r="S125" s="1422">
        <v>0</v>
      </c>
      <c r="T125" s="1439"/>
      <c r="U125" s="1422">
        <v>0</v>
      </c>
      <c r="V125" s="1439"/>
      <c r="W125" s="1422">
        <v>9</v>
      </c>
      <c r="X125" s="1439"/>
      <c r="Y125" s="1422">
        <v>34</v>
      </c>
      <c r="Z125" s="1439"/>
      <c r="AA125" s="1422">
        <v>5339625</v>
      </c>
      <c r="AB125" s="1439"/>
      <c r="AC125" s="1420">
        <v>1109401.06</v>
      </c>
      <c r="AD125" s="1422">
        <v>1135000</v>
      </c>
      <c r="AE125" s="1420">
        <v>532815.51</v>
      </c>
      <c r="AF125" s="1422">
        <v>165500</v>
      </c>
      <c r="AG125" s="1420">
        <v>1769.86</v>
      </c>
      <c r="AH125" s="1422">
        <v>3000</v>
      </c>
      <c r="AI125" s="1422">
        <v>5113276</v>
      </c>
      <c r="AJ125" s="1422">
        <v>4895501</v>
      </c>
      <c r="AK125" s="1422">
        <v>75260</v>
      </c>
      <c r="AL125" s="1422">
        <v>0</v>
      </c>
      <c r="AM125" s="1422">
        <v>0</v>
      </c>
      <c r="AN125" s="1422">
        <v>0</v>
      </c>
      <c r="AO125" s="1422">
        <v>0</v>
      </c>
      <c r="AP125" s="1422">
        <v>142418</v>
      </c>
      <c r="AQ125" s="1422">
        <v>0</v>
      </c>
      <c r="AR125" s="1422">
        <v>0</v>
      </c>
      <c r="AS125" s="1422">
        <v>0</v>
      </c>
      <c r="AT125" s="1422">
        <v>0</v>
      </c>
      <c r="AU125" s="1422">
        <v>64479</v>
      </c>
      <c r="AV125" s="1422">
        <v>51583</v>
      </c>
      <c r="AW125" s="1422">
        <v>0</v>
      </c>
      <c r="AX125" s="1422">
        <v>0</v>
      </c>
      <c r="AY125" s="1420">
        <v>6897001.4299999997</v>
      </c>
      <c r="AZ125" s="1422">
        <v>6393002</v>
      </c>
      <c r="BA125" s="1422">
        <v>0</v>
      </c>
      <c r="BB125" s="1422">
        <v>0</v>
      </c>
      <c r="BC125" s="1422">
        <v>41172</v>
      </c>
      <c r="BD125" s="1422">
        <v>40223</v>
      </c>
      <c r="BE125" s="1420">
        <v>6786.71</v>
      </c>
      <c r="BF125" s="1422">
        <v>9000</v>
      </c>
      <c r="BG125" s="1422">
        <v>100</v>
      </c>
      <c r="BH125" s="1422">
        <v>0</v>
      </c>
      <c r="BI125" s="1422">
        <v>44856</v>
      </c>
      <c r="BJ125" s="1422">
        <v>45968</v>
      </c>
      <c r="BK125" s="1422">
        <v>0</v>
      </c>
      <c r="BL125" s="1422">
        <v>0</v>
      </c>
      <c r="BM125" s="1422">
        <v>735072</v>
      </c>
      <c r="BN125" s="1422">
        <v>715484</v>
      </c>
      <c r="BO125" s="1420">
        <v>7873.82</v>
      </c>
      <c r="BP125" s="1422">
        <v>0</v>
      </c>
      <c r="BQ125" s="1422">
        <v>6500</v>
      </c>
      <c r="BR125" s="1422">
        <v>0</v>
      </c>
      <c r="BS125" s="1420">
        <v>4185.8</v>
      </c>
      <c r="BT125" s="1422">
        <v>8000</v>
      </c>
      <c r="BU125" s="1422">
        <v>0</v>
      </c>
      <c r="BV125" s="1422">
        <v>0</v>
      </c>
      <c r="BW125" s="1422">
        <v>243000</v>
      </c>
      <c r="BX125" s="1422">
        <v>243000</v>
      </c>
      <c r="BY125" s="1422">
        <v>0</v>
      </c>
      <c r="BZ125" s="1422">
        <v>0</v>
      </c>
      <c r="CA125" s="1422">
        <v>55051</v>
      </c>
      <c r="CB125" s="1422">
        <v>896812</v>
      </c>
      <c r="CC125" s="1420">
        <v>1144597.33</v>
      </c>
      <c r="CD125" s="1422">
        <v>1958487</v>
      </c>
      <c r="CE125" s="1420">
        <v>1589484.24</v>
      </c>
      <c r="CF125" s="1420">
        <v>1297059.3600000001</v>
      </c>
      <c r="CG125" s="1420">
        <v>3682506.61</v>
      </c>
      <c r="CH125" s="1422">
        <v>0</v>
      </c>
      <c r="CI125" s="1422">
        <v>0</v>
      </c>
      <c r="CJ125" s="1422">
        <v>0</v>
      </c>
      <c r="CK125" s="1420">
        <v>3192.45</v>
      </c>
      <c r="CL125" s="1422">
        <v>0</v>
      </c>
      <c r="CM125" s="1422">
        <v>0</v>
      </c>
      <c r="CN125" s="1422">
        <v>0</v>
      </c>
      <c r="CO125" s="1422">
        <v>0</v>
      </c>
      <c r="CP125" s="1422">
        <v>3000</v>
      </c>
      <c r="CQ125" s="1422">
        <v>0</v>
      </c>
      <c r="CR125" s="1422">
        <v>0</v>
      </c>
      <c r="CS125" s="1420">
        <v>3685699.06</v>
      </c>
      <c r="CT125" s="1422">
        <v>3000</v>
      </c>
      <c r="CU125" s="1420">
        <v>13316782.060000001</v>
      </c>
      <c r="CV125" s="1420">
        <v>9651548.3599999994</v>
      </c>
      <c r="CW125" s="1420">
        <v>3550549.46</v>
      </c>
      <c r="CX125" s="1420">
        <v>3573762.28</v>
      </c>
      <c r="CY125" s="1420">
        <v>553171.22</v>
      </c>
      <c r="CZ125" s="1420">
        <v>540238.66</v>
      </c>
      <c r="DA125" s="1420">
        <v>424743.79</v>
      </c>
      <c r="DB125" s="1422">
        <v>403450</v>
      </c>
      <c r="DC125" s="1422">
        <v>0</v>
      </c>
      <c r="DD125" s="1422">
        <v>0</v>
      </c>
      <c r="DE125" s="1420">
        <v>617631.56999999995</v>
      </c>
      <c r="DF125" s="1420">
        <v>597768.5</v>
      </c>
      <c r="DG125" s="1420">
        <v>364277.7</v>
      </c>
      <c r="DH125" s="1422">
        <v>474630</v>
      </c>
      <c r="DI125" s="1420">
        <v>5510373.7400000002</v>
      </c>
      <c r="DJ125" s="1420">
        <v>5589849.4400000004</v>
      </c>
      <c r="DK125" s="1420">
        <v>226757.75</v>
      </c>
      <c r="DL125" s="1422">
        <v>260514</v>
      </c>
      <c r="DM125" s="1420">
        <v>75756.63</v>
      </c>
      <c r="DN125" s="1422">
        <v>85010</v>
      </c>
      <c r="DO125" s="1420">
        <v>875533.47</v>
      </c>
      <c r="DP125" s="1422">
        <v>941000</v>
      </c>
      <c r="DQ125" s="1420">
        <v>337915.3</v>
      </c>
      <c r="DR125" s="1422">
        <v>446590</v>
      </c>
      <c r="DS125" s="1420">
        <v>37067.730000000003</v>
      </c>
      <c r="DT125" s="1422">
        <v>23000</v>
      </c>
      <c r="DU125" s="1420">
        <v>1553030.88</v>
      </c>
      <c r="DV125" s="1422">
        <v>1756114</v>
      </c>
      <c r="DW125" s="1420">
        <v>298191.8</v>
      </c>
      <c r="DX125" s="1422">
        <v>289235</v>
      </c>
      <c r="DY125" s="1420">
        <v>651922.88</v>
      </c>
      <c r="DZ125" s="1420">
        <v>712625.61</v>
      </c>
      <c r="EA125" s="1420">
        <v>376919.96</v>
      </c>
      <c r="EB125" s="1420">
        <v>375684.2</v>
      </c>
      <c r="EC125" s="1420">
        <v>1327034.6399999999</v>
      </c>
      <c r="ED125" s="1420">
        <v>1377544.81</v>
      </c>
      <c r="EE125" s="1420">
        <v>576486.23</v>
      </c>
      <c r="EF125" s="1422">
        <v>582472</v>
      </c>
      <c r="EG125" s="1420">
        <v>70122.12</v>
      </c>
      <c r="EH125" s="1422">
        <v>0</v>
      </c>
      <c r="EI125" s="1420">
        <v>1160.8499999999999</v>
      </c>
      <c r="EJ125" s="1422">
        <v>1500</v>
      </c>
      <c r="EK125" s="1422">
        <v>0</v>
      </c>
      <c r="EL125" s="1422">
        <v>0</v>
      </c>
      <c r="EM125" s="1420">
        <v>647769.19999999995</v>
      </c>
      <c r="EN125" s="1422">
        <v>583972</v>
      </c>
      <c r="EO125" s="1420">
        <v>183292.14</v>
      </c>
      <c r="EP125" s="1422">
        <v>3713000</v>
      </c>
      <c r="EQ125" s="1420">
        <v>1486227.45</v>
      </c>
      <c r="ER125" s="1422">
        <v>327809</v>
      </c>
      <c r="ES125" s="1422">
        <v>0</v>
      </c>
      <c r="ET125" s="1422">
        <v>0</v>
      </c>
      <c r="EU125" s="1420">
        <v>10707728.050000001</v>
      </c>
      <c r="EV125" s="1420">
        <v>13348289.25</v>
      </c>
      <c r="EW125" s="1420">
        <v>319113.46000000002</v>
      </c>
      <c r="EX125" s="1422">
        <v>3876310</v>
      </c>
      <c r="EY125" s="1420">
        <v>1486227.45</v>
      </c>
      <c r="EZ125" s="1422">
        <v>327809</v>
      </c>
      <c r="FA125" s="1420">
        <v>8902387.1400000006</v>
      </c>
      <c r="FB125" s="1420">
        <v>9144170.25</v>
      </c>
      <c r="FC125" s="1420">
        <v>613756.17000000004</v>
      </c>
      <c r="FD125" s="1439"/>
      <c r="FE125" s="1420">
        <v>8288630.9699999997</v>
      </c>
      <c r="FF125" s="1439"/>
      <c r="FG125" s="1422">
        <v>9206</v>
      </c>
      <c r="FH125" s="1439"/>
      <c r="FI125" s="1420">
        <v>79.89</v>
      </c>
      <c r="FJ125" s="1439"/>
      <c r="FK125" s="1422">
        <v>37221</v>
      </c>
      <c r="FL125" s="1439"/>
      <c r="FM125" s="1420">
        <v>87.13</v>
      </c>
      <c r="FN125" s="1439"/>
      <c r="FO125" s="1422">
        <v>39264</v>
      </c>
      <c r="FP125" s="1439"/>
      <c r="FQ125" s="1420">
        <v>3956877.42</v>
      </c>
      <c r="FR125" s="1439"/>
      <c r="FS125" s="1420">
        <v>55970.31</v>
      </c>
      <c r="FT125" s="1439"/>
      <c r="FU125" s="1420">
        <v>166812.07999999999</v>
      </c>
      <c r="FV125" s="1439"/>
      <c r="FW125" s="1420">
        <v>3734095.03</v>
      </c>
      <c r="FX125" s="1439"/>
      <c r="FY125" s="1420">
        <v>3593254.05</v>
      </c>
      <c r="FZ125" s="1439"/>
      <c r="GA125" s="1422">
        <v>0</v>
      </c>
      <c r="GB125" s="1439"/>
    </row>
    <row r="126" spans="1:184" ht="12.75" customHeight="1" thickBot="1">
      <c r="A126" s="1418" t="s">
        <v>476</v>
      </c>
      <c r="B126" s="1418" t="s">
        <v>477</v>
      </c>
      <c r="C126" s="1420">
        <v>205.73</v>
      </c>
      <c r="D126" s="1439"/>
      <c r="E126" s="1420">
        <v>611.33000000000004</v>
      </c>
      <c r="F126" s="1439"/>
      <c r="G126" s="1421">
        <v>0.1</v>
      </c>
      <c r="H126" s="1439"/>
      <c r="I126" s="1420">
        <v>652.75</v>
      </c>
      <c r="J126" s="1439"/>
      <c r="K126" s="1420">
        <v>507.04</v>
      </c>
      <c r="L126" s="1439"/>
      <c r="M126" s="1422">
        <v>33858081</v>
      </c>
      <c r="N126" s="1439"/>
      <c r="O126" s="1422">
        <v>25</v>
      </c>
      <c r="P126" s="1439"/>
      <c r="Q126" s="1422">
        <v>25</v>
      </c>
      <c r="R126" s="1439"/>
      <c r="S126" s="1422">
        <v>0</v>
      </c>
      <c r="T126" s="1439"/>
      <c r="U126" s="1422">
        <v>0</v>
      </c>
      <c r="V126" s="1439"/>
      <c r="W126" s="1420">
        <v>11.93</v>
      </c>
      <c r="X126" s="1439"/>
      <c r="Y126" s="1420">
        <v>36.93</v>
      </c>
      <c r="Z126" s="1439"/>
      <c r="AA126" s="1422">
        <v>1860000</v>
      </c>
      <c r="AB126" s="1439"/>
      <c r="AC126" s="1420">
        <v>916459.85</v>
      </c>
      <c r="AD126" s="1422">
        <v>1264964</v>
      </c>
      <c r="AE126" s="1420">
        <v>276099.11</v>
      </c>
      <c r="AF126" s="1422">
        <v>213763</v>
      </c>
      <c r="AG126" s="1420">
        <v>871.48</v>
      </c>
      <c r="AH126" s="1422">
        <v>5500</v>
      </c>
      <c r="AI126" s="1422">
        <v>3590969</v>
      </c>
      <c r="AJ126" s="1422">
        <v>3194859</v>
      </c>
      <c r="AK126" s="1422">
        <v>42766</v>
      </c>
      <c r="AL126" s="1422">
        <v>37511</v>
      </c>
      <c r="AM126" s="1422">
        <v>0</v>
      </c>
      <c r="AN126" s="1422">
        <v>0</v>
      </c>
      <c r="AO126" s="1422">
        <v>95678</v>
      </c>
      <c r="AP126" s="1422">
        <v>109201</v>
      </c>
      <c r="AQ126" s="1422">
        <v>1031642</v>
      </c>
      <c r="AR126" s="1422">
        <v>515821</v>
      </c>
      <c r="AS126" s="1422">
        <v>84652</v>
      </c>
      <c r="AT126" s="1422">
        <v>0</v>
      </c>
      <c r="AU126" s="1422">
        <v>32464</v>
      </c>
      <c r="AV126" s="1422">
        <v>25971</v>
      </c>
      <c r="AW126" s="1422">
        <v>0</v>
      </c>
      <c r="AX126" s="1422">
        <v>0</v>
      </c>
      <c r="AY126" s="1420">
        <v>6071601.4400000004</v>
      </c>
      <c r="AZ126" s="1422">
        <v>5367590</v>
      </c>
      <c r="BA126" s="1422">
        <v>0</v>
      </c>
      <c r="BB126" s="1422">
        <v>0</v>
      </c>
      <c r="BC126" s="1422">
        <v>28581</v>
      </c>
      <c r="BD126" s="1420">
        <v>40148.47</v>
      </c>
      <c r="BE126" s="1420">
        <v>3343.13</v>
      </c>
      <c r="BF126" s="1422">
        <v>5100</v>
      </c>
      <c r="BG126" s="1422">
        <v>150</v>
      </c>
      <c r="BH126" s="1422">
        <v>150</v>
      </c>
      <c r="BI126" s="1422">
        <v>33461</v>
      </c>
      <c r="BJ126" s="1420">
        <v>49677.38</v>
      </c>
      <c r="BK126" s="1422">
        <v>0</v>
      </c>
      <c r="BL126" s="1422">
        <v>0</v>
      </c>
      <c r="BM126" s="1422">
        <v>235253</v>
      </c>
      <c r="BN126" s="1420">
        <v>348194.82</v>
      </c>
      <c r="BO126" s="1420">
        <v>2077.16</v>
      </c>
      <c r="BP126" s="1422">
        <v>0</v>
      </c>
      <c r="BQ126" s="1422">
        <v>0</v>
      </c>
      <c r="BR126" s="1422">
        <v>0</v>
      </c>
      <c r="BS126" s="1422">
        <v>0</v>
      </c>
      <c r="BT126" s="1422">
        <v>0</v>
      </c>
      <c r="BU126" s="1422">
        <v>0</v>
      </c>
      <c r="BV126" s="1422">
        <v>0</v>
      </c>
      <c r="BW126" s="1422">
        <v>0</v>
      </c>
      <c r="BX126" s="1422">
        <v>0</v>
      </c>
      <c r="BY126" s="1422">
        <v>0</v>
      </c>
      <c r="BZ126" s="1422">
        <v>0</v>
      </c>
      <c r="CA126" s="1422">
        <v>56718</v>
      </c>
      <c r="CB126" s="1422">
        <v>1043825</v>
      </c>
      <c r="CC126" s="1420">
        <v>359583.29</v>
      </c>
      <c r="CD126" s="1420">
        <v>1487095.67</v>
      </c>
      <c r="CE126" s="1420">
        <v>1379286.27</v>
      </c>
      <c r="CF126" s="1420">
        <v>1786834.55</v>
      </c>
      <c r="CG126" s="1420">
        <v>5316.38</v>
      </c>
      <c r="CH126" s="1422">
        <v>0</v>
      </c>
      <c r="CI126" s="1422">
        <v>0</v>
      </c>
      <c r="CJ126" s="1422">
        <v>0</v>
      </c>
      <c r="CK126" s="1422">
        <v>0</v>
      </c>
      <c r="CL126" s="1422">
        <v>0</v>
      </c>
      <c r="CM126" s="1422">
        <v>0</v>
      </c>
      <c r="CN126" s="1422">
        <v>0</v>
      </c>
      <c r="CO126" s="1420">
        <v>87120.03</v>
      </c>
      <c r="CP126" s="1422">
        <v>0</v>
      </c>
      <c r="CQ126" s="1422">
        <v>0</v>
      </c>
      <c r="CR126" s="1422">
        <v>0</v>
      </c>
      <c r="CS126" s="1420">
        <v>92436.41</v>
      </c>
      <c r="CT126" s="1422">
        <v>0</v>
      </c>
      <c r="CU126" s="1420">
        <v>7902907.4100000001</v>
      </c>
      <c r="CV126" s="1420">
        <v>8641520.2200000007</v>
      </c>
      <c r="CW126" s="1420">
        <v>1987504.54</v>
      </c>
      <c r="CX126" s="1420">
        <v>2100114.6</v>
      </c>
      <c r="CY126" s="1420">
        <v>364797.78</v>
      </c>
      <c r="CZ126" s="1420">
        <v>493885.55</v>
      </c>
      <c r="DA126" s="1420">
        <v>268044.64</v>
      </c>
      <c r="DB126" s="1422">
        <v>279453</v>
      </c>
      <c r="DC126" s="1422">
        <v>0</v>
      </c>
      <c r="DD126" s="1422">
        <v>0</v>
      </c>
      <c r="DE126" s="1420">
        <v>362857.87</v>
      </c>
      <c r="DF126" s="1420">
        <v>573871.53</v>
      </c>
      <c r="DG126" s="1420">
        <v>107885.5</v>
      </c>
      <c r="DH126" s="1420">
        <v>237757.45</v>
      </c>
      <c r="DI126" s="1420">
        <v>3091090.33</v>
      </c>
      <c r="DJ126" s="1420">
        <v>3685082.13</v>
      </c>
      <c r="DK126" s="1420">
        <v>233463.44</v>
      </c>
      <c r="DL126" s="1422">
        <v>279782</v>
      </c>
      <c r="DM126" s="1420">
        <v>187121.5</v>
      </c>
      <c r="DN126" s="1422">
        <v>201664</v>
      </c>
      <c r="DO126" s="1420">
        <v>456694.2</v>
      </c>
      <c r="DP126" s="1422">
        <v>523961</v>
      </c>
      <c r="DQ126" s="1420">
        <v>418317.08</v>
      </c>
      <c r="DR126" s="1422">
        <v>484016</v>
      </c>
      <c r="DS126" s="1420">
        <v>3711.6</v>
      </c>
      <c r="DT126" s="1422">
        <v>18617</v>
      </c>
      <c r="DU126" s="1420">
        <v>1299307.82</v>
      </c>
      <c r="DV126" s="1422">
        <v>1508040</v>
      </c>
      <c r="DW126" s="1420">
        <v>194141.57</v>
      </c>
      <c r="DX126" s="1420">
        <v>267480.65000000002</v>
      </c>
      <c r="DY126" s="1420">
        <v>328198.37</v>
      </c>
      <c r="DZ126" s="1420">
        <v>822166.95</v>
      </c>
      <c r="EA126" s="1420">
        <v>234463.55</v>
      </c>
      <c r="EB126" s="1422">
        <v>247546</v>
      </c>
      <c r="EC126" s="1420">
        <v>756803.49</v>
      </c>
      <c r="ED126" s="1420">
        <v>1337193.6000000001</v>
      </c>
      <c r="EE126" s="1420">
        <v>340027.05</v>
      </c>
      <c r="EF126" s="1420">
        <v>342106.31</v>
      </c>
      <c r="EG126" s="1420">
        <v>18100.68</v>
      </c>
      <c r="EH126" s="1422">
        <v>22359</v>
      </c>
      <c r="EI126" s="1420">
        <v>851.73</v>
      </c>
      <c r="EJ126" s="1422">
        <v>4529</v>
      </c>
      <c r="EK126" s="1422">
        <v>0</v>
      </c>
      <c r="EL126" s="1422">
        <v>0</v>
      </c>
      <c r="EM126" s="1420">
        <v>358979.46</v>
      </c>
      <c r="EN126" s="1420">
        <v>368994.31</v>
      </c>
      <c r="EO126" s="1420">
        <v>445556.52</v>
      </c>
      <c r="EP126" s="1420">
        <v>2105349.37</v>
      </c>
      <c r="EQ126" s="1420">
        <v>61818.75</v>
      </c>
      <c r="ER126" s="1420">
        <v>122299.88</v>
      </c>
      <c r="ES126" s="1422">
        <v>0</v>
      </c>
      <c r="ET126" s="1422">
        <v>0</v>
      </c>
      <c r="EU126" s="1420">
        <v>6013556.3700000001</v>
      </c>
      <c r="EV126" s="1420">
        <v>9126959.2899999991</v>
      </c>
      <c r="EW126" s="1420">
        <v>701291.89</v>
      </c>
      <c r="EX126" s="1420">
        <v>2434336.98</v>
      </c>
      <c r="EY126" s="1420">
        <v>61818.75</v>
      </c>
      <c r="EZ126" s="1420">
        <v>122299.88</v>
      </c>
      <c r="FA126" s="1420">
        <v>5250445.7300000004</v>
      </c>
      <c r="FB126" s="1420">
        <v>6570322.4299999997</v>
      </c>
      <c r="FC126" s="1420">
        <v>160730.76</v>
      </c>
      <c r="FD126" s="1439"/>
      <c r="FE126" s="1420">
        <v>5089714.97</v>
      </c>
      <c r="FF126" s="1439"/>
      <c r="FG126" s="1422">
        <v>8325</v>
      </c>
      <c r="FH126" s="1439"/>
      <c r="FI126" s="1420">
        <v>47.5</v>
      </c>
      <c r="FJ126" s="1439"/>
      <c r="FK126" s="1422">
        <v>39855</v>
      </c>
      <c r="FL126" s="1439"/>
      <c r="FM126" s="1422">
        <v>52</v>
      </c>
      <c r="FN126" s="1439"/>
      <c r="FO126" s="1422">
        <v>42250</v>
      </c>
      <c r="FP126" s="1439"/>
      <c r="FQ126" s="1420">
        <v>4432851.6900000004</v>
      </c>
      <c r="FR126" s="1439"/>
      <c r="FS126" s="1420">
        <v>245853.45</v>
      </c>
      <c r="FT126" s="1439"/>
      <c r="FU126" s="1422">
        <v>0</v>
      </c>
      <c r="FV126" s="1439"/>
      <c r="FW126" s="1420">
        <v>4186998.24</v>
      </c>
      <c r="FX126" s="1439"/>
      <c r="FY126" s="1422">
        <v>0</v>
      </c>
      <c r="FZ126" s="1439"/>
      <c r="GA126" s="1420">
        <v>64211.64</v>
      </c>
      <c r="GB126" s="1439"/>
    </row>
    <row r="127" spans="1:184" ht="12.75" customHeight="1" thickBot="1">
      <c r="A127" s="1418" t="s">
        <v>478</v>
      </c>
      <c r="B127" s="1418" t="s">
        <v>479</v>
      </c>
      <c r="C127" s="1420">
        <v>295.91000000000003</v>
      </c>
      <c r="D127" s="1439"/>
      <c r="E127" s="1420">
        <v>390.49</v>
      </c>
      <c r="F127" s="1439"/>
      <c r="G127" s="1421">
        <v>-0.16</v>
      </c>
      <c r="H127" s="1439"/>
      <c r="I127" s="1420">
        <v>408.84</v>
      </c>
      <c r="J127" s="1439"/>
      <c r="K127" s="1420">
        <v>434.21</v>
      </c>
      <c r="L127" s="1439"/>
      <c r="M127" s="1422">
        <v>35524263</v>
      </c>
      <c r="N127" s="1439"/>
      <c r="O127" s="1422">
        <v>25</v>
      </c>
      <c r="P127" s="1439"/>
      <c r="Q127" s="1422">
        <v>25</v>
      </c>
      <c r="R127" s="1439"/>
      <c r="S127" s="1422">
        <v>0</v>
      </c>
      <c r="T127" s="1439"/>
      <c r="U127" s="1422">
        <v>0</v>
      </c>
      <c r="V127" s="1439"/>
      <c r="W127" s="1420">
        <v>10.9</v>
      </c>
      <c r="X127" s="1439"/>
      <c r="Y127" s="1420">
        <v>35.9</v>
      </c>
      <c r="Z127" s="1439"/>
      <c r="AA127" s="1422">
        <v>2250000</v>
      </c>
      <c r="AB127" s="1439"/>
      <c r="AC127" s="1420">
        <v>1153907.1200000001</v>
      </c>
      <c r="AD127" s="1422">
        <v>1156243</v>
      </c>
      <c r="AE127" s="1420">
        <v>214254.52</v>
      </c>
      <c r="AF127" s="1422">
        <v>134450</v>
      </c>
      <c r="AG127" s="1420">
        <v>772.03</v>
      </c>
      <c r="AH127" s="1422">
        <v>0</v>
      </c>
      <c r="AI127" s="1422">
        <v>1863319</v>
      </c>
      <c r="AJ127" s="1422">
        <v>1644820</v>
      </c>
      <c r="AK127" s="1422">
        <v>47723</v>
      </c>
      <c r="AL127" s="1422">
        <v>45000</v>
      </c>
      <c r="AM127" s="1422">
        <v>0</v>
      </c>
      <c r="AN127" s="1422">
        <v>0</v>
      </c>
      <c r="AO127" s="1422">
        <v>0</v>
      </c>
      <c r="AP127" s="1422">
        <v>0</v>
      </c>
      <c r="AQ127" s="1422">
        <v>54940</v>
      </c>
      <c r="AR127" s="1422">
        <v>0</v>
      </c>
      <c r="AS127" s="1422">
        <v>196706</v>
      </c>
      <c r="AT127" s="1422">
        <v>183386</v>
      </c>
      <c r="AU127" s="1422">
        <v>0</v>
      </c>
      <c r="AV127" s="1422">
        <v>0</v>
      </c>
      <c r="AW127" s="1422">
        <v>0</v>
      </c>
      <c r="AX127" s="1422">
        <v>0</v>
      </c>
      <c r="AY127" s="1420">
        <v>3531621.67</v>
      </c>
      <c r="AZ127" s="1422">
        <v>3163899</v>
      </c>
      <c r="BA127" s="1422">
        <v>0</v>
      </c>
      <c r="BB127" s="1422">
        <v>0</v>
      </c>
      <c r="BC127" s="1422">
        <v>18364</v>
      </c>
      <c r="BD127" s="1422">
        <v>17356</v>
      </c>
      <c r="BE127" s="1420">
        <v>151069.42000000001</v>
      </c>
      <c r="BF127" s="1422">
        <v>130491</v>
      </c>
      <c r="BG127" s="1422">
        <v>0</v>
      </c>
      <c r="BH127" s="1422">
        <v>0</v>
      </c>
      <c r="BI127" s="1422">
        <v>29379</v>
      </c>
      <c r="BJ127" s="1422">
        <v>33101</v>
      </c>
      <c r="BK127" s="1422">
        <v>0</v>
      </c>
      <c r="BL127" s="1422">
        <v>0</v>
      </c>
      <c r="BM127" s="1422">
        <v>306585</v>
      </c>
      <c r="BN127" s="1422">
        <v>236132</v>
      </c>
      <c r="BO127" s="1420">
        <v>88937.43</v>
      </c>
      <c r="BP127" s="1422">
        <v>80000</v>
      </c>
      <c r="BQ127" s="1420">
        <v>31087.32</v>
      </c>
      <c r="BR127" s="1422">
        <v>0</v>
      </c>
      <c r="BS127" s="1420">
        <v>6719.59</v>
      </c>
      <c r="BT127" s="1422">
        <v>6800</v>
      </c>
      <c r="BU127" s="1422">
        <v>0</v>
      </c>
      <c r="BV127" s="1422">
        <v>0</v>
      </c>
      <c r="BW127" s="1422">
        <v>0</v>
      </c>
      <c r="BX127" s="1422">
        <v>0</v>
      </c>
      <c r="BY127" s="1422">
        <v>0</v>
      </c>
      <c r="BZ127" s="1422">
        <v>0</v>
      </c>
      <c r="CA127" s="1422">
        <v>30795</v>
      </c>
      <c r="CB127" s="1422">
        <v>22845</v>
      </c>
      <c r="CC127" s="1420">
        <v>662936.76</v>
      </c>
      <c r="CD127" s="1422">
        <v>526725</v>
      </c>
      <c r="CE127" s="1420">
        <v>665678.71</v>
      </c>
      <c r="CF127" s="1422">
        <v>837151</v>
      </c>
      <c r="CG127" s="1420">
        <v>4366.01</v>
      </c>
      <c r="CH127" s="1422">
        <v>0</v>
      </c>
      <c r="CI127" s="1422">
        <v>0</v>
      </c>
      <c r="CJ127" s="1422">
        <v>0</v>
      </c>
      <c r="CK127" s="1422">
        <v>0</v>
      </c>
      <c r="CL127" s="1422">
        <v>0</v>
      </c>
      <c r="CM127" s="1422">
        <v>0</v>
      </c>
      <c r="CN127" s="1422">
        <v>0</v>
      </c>
      <c r="CO127" s="1420">
        <v>21781.65</v>
      </c>
      <c r="CP127" s="1422">
        <v>20000</v>
      </c>
      <c r="CQ127" s="1422">
        <v>0</v>
      </c>
      <c r="CR127" s="1422">
        <v>0</v>
      </c>
      <c r="CS127" s="1420">
        <v>26147.66</v>
      </c>
      <c r="CT127" s="1422">
        <v>20000</v>
      </c>
      <c r="CU127" s="1420">
        <v>4886384.8</v>
      </c>
      <c r="CV127" s="1422">
        <v>4547775</v>
      </c>
      <c r="CW127" s="1420">
        <v>1466831.36</v>
      </c>
      <c r="CX127" s="1420">
        <v>1360521.06</v>
      </c>
      <c r="CY127" s="1420">
        <v>310284.63</v>
      </c>
      <c r="CZ127" s="1422">
        <v>277310</v>
      </c>
      <c r="DA127" s="1420">
        <v>215275.35</v>
      </c>
      <c r="DB127" s="1420">
        <v>295356.11</v>
      </c>
      <c r="DC127" s="1422">
        <v>0</v>
      </c>
      <c r="DD127" s="1422">
        <v>0</v>
      </c>
      <c r="DE127" s="1420">
        <v>138642.89000000001</v>
      </c>
      <c r="DF127" s="1422">
        <v>240196</v>
      </c>
      <c r="DG127" s="1420">
        <v>86663.91</v>
      </c>
      <c r="DH127" s="1420">
        <v>69004.320000000007</v>
      </c>
      <c r="DI127" s="1420">
        <v>2217698.14</v>
      </c>
      <c r="DJ127" s="1420">
        <v>2242387.4900000002</v>
      </c>
      <c r="DK127" s="1420">
        <v>193842.91</v>
      </c>
      <c r="DL127" s="1420">
        <v>194867.5</v>
      </c>
      <c r="DM127" s="1420">
        <v>92069.18</v>
      </c>
      <c r="DN127" s="1420">
        <v>81594.64</v>
      </c>
      <c r="DO127" s="1420">
        <v>560678.89</v>
      </c>
      <c r="DP127" s="1422">
        <v>626730</v>
      </c>
      <c r="DQ127" s="1420">
        <v>392825.26</v>
      </c>
      <c r="DR127" s="1420">
        <v>267073.03999999998</v>
      </c>
      <c r="DS127" s="1420">
        <v>23264.98</v>
      </c>
      <c r="DT127" s="1422">
        <v>6000</v>
      </c>
      <c r="DU127" s="1420">
        <v>1262681.22</v>
      </c>
      <c r="DV127" s="1420">
        <v>1176265.18</v>
      </c>
      <c r="DW127" s="1420">
        <v>218095.44</v>
      </c>
      <c r="DX127" s="1420">
        <v>175639.63</v>
      </c>
      <c r="DY127" s="1420">
        <v>262456.32000000001</v>
      </c>
      <c r="DZ127" s="1420">
        <v>341488.98</v>
      </c>
      <c r="EA127" s="1420">
        <v>182798.43</v>
      </c>
      <c r="EB127" s="1420">
        <v>132954.26999999999</v>
      </c>
      <c r="EC127" s="1420">
        <v>663350.18999999994</v>
      </c>
      <c r="ED127" s="1420">
        <v>650082.88</v>
      </c>
      <c r="EE127" s="1420">
        <v>311048.75</v>
      </c>
      <c r="EF127" s="1422">
        <v>293000</v>
      </c>
      <c r="EG127" s="1420">
        <v>16566.79</v>
      </c>
      <c r="EH127" s="1422">
        <v>0</v>
      </c>
      <c r="EI127" s="1420">
        <v>7310.95</v>
      </c>
      <c r="EJ127" s="1422">
        <v>2000</v>
      </c>
      <c r="EK127" s="1422">
        <v>0</v>
      </c>
      <c r="EL127" s="1422">
        <v>0</v>
      </c>
      <c r="EM127" s="1420">
        <v>334926.49</v>
      </c>
      <c r="EN127" s="1422">
        <v>295000</v>
      </c>
      <c r="EO127" s="1422">
        <v>7890</v>
      </c>
      <c r="EP127" s="1422">
        <v>260264</v>
      </c>
      <c r="EQ127" s="1420">
        <v>152230.01</v>
      </c>
      <c r="ER127" s="1422">
        <v>191897</v>
      </c>
      <c r="ES127" s="1422">
        <v>6616</v>
      </c>
      <c r="ET127" s="1422">
        <v>0</v>
      </c>
      <c r="EU127" s="1420">
        <v>4645392.05</v>
      </c>
      <c r="EV127" s="1420">
        <v>4815896.55</v>
      </c>
      <c r="EW127" s="1420">
        <v>155973.88</v>
      </c>
      <c r="EX127" s="1422">
        <v>295264</v>
      </c>
      <c r="EY127" s="1420">
        <v>152230.01</v>
      </c>
      <c r="EZ127" s="1422">
        <v>191897</v>
      </c>
      <c r="FA127" s="1420">
        <v>4337188.16</v>
      </c>
      <c r="FB127" s="1420">
        <v>4328735.55</v>
      </c>
      <c r="FC127" s="1420">
        <v>203253.39</v>
      </c>
      <c r="FD127" s="1439"/>
      <c r="FE127" s="1420">
        <v>4133934.77</v>
      </c>
      <c r="FF127" s="1439"/>
      <c r="FG127" s="1422">
        <v>10586</v>
      </c>
      <c r="FH127" s="1439"/>
      <c r="FI127" s="1420">
        <v>34.76</v>
      </c>
      <c r="FJ127" s="1439"/>
      <c r="FK127" s="1422">
        <v>38023</v>
      </c>
      <c r="FL127" s="1439"/>
      <c r="FM127" s="1420">
        <v>38.130000000000003</v>
      </c>
      <c r="FN127" s="1439"/>
      <c r="FO127" s="1422">
        <v>40564</v>
      </c>
      <c r="FP127" s="1439"/>
      <c r="FQ127" s="1420">
        <v>1747938.63</v>
      </c>
      <c r="FR127" s="1439"/>
      <c r="FS127" s="1420">
        <v>180155.27</v>
      </c>
      <c r="FT127" s="1439"/>
      <c r="FU127" s="1422">
        <v>0</v>
      </c>
      <c r="FV127" s="1439"/>
      <c r="FW127" s="1420">
        <v>1567783.36</v>
      </c>
      <c r="FX127" s="1439"/>
      <c r="FY127" s="1420">
        <v>309757.45</v>
      </c>
      <c r="FZ127" s="1439"/>
      <c r="GA127" s="1422">
        <v>0</v>
      </c>
      <c r="GB127" s="1439"/>
    </row>
    <row r="128" spans="1:184" ht="12.75" customHeight="1" thickBot="1">
      <c r="A128" s="1418" t="s">
        <v>480</v>
      </c>
      <c r="B128" s="1418" t="s">
        <v>307</v>
      </c>
      <c r="C128" s="1420">
        <v>190.76</v>
      </c>
      <c r="D128" s="1439"/>
      <c r="E128" s="1420">
        <v>1015.95</v>
      </c>
      <c r="F128" s="1439"/>
      <c r="G128" s="1421">
        <v>0</v>
      </c>
      <c r="H128" s="1439"/>
      <c r="I128" s="1420">
        <v>1082.3699999999999</v>
      </c>
      <c r="J128" s="1439"/>
      <c r="K128" s="1420">
        <v>1056.0899999999999</v>
      </c>
      <c r="L128" s="1439"/>
      <c r="M128" s="1422">
        <v>78320178</v>
      </c>
      <c r="N128" s="1439"/>
      <c r="O128" s="1420">
        <v>27.5</v>
      </c>
      <c r="P128" s="1439"/>
      <c r="Q128" s="1422">
        <v>25</v>
      </c>
      <c r="R128" s="1439"/>
      <c r="S128" s="1420">
        <v>2.5</v>
      </c>
      <c r="T128" s="1439"/>
      <c r="U128" s="1422">
        <v>0</v>
      </c>
      <c r="V128" s="1439"/>
      <c r="W128" s="1420">
        <v>4.9000000000000004</v>
      </c>
      <c r="X128" s="1439"/>
      <c r="Y128" s="1420">
        <v>32.4</v>
      </c>
      <c r="Z128" s="1439"/>
      <c r="AA128" s="1420">
        <v>3648136.36</v>
      </c>
      <c r="AB128" s="1439"/>
      <c r="AC128" s="1420">
        <v>2320441.9300000002</v>
      </c>
      <c r="AD128" s="1422">
        <v>2243700</v>
      </c>
      <c r="AE128" s="1420">
        <v>516455.94</v>
      </c>
      <c r="AF128" s="1422">
        <v>196835</v>
      </c>
      <c r="AG128" s="1420">
        <v>1813.37</v>
      </c>
      <c r="AH128" s="1422">
        <v>1900</v>
      </c>
      <c r="AI128" s="1422">
        <v>4499156</v>
      </c>
      <c r="AJ128" s="1422">
        <v>4719876</v>
      </c>
      <c r="AK128" s="1422">
        <v>127111</v>
      </c>
      <c r="AL128" s="1422">
        <v>0</v>
      </c>
      <c r="AM128" s="1422">
        <v>157637</v>
      </c>
      <c r="AN128" s="1422">
        <v>0</v>
      </c>
      <c r="AO128" s="1422">
        <v>0</v>
      </c>
      <c r="AP128" s="1422">
        <v>0</v>
      </c>
      <c r="AQ128" s="1422">
        <v>0</v>
      </c>
      <c r="AR128" s="1422">
        <v>0</v>
      </c>
      <c r="AS128" s="1422">
        <v>0</v>
      </c>
      <c r="AT128" s="1422">
        <v>0</v>
      </c>
      <c r="AU128" s="1422">
        <v>7776</v>
      </c>
      <c r="AV128" s="1422">
        <v>6221</v>
      </c>
      <c r="AW128" s="1422">
        <v>0</v>
      </c>
      <c r="AX128" s="1422">
        <v>0</v>
      </c>
      <c r="AY128" s="1420">
        <v>7630391.2400000002</v>
      </c>
      <c r="AZ128" s="1422">
        <v>7168532</v>
      </c>
      <c r="BA128" s="1422">
        <v>0</v>
      </c>
      <c r="BB128" s="1422">
        <v>0</v>
      </c>
      <c r="BC128" s="1422">
        <v>43680</v>
      </c>
      <c r="BD128" s="1422">
        <v>45813</v>
      </c>
      <c r="BE128" s="1420">
        <v>2327.42</v>
      </c>
      <c r="BF128" s="1422">
        <v>6400</v>
      </c>
      <c r="BG128" s="1422">
        <v>350</v>
      </c>
      <c r="BH128" s="1422">
        <v>100</v>
      </c>
      <c r="BI128" s="1422">
        <v>40955</v>
      </c>
      <c r="BJ128" s="1422">
        <v>41616</v>
      </c>
      <c r="BK128" s="1422">
        <v>0</v>
      </c>
      <c r="BL128" s="1422">
        <v>0</v>
      </c>
      <c r="BM128" s="1422">
        <v>326864</v>
      </c>
      <c r="BN128" s="1422">
        <v>341044</v>
      </c>
      <c r="BO128" s="1420">
        <v>54365.84</v>
      </c>
      <c r="BP128" s="1420">
        <v>19939.91</v>
      </c>
      <c r="BQ128" s="1420">
        <v>5687.52</v>
      </c>
      <c r="BR128" s="1422">
        <v>3250</v>
      </c>
      <c r="BS128" s="1420">
        <v>3461.22</v>
      </c>
      <c r="BT128" s="1422">
        <v>3450</v>
      </c>
      <c r="BU128" s="1422">
        <v>0</v>
      </c>
      <c r="BV128" s="1422">
        <v>0</v>
      </c>
      <c r="BW128" s="1422">
        <v>0</v>
      </c>
      <c r="BX128" s="1422">
        <v>0</v>
      </c>
      <c r="BY128" s="1422">
        <v>0</v>
      </c>
      <c r="BZ128" s="1422">
        <v>0</v>
      </c>
      <c r="CA128" s="1420">
        <v>326989.58</v>
      </c>
      <c r="CB128" s="1422">
        <v>1799698</v>
      </c>
      <c r="CC128" s="1420">
        <v>804680.58</v>
      </c>
      <c r="CD128" s="1420">
        <v>2261310.91</v>
      </c>
      <c r="CE128" s="1420">
        <v>2078141.14</v>
      </c>
      <c r="CF128" s="1420">
        <v>1800794.34</v>
      </c>
      <c r="CG128" s="1420">
        <v>2606639.61</v>
      </c>
      <c r="CH128" s="1422">
        <v>0</v>
      </c>
      <c r="CI128" s="1422">
        <v>0</v>
      </c>
      <c r="CJ128" s="1422">
        <v>0</v>
      </c>
      <c r="CK128" s="1422">
        <v>0</v>
      </c>
      <c r="CL128" s="1422">
        <v>0</v>
      </c>
      <c r="CM128" s="1422">
        <v>0</v>
      </c>
      <c r="CN128" s="1422">
        <v>0</v>
      </c>
      <c r="CO128" s="1420">
        <v>53040.92</v>
      </c>
      <c r="CP128" s="1422">
        <v>0</v>
      </c>
      <c r="CQ128" s="1422">
        <v>0</v>
      </c>
      <c r="CR128" s="1422">
        <v>0</v>
      </c>
      <c r="CS128" s="1420">
        <v>2659680.5299999998</v>
      </c>
      <c r="CT128" s="1422">
        <v>0</v>
      </c>
      <c r="CU128" s="1420">
        <v>13172893.49</v>
      </c>
      <c r="CV128" s="1420">
        <v>11230637.25</v>
      </c>
      <c r="CW128" s="1420">
        <v>4214213.42</v>
      </c>
      <c r="CX128" s="1420">
        <v>4177504.37</v>
      </c>
      <c r="CY128" s="1420">
        <v>762449.31</v>
      </c>
      <c r="CZ128" s="1420">
        <v>706914.09</v>
      </c>
      <c r="DA128" s="1420">
        <v>389249.09</v>
      </c>
      <c r="DB128" s="1420">
        <v>373437.03</v>
      </c>
      <c r="DC128" s="1422">
        <v>0</v>
      </c>
      <c r="DD128" s="1422">
        <v>0</v>
      </c>
      <c r="DE128" s="1420">
        <v>601288.24</v>
      </c>
      <c r="DF128" s="1420">
        <v>544081.22</v>
      </c>
      <c r="DG128" s="1420">
        <v>137018.26999999999</v>
      </c>
      <c r="DH128" s="1420">
        <v>144624.24</v>
      </c>
      <c r="DI128" s="1420">
        <v>6104218.3300000001</v>
      </c>
      <c r="DJ128" s="1420">
        <v>5946560.9500000002</v>
      </c>
      <c r="DK128" s="1420">
        <v>212738.39</v>
      </c>
      <c r="DL128" s="1420">
        <v>217180.85</v>
      </c>
      <c r="DM128" s="1420">
        <v>340901.32</v>
      </c>
      <c r="DN128" s="1420">
        <v>487434.54</v>
      </c>
      <c r="DO128" s="1420">
        <v>893206.36</v>
      </c>
      <c r="DP128" s="1420">
        <v>1057841.58</v>
      </c>
      <c r="DQ128" s="1420">
        <v>355681.43</v>
      </c>
      <c r="DR128" s="1420">
        <v>306220.52</v>
      </c>
      <c r="DS128" s="1420">
        <v>35928.199999999997</v>
      </c>
      <c r="DT128" s="1422">
        <v>13000</v>
      </c>
      <c r="DU128" s="1420">
        <v>1838455.7</v>
      </c>
      <c r="DV128" s="1420">
        <v>2081677.49</v>
      </c>
      <c r="DW128" s="1420">
        <v>274400.09000000003</v>
      </c>
      <c r="DX128" s="1422">
        <v>397726</v>
      </c>
      <c r="DY128" s="1420">
        <v>445639.02</v>
      </c>
      <c r="DZ128" s="1420">
        <v>665695.36</v>
      </c>
      <c r="EA128" s="1420">
        <v>521679.05</v>
      </c>
      <c r="EB128" s="1420">
        <v>530061.17000000004</v>
      </c>
      <c r="EC128" s="1420">
        <v>1241718.1599999999</v>
      </c>
      <c r="ED128" s="1420">
        <v>1593482.53</v>
      </c>
      <c r="EE128" s="1420">
        <v>487285.38</v>
      </c>
      <c r="EF128" s="1420">
        <v>505298.19</v>
      </c>
      <c r="EG128" s="1422">
        <v>0</v>
      </c>
      <c r="EH128" s="1422">
        <v>0</v>
      </c>
      <c r="EI128" s="1422">
        <v>0</v>
      </c>
      <c r="EJ128" s="1422">
        <v>2100</v>
      </c>
      <c r="EK128" s="1422">
        <v>0</v>
      </c>
      <c r="EL128" s="1422">
        <v>0</v>
      </c>
      <c r="EM128" s="1420">
        <v>487285.38</v>
      </c>
      <c r="EN128" s="1420">
        <v>507398.19</v>
      </c>
      <c r="EO128" s="1420">
        <v>1758485.52</v>
      </c>
      <c r="EP128" s="1420">
        <v>3969532.78</v>
      </c>
      <c r="EQ128" s="1420">
        <v>72957.5</v>
      </c>
      <c r="ER128" s="1420">
        <v>239783.75</v>
      </c>
      <c r="ES128" s="1422">
        <v>0</v>
      </c>
      <c r="ET128" s="1422">
        <v>0</v>
      </c>
      <c r="EU128" s="1420">
        <v>11503120.59</v>
      </c>
      <c r="EV128" s="1420">
        <v>14338435.689999999</v>
      </c>
      <c r="EW128" s="1420">
        <v>2010309.96</v>
      </c>
      <c r="EX128" s="1420">
        <v>4265650.78</v>
      </c>
      <c r="EY128" s="1420">
        <v>72957.5</v>
      </c>
      <c r="EZ128" s="1420">
        <v>239783.75</v>
      </c>
      <c r="FA128" s="1420">
        <v>9419853.1300000008</v>
      </c>
      <c r="FB128" s="1420">
        <v>9833001.1600000001</v>
      </c>
      <c r="FC128" s="1420">
        <v>429838.25</v>
      </c>
      <c r="FD128" s="1439"/>
      <c r="FE128" s="1420">
        <v>8990014.8800000008</v>
      </c>
      <c r="FF128" s="1439"/>
      <c r="FG128" s="1422">
        <v>8848</v>
      </c>
      <c r="FH128" s="1439"/>
      <c r="FI128" s="1420">
        <v>91.26</v>
      </c>
      <c r="FJ128" s="1439"/>
      <c r="FK128" s="1422">
        <v>39297</v>
      </c>
      <c r="FL128" s="1439"/>
      <c r="FM128" s="1422">
        <v>97</v>
      </c>
      <c r="FN128" s="1439"/>
      <c r="FO128" s="1422">
        <v>41407</v>
      </c>
      <c r="FP128" s="1439"/>
      <c r="FQ128" s="1420">
        <v>4389725.1900000004</v>
      </c>
      <c r="FR128" s="1439"/>
      <c r="FS128" s="1420">
        <v>76325.320000000007</v>
      </c>
      <c r="FT128" s="1439"/>
      <c r="FU128" s="1422">
        <v>0</v>
      </c>
      <c r="FV128" s="1439"/>
      <c r="FW128" s="1420">
        <v>4313399.87</v>
      </c>
      <c r="FX128" s="1439"/>
      <c r="FY128" s="1420">
        <v>2858638.83</v>
      </c>
      <c r="FZ128" s="1439"/>
      <c r="GA128" s="1422">
        <v>0</v>
      </c>
      <c r="GB128" s="1439"/>
    </row>
    <row r="129" spans="1:184" ht="12.75" customHeight="1" thickBot="1">
      <c r="A129" s="1418" t="s">
        <v>308</v>
      </c>
      <c r="B129" s="1418" t="s">
        <v>309</v>
      </c>
      <c r="C129" s="1420">
        <v>623.85</v>
      </c>
      <c r="D129" s="1439"/>
      <c r="E129" s="1420">
        <v>910.79</v>
      </c>
      <c r="F129" s="1439"/>
      <c r="G129" s="1421">
        <v>-0.28000000000000003</v>
      </c>
      <c r="H129" s="1439"/>
      <c r="I129" s="1420">
        <v>979.8</v>
      </c>
      <c r="J129" s="1439"/>
      <c r="K129" s="1420">
        <v>1094.53</v>
      </c>
      <c r="L129" s="1439"/>
      <c r="M129" s="1422">
        <v>95361565</v>
      </c>
      <c r="N129" s="1439"/>
      <c r="O129" s="1422">
        <v>25</v>
      </c>
      <c r="P129" s="1439"/>
      <c r="Q129" s="1422">
        <v>25</v>
      </c>
      <c r="R129" s="1439"/>
      <c r="S129" s="1422">
        <v>0</v>
      </c>
      <c r="T129" s="1439"/>
      <c r="U129" s="1422">
        <v>0</v>
      </c>
      <c r="V129" s="1439"/>
      <c r="W129" s="1420">
        <v>1.3</v>
      </c>
      <c r="X129" s="1439"/>
      <c r="Y129" s="1420">
        <v>26.3</v>
      </c>
      <c r="Z129" s="1439"/>
      <c r="AA129" s="1422">
        <v>300000</v>
      </c>
      <c r="AB129" s="1439"/>
      <c r="AC129" s="1420">
        <v>2247551.23</v>
      </c>
      <c r="AD129" s="1422">
        <v>2148615</v>
      </c>
      <c r="AE129" s="1420">
        <v>325646.58</v>
      </c>
      <c r="AF129" s="1422">
        <v>246864</v>
      </c>
      <c r="AG129" s="1422">
        <v>0</v>
      </c>
      <c r="AH129" s="1422">
        <v>0</v>
      </c>
      <c r="AI129" s="1422">
        <v>4287558</v>
      </c>
      <c r="AJ129" s="1422">
        <v>3641400</v>
      </c>
      <c r="AK129" s="1422">
        <v>134999</v>
      </c>
      <c r="AL129" s="1422">
        <v>135000</v>
      </c>
      <c r="AM129" s="1422">
        <v>0</v>
      </c>
      <c r="AN129" s="1422">
        <v>0</v>
      </c>
      <c r="AO129" s="1422">
        <v>119737</v>
      </c>
      <c r="AP129" s="1422">
        <v>332237</v>
      </c>
      <c r="AQ129" s="1422">
        <v>0</v>
      </c>
      <c r="AR129" s="1422">
        <v>0</v>
      </c>
      <c r="AS129" s="1422">
        <v>0</v>
      </c>
      <c r="AT129" s="1422">
        <v>0</v>
      </c>
      <c r="AU129" s="1422">
        <v>0</v>
      </c>
      <c r="AV129" s="1422">
        <v>0</v>
      </c>
      <c r="AW129" s="1422">
        <v>0</v>
      </c>
      <c r="AX129" s="1422">
        <v>0</v>
      </c>
      <c r="AY129" s="1420">
        <v>7115491.8099999996</v>
      </c>
      <c r="AZ129" s="1422">
        <v>6504116</v>
      </c>
      <c r="BA129" s="1422">
        <v>0</v>
      </c>
      <c r="BB129" s="1422">
        <v>0</v>
      </c>
      <c r="BC129" s="1422">
        <v>45270</v>
      </c>
      <c r="BD129" s="1422">
        <v>41803</v>
      </c>
      <c r="BE129" s="1420">
        <v>254018.19</v>
      </c>
      <c r="BF129" s="1422">
        <v>600</v>
      </c>
      <c r="BG129" s="1422">
        <v>50</v>
      </c>
      <c r="BH129" s="1422">
        <v>0</v>
      </c>
      <c r="BI129" s="1422">
        <v>77603</v>
      </c>
      <c r="BJ129" s="1422">
        <v>83232</v>
      </c>
      <c r="BK129" s="1422">
        <v>0</v>
      </c>
      <c r="BL129" s="1422">
        <v>0</v>
      </c>
      <c r="BM129" s="1422">
        <v>1553472</v>
      </c>
      <c r="BN129" s="1422">
        <v>1363164</v>
      </c>
      <c r="BO129" s="1420">
        <v>4483.9399999999996</v>
      </c>
      <c r="BP129" s="1422">
        <v>4000</v>
      </c>
      <c r="BQ129" s="1420">
        <v>38541.760000000002</v>
      </c>
      <c r="BR129" s="1422">
        <v>0</v>
      </c>
      <c r="BS129" s="1420">
        <v>5071.1499999999996</v>
      </c>
      <c r="BT129" s="1422">
        <v>2000</v>
      </c>
      <c r="BU129" s="1422">
        <v>0</v>
      </c>
      <c r="BV129" s="1422">
        <v>0</v>
      </c>
      <c r="BW129" s="1422">
        <v>533628</v>
      </c>
      <c r="BX129" s="1422">
        <v>534600</v>
      </c>
      <c r="BY129" s="1422">
        <v>0</v>
      </c>
      <c r="BZ129" s="1422">
        <v>0</v>
      </c>
      <c r="CA129" s="1422">
        <v>24425</v>
      </c>
      <c r="CB129" s="1422">
        <v>18110</v>
      </c>
      <c r="CC129" s="1420">
        <v>2536563.04</v>
      </c>
      <c r="CD129" s="1422">
        <v>2047509</v>
      </c>
      <c r="CE129" s="1420">
        <v>5784383.4400000004</v>
      </c>
      <c r="CF129" s="1420">
        <v>3418831.52</v>
      </c>
      <c r="CG129" s="1422">
        <v>0</v>
      </c>
      <c r="CH129" s="1422">
        <v>0</v>
      </c>
      <c r="CI129" s="1422">
        <v>0</v>
      </c>
      <c r="CJ129" s="1422">
        <v>0</v>
      </c>
      <c r="CK129" s="1420">
        <v>10069.76</v>
      </c>
      <c r="CL129" s="1422">
        <v>0</v>
      </c>
      <c r="CM129" s="1422">
        <v>0</v>
      </c>
      <c r="CN129" s="1422">
        <v>0</v>
      </c>
      <c r="CO129" s="1422">
        <v>0</v>
      </c>
      <c r="CP129" s="1422">
        <v>0</v>
      </c>
      <c r="CQ129" s="1422">
        <v>0</v>
      </c>
      <c r="CR129" s="1422">
        <v>0</v>
      </c>
      <c r="CS129" s="1420">
        <v>10069.76</v>
      </c>
      <c r="CT129" s="1422">
        <v>0</v>
      </c>
      <c r="CU129" s="1420">
        <v>15446508.050000001</v>
      </c>
      <c r="CV129" s="1420">
        <v>11970456.52</v>
      </c>
      <c r="CW129" s="1420">
        <v>4856901.05</v>
      </c>
      <c r="CX129" s="1420">
        <v>4004092.51</v>
      </c>
      <c r="CY129" s="1420">
        <v>546989.99</v>
      </c>
      <c r="CZ129" s="1422">
        <v>541231</v>
      </c>
      <c r="DA129" s="1420">
        <v>406007.63</v>
      </c>
      <c r="DB129" s="1422">
        <v>354724</v>
      </c>
      <c r="DC129" s="1422">
        <v>0</v>
      </c>
      <c r="DD129" s="1422">
        <v>0</v>
      </c>
      <c r="DE129" s="1420">
        <v>1199907.53</v>
      </c>
      <c r="DF129" s="1420">
        <v>1135742.44</v>
      </c>
      <c r="DG129" s="1420">
        <v>167135.29</v>
      </c>
      <c r="DH129" s="1422">
        <v>182842</v>
      </c>
      <c r="DI129" s="1420">
        <v>7176941.4900000002</v>
      </c>
      <c r="DJ129" s="1420">
        <v>6218631.9500000002</v>
      </c>
      <c r="DK129" s="1422">
        <v>521716</v>
      </c>
      <c r="DL129" s="1422">
        <v>607147</v>
      </c>
      <c r="DM129" s="1420">
        <v>278944.58</v>
      </c>
      <c r="DN129" s="1422">
        <v>368032</v>
      </c>
      <c r="DO129" s="1420">
        <v>1208999.52</v>
      </c>
      <c r="DP129" s="1420">
        <v>1486939.6</v>
      </c>
      <c r="DQ129" s="1420">
        <v>651904.93000000005</v>
      </c>
      <c r="DR129" s="1422">
        <v>547394</v>
      </c>
      <c r="DS129" s="1420">
        <v>32461.63</v>
      </c>
      <c r="DT129" s="1420">
        <v>34318.31</v>
      </c>
      <c r="DU129" s="1420">
        <v>2694026.66</v>
      </c>
      <c r="DV129" s="1420">
        <v>3043830.91</v>
      </c>
      <c r="DW129" s="1420">
        <v>487120.17</v>
      </c>
      <c r="DX129" s="1420">
        <v>518698.91</v>
      </c>
      <c r="DY129" s="1420">
        <v>1947443.23</v>
      </c>
      <c r="DZ129" s="1420">
        <v>1840786.52</v>
      </c>
      <c r="EA129" s="1420">
        <v>316361.88</v>
      </c>
      <c r="EB129" s="1420">
        <v>359890.88</v>
      </c>
      <c r="EC129" s="1420">
        <v>2750925.28</v>
      </c>
      <c r="ED129" s="1420">
        <v>2719376.31</v>
      </c>
      <c r="EE129" s="1420">
        <v>822970.69</v>
      </c>
      <c r="EF129" s="1422">
        <v>746507</v>
      </c>
      <c r="EG129" s="1422">
        <v>0</v>
      </c>
      <c r="EH129" s="1422">
        <v>0</v>
      </c>
      <c r="EI129" s="1420">
        <v>11679.7</v>
      </c>
      <c r="EJ129" s="1420">
        <v>36542.36</v>
      </c>
      <c r="EK129" s="1422">
        <v>0</v>
      </c>
      <c r="EL129" s="1422">
        <v>0</v>
      </c>
      <c r="EM129" s="1420">
        <v>834650.39</v>
      </c>
      <c r="EN129" s="1420">
        <v>783049.36</v>
      </c>
      <c r="EO129" s="1420">
        <v>2473200.77</v>
      </c>
      <c r="EP129" s="1422">
        <v>55000</v>
      </c>
      <c r="EQ129" s="1422">
        <v>82362</v>
      </c>
      <c r="ER129" s="1422">
        <v>80192</v>
      </c>
      <c r="ES129" s="1422">
        <v>0</v>
      </c>
      <c r="ET129" s="1422">
        <v>0</v>
      </c>
      <c r="EU129" s="1420">
        <v>16012106.59</v>
      </c>
      <c r="EV129" s="1420">
        <v>12900080.529999999</v>
      </c>
      <c r="EW129" s="1420">
        <v>2665132.16</v>
      </c>
      <c r="EX129" s="1420">
        <v>149787.64000000001</v>
      </c>
      <c r="EY129" s="1422">
        <v>82362</v>
      </c>
      <c r="EZ129" s="1422">
        <v>80192</v>
      </c>
      <c r="FA129" s="1420">
        <v>13264612.43</v>
      </c>
      <c r="FB129" s="1420">
        <v>12670100.890000001</v>
      </c>
      <c r="FC129" s="1420">
        <v>800016.66</v>
      </c>
      <c r="FD129" s="1439"/>
      <c r="FE129" s="1420">
        <v>12464595.77</v>
      </c>
      <c r="FF129" s="1439"/>
      <c r="FG129" s="1422">
        <v>13685</v>
      </c>
      <c r="FH129" s="1439"/>
      <c r="FI129" s="1420">
        <v>93.59</v>
      </c>
      <c r="FJ129" s="1439"/>
      <c r="FK129" s="1422">
        <v>42032</v>
      </c>
      <c r="FL129" s="1439"/>
      <c r="FM129" s="1420">
        <v>102.82</v>
      </c>
      <c r="FN129" s="1439"/>
      <c r="FO129" s="1422">
        <v>44009</v>
      </c>
      <c r="FP129" s="1439"/>
      <c r="FQ129" s="1420">
        <v>1777249.35</v>
      </c>
      <c r="FR129" s="1439"/>
      <c r="FS129" s="1420">
        <v>15357.94</v>
      </c>
      <c r="FT129" s="1439"/>
      <c r="FU129" s="1422">
        <v>0</v>
      </c>
      <c r="FV129" s="1439"/>
      <c r="FW129" s="1420">
        <v>1761891.41</v>
      </c>
      <c r="FX129" s="1439"/>
      <c r="FY129" s="1422">
        <v>0</v>
      </c>
      <c r="FZ129" s="1439"/>
      <c r="GA129" s="1422">
        <v>0</v>
      </c>
      <c r="GB129" s="1439"/>
    </row>
    <row r="130" spans="1:184" ht="12.75" customHeight="1" thickBot="1">
      <c r="A130" s="1418" t="s">
        <v>310</v>
      </c>
      <c r="B130" s="1418" t="s">
        <v>311</v>
      </c>
      <c r="C130" s="1420">
        <v>407.18</v>
      </c>
      <c r="D130" s="1439"/>
      <c r="E130" s="1420">
        <v>1569.14</v>
      </c>
      <c r="F130" s="1439"/>
      <c r="G130" s="1421">
        <v>-0.04</v>
      </c>
      <c r="H130" s="1439"/>
      <c r="I130" s="1420">
        <v>1650.56</v>
      </c>
      <c r="J130" s="1439"/>
      <c r="K130" s="1420">
        <v>1671.8</v>
      </c>
      <c r="L130" s="1439"/>
      <c r="M130" s="1422">
        <v>85472186</v>
      </c>
      <c r="N130" s="1439"/>
      <c r="O130" s="1422">
        <v>25</v>
      </c>
      <c r="P130" s="1439"/>
      <c r="Q130" s="1422">
        <v>25</v>
      </c>
      <c r="R130" s="1439"/>
      <c r="S130" s="1422">
        <v>0</v>
      </c>
      <c r="T130" s="1439"/>
      <c r="U130" s="1422">
        <v>0</v>
      </c>
      <c r="V130" s="1439"/>
      <c r="W130" s="1422">
        <v>12</v>
      </c>
      <c r="X130" s="1439"/>
      <c r="Y130" s="1422">
        <v>37</v>
      </c>
      <c r="Z130" s="1439"/>
      <c r="AA130" s="1422">
        <v>8900000</v>
      </c>
      <c r="AB130" s="1439"/>
      <c r="AC130" s="1420">
        <v>3006735.83</v>
      </c>
      <c r="AD130" s="1422">
        <v>2961175</v>
      </c>
      <c r="AE130" s="1420">
        <v>744320.38</v>
      </c>
      <c r="AF130" s="1422">
        <v>728500</v>
      </c>
      <c r="AG130" s="1422">
        <v>0</v>
      </c>
      <c r="AH130" s="1422">
        <v>0</v>
      </c>
      <c r="AI130" s="1422">
        <v>7970761</v>
      </c>
      <c r="AJ130" s="1422">
        <v>8074682</v>
      </c>
      <c r="AK130" s="1422">
        <v>49408</v>
      </c>
      <c r="AL130" s="1422">
        <v>51395</v>
      </c>
      <c r="AM130" s="1422">
        <v>0</v>
      </c>
      <c r="AN130" s="1422">
        <v>0</v>
      </c>
      <c r="AO130" s="1422">
        <v>78751</v>
      </c>
      <c r="AP130" s="1422">
        <v>51395</v>
      </c>
      <c r="AQ130" s="1422">
        <v>0</v>
      </c>
      <c r="AR130" s="1422">
        <v>0</v>
      </c>
      <c r="AS130" s="1422">
        <v>0</v>
      </c>
      <c r="AT130" s="1422">
        <v>0</v>
      </c>
      <c r="AU130" s="1422">
        <v>44612</v>
      </c>
      <c r="AV130" s="1422">
        <v>35689</v>
      </c>
      <c r="AW130" s="1422">
        <v>0</v>
      </c>
      <c r="AX130" s="1422">
        <v>0</v>
      </c>
      <c r="AY130" s="1420">
        <v>11894588.210000001</v>
      </c>
      <c r="AZ130" s="1422">
        <v>11902836</v>
      </c>
      <c r="BA130" s="1420">
        <v>157114.4</v>
      </c>
      <c r="BB130" s="1420">
        <v>157346.62</v>
      </c>
      <c r="BC130" s="1422">
        <v>69146</v>
      </c>
      <c r="BD130" s="1422">
        <v>70142</v>
      </c>
      <c r="BE130" s="1420">
        <v>13560.9</v>
      </c>
      <c r="BF130" s="1422">
        <v>0</v>
      </c>
      <c r="BG130" s="1422">
        <v>350</v>
      </c>
      <c r="BH130" s="1422">
        <v>0</v>
      </c>
      <c r="BI130" s="1422">
        <v>41483</v>
      </c>
      <c r="BJ130" s="1422">
        <v>25031</v>
      </c>
      <c r="BK130" s="1422">
        <v>3809</v>
      </c>
      <c r="BL130" s="1422">
        <v>3809</v>
      </c>
      <c r="BM130" s="1422">
        <v>493520</v>
      </c>
      <c r="BN130" s="1422">
        <v>502964</v>
      </c>
      <c r="BO130" s="1420">
        <v>102488.31</v>
      </c>
      <c r="BP130" s="1422">
        <v>0</v>
      </c>
      <c r="BQ130" s="1422">
        <v>0</v>
      </c>
      <c r="BR130" s="1422">
        <v>0</v>
      </c>
      <c r="BS130" s="1420">
        <v>6661.84</v>
      </c>
      <c r="BT130" s="1422">
        <v>6500</v>
      </c>
      <c r="BU130" s="1422">
        <v>0</v>
      </c>
      <c r="BV130" s="1422">
        <v>0</v>
      </c>
      <c r="BW130" s="1422">
        <v>303750</v>
      </c>
      <c r="BX130" s="1422">
        <v>340200</v>
      </c>
      <c r="BY130" s="1422">
        <v>0</v>
      </c>
      <c r="BZ130" s="1422">
        <v>0</v>
      </c>
      <c r="CA130" s="1420">
        <v>1077201.1299999999</v>
      </c>
      <c r="CB130" s="1422">
        <v>183778</v>
      </c>
      <c r="CC130" s="1420">
        <v>2269084.58</v>
      </c>
      <c r="CD130" s="1420">
        <v>1289770.6200000001</v>
      </c>
      <c r="CE130" s="1420">
        <v>2980228.24</v>
      </c>
      <c r="CF130" s="1420">
        <v>1897863.07</v>
      </c>
      <c r="CG130" s="1422">
        <v>0</v>
      </c>
      <c r="CH130" s="1422">
        <v>0</v>
      </c>
      <c r="CI130" s="1422">
        <v>0</v>
      </c>
      <c r="CJ130" s="1422">
        <v>0</v>
      </c>
      <c r="CK130" s="1420">
        <v>22080.84</v>
      </c>
      <c r="CL130" s="1422">
        <v>0</v>
      </c>
      <c r="CM130" s="1422">
        <v>0</v>
      </c>
      <c r="CN130" s="1422">
        <v>0</v>
      </c>
      <c r="CO130" s="1422">
        <v>0</v>
      </c>
      <c r="CP130" s="1422">
        <v>0</v>
      </c>
      <c r="CQ130" s="1422">
        <v>0</v>
      </c>
      <c r="CR130" s="1422">
        <v>0</v>
      </c>
      <c r="CS130" s="1420">
        <v>22080.84</v>
      </c>
      <c r="CT130" s="1422">
        <v>0</v>
      </c>
      <c r="CU130" s="1420">
        <v>17165981.870000001</v>
      </c>
      <c r="CV130" s="1420">
        <v>15090469.689999999</v>
      </c>
      <c r="CW130" s="1420">
        <v>5871211.6600000001</v>
      </c>
      <c r="CX130" s="1420">
        <v>6128522.1399999997</v>
      </c>
      <c r="CY130" s="1420">
        <v>839785.44</v>
      </c>
      <c r="CZ130" s="1422">
        <v>988350</v>
      </c>
      <c r="DA130" s="1420">
        <v>326340.49</v>
      </c>
      <c r="DB130" s="1422">
        <v>367234</v>
      </c>
      <c r="DC130" s="1420">
        <v>194643.97</v>
      </c>
      <c r="DD130" s="1420">
        <v>173480.3</v>
      </c>
      <c r="DE130" s="1420">
        <v>653489.66</v>
      </c>
      <c r="DF130" s="1422">
        <v>676576</v>
      </c>
      <c r="DG130" s="1420">
        <v>174817.12</v>
      </c>
      <c r="DH130" s="1420">
        <v>169593.38</v>
      </c>
      <c r="DI130" s="1420">
        <v>8060288.3399999999</v>
      </c>
      <c r="DJ130" s="1420">
        <v>8503755.8200000003</v>
      </c>
      <c r="DK130" s="1420">
        <v>545154.23</v>
      </c>
      <c r="DL130" s="1420">
        <v>353967.45</v>
      </c>
      <c r="DM130" s="1420">
        <v>355141.03</v>
      </c>
      <c r="DN130" s="1422">
        <v>488486</v>
      </c>
      <c r="DO130" s="1420">
        <v>1194717.1100000001</v>
      </c>
      <c r="DP130" s="1422">
        <v>1663484</v>
      </c>
      <c r="DQ130" s="1420">
        <v>825219.86</v>
      </c>
      <c r="DR130" s="1422">
        <v>898498</v>
      </c>
      <c r="DS130" s="1420">
        <v>100046.42</v>
      </c>
      <c r="DT130" s="1422">
        <v>43352</v>
      </c>
      <c r="DU130" s="1420">
        <v>3020278.65</v>
      </c>
      <c r="DV130" s="1420">
        <v>3447787.45</v>
      </c>
      <c r="DW130" s="1420">
        <v>805660.62</v>
      </c>
      <c r="DX130" s="1422">
        <v>776028</v>
      </c>
      <c r="DY130" s="1420">
        <v>839561.92</v>
      </c>
      <c r="DZ130" s="1420">
        <v>710482.97</v>
      </c>
      <c r="EA130" s="1420">
        <v>906513.99</v>
      </c>
      <c r="EB130" s="1422">
        <v>968507</v>
      </c>
      <c r="EC130" s="1420">
        <v>2551736.5299999998</v>
      </c>
      <c r="ED130" s="1420">
        <v>2455017.9700000002</v>
      </c>
      <c r="EE130" s="1420">
        <v>816706.84</v>
      </c>
      <c r="EF130" s="1422">
        <v>938249</v>
      </c>
      <c r="EG130" s="1420">
        <v>116480.74</v>
      </c>
      <c r="EH130" s="1422">
        <v>10200</v>
      </c>
      <c r="EI130" s="1420">
        <v>174.94</v>
      </c>
      <c r="EJ130" s="1422">
        <v>500</v>
      </c>
      <c r="EK130" s="1422">
        <v>0</v>
      </c>
      <c r="EL130" s="1422">
        <v>0</v>
      </c>
      <c r="EM130" s="1420">
        <v>933362.52</v>
      </c>
      <c r="EN130" s="1422">
        <v>948949</v>
      </c>
      <c r="EO130" s="1420">
        <v>1170550.54</v>
      </c>
      <c r="EP130" s="1422">
        <v>501100</v>
      </c>
      <c r="EQ130" s="1420">
        <v>807462.5</v>
      </c>
      <c r="ER130" s="1422">
        <v>544174</v>
      </c>
      <c r="ES130" s="1422">
        <v>0</v>
      </c>
      <c r="ET130" s="1422">
        <v>0</v>
      </c>
      <c r="EU130" s="1420">
        <v>16543679.08</v>
      </c>
      <c r="EV130" s="1420">
        <v>16400784.24</v>
      </c>
      <c r="EW130" s="1420">
        <v>1512472.51</v>
      </c>
      <c r="EX130" s="1422">
        <v>1051764</v>
      </c>
      <c r="EY130" s="1420">
        <v>807462.5</v>
      </c>
      <c r="EZ130" s="1422">
        <v>544174</v>
      </c>
      <c r="FA130" s="1420">
        <v>14223744.07</v>
      </c>
      <c r="FB130" s="1420">
        <v>14804846.24</v>
      </c>
      <c r="FC130" s="1420">
        <v>1037823.75</v>
      </c>
      <c r="FD130" s="1439"/>
      <c r="FE130" s="1420">
        <v>13185920.32</v>
      </c>
      <c r="FF130" s="1439"/>
      <c r="FG130" s="1422">
        <v>8403</v>
      </c>
      <c r="FH130" s="1439"/>
      <c r="FI130" s="1420">
        <v>106.55</v>
      </c>
      <c r="FJ130" s="1439"/>
      <c r="FK130" s="1422">
        <v>44247</v>
      </c>
      <c r="FL130" s="1439"/>
      <c r="FM130" s="1420">
        <v>116.83</v>
      </c>
      <c r="FN130" s="1439"/>
      <c r="FO130" s="1422">
        <v>48927</v>
      </c>
      <c r="FP130" s="1439"/>
      <c r="FQ130" s="1420">
        <v>7549445.2000000002</v>
      </c>
      <c r="FR130" s="1439"/>
      <c r="FS130" s="1420">
        <v>100577.72</v>
      </c>
      <c r="FT130" s="1439"/>
      <c r="FU130" s="1422">
        <v>0</v>
      </c>
      <c r="FV130" s="1439"/>
      <c r="FW130" s="1420">
        <v>7448867.4800000004</v>
      </c>
      <c r="FX130" s="1439"/>
      <c r="FY130" s="1420">
        <v>3022953.96</v>
      </c>
      <c r="FZ130" s="1439"/>
      <c r="GA130" s="1422">
        <v>68369</v>
      </c>
      <c r="GB130" s="1439"/>
    </row>
    <row r="131" spans="1:184" ht="12.75" customHeight="1" thickBot="1">
      <c r="A131" s="1418" t="s">
        <v>312</v>
      </c>
      <c r="B131" s="1418" t="s">
        <v>313</v>
      </c>
      <c r="C131" s="1420">
        <v>344.9</v>
      </c>
      <c r="D131" s="1439"/>
      <c r="E131" s="1420">
        <v>1396.53</v>
      </c>
      <c r="F131" s="1439"/>
      <c r="G131" s="1421">
        <v>-0.12</v>
      </c>
      <c r="H131" s="1439"/>
      <c r="I131" s="1420">
        <v>1482.6</v>
      </c>
      <c r="J131" s="1439"/>
      <c r="K131" s="1420">
        <v>1535.22</v>
      </c>
      <c r="L131" s="1439"/>
      <c r="M131" s="1422">
        <v>199253687</v>
      </c>
      <c r="N131" s="1439"/>
      <c r="O131" s="1422">
        <v>25</v>
      </c>
      <c r="P131" s="1439"/>
      <c r="Q131" s="1422">
        <v>25</v>
      </c>
      <c r="R131" s="1439"/>
      <c r="S131" s="1422">
        <v>0</v>
      </c>
      <c r="T131" s="1439"/>
      <c r="U131" s="1422">
        <v>0</v>
      </c>
      <c r="V131" s="1439"/>
      <c r="W131" s="1420">
        <v>10.7</v>
      </c>
      <c r="X131" s="1439"/>
      <c r="Y131" s="1420">
        <v>35.700000000000003</v>
      </c>
      <c r="Z131" s="1439"/>
      <c r="AA131" s="1422">
        <v>10625000</v>
      </c>
      <c r="AB131" s="1439"/>
      <c r="AC131" s="1420">
        <v>7535403.3300000001</v>
      </c>
      <c r="AD131" s="1422">
        <v>6430299</v>
      </c>
      <c r="AE131" s="1420">
        <v>682991.93</v>
      </c>
      <c r="AF131" s="1422">
        <v>366000</v>
      </c>
      <c r="AG131" s="1420">
        <v>13146.4</v>
      </c>
      <c r="AH131" s="1422">
        <v>0</v>
      </c>
      <c r="AI131" s="1422">
        <v>3432331</v>
      </c>
      <c r="AJ131" s="1422">
        <v>4580890</v>
      </c>
      <c r="AK131" s="1422">
        <v>97474</v>
      </c>
      <c r="AL131" s="1422">
        <v>80000</v>
      </c>
      <c r="AM131" s="1422">
        <v>0</v>
      </c>
      <c r="AN131" s="1422">
        <v>0</v>
      </c>
      <c r="AO131" s="1422">
        <v>9878</v>
      </c>
      <c r="AP131" s="1422">
        <v>144000</v>
      </c>
      <c r="AQ131" s="1422">
        <v>0</v>
      </c>
      <c r="AR131" s="1422">
        <v>0</v>
      </c>
      <c r="AS131" s="1422">
        <v>0</v>
      </c>
      <c r="AT131" s="1422">
        <v>0</v>
      </c>
      <c r="AU131" s="1422">
        <v>0</v>
      </c>
      <c r="AV131" s="1422">
        <v>0</v>
      </c>
      <c r="AW131" s="1422">
        <v>0</v>
      </c>
      <c r="AX131" s="1422">
        <v>0</v>
      </c>
      <c r="AY131" s="1420">
        <v>11771224.66</v>
      </c>
      <c r="AZ131" s="1422">
        <v>11601189</v>
      </c>
      <c r="BA131" s="1422">
        <v>0</v>
      </c>
      <c r="BB131" s="1422">
        <v>0</v>
      </c>
      <c r="BC131" s="1422">
        <v>63497</v>
      </c>
      <c r="BD131" s="1420">
        <v>63066.95</v>
      </c>
      <c r="BE131" s="1420">
        <v>10426.06</v>
      </c>
      <c r="BF131" s="1422">
        <v>4000</v>
      </c>
      <c r="BG131" s="1422">
        <v>1250</v>
      </c>
      <c r="BH131" s="1422">
        <v>0</v>
      </c>
      <c r="BI131" s="1422">
        <v>108116</v>
      </c>
      <c r="BJ131" s="1422">
        <v>105242</v>
      </c>
      <c r="BK131" s="1422">
        <v>0</v>
      </c>
      <c r="BL131" s="1422">
        <v>0</v>
      </c>
      <c r="BM131" s="1422">
        <v>418128</v>
      </c>
      <c r="BN131" s="1422">
        <v>449328</v>
      </c>
      <c r="BO131" s="1420">
        <v>16567.310000000001</v>
      </c>
      <c r="BP131" s="1422">
        <v>9200</v>
      </c>
      <c r="BQ131" s="1422">
        <v>81250</v>
      </c>
      <c r="BR131" s="1422">
        <v>65000</v>
      </c>
      <c r="BS131" s="1420">
        <v>5600.69</v>
      </c>
      <c r="BT131" s="1422">
        <v>5000</v>
      </c>
      <c r="BU131" s="1422">
        <v>0</v>
      </c>
      <c r="BV131" s="1422">
        <v>0</v>
      </c>
      <c r="BW131" s="1422">
        <v>0</v>
      </c>
      <c r="BX131" s="1422">
        <v>0</v>
      </c>
      <c r="BY131" s="1422">
        <v>0</v>
      </c>
      <c r="BZ131" s="1422">
        <v>0</v>
      </c>
      <c r="CA131" s="1422">
        <v>0</v>
      </c>
      <c r="CB131" s="1422">
        <v>0</v>
      </c>
      <c r="CC131" s="1420">
        <v>704835.06</v>
      </c>
      <c r="CD131" s="1420">
        <v>700836.95</v>
      </c>
      <c r="CE131" s="1420">
        <v>1815020.21</v>
      </c>
      <c r="CF131" s="1420">
        <v>2269074.9700000002</v>
      </c>
      <c r="CG131" s="1422">
        <v>0</v>
      </c>
      <c r="CH131" s="1422">
        <v>0</v>
      </c>
      <c r="CI131" s="1422">
        <v>0</v>
      </c>
      <c r="CJ131" s="1422">
        <v>0</v>
      </c>
      <c r="CK131" s="1422">
        <v>0</v>
      </c>
      <c r="CL131" s="1422">
        <v>0</v>
      </c>
      <c r="CM131" s="1420">
        <v>9348.5</v>
      </c>
      <c r="CN131" s="1422">
        <v>0</v>
      </c>
      <c r="CO131" s="1420">
        <v>8336.84</v>
      </c>
      <c r="CP131" s="1422">
        <v>0</v>
      </c>
      <c r="CQ131" s="1422">
        <v>0</v>
      </c>
      <c r="CR131" s="1422">
        <v>0</v>
      </c>
      <c r="CS131" s="1420">
        <v>17685.34</v>
      </c>
      <c r="CT131" s="1422">
        <v>0</v>
      </c>
      <c r="CU131" s="1420">
        <v>14308765.27</v>
      </c>
      <c r="CV131" s="1420">
        <v>14571100.92</v>
      </c>
      <c r="CW131" s="1420">
        <v>5319517.05</v>
      </c>
      <c r="CX131" s="1420">
        <v>4616276.12</v>
      </c>
      <c r="CY131" s="1420">
        <v>941653.68</v>
      </c>
      <c r="CZ131" s="1420">
        <v>935513.12</v>
      </c>
      <c r="DA131" s="1420">
        <v>372002.53</v>
      </c>
      <c r="DB131" s="1420">
        <v>362106.98</v>
      </c>
      <c r="DC131" s="1422">
        <v>0</v>
      </c>
      <c r="DD131" s="1422">
        <v>0</v>
      </c>
      <c r="DE131" s="1420">
        <v>310025.2</v>
      </c>
      <c r="DF131" s="1420">
        <v>356103.27</v>
      </c>
      <c r="DG131" s="1420">
        <v>661709.63</v>
      </c>
      <c r="DH131" s="1420">
        <v>630600.89</v>
      </c>
      <c r="DI131" s="1420">
        <v>7604908.0899999999</v>
      </c>
      <c r="DJ131" s="1420">
        <v>6900600.3799999999</v>
      </c>
      <c r="DK131" s="1420">
        <v>231436.92</v>
      </c>
      <c r="DL131" s="1420">
        <v>269632.71999999997</v>
      </c>
      <c r="DM131" s="1420">
        <v>276306.69</v>
      </c>
      <c r="DN131" s="1420">
        <v>481774.45</v>
      </c>
      <c r="DO131" s="1420">
        <v>1678373.1</v>
      </c>
      <c r="DP131" s="1420">
        <v>1504749.37</v>
      </c>
      <c r="DQ131" s="1420">
        <v>734885.8</v>
      </c>
      <c r="DR131" s="1420">
        <v>429524.22</v>
      </c>
      <c r="DS131" s="1420">
        <v>28502.639999999999</v>
      </c>
      <c r="DT131" s="1422">
        <v>11800</v>
      </c>
      <c r="DU131" s="1420">
        <v>2949505.15</v>
      </c>
      <c r="DV131" s="1420">
        <v>2697480.76</v>
      </c>
      <c r="DW131" s="1420">
        <v>609256.87</v>
      </c>
      <c r="DX131" s="1420">
        <v>737808.2</v>
      </c>
      <c r="DY131" s="1420">
        <v>1456342.35</v>
      </c>
      <c r="DZ131" s="1420">
        <v>1313984.3600000001</v>
      </c>
      <c r="EA131" s="1420">
        <v>841941.09</v>
      </c>
      <c r="EB131" s="1420">
        <v>838329.12</v>
      </c>
      <c r="EC131" s="1420">
        <v>2907540.31</v>
      </c>
      <c r="ED131" s="1420">
        <v>2890121.68</v>
      </c>
      <c r="EE131" s="1420">
        <v>841750.21</v>
      </c>
      <c r="EF131" s="1420">
        <v>865171.76</v>
      </c>
      <c r="EG131" s="1420">
        <v>9442.2800000000007</v>
      </c>
      <c r="EH131" s="1422">
        <v>0</v>
      </c>
      <c r="EI131" s="1420">
        <v>27304.83</v>
      </c>
      <c r="EJ131" s="1420">
        <v>56282.85</v>
      </c>
      <c r="EK131" s="1422">
        <v>0</v>
      </c>
      <c r="EL131" s="1422">
        <v>0</v>
      </c>
      <c r="EM131" s="1420">
        <v>878497.32</v>
      </c>
      <c r="EN131" s="1420">
        <v>921454.61</v>
      </c>
      <c r="EO131" s="1420">
        <v>59770.37</v>
      </c>
      <c r="EP131" s="1422">
        <v>-3000</v>
      </c>
      <c r="EQ131" s="1422">
        <v>736790</v>
      </c>
      <c r="ER131" s="1420">
        <v>737612.5</v>
      </c>
      <c r="ES131" s="1420">
        <v>14420.87</v>
      </c>
      <c r="ET131" s="1422">
        <v>0</v>
      </c>
      <c r="EU131" s="1420">
        <v>15151432.109999999</v>
      </c>
      <c r="EV131" s="1420">
        <v>14144269.93</v>
      </c>
      <c r="EW131" s="1420">
        <v>372062.98</v>
      </c>
      <c r="EX131" s="1420">
        <v>150206.97</v>
      </c>
      <c r="EY131" s="1422">
        <v>736790</v>
      </c>
      <c r="EZ131" s="1420">
        <v>737612.5</v>
      </c>
      <c r="FA131" s="1420">
        <v>14042579.130000001</v>
      </c>
      <c r="FB131" s="1420">
        <v>13256450.460000001</v>
      </c>
      <c r="FC131" s="1420">
        <v>687005.21</v>
      </c>
      <c r="FD131" s="1439"/>
      <c r="FE131" s="1420">
        <v>13355573.92</v>
      </c>
      <c r="FF131" s="1439"/>
      <c r="FG131" s="1422">
        <v>9563</v>
      </c>
      <c r="FH131" s="1439"/>
      <c r="FI131" s="1420">
        <v>124.17</v>
      </c>
      <c r="FJ131" s="1439"/>
      <c r="FK131" s="1422">
        <v>42787</v>
      </c>
      <c r="FL131" s="1439"/>
      <c r="FM131" s="1420">
        <v>138.26</v>
      </c>
      <c r="FN131" s="1439"/>
      <c r="FO131" s="1422">
        <v>45258</v>
      </c>
      <c r="FP131" s="1439"/>
      <c r="FQ131" s="1420">
        <v>3388512.75</v>
      </c>
      <c r="FR131" s="1439"/>
      <c r="FS131" s="1420">
        <v>67279.83</v>
      </c>
      <c r="FT131" s="1439"/>
      <c r="FU131" s="1422">
        <v>0</v>
      </c>
      <c r="FV131" s="1439"/>
      <c r="FW131" s="1420">
        <v>3321232.92</v>
      </c>
      <c r="FX131" s="1439"/>
      <c r="FY131" s="1420">
        <v>49048.11</v>
      </c>
      <c r="FZ131" s="1439"/>
      <c r="GA131" s="1420">
        <v>261976.68</v>
      </c>
      <c r="GB131" s="1439"/>
    </row>
    <row r="132" spans="1:184" ht="12.75" customHeight="1" thickBot="1">
      <c r="A132" s="1418" t="s">
        <v>314</v>
      </c>
      <c r="B132" s="1418" t="s">
        <v>315</v>
      </c>
      <c r="C132" s="1420">
        <v>176.65</v>
      </c>
      <c r="D132" s="1439"/>
      <c r="E132" s="1420">
        <v>520.88</v>
      </c>
      <c r="F132" s="1439"/>
      <c r="G132" s="1421">
        <v>0.04</v>
      </c>
      <c r="H132" s="1439"/>
      <c r="I132" s="1420">
        <v>540.53</v>
      </c>
      <c r="J132" s="1439"/>
      <c r="K132" s="1420">
        <v>553.30999999999995</v>
      </c>
      <c r="L132" s="1439"/>
      <c r="M132" s="1422">
        <v>30901500</v>
      </c>
      <c r="N132" s="1439"/>
      <c r="O132" s="1422">
        <v>28</v>
      </c>
      <c r="P132" s="1439"/>
      <c r="Q132" s="1422">
        <v>25</v>
      </c>
      <c r="R132" s="1439"/>
      <c r="S132" s="1422">
        <v>3</v>
      </c>
      <c r="T132" s="1439"/>
      <c r="U132" s="1422">
        <v>0</v>
      </c>
      <c r="V132" s="1439"/>
      <c r="W132" s="1420">
        <v>7.5</v>
      </c>
      <c r="X132" s="1439"/>
      <c r="Y132" s="1420">
        <v>35.5</v>
      </c>
      <c r="Z132" s="1439"/>
      <c r="AA132" s="1420">
        <v>4071564.74</v>
      </c>
      <c r="AB132" s="1439"/>
      <c r="AC132" s="1420">
        <v>1156228.82</v>
      </c>
      <c r="AD132" s="1422">
        <v>1188694</v>
      </c>
      <c r="AE132" s="1420">
        <v>465621.55</v>
      </c>
      <c r="AF132" s="1420">
        <v>131929.45000000001</v>
      </c>
      <c r="AG132" s="1420">
        <v>5514.29</v>
      </c>
      <c r="AH132" s="1422">
        <v>0</v>
      </c>
      <c r="AI132" s="1422">
        <v>2425085</v>
      </c>
      <c r="AJ132" s="1422">
        <v>2568766</v>
      </c>
      <c r="AK132" s="1422">
        <v>0</v>
      </c>
      <c r="AL132" s="1422">
        <v>0</v>
      </c>
      <c r="AM132" s="1422">
        <v>0</v>
      </c>
      <c r="AN132" s="1422">
        <v>0</v>
      </c>
      <c r="AO132" s="1422">
        <v>0</v>
      </c>
      <c r="AP132" s="1422">
        <v>35543</v>
      </c>
      <c r="AQ132" s="1422">
        <v>0</v>
      </c>
      <c r="AR132" s="1422">
        <v>0</v>
      </c>
      <c r="AS132" s="1422">
        <v>0</v>
      </c>
      <c r="AT132" s="1422">
        <v>0</v>
      </c>
      <c r="AU132" s="1422">
        <v>0</v>
      </c>
      <c r="AV132" s="1422">
        <v>0</v>
      </c>
      <c r="AW132" s="1422">
        <v>0</v>
      </c>
      <c r="AX132" s="1422">
        <v>0</v>
      </c>
      <c r="AY132" s="1420">
        <v>4052449.66</v>
      </c>
      <c r="AZ132" s="1420">
        <v>3924932.45</v>
      </c>
      <c r="BA132" s="1422">
        <v>0</v>
      </c>
      <c r="BB132" s="1422">
        <v>0</v>
      </c>
      <c r="BC132" s="1422">
        <v>22885</v>
      </c>
      <c r="BD132" s="1422">
        <v>22959</v>
      </c>
      <c r="BE132" s="1420">
        <v>6228.75</v>
      </c>
      <c r="BF132" s="1422">
        <v>5000</v>
      </c>
      <c r="BG132" s="1422">
        <v>150</v>
      </c>
      <c r="BH132" s="1422">
        <v>0</v>
      </c>
      <c r="BI132" s="1422">
        <v>7963</v>
      </c>
      <c r="BJ132" s="1420">
        <v>3730.5</v>
      </c>
      <c r="BK132" s="1422">
        <v>0</v>
      </c>
      <c r="BL132" s="1422">
        <v>0</v>
      </c>
      <c r="BM132" s="1422">
        <v>185008</v>
      </c>
      <c r="BN132" s="1422">
        <v>187726</v>
      </c>
      <c r="BO132" s="1420">
        <v>29671.74</v>
      </c>
      <c r="BP132" s="1422">
        <v>0</v>
      </c>
      <c r="BQ132" s="1422">
        <v>0</v>
      </c>
      <c r="BR132" s="1422">
        <v>0</v>
      </c>
      <c r="BS132" s="1422">
        <v>0</v>
      </c>
      <c r="BT132" s="1422">
        <v>2000</v>
      </c>
      <c r="BU132" s="1422">
        <v>0</v>
      </c>
      <c r="BV132" s="1422">
        <v>0</v>
      </c>
      <c r="BW132" s="1422">
        <v>0</v>
      </c>
      <c r="BX132" s="1422">
        <v>0</v>
      </c>
      <c r="BY132" s="1422">
        <v>0</v>
      </c>
      <c r="BZ132" s="1422">
        <v>0</v>
      </c>
      <c r="CA132" s="1420">
        <v>83976.95</v>
      </c>
      <c r="CB132" s="1422">
        <v>41775</v>
      </c>
      <c r="CC132" s="1420">
        <v>335883.44</v>
      </c>
      <c r="CD132" s="1420">
        <v>263190.5</v>
      </c>
      <c r="CE132" s="1420">
        <v>705607.17</v>
      </c>
      <c r="CF132" s="1420">
        <v>673509.16</v>
      </c>
      <c r="CG132" s="1422">
        <v>549185</v>
      </c>
      <c r="CH132" s="1422">
        <v>0</v>
      </c>
      <c r="CI132" s="1422">
        <v>0</v>
      </c>
      <c r="CJ132" s="1422">
        <v>0</v>
      </c>
      <c r="CK132" s="1422">
        <v>0</v>
      </c>
      <c r="CL132" s="1422">
        <v>0</v>
      </c>
      <c r="CM132" s="1422">
        <v>0</v>
      </c>
      <c r="CN132" s="1422">
        <v>0</v>
      </c>
      <c r="CO132" s="1420">
        <v>11454.55</v>
      </c>
      <c r="CP132" s="1422">
        <v>0</v>
      </c>
      <c r="CQ132" s="1422">
        <v>0</v>
      </c>
      <c r="CR132" s="1422">
        <v>0</v>
      </c>
      <c r="CS132" s="1420">
        <v>560639.55000000005</v>
      </c>
      <c r="CT132" s="1422">
        <v>0</v>
      </c>
      <c r="CU132" s="1420">
        <v>5654579.8200000003</v>
      </c>
      <c r="CV132" s="1420">
        <v>4861632.1100000003</v>
      </c>
      <c r="CW132" s="1420">
        <v>1918221.5</v>
      </c>
      <c r="CX132" s="1420">
        <v>1756007.49</v>
      </c>
      <c r="CY132" s="1420">
        <v>257082.97</v>
      </c>
      <c r="CZ132" s="1420">
        <v>271560.90999999997</v>
      </c>
      <c r="DA132" s="1420">
        <v>139055.1</v>
      </c>
      <c r="DB132" s="1420">
        <v>146698.41</v>
      </c>
      <c r="DC132" s="1422">
        <v>0</v>
      </c>
      <c r="DD132" s="1422">
        <v>0</v>
      </c>
      <c r="DE132" s="1420">
        <v>61669.29</v>
      </c>
      <c r="DF132" s="1422">
        <v>96319</v>
      </c>
      <c r="DG132" s="1420">
        <v>63264.31</v>
      </c>
      <c r="DH132" s="1420">
        <v>59300.959999999999</v>
      </c>
      <c r="DI132" s="1420">
        <v>2439293.17</v>
      </c>
      <c r="DJ132" s="1420">
        <v>2329886.77</v>
      </c>
      <c r="DK132" s="1420">
        <v>233385.84</v>
      </c>
      <c r="DL132" s="1422">
        <v>218651</v>
      </c>
      <c r="DM132" s="1420">
        <v>44650.62</v>
      </c>
      <c r="DN132" s="1420">
        <v>51055.83</v>
      </c>
      <c r="DO132" s="1420">
        <v>614375.21</v>
      </c>
      <c r="DP132" s="1420">
        <v>569133.66</v>
      </c>
      <c r="DQ132" s="1420">
        <v>278595.31</v>
      </c>
      <c r="DR132" s="1420">
        <v>208339.42</v>
      </c>
      <c r="DS132" s="1422">
        <v>0</v>
      </c>
      <c r="DT132" s="1422">
        <v>0</v>
      </c>
      <c r="DU132" s="1420">
        <v>1171006.98</v>
      </c>
      <c r="DV132" s="1420">
        <v>1047179.91</v>
      </c>
      <c r="DW132" s="1420">
        <v>268518.34000000003</v>
      </c>
      <c r="DX132" s="1422">
        <v>303374</v>
      </c>
      <c r="DY132" s="1420">
        <v>480940.19</v>
      </c>
      <c r="DZ132" s="1420">
        <v>355166.15</v>
      </c>
      <c r="EA132" s="1420">
        <v>232756.17</v>
      </c>
      <c r="EB132" s="1420">
        <v>233516.22</v>
      </c>
      <c r="EC132" s="1420">
        <v>982214.7</v>
      </c>
      <c r="ED132" s="1420">
        <v>892056.37</v>
      </c>
      <c r="EE132" s="1420">
        <v>369208.3</v>
      </c>
      <c r="EF132" s="1420">
        <v>270571.5</v>
      </c>
      <c r="EG132" s="1422">
        <v>0</v>
      </c>
      <c r="EH132" s="1422">
        <v>0</v>
      </c>
      <c r="EI132" s="1422">
        <v>0</v>
      </c>
      <c r="EJ132" s="1422">
        <v>500</v>
      </c>
      <c r="EK132" s="1422">
        <v>0</v>
      </c>
      <c r="EL132" s="1422">
        <v>0</v>
      </c>
      <c r="EM132" s="1420">
        <v>369208.3</v>
      </c>
      <c r="EN132" s="1420">
        <v>271071.5</v>
      </c>
      <c r="EO132" s="1420">
        <v>620682.5</v>
      </c>
      <c r="EP132" s="1422">
        <v>318624</v>
      </c>
      <c r="EQ132" s="1420">
        <v>255680.49</v>
      </c>
      <c r="ER132" s="1422">
        <v>298583</v>
      </c>
      <c r="ES132" s="1422">
        <v>20040</v>
      </c>
      <c r="ET132" s="1422">
        <v>0</v>
      </c>
      <c r="EU132" s="1420">
        <v>5858126.1399999997</v>
      </c>
      <c r="EV132" s="1420">
        <v>5157401.55</v>
      </c>
      <c r="EW132" s="1420">
        <v>793206.38</v>
      </c>
      <c r="EX132" s="1422">
        <v>351693</v>
      </c>
      <c r="EY132" s="1420">
        <v>255680.49</v>
      </c>
      <c r="EZ132" s="1422">
        <v>298583</v>
      </c>
      <c r="FA132" s="1420">
        <v>4809239.2699999996</v>
      </c>
      <c r="FB132" s="1420">
        <v>4507125.55</v>
      </c>
      <c r="FC132" s="1420">
        <v>224064.34</v>
      </c>
      <c r="FD132" s="1439"/>
      <c r="FE132" s="1420">
        <v>4585174.93</v>
      </c>
      <c r="FF132" s="1439"/>
      <c r="FG132" s="1422">
        <v>8802</v>
      </c>
      <c r="FH132" s="1439"/>
      <c r="FI132" s="1420">
        <v>39.130000000000003</v>
      </c>
      <c r="FJ132" s="1439"/>
      <c r="FK132" s="1422">
        <v>42508</v>
      </c>
      <c r="FL132" s="1439"/>
      <c r="FM132" s="1420">
        <v>43.5</v>
      </c>
      <c r="FN132" s="1439"/>
      <c r="FO132" s="1422">
        <v>45066</v>
      </c>
      <c r="FP132" s="1439"/>
      <c r="FQ132" s="1420">
        <v>467125.78</v>
      </c>
      <c r="FR132" s="1439"/>
      <c r="FS132" s="1422">
        <v>0</v>
      </c>
      <c r="FT132" s="1439"/>
      <c r="FU132" s="1422">
        <v>0</v>
      </c>
      <c r="FV132" s="1439"/>
      <c r="FW132" s="1420">
        <v>467125.78</v>
      </c>
      <c r="FX132" s="1439"/>
      <c r="FY132" s="1420">
        <v>624703.41</v>
      </c>
      <c r="FZ132" s="1439"/>
      <c r="GA132" s="1422">
        <v>0</v>
      </c>
      <c r="GB132" s="1439"/>
    </row>
    <row r="133" spans="1:184" ht="12.75" customHeight="1" thickBot="1">
      <c r="A133" s="1418" t="s">
        <v>316</v>
      </c>
      <c r="B133" s="1418" t="s">
        <v>317</v>
      </c>
      <c r="C133" s="1420">
        <v>203.28</v>
      </c>
      <c r="D133" s="1439"/>
      <c r="E133" s="1420">
        <v>1287.8499999999999</v>
      </c>
      <c r="F133" s="1439"/>
      <c r="G133" s="1421">
        <v>-0.08</v>
      </c>
      <c r="H133" s="1439"/>
      <c r="I133" s="1420">
        <v>1361.14</v>
      </c>
      <c r="J133" s="1439"/>
      <c r="K133" s="1420">
        <v>1403.55</v>
      </c>
      <c r="L133" s="1439"/>
      <c r="M133" s="1422">
        <v>89913893</v>
      </c>
      <c r="N133" s="1439"/>
      <c r="O133" s="1422">
        <v>25</v>
      </c>
      <c r="P133" s="1439"/>
      <c r="Q133" s="1422">
        <v>25</v>
      </c>
      <c r="R133" s="1439"/>
      <c r="S133" s="1422">
        <v>0</v>
      </c>
      <c r="T133" s="1439"/>
      <c r="U133" s="1422">
        <v>0</v>
      </c>
      <c r="V133" s="1439"/>
      <c r="W133" s="1420">
        <v>15.2</v>
      </c>
      <c r="X133" s="1439"/>
      <c r="Y133" s="1420">
        <v>40.200000000000003</v>
      </c>
      <c r="Z133" s="1439"/>
      <c r="AA133" s="1420">
        <v>13798386.390000001</v>
      </c>
      <c r="AB133" s="1439"/>
      <c r="AC133" s="1420">
        <v>3485985.17</v>
      </c>
      <c r="AD133" s="1420">
        <v>2961458.09</v>
      </c>
      <c r="AE133" s="1420">
        <v>567773.49</v>
      </c>
      <c r="AF133" s="1420">
        <v>604830.11</v>
      </c>
      <c r="AG133" s="1420">
        <v>4314.08</v>
      </c>
      <c r="AH133" s="1422">
        <v>4314</v>
      </c>
      <c r="AI133" s="1422">
        <v>6095439</v>
      </c>
      <c r="AJ133" s="1422">
        <v>6110165</v>
      </c>
      <c r="AK133" s="1422">
        <v>95212</v>
      </c>
      <c r="AL133" s="1422">
        <v>95212</v>
      </c>
      <c r="AM133" s="1422">
        <v>0</v>
      </c>
      <c r="AN133" s="1422">
        <v>0</v>
      </c>
      <c r="AO133" s="1422">
        <v>114166</v>
      </c>
      <c r="AP133" s="1422">
        <v>119562</v>
      </c>
      <c r="AQ133" s="1422">
        <v>0</v>
      </c>
      <c r="AR133" s="1422">
        <v>0</v>
      </c>
      <c r="AS133" s="1422">
        <v>0</v>
      </c>
      <c r="AT133" s="1422">
        <v>0</v>
      </c>
      <c r="AU133" s="1422">
        <v>0</v>
      </c>
      <c r="AV133" s="1422">
        <v>0</v>
      </c>
      <c r="AW133" s="1422">
        <v>0</v>
      </c>
      <c r="AX133" s="1422">
        <v>44115</v>
      </c>
      <c r="AY133" s="1420">
        <v>10362889.74</v>
      </c>
      <c r="AZ133" s="1420">
        <v>9939656.1999999993</v>
      </c>
      <c r="BA133" s="1422">
        <v>0</v>
      </c>
      <c r="BB133" s="1422">
        <v>0</v>
      </c>
      <c r="BC133" s="1422">
        <v>58051</v>
      </c>
      <c r="BD133" s="1422">
        <v>57833</v>
      </c>
      <c r="BE133" s="1420">
        <v>6133.53</v>
      </c>
      <c r="BF133" s="1422">
        <v>3358</v>
      </c>
      <c r="BG133" s="1422">
        <v>1450</v>
      </c>
      <c r="BH133" s="1422">
        <v>1650</v>
      </c>
      <c r="BI133" s="1422">
        <v>70412</v>
      </c>
      <c r="BJ133" s="1422">
        <v>70412</v>
      </c>
      <c r="BK133" s="1422">
        <v>4688</v>
      </c>
      <c r="BL133" s="1422">
        <v>4688</v>
      </c>
      <c r="BM133" s="1422">
        <v>446400</v>
      </c>
      <c r="BN133" s="1422">
        <v>446292</v>
      </c>
      <c r="BO133" s="1420">
        <v>30411.68</v>
      </c>
      <c r="BP133" s="1420">
        <v>73473.08</v>
      </c>
      <c r="BQ133" s="1420">
        <v>33168.550000000003</v>
      </c>
      <c r="BR133" s="1422">
        <v>6500</v>
      </c>
      <c r="BS133" s="1422">
        <v>0</v>
      </c>
      <c r="BT133" s="1422">
        <v>0</v>
      </c>
      <c r="BU133" s="1422">
        <v>0</v>
      </c>
      <c r="BV133" s="1422">
        <v>0</v>
      </c>
      <c r="BW133" s="1422">
        <v>0</v>
      </c>
      <c r="BX133" s="1422">
        <v>0</v>
      </c>
      <c r="BY133" s="1422">
        <v>0</v>
      </c>
      <c r="BZ133" s="1422">
        <v>0</v>
      </c>
      <c r="CA133" s="1422">
        <v>145248</v>
      </c>
      <c r="CB133" s="1422">
        <v>146808</v>
      </c>
      <c r="CC133" s="1420">
        <v>795962.76</v>
      </c>
      <c r="CD133" s="1420">
        <v>811014.08</v>
      </c>
      <c r="CE133" s="1420">
        <v>2081626.86</v>
      </c>
      <c r="CF133" s="1420">
        <v>1954373.52</v>
      </c>
      <c r="CG133" s="1422">
        <v>0</v>
      </c>
      <c r="CH133" s="1422">
        <v>28400</v>
      </c>
      <c r="CI133" s="1422">
        <v>0</v>
      </c>
      <c r="CJ133" s="1422">
        <v>0</v>
      </c>
      <c r="CK133" s="1422">
        <v>0</v>
      </c>
      <c r="CL133" s="1422">
        <v>0</v>
      </c>
      <c r="CM133" s="1422">
        <v>0</v>
      </c>
      <c r="CN133" s="1422">
        <v>0</v>
      </c>
      <c r="CO133" s="1422">
        <v>0</v>
      </c>
      <c r="CP133" s="1422">
        <v>0</v>
      </c>
      <c r="CQ133" s="1420">
        <v>27375.55</v>
      </c>
      <c r="CR133" s="1422">
        <v>0</v>
      </c>
      <c r="CS133" s="1420">
        <v>27375.55</v>
      </c>
      <c r="CT133" s="1422">
        <v>28400</v>
      </c>
      <c r="CU133" s="1420">
        <v>13267854.91</v>
      </c>
      <c r="CV133" s="1420">
        <v>12733443.800000001</v>
      </c>
      <c r="CW133" s="1420">
        <v>4926443.41</v>
      </c>
      <c r="CX133" s="1420">
        <v>5051466.92</v>
      </c>
      <c r="CY133" s="1420">
        <v>789297.68</v>
      </c>
      <c r="CZ133" s="1420">
        <v>995959.46</v>
      </c>
      <c r="DA133" s="1420">
        <v>400975.47</v>
      </c>
      <c r="DB133" s="1420">
        <v>382752.75</v>
      </c>
      <c r="DC133" s="1422">
        <v>0</v>
      </c>
      <c r="DD133" s="1422">
        <v>0</v>
      </c>
      <c r="DE133" s="1420">
        <v>494529.11</v>
      </c>
      <c r="DF133" s="1420">
        <v>516634.96</v>
      </c>
      <c r="DG133" s="1420">
        <v>264968.65000000002</v>
      </c>
      <c r="DH133" s="1420">
        <v>276853.24</v>
      </c>
      <c r="DI133" s="1420">
        <v>6876214.3200000003</v>
      </c>
      <c r="DJ133" s="1420">
        <v>7223667.3300000001</v>
      </c>
      <c r="DK133" s="1420">
        <v>388953.33</v>
      </c>
      <c r="DL133" s="1420">
        <v>277688.26</v>
      </c>
      <c r="DM133" s="1420">
        <v>295003.78000000003</v>
      </c>
      <c r="DN133" s="1420">
        <v>339394.09</v>
      </c>
      <c r="DO133" s="1420">
        <v>1213267.1100000001</v>
      </c>
      <c r="DP133" s="1420">
        <v>1062162.01</v>
      </c>
      <c r="DQ133" s="1420">
        <v>524324.52</v>
      </c>
      <c r="DR133" s="1420">
        <v>480101.45</v>
      </c>
      <c r="DS133" s="1420">
        <v>35518.18</v>
      </c>
      <c r="DT133" s="1422">
        <v>14000</v>
      </c>
      <c r="DU133" s="1420">
        <v>2457066.92</v>
      </c>
      <c r="DV133" s="1420">
        <v>2173345.81</v>
      </c>
      <c r="DW133" s="1420">
        <v>470023.69</v>
      </c>
      <c r="DX133" s="1420">
        <v>485838.89</v>
      </c>
      <c r="DY133" s="1420">
        <v>641509.27</v>
      </c>
      <c r="DZ133" s="1420">
        <v>761108.81</v>
      </c>
      <c r="EA133" s="1420">
        <v>678483.98</v>
      </c>
      <c r="EB133" s="1420">
        <v>687196.23</v>
      </c>
      <c r="EC133" s="1420">
        <v>1790016.94</v>
      </c>
      <c r="ED133" s="1420">
        <v>1934143.93</v>
      </c>
      <c r="EE133" s="1420">
        <v>833343.39</v>
      </c>
      <c r="EF133" s="1420">
        <v>812863.59</v>
      </c>
      <c r="EG133" s="1420">
        <v>90856.44</v>
      </c>
      <c r="EH133" s="1422">
        <v>0</v>
      </c>
      <c r="EI133" s="1420">
        <v>8512.66</v>
      </c>
      <c r="EJ133" s="1420">
        <v>1658.28</v>
      </c>
      <c r="EK133" s="1422">
        <v>0</v>
      </c>
      <c r="EL133" s="1422">
        <v>0</v>
      </c>
      <c r="EM133" s="1420">
        <v>932712.49</v>
      </c>
      <c r="EN133" s="1420">
        <v>814521.87</v>
      </c>
      <c r="EO133" s="1420">
        <v>41118.75</v>
      </c>
      <c r="EP133" s="1420">
        <v>457233.99</v>
      </c>
      <c r="EQ133" s="1420">
        <v>961519.28</v>
      </c>
      <c r="ER133" s="1420">
        <v>912086.2</v>
      </c>
      <c r="ES133" s="1422">
        <v>0</v>
      </c>
      <c r="ET133" s="1422">
        <v>0</v>
      </c>
      <c r="EU133" s="1420">
        <v>13058648.699999999</v>
      </c>
      <c r="EV133" s="1420">
        <v>13514999.130000001</v>
      </c>
      <c r="EW133" s="1420">
        <v>337547.75</v>
      </c>
      <c r="EX133" s="1420">
        <v>705907.15</v>
      </c>
      <c r="EY133" s="1420">
        <v>961519.28</v>
      </c>
      <c r="EZ133" s="1420">
        <v>912086.2</v>
      </c>
      <c r="FA133" s="1420">
        <v>11759581.67</v>
      </c>
      <c r="FB133" s="1420">
        <v>11897005.779999999</v>
      </c>
      <c r="FC133" s="1420">
        <v>464391.11</v>
      </c>
      <c r="FD133" s="1439"/>
      <c r="FE133" s="1420">
        <v>11295190.560000001</v>
      </c>
      <c r="FF133" s="1439"/>
      <c r="FG133" s="1422">
        <v>8770</v>
      </c>
      <c r="FH133" s="1439"/>
      <c r="FI133" s="1420">
        <v>105.75</v>
      </c>
      <c r="FJ133" s="1439"/>
      <c r="FK133" s="1422">
        <v>41484</v>
      </c>
      <c r="FL133" s="1439"/>
      <c r="FM133" s="1420">
        <v>113.3</v>
      </c>
      <c r="FN133" s="1439"/>
      <c r="FO133" s="1422">
        <v>43419</v>
      </c>
      <c r="FP133" s="1439"/>
      <c r="FQ133" s="1420">
        <v>2646914.27</v>
      </c>
      <c r="FR133" s="1439"/>
      <c r="FS133" s="1420">
        <v>147897.75</v>
      </c>
      <c r="FT133" s="1439"/>
      <c r="FU133" s="1422">
        <v>0</v>
      </c>
      <c r="FV133" s="1439"/>
      <c r="FW133" s="1420">
        <v>2499016.52</v>
      </c>
      <c r="FX133" s="1439"/>
      <c r="FY133" s="1420">
        <v>835008.96</v>
      </c>
      <c r="FZ133" s="1439"/>
      <c r="GA133" s="1422">
        <v>0</v>
      </c>
      <c r="GB133" s="1439"/>
    </row>
    <row r="134" spans="1:184" ht="12.75" customHeight="1" thickBot="1">
      <c r="A134" s="1418" t="s">
        <v>318</v>
      </c>
      <c r="B134" s="1418" t="s">
        <v>319</v>
      </c>
      <c r="C134" s="1420">
        <v>120.81</v>
      </c>
      <c r="D134" s="1439"/>
      <c r="E134" s="1420">
        <v>485.86</v>
      </c>
      <c r="F134" s="1439"/>
      <c r="G134" s="1421">
        <v>0</v>
      </c>
      <c r="H134" s="1439"/>
      <c r="I134" s="1420">
        <v>516.47</v>
      </c>
      <c r="J134" s="1439"/>
      <c r="K134" s="1420">
        <v>543.04999999999995</v>
      </c>
      <c r="L134" s="1439"/>
      <c r="M134" s="1422">
        <v>33982515</v>
      </c>
      <c r="N134" s="1439"/>
      <c r="O134" s="1422">
        <v>25</v>
      </c>
      <c r="P134" s="1439"/>
      <c r="Q134" s="1422">
        <v>25</v>
      </c>
      <c r="R134" s="1439"/>
      <c r="S134" s="1422">
        <v>0</v>
      </c>
      <c r="T134" s="1439"/>
      <c r="U134" s="1422">
        <v>0</v>
      </c>
      <c r="V134" s="1439"/>
      <c r="W134" s="1422">
        <v>14</v>
      </c>
      <c r="X134" s="1439"/>
      <c r="Y134" s="1422">
        <v>39</v>
      </c>
      <c r="Z134" s="1439"/>
      <c r="AA134" s="1420">
        <v>6488662.8600000003</v>
      </c>
      <c r="AB134" s="1439"/>
      <c r="AC134" s="1420">
        <v>1215116.46</v>
      </c>
      <c r="AD134" s="1422">
        <v>1280728</v>
      </c>
      <c r="AE134" s="1420">
        <v>355445.63</v>
      </c>
      <c r="AF134" s="1422">
        <v>233345</v>
      </c>
      <c r="AG134" s="1420">
        <v>677.2</v>
      </c>
      <c r="AH134" s="1422">
        <v>0</v>
      </c>
      <c r="AI134" s="1422">
        <v>2415752</v>
      </c>
      <c r="AJ134" s="1422">
        <v>2281717</v>
      </c>
      <c r="AK134" s="1422">
        <v>42460</v>
      </c>
      <c r="AL134" s="1422">
        <v>0</v>
      </c>
      <c r="AM134" s="1422">
        <v>0</v>
      </c>
      <c r="AN134" s="1422">
        <v>0</v>
      </c>
      <c r="AO134" s="1422">
        <v>25538</v>
      </c>
      <c r="AP134" s="1422">
        <v>77414</v>
      </c>
      <c r="AQ134" s="1422">
        <v>0</v>
      </c>
      <c r="AR134" s="1422">
        <v>0</v>
      </c>
      <c r="AS134" s="1422">
        <v>0</v>
      </c>
      <c r="AT134" s="1422">
        <v>0</v>
      </c>
      <c r="AU134" s="1422">
        <v>33943</v>
      </c>
      <c r="AV134" s="1422">
        <v>27154</v>
      </c>
      <c r="AW134" s="1422">
        <v>0</v>
      </c>
      <c r="AX134" s="1422">
        <v>0</v>
      </c>
      <c r="AY134" s="1420">
        <v>4088932.29</v>
      </c>
      <c r="AZ134" s="1422">
        <v>3900358</v>
      </c>
      <c r="BA134" s="1422">
        <v>0</v>
      </c>
      <c r="BB134" s="1422">
        <v>0</v>
      </c>
      <c r="BC134" s="1422">
        <v>22461</v>
      </c>
      <c r="BD134" s="1422">
        <v>21946</v>
      </c>
      <c r="BE134" s="1420">
        <v>1185.27</v>
      </c>
      <c r="BF134" s="1422">
        <v>2200</v>
      </c>
      <c r="BG134" s="1422">
        <v>250</v>
      </c>
      <c r="BH134" s="1422">
        <v>200</v>
      </c>
      <c r="BI134" s="1422">
        <v>54729</v>
      </c>
      <c r="BJ134" s="1422">
        <v>87542</v>
      </c>
      <c r="BK134" s="1422">
        <v>2637</v>
      </c>
      <c r="BL134" s="1422">
        <v>2691</v>
      </c>
      <c r="BM134" s="1422">
        <v>383904</v>
      </c>
      <c r="BN134" s="1422">
        <v>406824</v>
      </c>
      <c r="BO134" s="1420">
        <v>2224.6999999999998</v>
      </c>
      <c r="BP134" s="1422">
        <v>0</v>
      </c>
      <c r="BQ134" s="1420">
        <v>4062.52</v>
      </c>
      <c r="BR134" s="1422">
        <v>1600</v>
      </c>
      <c r="BS134" s="1420">
        <v>2642.27</v>
      </c>
      <c r="BT134" s="1422">
        <v>2500</v>
      </c>
      <c r="BU134" s="1422">
        <v>0</v>
      </c>
      <c r="BV134" s="1422">
        <v>0</v>
      </c>
      <c r="BW134" s="1422">
        <v>221616</v>
      </c>
      <c r="BX134" s="1422">
        <v>243000</v>
      </c>
      <c r="BY134" s="1422">
        <v>0</v>
      </c>
      <c r="BZ134" s="1422">
        <v>0</v>
      </c>
      <c r="CA134" s="1422">
        <v>179154</v>
      </c>
      <c r="CB134" s="1422">
        <v>50001</v>
      </c>
      <c r="CC134" s="1420">
        <v>874865.76</v>
      </c>
      <c r="CD134" s="1422">
        <v>818504</v>
      </c>
      <c r="CE134" s="1420">
        <v>870912.58</v>
      </c>
      <c r="CF134" s="1422">
        <v>815055</v>
      </c>
      <c r="CG134" s="1420">
        <v>166822.5</v>
      </c>
      <c r="CH134" s="1422">
        <v>0</v>
      </c>
      <c r="CI134" s="1422">
        <v>0</v>
      </c>
      <c r="CJ134" s="1422">
        <v>0</v>
      </c>
      <c r="CK134" s="1422">
        <v>5600</v>
      </c>
      <c r="CL134" s="1422">
        <v>5400</v>
      </c>
      <c r="CM134" s="1422">
        <v>0</v>
      </c>
      <c r="CN134" s="1422">
        <v>0</v>
      </c>
      <c r="CO134" s="1420">
        <v>2769.34</v>
      </c>
      <c r="CP134" s="1422">
        <v>5000</v>
      </c>
      <c r="CQ134" s="1422">
        <v>0</v>
      </c>
      <c r="CR134" s="1422">
        <v>0</v>
      </c>
      <c r="CS134" s="1420">
        <v>175191.84</v>
      </c>
      <c r="CT134" s="1422">
        <v>10400</v>
      </c>
      <c r="CU134" s="1420">
        <v>6009902.4699999997</v>
      </c>
      <c r="CV134" s="1422">
        <v>5544317</v>
      </c>
      <c r="CW134" s="1420">
        <v>2249799.4900000002</v>
      </c>
      <c r="CX134" s="1420">
        <v>2156777.13</v>
      </c>
      <c r="CY134" s="1420">
        <v>237439.58</v>
      </c>
      <c r="CZ134" s="1420">
        <v>223312.19</v>
      </c>
      <c r="DA134" s="1420">
        <v>136229.99</v>
      </c>
      <c r="DB134" s="1420">
        <v>139318.37</v>
      </c>
      <c r="DC134" s="1422">
        <v>0</v>
      </c>
      <c r="DD134" s="1422">
        <v>0</v>
      </c>
      <c r="DE134" s="1420">
        <v>190685.42</v>
      </c>
      <c r="DF134" s="1420">
        <v>216056.94</v>
      </c>
      <c r="DG134" s="1420">
        <v>201643.53</v>
      </c>
      <c r="DH134" s="1420">
        <v>172170.5</v>
      </c>
      <c r="DI134" s="1420">
        <v>3015798.01</v>
      </c>
      <c r="DJ134" s="1420">
        <v>2907635.13</v>
      </c>
      <c r="DK134" s="1420">
        <v>128714.86</v>
      </c>
      <c r="DL134" s="1420">
        <v>125453.24</v>
      </c>
      <c r="DM134" s="1420">
        <v>145249.21</v>
      </c>
      <c r="DN134" s="1420">
        <v>130309.44</v>
      </c>
      <c r="DO134" s="1420">
        <v>532076.97</v>
      </c>
      <c r="DP134" s="1420">
        <v>566071.49</v>
      </c>
      <c r="DQ134" s="1420">
        <v>361118.92</v>
      </c>
      <c r="DR134" s="1420">
        <v>195745.37</v>
      </c>
      <c r="DS134" s="1420">
        <v>15415.38</v>
      </c>
      <c r="DT134" s="1422">
        <v>13500</v>
      </c>
      <c r="DU134" s="1420">
        <v>1182575.3400000001</v>
      </c>
      <c r="DV134" s="1420">
        <v>1031079.54</v>
      </c>
      <c r="DW134" s="1420">
        <v>297055.35999999999</v>
      </c>
      <c r="DX134" s="1420">
        <v>364802.69</v>
      </c>
      <c r="DY134" s="1420">
        <v>254980.11</v>
      </c>
      <c r="DZ134" s="1420">
        <v>257958.28</v>
      </c>
      <c r="EA134" s="1420">
        <v>183535.29</v>
      </c>
      <c r="EB134" s="1420">
        <v>180809.1</v>
      </c>
      <c r="EC134" s="1420">
        <v>735570.76</v>
      </c>
      <c r="ED134" s="1420">
        <v>803570.07</v>
      </c>
      <c r="EE134" s="1420">
        <v>374455.33</v>
      </c>
      <c r="EF134" s="1420">
        <v>352636.89</v>
      </c>
      <c r="EG134" s="1420">
        <v>13501.99</v>
      </c>
      <c r="EH134" s="1422">
        <v>14000</v>
      </c>
      <c r="EI134" s="1420">
        <v>63751.69</v>
      </c>
      <c r="EJ134" s="1420">
        <v>62453.05</v>
      </c>
      <c r="EK134" s="1422">
        <v>0</v>
      </c>
      <c r="EL134" s="1422">
        <v>0</v>
      </c>
      <c r="EM134" s="1420">
        <v>451709.01</v>
      </c>
      <c r="EN134" s="1420">
        <v>429089.94</v>
      </c>
      <c r="EO134" s="1420">
        <v>1874071.86</v>
      </c>
      <c r="EP134" s="1422">
        <v>94717</v>
      </c>
      <c r="EQ134" s="1420">
        <v>398116.65</v>
      </c>
      <c r="ER134" s="1420">
        <v>405789.76</v>
      </c>
      <c r="ES134" s="1422">
        <v>0</v>
      </c>
      <c r="ET134" s="1422">
        <v>0</v>
      </c>
      <c r="EU134" s="1420">
        <v>7657841.6299999999</v>
      </c>
      <c r="EV134" s="1420">
        <v>5671881.4400000004</v>
      </c>
      <c r="EW134" s="1420">
        <v>2055709.84</v>
      </c>
      <c r="EX134" s="1422">
        <v>160717</v>
      </c>
      <c r="EY134" s="1420">
        <v>398116.65</v>
      </c>
      <c r="EZ134" s="1420">
        <v>405789.76</v>
      </c>
      <c r="FA134" s="1420">
        <v>5204015.1399999997</v>
      </c>
      <c r="FB134" s="1420">
        <v>5105374.68</v>
      </c>
      <c r="FC134" s="1420">
        <v>456491.31</v>
      </c>
      <c r="FD134" s="1439"/>
      <c r="FE134" s="1420">
        <v>4747523.83</v>
      </c>
      <c r="FF134" s="1439"/>
      <c r="FG134" s="1422">
        <v>9771</v>
      </c>
      <c r="FH134" s="1439"/>
      <c r="FI134" s="1420">
        <v>44.2</v>
      </c>
      <c r="FJ134" s="1439"/>
      <c r="FK134" s="1422">
        <v>39443</v>
      </c>
      <c r="FL134" s="1439"/>
      <c r="FM134" s="1420">
        <v>48.24</v>
      </c>
      <c r="FN134" s="1439"/>
      <c r="FO134" s="1422">
        <v>41475</v>
      </c>
      <c r="FP134" s="1439"/>
      <c r="FQ134" s="1420">
        <v>482491.08</v>
      </c>
      <c r="FR134" s="1439"/>
      <c r="FS134" s="1420">
        <v>45700.73</v>
      </c>
      <c r="FT134" s="1439"/>
      <c r="FU134" s="1422">
        <v>0</v>
      </c>
      <c r="FV134" s="1439"/>
      <c r="FW134" s="1420">
        <v>436790.35</v>
      </c>
      <c r="FX134" s="1439"/>
      <c r="FY134" s="1420">
        <v>1074920.33</v>
      </c>
      <c r="FZ134" s="1439"/>
      <c r="GA134" s="1422">
        <v>0</v>
      </c>
      <c r="GB134" s="1439"/>
    </row>
    <row r="135" spans="1:184" ht="12.75" customHeight="1" thickBot="1">
      <c r="A135" s="1418" t="s">
        <v>320</v>
      </c>
      <c r="B135" s="1418" t="s">
        <v>321</v>
      </c>
      <c r="C135" s="1420">
        <v>228.29</v>
      </c>
      <c r="D135" s="1439"/>
      <c r="E135" s="1420">
        <v>1060.48</v>
      </c>
      <c r="F135" s="1439"/>
      <c r="G135" s="1421">
        <v>-0.03</v>
      </c>
      <c r="H135" s="1439"/>
      <c r="I135" s="1420">
        <v>1111.8699999999999</v>
      </c>
      <c r="J135" s="1439"/>
      <c r="K135" s="1420">
        <v>1118.94</v>
      </c>
      <c r="L135" s="1439"/>
      <c r="M135" s="1422">
        <v>75110940</v>
      </c>
      <c r="N135" s="1439"/>
      <c r="O135" s="1422">
        <v>25</v>
      </c>
      <c r="P135" s="1439"/>
      <c r="Q135" s="1422">
        <v>25</v>
      </c>
      <c r="R135" s="1439"/>
      <c r="S135" s="1422">
        <v>0</v>
      </c>
      <c r="T135" s="1439"/>
      <c r="U135" s="1422">
        <v>0</v>
      </c>
      <c r="V135" s="1439"/>
      <c r="W135" s="1422">
        <v>13</v>
      </c>
      <c r="X135" s="1439"/>
      <c r="Y135" s="1422">
        <v>38</v>
      </c>
      <c r="Z135" s="1439"/>
      <c r="AA135" s="1420">
        <v>10733894.210000001</v>
      </c>
      <c r="AB135" s="1439"/>
      <c r="AC135" s="1420">
        <v>2651246.7599999998</v>
      </c>
      <c r="AD135" s="1422">
        <v>2688500</v>
      </c>
      <c r="AE135" s="1420">
        <v>703284.32</v>
      </c>
      <c r="AF135" s="1422">
        <v>700344</v>
      </c>
      <c r="AG135" s="1420">
        <v>3550.73</v>
      </c>
      <c r="AH135" s="1422">
        <v>4000</v>
      </c>
      <c r="AI135" s="1422">
        <v>4828004</v>
      </c>
      <c r="AJ135" s="1422">
        <v>4904753</v>
      </c>
      <c r="AK135" s="1422">
        <v>72887</v>
      </c>
      <c r="AL135" s="1422">
        <v>30000</v>
      </c>
      <c r="AM135" s="1422">
        <v>0</v>
      </c>
      <c r="AN135" s="1422">
        <v>0</v>
      </c>
      <c r="AO135" s="1422">
        <v>23369</v>
      </c>
      <c r="AP135" s="1422">
        <v>4639</v>
      </c>
      <c r="AQ135" s="1422">
        <v>0</v>
      </c>
      <c r="AR135" s="1422">
        <v>0</v>
      </c>
      <c r="AS135" s="1422">
        <v>0</v>
      </c>
      <c r="AT135" s="1422">
        <v>0</v>
      </c>
      <c r="AU135" s="1422">
        <v>0</v>
      </c>
      <c r="AV135" s="1422">
        <v>0</v>
      </c>
      <c r="AW135" s="1422">
        <v>0</v>
      </c>
      <c r="AX135" s="1422">
        <v>0</v>
      </c>
      <c r="AY135" s="1420">
        <v>8282341.8099999996</v>
      </c>
      <c r="AZ135" s="1422">
        <v>8332236</v>
      </c>
      <c r="BA135" s="1422">
        <v>0</v>
      </c>
      <c r="BB135" s="1422">
        <v>0</v>
      </c>
      <c r="BC135" s="1422">
        <v>46279</v>
      </c>
      <c r="BD135" s="1422">
        <v>47357</v>
      </c>
      <c r="BE135" s="1422">
        <v>12595</v>
      </c>
      <c r="BF135" s="1422">
        <v>19500</v>
      </c>
      <c r="BG135" s="1422">
        <v>1450</v>
      </c>
      <c r="BH135" s="1422">
        <v>1000</v>
      </c>
      <c r="BI135" s="1422">
        <v>82885</v>
      </c>
      <c r="BJ135" s="1422">
        <v>60000</v>
      </c>
      <c r="BK135" s="1422">
        <v>9083</v>
      </c>
      <c r="BL135" s="1422">
        <v>10000</v>
      </c>
      <c r="BM135" s="1422">
        <v>332816</v>
      </c>
      <c r="BN135" s="1422">
        <v>340032</v>
      </c>
      <c r="BO135" s="1420">
        <v>13538.79</v>
      </c>
      <c r="BP135" s="1422">
        <v>8500</v>
      </c>
      <c r="BQ135" s="1422">
        <v>3250</v>
      </c>
      <c r="BR135" s="1422">
        <v>2437</v>
      </c>
      <c r="BS135" s="1420">
        <v>5048.04</v>
      </c>
      <c r="BT135" s="1422">
        <v>5000</v>
      </c>
      <c r="BU135" s="1422">
        <v>0</v>
      </c>
      <c r="BV135" s="1422">
        <v>0</v>
      </c>
      <c r="BW135" s="1420">
        <v>267784.59999999998</v>
      </c>
      <c r="BX135" s="1422">
        <v>247860</v>
      </c>
      <c r="BY135" s="1422">
        <v>0</v>
      </c>
      <c r="BZ135" s="1422">
        <v>0</v>
      </c>
      <c r="CA135" s="1420">
        <v>344648.33</v>
      </c>
      <c r="CB135" s="1422">
        <v>218000</v>
      </c>
      <c r="CC135" s="1420">
        <v>1119377.76</v>
      </c>
      <c r="CD135" s="1422">
        <v>959686</v>
      </c>
      <c r="CE135" s="1420">
        <v>2476833.39</v>
      </c>
      <c r="CF135" s="1422">
        <v>1498304</v>
      </c>
      <c r="CG135" s="1422">
        <v>0</v>
      </c>
      <c r="CH135" s="1422">
        <v>0</v>
      </c>
      <c r="CI135" s="1422">
        <v>0</v>
      </c>
      <c r="CJ135" s="1422">
        <v>0</v>
      </c>
      <c r="CK135" s="1422">
        <v>2571</v>
      </c>
      <c r="CL135" s="1422">
        <v>2500</v>
      </c>
      <c r="CM135" s="1422">
        <v>0</v>
      </c>
      <c r="CN135" s="1422">
        <v>0</v>
      </c>
      <c r="CO135" s="1422">
        <v>0</v>
      </c>
      <c r="CP135" s="1422">
        <v>13700</v>
      </c>
      <c r="CQ135" s="1422">
        <v>0</v>
      </c>
      <c r="CR135" s="1422">
        <v>0</v>
      </c>
      <c r="CS135" s="1422">
        <v>2571</v>
      </c>
      <c r="CT135" s="1422">
        <v>16200</v>
      </c>
      <c r="CU135" s="1420">
        <v>11881123.960000001</v>
      </c>
      <c r="CV135" s="1422">
        <v>10806426</v>
      </c>
      <c r="CW135" s="1420">
        <v>4521459.93</v>
      </c>
      <c r="CX135" s="1420">
        <v>4418317.9800000004</v>
      </c>
      <c r="CY135" s="1420">
        <v>556360.72</v>
      </c>
      <c r="CZ135" s="1420">
        <v>604407.54</v>
      </c>
      <c r="DA135" s="1420">
        <v>221990.03</v>
      </c>
      <c r="DB135" s="1420">
        <v>146266.57</v>
      </c>
      <c r="DC135" s="1422">
        <v>0</v>
      </c>
      <c r="DD135" s="1422">
        <v>0</v>
      </c>
      <c r="DE135" s="1420">
        <v>254274.4</v>
      </c>
      <c r="DF135" s="1420">
        <v>220776.87</v>
      </c>
      <c r="DG135" s="1420">
        <v>172358.09</v>
      </c>
      <c r="DH135" s="1420">
        <v>161997.32</v>
      </c>
      <c r="DI135" s="1420">
        <v>5726443.1699999999</v>
      </c>
      <c r="DJ135" s="1420">
        <v>5551766.2800000003</v>
      </c>
      <c r="DK135" s="1420">
        <v>285338.44</v>
      </c>
      <c r="DL135" s="1420">
        <v>274540.2</v>
      </c>
      <c r="DM135" s="1420">
        <v>173023.05</v>
      </c>
      <c r="DN135" s="1420">
        <v>177536.19</v>
      </c>
      <c r="DO135" s="1420">
        <v>1133278.5900000001</v>
      </c>
      <c r="DP135" s="1420">
        <v>1169097.21</v>
      </c>
      <c r="DQ135" s="1420">
        <v>399269.44</v>
      </c>
      <c r="DR135" s="1420">
        <v>403922.34</v>
      </c>
      <c r="DS135" s="1420">
        <v>42845.45</v>
      </c>
      <c r="DT135" s="1422">
        <v>48685</v>
      </c>
      <c r="DU135" s="1420">
        <v>2033754.97</v>
      </c>
      <c r="DV135" s="1420">
        <v>2073780.94</v>
      </c>
      <c r="DW135" s="1420">
        <v>610754.31000000006</v>
      </c>
      <c r="DX135" s="1420">
        <v>591653.62</v>
      </c>
      <c r="DY135" s="1420">
        <v>876713.43</v>
      </c>
      <c r="DZ135" s="1420">
        <v>926645.93</v>
      </c>
      <c r="EA135" s="1420">
        <v>469582.57</v>
      </c>
      <c r="EB135" s="1420">
        <v>476194.02</v>
      </c>
      <c r="EC135" s="1420">
        <v>1957050.31</v>
      </c>
      <c r="ED135" s="1420">
        <v>1994493.57</v>
      </c>
      <c r="EE135" s="1420">
        <v>635302.07999999996</v>
      </c>
      <c r="EF135" s="1420">
        <v>629931.31999999995</v>
      </c>
      <c r="EG135" s="1422">
        <v>0</v>
      </c>
      <c r="EH135" s="1422">
        <v>0</v>
      </c>
      <c r="EI135" s="1420">
        <v>154244.84</v>
      </c>
      <c r="EJ135" s="1420">
        <v>141567.67999999999</v>
      </c>
      <c r="EK135" s="1422">
        <v>0</v>
      </c>
      <c r="EL135" s="1422">
        <v>0</v>
      </c>
      <c r="EM135" s="1420">
        <v>789546.92</v>
      </c>
      <c r="EN135" s="1422">
        <v>771499</v>
      </c>
      <c r="EO135" s="1420">
        <v>916922.78</v>
      </c>
      <c r="EP135" s="1422">
        <v>70000</v>
      </c>
      <c r="EQ135" s="1420">
        <v>564314.17000000004</v>
      </c>
      <c r="ER135" s="1422">
        <v>551881</v>
      </c>
      <c r="ES135" s="1420">
        <v>2772.55</v>
      </c>
      <c r="ET135" s="1422">
        <v>0</v>
      </c>
      <c r="EU135" s="1420">
        <v>11990804.869999999</v>
      </c>
      <c r="EV135" s="1420">
        <v>11013420.789999999</v>
      </c>
      <c r="EW135" s="1420">
        <v>1172958.3</v>
      </c>
      <c r="EX135" s="1422">
        <v>303108</v>
      </c>
      <c r="EY135" s="1420">
        <v>564314.17000000004</v>
      </c>
      <c r="EZ135" s="1422">
        <v>551881</v>
      </c>
      <c r="FA135" s="1420">
        <v>10253532.4</v>
      </c>
      <c r="FB135" s="1420">
        <v>10158431.789999999</v>
      </c>
      <c r="FC135" s="1420">
        <v>995013.74</v>
      </c>
      <c r="FD135" s="1439"/>
      <c r="FE135" s="1420">
        <v>9258518.6600000001</v>
      </c>
      <c r="FF135" s="1439"/>
      <c r="FG135" s="1422">
        <v>8730</v>
      </c>
      <c r="FH135" s="1439"/>
      <c r="FI135" s="1420">
        <v>82.46</v>
      </c>
      <c r="FJ135" s="1439"/>
      <c r="FK135" s="1422">
        <v>41041</v>
      </c>
      <c r="FL135" s="1439"/>
      <c r="FM135" s="1420">
        <v>89.92</v>
      </c>
      <c r="FN135" s="1439"/>
      <c r="FO135" s="1422">
        <v>43097</v>
      </c>
      <c r="FP135" s="1439"/>
      <c r="FQ135" s="1420">
        <v>1498065.13</v>
      </c>
      <c r="FR135" s="1439"/>
      <c r="FS135" s="1420">
        <v>38447.25</v>
      </c>
      <c r="FT135" s="1439"/>
      <c r="FU135" s="1422">
        <v>0</v>
      </c>
      <c r="FV135" s="1439"/>
      <c r="FW135" s="1420">
        <v>1459617.88</v>
      </c>
      <c r="FX135" s="1439"/>
      <c r="FY135" s="1420">
        <v>373964.54</v>
      </c>
      <c r="FZ135" s="1439"/>
      <c r="GA135" s="1422">
        <v>0</v>
      </c>
      <c r="GB135" s="1439"/>
    </row>
    <row r="136" spans="1:184" ht="12.75" customHeight="1" thickBot="1">
      <c r="A136" s="1418" t="s">
        <v>322</v>
      </c>
      <c r="B136" s="1418" t="s">
        <v>323</v>
      </c>
      <c r="C136" s="1420">
        <v>78.77</v>
      </c>
      <c r="D136" s="1439"/>
      <c r="E136" s="1420">
        <v>389.25</v>
      </c>
      <c r="F136" s="1439"/>
      <c r="G136" s="1421">
        <v>0.03</v>
      </c>
      <c r="H136" s="1439"/>
      <c r="I136" s="1420">
        <v>405.24</v>
      </c>
      <c r="J136" s="1439"/>
      <c r="K136" s="1420">
        <v>409.84</v>
      </c>
      <c r="L136" s="1439"/>
      <c r="M136" s="1422">
        <v>33804816</v>
      </c>
      <c r="N136" s="1439"/>
      <c r="O136" s="1422">
        <v>25</v>
      </c>
      <c r="P136" s="1439"/>
      <c r="Q136" s="1422">
        <v>25</v>
      </c>
      <c r="R136" s="1439"/>
      <c r="S136" s="1422">
        <v>0</v>
      </c>
      <c r="T136" s="1439"/>
      <c r="U136" s="1422">
        <v>0</v>
      </c>
      <c r="V136" s="1439"/>
      <c r="W136" s="1422">
        <v>13</v>
      </c>
      <c r="X136" s="1439"/>
      <c r="Y136" s="1422">
        <v>38</v>
      </c>
      <c r="Z136" s="1439"/>
      <c r="AA136" s="1420">
        <v>2765156.16</v>
      </c>
      <c r="AB136" s="1439"/>
      <c r="AC136" s="1420">
        <v>1182689.6499999999</v>
      </c>
      <c r="AD136" s="1422">
        <v>1175618</v>
      </c>
      <c r="AE136" s="1420">
        <v>407029.47</v>
      </c>
      <c r="AF136" s="1422">
        <v>332936</v>
      </c>
      <c r="AG136" s="1420">
        <v>1513.21</v>
      </c>
      <c r="AH136" s="1422">
        <v>500</v>
      </c>
      <c r="AI136" s="1422">
        <v>1670334</v>
      </c>
      <c r="AJ136" s="1422">
        <v>1643358</v>
      </c>
      <c r="AK136" s="1422">
        <v>16041</v>
      </c>
      <c r="AL136" s="1422">
        <v>0</v>
      </c>
      <c r="AM136" s="1422">
        <v>28492</v>
      </c>
      <c r="AN136" s="1422">
        <v>0</v>
      </c>
      <c r="AO136" s="1422">
        <v>0</v>
      </c>
      <c r="AP136" s="1422">
        <v>18125</v>
      </c>
      <c r="AQ136" s="1422">
        <v>0</v>
      </c>
      <c r="AR136" s="1422">
        <v>0</v>
      </c>
      <c r="AS136" s="1422">
        <v>0</v>
      </c>
      <c r="AT136" s="1422">
        <v>0</v>
      </c>
      <c r="AU136" s="1422">
        <v>0</v>
      </c>
      <c r="AV136" s="1422">
        <v>0</v>
      </c>
      <c r="AW136" s="1422">
        <v>0</v>
      </c>
      <c r="AX136" s="1422">
        <v>0</v>
      </c>
      <c r="AY136" s="1420">
        <v>3306099.33</v>
      </c>
      <c r="AZ136" s="1422">
        <v>3170537</v>
      </c>
      <c r="BA136" s="1422">
        <v>0</v>
      </c>
      <c r="BB136" s="1422">
        <v>0</v>
      </c>
      <c r="BC136" s="1422">
        <v>16951</v>
      </c>
      <c r="BD136" s="1422">
        <v>17119</v>
      </c>
      <c r="BE136" s="1420">
        <v>17363.400000000001</v>
      </c>
      <c r="BF136" s="1422">
        <v>3600</v>
      </c>
      <c r="BG136" s="1422">
        <v>1802</v>
      </c>
      <c r="BH136" s="1422">
        <v>0</v>
      </c>
      <c r="BI136" s="1422">
        <v>42743</v>
      </c>
      <c r="BJ136" s="1422">
        <v>41616</v>
      </c>
      <c r="BK136" s="1422">
        <v>1758</v>
      </c>
      <c r="BL136" s="1422">
        <v>0</v>
      </c>
      <c r="BM136" s="1422">
        <v>98704</v>
      </c>
      <c r="BN136" s="1422">
        <v>104236</v>
      </c>
      <c r="BO136" s="1422">
        <v>0</v>
      </c>
      <c r="BP136" s="1422">
        <v>0</v>
      </c>
      <c r="BQ136" s="1422">
        <v>1625</v>
      </c>
      <c r="BR136" s="1422">
        <v>0</v>
      </c>
      <c r="BS136" s="1420">
        <v>1639.76</v>
      </c>
      <c r="BT136" s="1422">
        <v>1500</v>
      </c>
      <c r="BU136" s="1422">
        <v>0</v>
      </c>
      <c r="BV136" s="1422">
        <v>0</v>
      </c>
      <c r="BW136" s="1422">
        <v>0</v>
      </c>
      <c r="BX136" s="1422">
        <v>0</v>
      </c>
      <c r="BY136" s="1422">
        <v>0</v>
      </c>
      <c r="BZ136" s="1422">
        <v>0</v>
      </c>
      <c r="CA136" s="1422">
        <v>13112</v>
      </c>
      <c r="CB136" s="1422">
        <v>11556</v>
      </c>
      <c r="CC136" s="1420">
        <v>195698.16</v>
      </c>
      <c r="CD136" s="1422">
        <v>179627</v>
      </c>
      <c r="CE136" s="1420">
        <v>419169.29</v>
      </c>
      <c r="CF136" s="1422">
        <v>335101</v>
      </c>
      <c r="CG136" s="1422">
        <v>0</v>
      </c>
      <c r="CH136" s="1422">
        <v>0</v>
      </c>
      <c r="CI136" s="1422">
        <v>0</v>
      </c>
      <c r="CJ136" s="1422">
        <v>0</v>
      </c>
      <c r="CK136" s="1422">
        <v>0</v>
      </c>
      <c r="CL136" s="1422">
        <v>0</v>
      </c>
      <c r="CM136" s="1422">
        <v>0</v>
      </c>
      <c r="CN136" s="1422">
        <v>0</v>
      </c>
      <c r="CO136" s="1420">
        <v>14292.24</v>
      </c>
      <c r="CP136" s="1422">
        <v>0</v>
      </c>
      <c r="CQ136" s="1422">
        <v>0</v>
      </c>
      <c r="CR136" s="1422">
        <v>0</v>
      </c>
      <c r="CS136" s="1420">
        <v>14292.24</v>
      </c>
      <c r="CT136" s="1422">
        <v>0</v>
      </c>
      <c r="CU136" s="1420">
        <v>3935259.02</v>
      </c>
      <c r="CV136" s="1422">
        <v>3685265</v>
      </c>
      <c r="CW136" s="1420">
        <v>1483306.02</v>
      </c>
      <c r="CX136" s="1420">
        <v>1555699.89</v>
      </c>
      <c r="CY136" s="1420">
        <v>150835.34</v>
      </c>
      <c r="CZ136" s="1420">
        <v>149846.5</v>
      </c>
      <c r="DA136" s="1420">
        <v>159260.85999999999</v>
      </c>
      <c r="DB136" s="1420">
        <v>163414.74</v>
      </c>
      <c r="DC136" s="1422">
        <v>0</v>
      </c>
      <c r="DD136" s="1422">
        <v>0</v>
      </c>
      <c r="DE136" s="1422">
        <v>41474</v>
      </c>
      <c r="DF136" s="1420">
        <v>38947.64</v>
      </c>
      <c r="DG136" s="1420">
        <v>47391.199999999997</v>
      </c>
      <c r="DH136" s="1420">
        <v>52227.89</v>
      </c>
      <c r="DI136" s="1420">
        <v>1882267.42</v>
      </c>
      <c r="DJ136" s="1420">
        <v>1960136.66</v>
      </c>
      <c r="DK136" s="1420">
        <v>99361.35</v>
      </c>
      <c r="DL136" s="1420">
        <v>123658.75</v>
      </c>
      <c r="DM136" s="1420">
        <v>98697.59</v>
      </c>
      <c r="DN136" s="1420">
        <v>86951.08</v>
      </c>
      <c r="DO136" s="1420">
        <v>376352.99</v>
      </c>
      <c r="DP136" s="1420">
        <v>380351.95</v>
      </c>
      <c r="DQ136" s="1420">
        <v>212227.57</v>
      </c>
      <c r="DR136" s="1420">
        <v>133890.68</v>
      </c>
      <c r="DS136" s="1420">
        <v>11640.3</v>
      </c>
      <c r="DT136" s="1422">
        <v>12250</v>
      </c>
      <c r="DU136" s="1420">
        <v>798279.8</v>
      </c>
      <c r="DV136" s="1420">
        <v>737102.46</v>
      </c>
      <c r="DW136" s="1420">
        <v>170504.68</v>
      </c>
      <c r="DX136" s="1420">
        <v>180013.22</v>
      </c>
      <c r="DY136" s="1420">
        <v>285769.42</v>
      </c>
      <c r="DZ136" s="1420">
        <v>317763.15999999997</v>
      </c>
      <c r="EA136" s="1420">
        <v>153771.20000000001</v>
      </c>
      <c r="EB136" s="1420">
        <v>143524.70000000001</v>
      </c>
      <c r="EC136" s="1420">
        <v>610045.30000000005</v>
      </c>
      <c r="ED136" s="1420">
        <v>641301.07999999996</v>
      </c>
      <c r="EE136" s="1422">
        <v>167872</v>
      </c>
      <c r="EF136" s="1420">
        <v>170484.79</v>
      </c>
      <c r="EG136" s="1422">
        <v>0</v>
      </c>
      <c r="EH136" s="1422">
        <v>0</v>
      </c>
      <c r="EI136" s="1420">
        <v>79.37</v>
      </c>
      <c r="EJ136" s="1422">
        <v>100</v>
      </c>
      <c r="EK136" s="1422">
        <v>0</v>
      </c>
      <c r="EL136" s="1422">
        <v>0</v>
      </c>
      <c r="EM136" s="1420">
        <v>167951.37</v>
      </c>
      <c r="EN136" s="1420">
        <v>170584.79</v>
      </c>
      <c r="EO136" s="1420">
        <v>37110.980000000003</v>
      </c>
      <c r="EP136" s="1422">
        <v>60000</v>
      </c>
      <c r="EQ136" s="1420">
        <v>224442.9</v>
      </c>
      <c r="ER136" s="1420">
        <v>209361.89</v>
      </c>
      <c r="ES136" s="1422">
        <v>0</v>
      </c>
      <c r="ET136" s="1422">
        <v>0</v>
      </c>
      <c r="EU136" s="1420">
        <v>3720097.77</v>
      </c>
      <c r="EV136" s="1420">
        <v>3778486.88</v>
      </c>
      <c r="EW136" s="1420">
        <v>135086.20000000001</v>
      </c>
      <c r="EX136" s="1422">
        <v>60000</v>
      </c>
      <c r="EY136" s="1420">
        <v>224442.9</v>
      </c>
      <c r="EZ136" s="1420">
        <v>209361.89</v>
      </c>
      <c r="FA136" s="1420">
        <v>3360568.67</v>
      </c>
      <c r="FB136" s="1420">
        <v>3509124.99</v>
      </c>
      <c r="FC136" s="1420">
        <v>334465.67</v>
      </c>
      <c r="FD136" s="1439"/>
      <c r="FE136" s="1422">
        <v>3026103</v>
      </c>
      <c r="FF136" s="1439"/>
      <c r="FG136" s="1422">
        <v>7774</v>
      </c>
      <c r="FH136" s="1439"/>
      <c r="FI136" s="1420">
        <v>29.39</v>
      </c>
      <c r="FJ136" s="1439"/>
      <c r="FK136" s="1422">
        <v>40188</v>
      </c>
      <c r="FL136" s="1439"/>
      <c r="FM136" s="1420">
        <v>33.39</v>
      </c>
      <c r="FN136" s="1439"/>
      <c r="FO136" s="1422">
        <v>42416</v>
      </c>
      <c r="FP136" s="1439"/>
      <c r="FQ136" s="1420">
        <v>727215.03</v>
      </c>
      <c r="FR136" s="1439"/>
      <c r="FS136" s="1420">
        <v>9723.39</v>
      </c>
      <c r="FT136" s="1439"/>
      <c r="FU136" s="1422">
        <v>0</v>
      </c>
      <c r="FV136" s="1439"/>
      <c r="FW136" s="1420">
        <v>717491.64</v>
      </c>
      <c r="FX136" s="1439"/>
      <c r="FY136" s="1420">
        <v>240514.42</v>
      </c>
      <c r="FZ136" s="1439"/>
      <c r="GA136" s="1422">
        <v>0</v>
      </c>
      <c r="GB136" s="1439"/>
    </row>
    <row r="137" spans="1:184" ht="12.75" customHeight="1" thickBot="1">
      <c r="A137" s="1418" t="s">
        <v>324</v>
      </c>
      <c r="B137" s="1418" t="s">
        <v>325</v>
      </c>
      <c r="C137" s="1420">
        <v>206.88</v>
      </c>
      <c r="D137" s="1439"/>
      <c r="E137" s="1420">
        <v>1744.08</v>
      </c>
      <c r="F137" s="1439"/>
      <c r="G137" s="1421">
        <v>-0.01</v>
      </c>
      <c r="H137" s="1439"/>
      <c r="I137" s="1420">
        <v>1823.32</v>
      </c>
      <c r="J137" s="1439"/>
      <c r="K137" s="1420">
        <v>1852.17</v>
      </c>
      <c r="L137" s="1439"/>
      <c r="M137" s="1422">
        <v>113538998</v>
      </c>
      <c r="N137" s="1439"/>
      <c r="O137" s="1420">
        <v>25.16</v>
      </c>
      <c r="P137" s="1439"/>
      <c r="Q137" s="1422">
        <v>25</v>
      </c>
      <c r="R137" s="1439"/>
      <c r="S137" s="1420">
        <v>0.16</v>
      </c>
      <c r="T137" s="1439"/>
      <c r="U137" s="1422">
        <v>0</v>
      </c>
      <c r="V137" s="1439"/>
      <c r="W137" s="1420">
        <v>15.24</v>
      </c>
      <c r="X137" s="1439"/>
      <c r="Y137" s="1420">
        <v>40.4</v>
      </c>
      <c r="Z137" s="1439"/>
      <c r="AA137" s="1420">
        <v>26464169.440000001</v>
      </c>
      <c r="AB137" s="1439"/>
      <c r="AC137" s="1420">
        <v>3735922.67</v>
      </c>
      <c r="AD137" s="1420">
        <v>4388019.25</v>
      </c>
      <c r="AE137" s="1420">
        <v>6663281.6699999999</v>
      </c>
      <c r="AF137" s="1422">
        <v>357300</v>
      </c>
      <c r="AG137" s="1420">
        <v>171.2</v>
      </c>
      <c r="AH137" s="1422">
        <v>0</v>
      </c>
      <c r="AI137" s="1422">
        <v>8445502</v>
      </c>
      <c r="AJ137" s="1422">
        <v>8475946</v>
      </c>
      <c r="AK137" s="1422">
        <v>57724</v>
      </c>
      <c r="AL137" s="1422">
        <v>0</v>
      </c>
      <c r="AM137" s="1422">
        <v>0</v>
      </c>
      <c r="AN137" s="1422">
        <v>0</v>
      </c>
      <c r="AO137" s="1422">
        <v>35807</v>
      </c>
      <c r="AP137" s="1422">
        <v>0</v>
      </c>
      <c r="AQ137" s="1422">
        <v>0</v>
      </c>
      <c r="AR137" s="1422">
        <v>0</v>
      </c>
      <c r="AS137" s="1422">
        <v>0</v>
      </c>
      <c r="AT137" s="1422">
        <v>0</v>
      </c>
      <c r="AU137" s="1422">
        <v>25687</v>
      </c>
      <c r="AV137" s="1422">
        <v>20549</v>
      </c>
      <c r="AW137" s="1420">
        <v>823.09</v>
      </c>
      <c r="AX137" s="1422">
        <v>0</v>
      </c>
      <c r="AY137" s="1420">
        <v>18964918.629999999</v>
      </c>
      <c r="AZ137" s="1420">
        <v>13241814.25</v>
      </c>
      <c r="BA137" s="1420">
        <v>299702.24</v>
      </c>
      <c r="BB137" s="1420">
        <v>300509.73</v>
      </c>
      <c r="BC137" s="1422">
        <v>76606</v>
      </c>
      <c r="BD137" s="1422">
        <v>77653</v>
      </c>
      <c r="BE137" s="1420">
        <v>13770.5</v>
      </c>
      <c r="BF137" s="1422">
        <v>12400</v>
      </c>
      <c r="BG137" s="1422">
        <v>1724</v>
      </c>
      <c r="BH137" s="1422">
        <v>0</v>
      </c>
      <c r="BI137" s="1422">
        <v>53266</v>
      </c>
      <c r="BJ137" s="1422">
        <v>58030</v>
      </c>
      <c r="BK137" s="1422">
        <v>18752</v>
      </c>
      <c r="BL137" s="1422">
        <v>18752</v>
      </c>
      <c r="BM137" s="1422">
        <v>502448</v>
      </c>
      <c r="BN137" s="1422">
        <v>521686</v>
      </c>
      <c r="BO137" s="1420">
        <v>14321.7</v>
      </c>
      <c r="BP137" s="1422">
        <v>0</v>
      </c>
      <c r="BQ137" s="1420">
        <v>70146.039999999994</v>
      </c>
      <c r="BR137" s="1420">
        <v>25187.5</v>
      </c>
      <c r="BS137" s="1420">
        <v>6693.15</v>
      </c>
      <c r="BT137" s="1422">
        <v>6500</v>
      </c>
      <c r="BU137" s="1422">
        <v>0</v>
      </c>
      <c r="BV137" s="1422">
        <v>0</v>
      </c>
      <c r="BW137" s="1420">
        <v>1801.41</v>
      </c>
      <c r="BX137" s="1422">
        <v>0</v>
      </c>
      <c r="BY137" s="1422">
        <v>0</v>
      </c>
      <c r="BZ137" s="1422">
        <v>0</v>
      </c>
      <c r="CA137" s="1420">
        <v>4173994.46</v>
      </c>
      <c r="CB137" s="1422">
        <v>215758</v>
      </c>
      <c r="CC137" s="1420">
        <v>5233225.5</v>
      </c>
      <c r="CD137" s="1420">
        <v>1236476.23</v>
      </c>
      <c r="CE137" s="1420">
        <v>2956477.75</v>
      </c>
      <c r="CF137" s="1420">
        <v>1966230.29</v>
      </c>
      <c r="CG137" s="1420">
        <v>643853.55000000005</v>
      </c>
      <c r="CH137" s="1420">
        <v>111531.24</v>
      </c>
      <c r="CI137" s="1422">
        <v>0</v>
      </c>
      <c r="CJ137" s="1422">
        <v>0</v>
      </c>
      <c r="CK137" s="1422">
        <v>0</v>
      </c>
      <c r="CL137" s="1422">
        <v>0</v>
      </c>
      <c r="CM137" s="1422">
        <v>0</v>
      </c>
      <c r="CN137" s="1422">
        <v>0</v>
      </c>
      <c r="CO137" s="1422">
        <v>0</v>
      </c>
      <c r="CP137" s="1422">
        <v>0</v>
      </c>
      <c r="CQ137" s="1422">
        <v>0</v>
      </c>
      <c r="CR137" s="1422">
        <v>0</v>
      </c>
      <c r="CS137" s="1420">
        <v>643853.55000000005</v>
      </c>
      <c r="CT137" s="1420">
        <v>111531.24</v>
      </c>
      <c r="CU137" s="1420">
        <v>27798475.43</v>
      </c>
      <c r="CV137" s="1420">
        <v>16556052.01</v>
      </c>
      <c r="CW137" s="1420">
        <v>5844333.5700000003</v>
      </c>
      <c r="CX137" s="1420">
        <v>5602803.6200000001</v>
      </c>
      <c r="CY137" s="1420">
        <v>995965.79</v>
      </c>
      <c r="CZ137" s="1420">
        <v>848226.69</v>
      </c>
      <c r="DA137" s="1420">
        <v>479532.68</v>
      </c>
      <c r="DB137" s="1420">
        <v>423718.83</v>
      </c>
      <c r="DC137" s="1420">
        <v>373734.02</v>
      </c>
      <c r="DD137" s="1420">
        <v>389044.07</v>
      </c>
      <c r="DE137" s="1420">
        <v>744095.03</v>
      </c>
      <c r="DF137" s="1420">
        <v>687004.11</v>
      </c>
      <c r="DG137" s="1420">
        <v>725398.23</v>
      </c>
      <c r="DH137" s="1420">
        <v>673005.77</v>
      </c>
      <c r="DI137" s="1420">
        <v>9163059.3200000003</v>
      </c>
      <c r="DJ137" s="1420">
        <v>8623803.0899999999</v>
      </c>
      <c r="DK137" s="1420">
        <v>358224.26</v>
      </c>
      <c r="DL137" s="1420">
        <v>308095.57</v>
      </c>
      <c r="DM137" s="1420">
        <v>460569.31</v>
      </c>
      <c r="DN137" s="1420">
        <v>318159.2</v>
      </c>
      <c r="DO137" s="1420">
        <v>1577012.59</v>
      </c>
      <c r="DP137" s="1420">
        <v>1613388.94</v>
      </c>
      <c r="DQ137" s="1420">
        <v>1077236.58</v>
      </c>
      <c r="DR137" s="1420">
        <v>957288.1</v>
      </c>
      <c r="DS137" s="1420">
        <v>24609.200000000001</v>
      </c>
      <c r="DT137" s="1422">
        <v>25000</v>
      </c>
      <c r="DU137" s="1420">
        <v>3497651.94</v>
      </c>
      <c r="DV137" s="1420">
        <v>3221931.81</v>
      </c>
      <c r="DW137" s="1420">
        <v>731905.48</v>
      </c>
      <c r="DX137" s="1420">
        <v>631001.19999999995</v>
      </c>
      <c r="DY137" s="1420">
        <v>1145035.6100000001</v>
      </c>
      <c r="DZ137" s="1420">
        <v>943261.36</v>
      </c>
      <c r="EA137" s="1420">
        <v>1024663.75</v>
      </c>
      <c r="EB137" s="1420">
        <v>912499.93</v>
      </c>
      <c r="EC137" s="1420">
        <v>2901604.84</v>
      </c>
      <c r="ED137" s="1420">
        <v>2486762.4900000002</v>
      </c>
      <c r="EE137" s="1420">
        <v>892334.13</v>
      </c>
      <c r="EF137" s="1422">
        <v>887000</v>
      </c>
      <c r="EG137" s="1422">
        <v>0</v>
      </c>
      <c r="EH137" s="1422">
        <v>0</v>
      </c>
      <c r="EI137" s="1422">
        <v>0</v>
      </c>
      <c r="EJ137" s="1422">
        <v>5000</v>
      </c>
      <c r="EK137" s="1422">
        <v>0</v>
      </c>
      <c r="EL137" s="1422">
        <v>0</v>
      </c>
      <c r="EM137" s="1420">
        <v>892334.13</v>
      </c>
      <c r="EN137" s="1422">
        <v>892000</v>
      </c>
      <c r="EO137" s="1420">
        <v>6554906.8700000001</v>
      </c>
      <c r="EP137" s="1422">
        <v>0</v>
      </c>
      <c r="EQ137" s="1420">
        <v>789024.88</v>
      </c>
      <c r="ER137" s="1420">
        <v>1406798.68</v>
      </c>
      <c r="ES137" s="1420">
        <v>48325.99</v>
      </c>
      <c r="ET137" s="1422">
        <v>0</v>
      </c>
      <c r="EU137" s="1420">
        <v>23846907.969999999</v>
      </c>
      <c r="EV137" s="1420">
        <v>16631296.07</v>
      </c>
      <c r="EW137" s="1420">
        <v>6931069.0800000001</v>
      </c>
      <c r="EX137" s="1420">
        <v>308296.24</v>
      </c>
      <c r="EY137" s="1420">
        <v>789024.88</v>
      </c>
      <c r="EZ137" s="1420">
        <v>1406798.68</v>
      </c>
      <c r="FA137" s="1420">
        <v>16126814.01</v>
      </c>
      <c r="FB137" s="1420">
        <v>14916201.15</v>
      </c>
      <c r="FC137" s="1420">
        <v>1202344.93</v>
      </c>
      <c r="FD137" s="1439"/>
      <c r="FE137" s="1420">
        <v>14924469.08</v>
      </c>
      <c r="FF137" s="1439"/>
      <c r="FG137" s="1422">
        <v>8557</v>
      </c>
      <c r="FH137" s="1439"/>
      <c r="FI137" s="1420">
        <v>133.08000000000001</v>
      </c>
      <c r="FJ137" s="1439"/>
      <c r="FK137" s="1422">
        <v>41904</v>
      </c>
      <c r="FL137" s="1439"/>
      <c r="FM137" s="1420">
        <v>144.38999999999999</v>
      </c>
      <c r="FN137" s="1439"/>
      <c r="FO137" s="1422">
        <v>44072</v>
      </c>
      <c r="FP137" s="1439"/>
      <c r="FQ137" s="1420">
        <v>552082.65</v>
      </c>
      <c r="FR137" s="1439"/>
      <c r="FS137" s="1420">
        <v>2082.65</v>
      </c>
      <c r="FT137" s="1439"/>
      <c r="FU137" s="1422">
        <v>0</v>
      </c>
      <c r="FV137" s="1439"/>
      <c r="FW137" s="1422">
        <v>550000</v>
      </c>
      <c r="FX137" s="1439"/>
      <c r="FY137" s="1420">
        <v>9956528.6799999997</v>
      </c>
      <c r="FZ137" s="1439"/>
      <c r="GA137" s="1420">
        <v>97176.34</v>
      </c>
      <c r="GB137" s="1439"/>
    </row>
    <row r="138" spans="1:184" ht="12.75" customHeight="1" thickBot="1">
      <c r="A138" s="1418" t="s">
        <v>326</v>
      </c>
      <c r="B138" s="1418" t="s">
        <v>327</v>
      </c>
      <c r="C138" s="1420">
        <v>154.29</v>
      </c>
      <c r="D138" s="1439"/>
      <c r="E138" s="1420">
        <v>722.66</v>
      </c>
      <c r="F138" s="1439"/>
      <c r="G138" s="1421">
        <v>-0.17</v>
      </c>
      <c r="H138" s="1439"/>
      <c r="I138" s="1420">
        <v>754.05</v>
      </c>
      <c r="J138" s="1439"/>
      <c r="K138" s="1420">
        <v>762.26</v>
      </c>
      <c r="L138" s="1439"/>
      <c r="M138" s="1422">
        <v>48347620</v>
      </c>
      <c r="N138" s="1439"/>
      <c r="O138" s="1422">
        <v>27</v>
      </c>
      <c r="P138" s="1439"/>
      <c r="Q138" s="1422">
        <v>25</v>
      </c>
      <c r="R138" s="1439"/>
      <c r="S138" s="1422">
        <v>2</v>
      </c>
      <c r="T138" s="1439"/>
      <c r="U138" s="1422">
        <v>0</v>
      </c>
      <c r="V138" s="1439"/>
      <c r="W138" s="1422">
        <v>14</v>
      </c>
      <c r="X138" s="1439"/>
      <c r="Y138" s="1422">
        <v>41</v>
      </c>
      <c r="Z138" s="1439"/>
      <c r="AA138" s="1420">
        <v>4111631.76</v>
      </c>
      <c r="AB138" s="1439"/>
      <c r="AC138" s="1420">
        <v>1861338.44</v>
      </c>
      <c r="AD138" s="1422">
        <v>1896000</v>
      </c>
      <c r="AE138" s="1420">
        <v>247819.8</v>
      </c>
      <c r="AF138" s="1422">
        <v>91300</v>
      </c>
      <c r="AG138" s="1422">
        <v>0</v>
      </c>
      <c r="AH138" s="1422">
        <v>0</v>
      </c>
      <c r="AI138" s="1422">
        <v>3454820</v>
      </c>
      <c r="AJ138" s="1422">
        <v>3438963</v>
      </c>
      <c r="AK138" s="1422">
        <v>0</v>
      </c>
      <c r="AL138" s="1422">
        <v>0</v>
      </c>
      <c r="AM138" s="1422">
        <v>0</v>
      </c>
      <c r="AN138" s="1422">
        <v>0</v>
      </c>
      <c r="AO138" s="1422">
        <v>90797</v>
      </c>
      <c r="AP138" s="1422">
        <v>27863</v>
      </c>
      <c r="AQ138" s="1422">
        <v>0</v>
      </c>
      <c r="AR138" s="1422">
        <v>0</v>
      </c>
      <c r="AS138" s="1422">
        <v>0</v>
      </c>
      <c r="AT138" s="1422">
        <v>0</v>
      </c>
      <c r="AU138" s="1422">
        <v>3487</v>
      </c>
      <c r="AV138" s="1422">
        <v>2790</v>
      </c>
      <c r="AW138" s="1422">
        <v>0</v>
      </c>
      <c r="AX138" s="1422">
        <v>0</v>
      </c>
      <c r="AY138" s="1420">
        <v>5658262.2400000002</v>
      </c>
      <c r="AZ138" s="1422">
        <v>5456916</v>
      </c>
      <c r="BA138" s="1422">
        <v>0</v>
      </c>
      <c r="BB138" s="1422">
        <v>0</v>
      </c>
      <c r="BC138" s="1422">
        <v>31527</v>
      </c>
      <c r="BD138" s="1422">
        <v>31920</v>
      </c>
      <c r="BE138" s="1420">
        <v>10356.290000000001</v>
      </c>
      <c r="BF138" s="1422">
        <v>9600</v>
      </c>
      <c r="BG138" s="1422">
        <v>0</v>
      </c>
      <c r="BH138" s="1422">
        <v>0</v>
      </c>
      <c r="BI138" s="1422">
        <v>3779</v>
      </c>
      <c r="BJ138" s="1422">
        <v>1575</v>
      </c>
      <c r="BK138" s="1422">
        <v>293</v>
      </c>
      <c r="BL138" s="1422">
        <v>1000</v>
      </c>
      <c r="BM138" s="1422">
        <v>383571</v>
      </c>
      <c r="BN138" s="1422">
        <v>484921</v>
      </c>
      <c r="BO138" s="1420">
        <v>15998.71</v>
      </c>
      <c r="BP138" s="1422">
        <v>15000</v>
      </c>
      <c r="BQ138" s="1422">
        <v>0</v>
      </c>
      <c r="BR138" s="1422">
        <v>0</v>
      </c>
      <c r="BS138" s="1420">
        <v>2717.57</v>
      </c>
      <c r="BT138" s="1422">
        <v>2700</v>
      </c>
      <c r="BU138" s="1422">
        <v>0</v>
      </c>
      <c r="BV138" s="1422">
        <v>0</v>
      </c>
      <c r="BW138" s="1422">
        <v>52600</v>
      </c>
      <c r="BX138" s="1422">
        <v>53000</v>
      </c>
      <c r="BY138" s="1422">
        <v>0</v>
      </c>
      <c r="BZ138" s="1422">
        <v>0</v>
      </c>
      <c r="CA138" s="1422">
        <v>85485</v>
      </c>
      <c r="CB138" s="1422">
        <v>141289</v>
      </c>
      <c r="CC138" s="1420">
        <v>586327.56999999995</v>
      </c>
      <c r="CD138" s="1422">
        <v>741005</v>
      </c>
      <c r="CE138" s="1420">
        <v>1287292.1000000001</v>
      </c>
      <c r="CF138" s="1422">
        <v>1203678</v>
      </c>
      <c r="CG138" s="1422">
        <v>0</v>
      </c>
      <c r="CH138" s="1422">
        <v>0</v>
      </c>
      <c r="CI138" s="1422">
        <v>0</v>
      </c>
      <c r="CJ138" s="1422">
        <v>0</v>
      </c>
      <c r="CK138" s="1422">
        <v>0</v>
      </c>
      <c r="CL138" s="1422">
        <v>0</v>
      </c>
      <c r="CM138" s="1422">
        <v>0</v>
      </c>
      <c r="CN138" s="1422">
        <v>0</v>
      </c>
      <c r="CO138" s="1422">
        <v>0</v>
      </c>
      <c r="CP138" s="1422">
        <v>0</v>
      </c>
      <c r="CQ138" s="1422">
        <v>0</v>
      </c>
      <c r="CR138" s="1422">
        <v>0</v>
      </c>
      <c r="CS138" s="1422">
        <v>0</v>
      </c>
      <c r="CT138" s="1422">
        <v>0</v>
      </c>
      <c r="CU138" s="1420">
        <v>7531881.9100000001</v>
      </c>
      <c r="CV138" s="1422">
        <v>7401599</v>
      </c>
      <c r="CW138" s="1420">
        <v>2964270.07</v>
      </c>
      <c r="CX138" s="1422">
        <v>2746733</v>
      </c>
      <c r="CY138" s="1420">
        <v>622827.39</v>
      </c>
      <c r="CZ138" s="1422">
        <v>634786</v>
      </c>
      <c r="DA138" s="1420">
        <v>241172.72</v>
      </c>
      <c r="DB138" s="1422">
        <v>207509</v>
      </c>
      <c r="DC138" s="1422">
        <v>0</v>
      </c>
      <c r="DD138" s="1422">
        <v>0</v>
      </c>
      <c r="DE138" s="1420">
        <v>237034.9</v>
      </c>
      <c r="DF138" s="1420">
        <v>206570.91</v>
      </c>
      <c r="DG138" s="1420">
        <v>71786.3</v>
      </c>
      <c r="DH138" s="1422">
        <v>81004</v>
      </c>
      <c r="DI138" s="1420">
        <v>4137091.38</v>
      </c>
      <c r="DJ138" s="1420">
        <v>3876602.91</v>
      </c>
      <c r="DK138" s="1420">
        <v>283837.69</v>
      </c>
      <c r="DL138" s="1422">
        <v>201746</v>
      </c>
      <c r="DM138" s="1420">
        <v>161119.93</v>
      </c>
      <c r="DN138" s="1422">
        <v>163984</v>
      </c>
      <c r="DO138" s="1420">
        <v>658468.15</v>
      </c>
      <c r="DP138" s="1420">
        <v>781956.76</v>
      </c>
      <c r="DQ138" s="1420">
        <v>331440.44</v>
      </c>
      <c r="DR138" s="1422">
        <v>313397</v>
      </c>
      <c r="DS138" s="1420">
        <v>27386.95</v>
      </c>
      <c r="DT138" s="1422">
        <v>12000</v>
      </c>
      <c r="DU138" s="1420">
        <v>1462253.16</v>
      </c>
      <c r="DV138" s="1420">
        <v>1473083.76</v>
      </c>
      <c r="DW138" s="1420">
        <v>341661.72</v>
      </c>
      <c r="DX138" s="1420">
        <v>326793.96999999997</v>
      </c>
      <c r="DY138" s="1420">
        <v>727057.33</v>
      </c>
      <c r="DZ138" s="1420">
        <v>848760.05</v>
      </c>
      <c r="EA138" s="1420">
        <v>345656.34</v>
      </c>
      <c r="EB138" s="1422">
        <v>356139</v>
      </c>
      <c r="EC138" s="1420">
        <v>1414375.39</v>
      </c>
      <c r="ED138" s="1420">
        <v>1531693.02</v>
      </c>
      <c r="EE138" s="1420">
        <v>350241.46</v>
      </c>
      <c r="EF138" s="1422">
        <v>336218</v>
      </c>
      <c r="EG138" s="1422">
        <v>0</v>
      </c>
      <c r="EH138" s="1422">
        <v>0</v>
      </c>
      <c r="EI138" s="1420">
        <v>1604.72</v>
      </c>
      <c r="EJ138" s="1422">
        <v>3228</v>
      </c>
      <c r="EK138" s="1422">
        <v>0</v>
      </c>
      <c r="EL138" s="1422">
        <v>0</v>
      </c>
      <c r="EM138" s="1420">
        <v>351846.18</v>
      </c>
      <c r="EN138" s="1422">
        <v>339446</v>
      </c>
      <c r="EO138" s="1420">
        <v>61246.43</v>
      </c>
      <c r="EP138" s="1422">
        <v>1280544</v>
      </c>
      <c r="EQ138" s="1420">
        <v>261113.16</v>
      </c>
      <c r="ER138" s="1422">
        <v>263470</v>
      </c>
      <c r="ES138" s="1422">
        <v>0</v>
      </c>
      <c r="ET138" s="1422">
        <v>0</v>
      </c>
      <c r="EU138" s="1420">
        <v>7687925.7000000002</v>
      </c>
      <c r="EV138" s="1420">
        <v>8764839.6899999995</v>
      </c>
      <c r="EW138" s="1420">
        <v>235887.31</v>
      </c>
      <c r="EX138" s="1420">
        <v>1384685.24</v>
      </c>
      <c r="EY138" s="1420">
        <v>261113.16</v>
      </c>
      <c r="EZ138" s="1422">
        <v>263470</v>
      </c>
      <c r="FA138" s="1420">
        <v>7190925.2300000004</v>
      </c>
      <c r="FB138" s="1420">
        <v>7116684.4500000002</v>
      </c>
      <c r="FC138" s="1420">
        <v>253930.87</v>
      </c>
      <c r="FD138" s="1439"/>
      <c r="FE138" s="1420">
        <v>6936994.3600000003</v>
      </c>
      <c r="FF138" s="1439"/>
      <c r="FG138" s="1422">
        <v>9599</v>
      </c>
      <c r="FH138" s="1439"/>
      <c r="FI138" s="1420">
        <v>65.900000000000006</v>
      </c>
      <c r="FJ138" s="1439"/>
      <c r="FK138" s="1422">
        <v>39942</v>
      </c>
      <c r="FL138" s="1439"/>
      <c r="FM138" s="1420">
        <v>72.400000000000006</v>
      </c>
      <c r="FN138" s="1439"/>
      <c r="FO138" s="1422">
        <v>42862</v>
      </c>
      <c r="FP138" s="1439"/>
      <c r="FQ138" s="1420">
        <v>555848.56000000006</v>
      </c>
      <c r="FR138" s="1439"/>
      <c r="FS138" s="1420">
        <v>58292.02</v>
      </c>
      <c r="FT138" s="1439"/>
      <c r="FU138" s="1422">
        <v>0</v>
      </c>
      <c r="FV138" s="1439"/>
      <c r="FW138" s="1420">
        <v>497556.54</v>
      </c>
      <c r="FX138" s="1439"/>
      <c r="FY138" s="1420">
        <v>1281507.72</v>
      </c>
      <c r="FZ138" s="1439"/>
      <c r="GA138" s="1422">
        <v>0</v>
      </c>
      <c r="GB138" s="1439"/>
    </row>
    <row r="139" spans="1:184" ht="12.75" customHeight="1" thickBot="1">
      <c r="A139" s="1418" t="s">
        <v>328</v>
      </c>
      <c r="B139" s="1418" t="s">
        <v>329</v>
      </c>
      <c r="C139" s="1420">
        <v>242.99</v>
      </c>
      <c r="D139" s="1439"/>
      <c r="E139" s="1420">
        <v>710.34</v>
      </c>
      <c r="F139" s="1439"/>
      <c r="G139" s="1421">
        <v>0.01</v>
      </c>
      <c r="H139" s="1439"/>
      <c r="I139" s="1420">
        <v>748.51</v>
      </c>
      <c r="J139" s="1439"/>
      <c r="K139" s="1420">
        <v>721.22</v>
      </c>
      <c r="L139" s="1439"/>
      <c r="M139" s="1422">
        <v>55974893</v>
      </c>
      <c r="N139" s="1439"/>
      <c r="O139" s="1422">
        <v>25</v>
      </c>
      <c r="P139" s="1439"/>
      <c r="Q139" s="1422">
        <v>25</v>
      </c>
      <c r="R139" s="1439"/>
      <c r="S139" s="1422">
        <v>0</v>
      </c>
      <c r="T139" s="1439"/>
      <c r="U139" s="1422">
        <v>0</v>
      </c>
      <c r="V139" s="1439"/>
      <c r="W139" s="1422">
        <v>17</v>
      </c>
      <c r="X139" s="1439"/>
      <c r="Y139" s="1422">
        <v>42</v>
      </c>
      <c r="Z139" s="1439"/>
      <c r="AA139" s="1420">
        <v>12385570.689999999</v>
      </c>
      <c r="AB139" s="1439"/>
      <c r="AC139" s="1420">
        <v>2210752.31</v>
      </c>
      <c r="AD139" s="1420">
        <v>2108774.0299999998</v>
      </c>
      <c r="AE139" s="1420">
        <v>586524.4</v>
      </c>
      <c r="AF139" s="1420">
        <v>444252.91</v>
      </c>
      <c r="AG139" s="1422">
        <v>0</v>
      </c>
      <c r="AH139" s="1422">
        <v>0</v>
      </c>
      <c r="AI139" s="1422">
        <v>3028707</v>
      </c>
      <c r="AJ139" s="1422">
        <v>3252221</v>
      </c>
      <c r="AK139" s="1422">
        <v>2454</v>
      </c>
      <c r="AL139" s="1422">
        <v>0</v>
      </c>
      <c r="AM139" s="1422">
        <v>165121</v>
      </c>
      <c r="AN139" s="1422">
        <v>0</v>
      </c>
      <c r="AO139" s="1422">
        <v>0</v>
      </c>
      <c r="AP139" s="1422">
        <v>0</v>
      </c>
      <c r="AQ139" s="1422">
        <v>0</v>
      </c>
      <c r="AR139" s="1422">
        <v>0</v>
      </c>
      <c r="AS139" s="1422">
        <v>0</v>
      </c>
      <c r="AT139" s="1422">
        <v>0</v>
      </c>
      <c r="AU139" s="1422">
        <v>0</v>
      </c>
      <c r="AV139" s="1422">
        <v>0</v>
      </c>
      <c r="AW139" s="1420">
        <v>267.31</v>
      </c>
      <c r="AX139" s="1422">
        <v>0</v>
      </c>
      <c r="AY139" s="1420">
        <v>5993826.0199999996</v>
      </c>
      <c r="AZ139" s="1420">
        <v>5805247.9400000004</v>
      </c>
      <c r="BA139" s="1422">
        <v>0</v>
      </c>
      <c r="BB139" s="1422">
        <v>0</v>
      </c>
      <c r="BC139" s="1422">
        <v>29830</v>
      </c>
      <c r="BD139" s="1422">
        <v>31893</v>
      </c>
      <c r="BE139" s="1422">
        <v>5600</v>
      </c>
      <c r="BF139" s="1422">
        <v>3000</v>
      </c>
      <c r="BG139" s="1422">
        <v>150</v>
      </c>
      <c r="BH139" s="1422">
        <v>0</v>
      </c>
      <c r="BI139" s="1422">
        <v>21981</v>
      </c>
      <c r="BJ139" s="1422">
        <v>12103</v>
      </c>
      <c r="BK139" s="1422">
        <v>0</v>
      </c>
      <c r="BL139" s="1422">
        <v>0</v>
      </c>
      <c r="BM139" s="1422">
        <v>167152</v>
      </c>
      <c r="BN139" s="1422">
        <v>200376</v>
      </c>
      <c r="BO139" s="1420">
        <v>2954.6</v>
      </c>
      <c r="BP139" s="1422">
        <v>0</v>
      </c>
      <c r="BQ139" s="1422">
        <v>0</v>
      </c>
      <c r="BR139" s="1422">
        <v>0</v>
      </c>
      <c r="BS139" s="1420">
        <v>2737.87</v>
      </c>
      <c r="BT139" s="1422">
        <v>2500</v>
      </c>
      <c r="BU139" s="1422">
        <v>0</v>
      </c>
      <c r="BV139" s="1422">
        <v>0</v>
      </c>
      <c r="BW139" s="1422">
        <v>194400</v>
      </c>
      <c r="BX139" s="1422">
        <v>194400</v>
      </c>
      <c r="BY139" s="1422">
        <v>0</v>
      </c>
      <c r="BZ139" s="1422">
        <v>0</v>
      </c>
      <c r="CA139" s="1422">
        <v>45209</v>
      </c>
      <c r="CB139" s="1422">
        <v>44846</v>
      </c>
      <c r="CC139" s="1420">
        <v>470014.47</v>
      </c>
      <c r="CD139" s="1422">
        <v>489118</v>
      </c>
      <c r="CE139" s="1420">
        <v>1044492.86</v>
      </c>
      <c r="CF139" s="1420">
        <v>983524.36</v>
      </c>
      <c r="CG139" s="1420">
        <v>4994.93</v>
      </c>
      <c r="CH139" s="1422">
        <v>0</v>
      </c>
      <c r="CI139" s="1422">
        <v>0</v>
      </c>
      <c r="CJ139" s="1422">
        <v>0</v>
      </c>
      <c r="CK139" s="1422">
        <v>0</v>
      </c>
      <c r="CL139" s="1422">
        <v>0</v>
      </c>
      <c r="CM139" s="1422">
        <v>0</v>
      </c>
      <c r="CN139" s="1422">
        <v>0</v>
      </c>
      <c r="CO139" s="1422">
        <v>0</v>
      </c>
      <c r="CP139" s="1422">
        <v>0</v>
      </c>
      <c r="CQ139" s="1422">
        <v>0</v>
      </c>
      <c r="CR139" s="1422">
        <v>0</v>
      </c>
      <c r="CS139" s="1420">
        <v>4994.93</v>
      </c>
      <c r="CT139" s="1422">
        <v>0</v>
      </c>
      <c r="CU139" s="1420">
        <v>7513328.2800000003</v>
      </c>
      <c r="CV139" s="1420">
        <v>7277890.2999999998</v>
      </c>
      <c r="CW139" s="1420">
        <v>2583952.15</v>
      </c>
      <c r="CX139" s="1420">
        <v>2783410.15</v>
      </c>
      <c r="CY139" s="1420">
        <v>277304.28000000003</v>
      </c>
      <c r="CZ139" s="1420">
        <v>273554.17</v>
      </c>
      <c r="DA139" s="1420">
        <v>224951.88</v>
      </c>
      <c r="DB139" s="1420">
        <v>177835.77</v>
      </c>
      <c r="DC139" s="1422">
        <v>0</v>
      </c>
      <c r="DD139" s="1422">
        <v>0</v>
      </c>
      <c r="DE139" s="1420">
        <v>391927.44</v>
      </c>
      <c r="DF139" s="1420">
        <v>419788.74</v>
      </c>
      <c r="DG139" s="1420">
        <v>39004.81</v>
      </c>
      <c r="DH139" s="1420">
        <v>47883.39</v>
      </c>
      <c r="DI139" s="1420">
        <v>3517140.56</v>
      </c>
      <c r="DJ139" s="1420">
        <v>3702472.22</v>
      </c>
      <c r="DK139" s="1420">
        <v>220005.32</v>
      </c>
      <c r="DL139" s="1420">
        <v>268145.73</v>
      </c>
      <c r="DM139" s="1420">
        <v>92172.75</v>
      </c>
      <c r="DN139" s="1420">
        <v>94569.84</v>
      </c>
      <c r="DO139" s="1420">
        <v>832029.62</v>
      </c>
      <c r="DP139" s="1420">
        <v>924570.04</v>
      </c>
      <c r="DQ139" s="1420">
        <v>389802.62</v>
      </c>
      <c r="DR139" s="1420">
        <v>292052.64</v>
      </c>
      <c r="DS139" s="1420">
        <v>14229.43</v>
      </c>
      <c r="DT139" s="1420">
        <v>18260.400000000001</v>
      </c>
      <c r="DU139" s="1420">
        <v>1548239.74</v>
      </c>
      <c r="DV139" s="1420">
        <v>1597598.65</v>
      </c>
      <c r="DW139" s="1420">
        <v>287476.46000000002</v>
      </c>
      <c r="DX139" s="1420">
        <v>287734.83</v>
      </c>
      <c r="DY139" s="1420">
        <v>413119.21</v>
      </c>
      <c r="DZ139" s="1420">
        <v>392295.6</v>
      </c>
      <c r="EA139" s="1420">
        <v>206718.46</v>
      </c>
      <c r="EB139" s="1420">
        <v>264903.51</v>
      </c>
      <c r="EC139" s="1420">
        <v>907314.13</v>
      </c>
      <c r="ED139" s="1420">
        <v>944933.94</v>
      </c>
      <c r="EE139" s="1420">
        <v>359259.79</v>
      </c>
      <c r="EF139" s="1420">
        <v>339465.91</v>
      </c>
      <c r="EG139" s="1422">
        <v>0</v>
      </c>
      <c r="EH139" s="1422">
        <v>0</v>
      </c>
      <c r="EI139" s="1420">
        <v>690.66</v>
      </c>
      <c r="EJ139" s="1422">
        <v>2000</v>
      </c>
      <c r="EK139" s="1422">
        <v>0</v>
      </c>
      <c r="EL139" s="1422">
        <v>0</v>
      </c>
      <c r="EM139" s="1420">
        <v>359950.45</v>
      </c>
      <c r="EN139" s="1420">
        <v>341465.91</v>
      </c>
      <c r="EO139" s="1420">
        <v>236227.84</v>
      </c>
      <c r="EP139" s="1420">
        <v>417855.78</v>
      </c>
      <c r="EQ139" s="1420">
        <v>604629.5</v>
      </c>
      <c r="ER139" s="1420">
        <v>419328.44</v>
      </c>
      <c r="ES139" s="1420">
        <v>8730.94</v>
      </c>
      <c r="ET139" s="1422">
        <v>0</v>
      </c>
      <c r="EU139" s="1420">
        <v>7182233.1600000001</v>
      </c>
      <c r="EV139" s="1420">
        <v>7423654.9400000004</v>
      </c>
      <c r="EW139" s="1420">
        <v>518471.18</v>
      </c>
      <c r="EX139" s="1420">
        <v>503982.05</v>
      </c>
      <c r="EY139" s="1420">
        <v>604629.5</v>
      </c>
      <c r="EZ139" s="1420">
        <v>419328.44</v>
      </c>
      <c r="FA139" s="1420">
        <v>6059132.4800000004</v>
      </c>
      <c r="FB139" s="1420">
        <v>6500344.4500000002</v>
      </c>
      <c r="FC139" s="1420">
        <v>477293.42</v>
      </c>
      <c r="FD139" s="1439"/>
      <c r="FE139" s="1420">
        <v>5581839.0599999996</v>
      </c>
      <c r="FF139" s="1439"/>
      <c r="FG139" s="1422">
        <v>7857</v>
      </c>
      <c r="FH139" s="1439"/>
      <c r="FI139" s="1420">
        <v>50.83</v>
      </c>
      <c r="FJ139" s="1439"/>
      <c r="FK139" s="1422">
        <v>40563</v>
      </c>
      <c r="FL139" s="1439"/>
      <c r="FM139" s="1420">
        <v>56.75</v>
      </c>
      <c r="FN139" s="1439"/>
      <c r="FO139" s="1422">
        <v>42244</v>
      </c>
      <c r="FP139" s="1439"/>
      <c r="FQ139" s="1420">
        <v>3222576.01</v>
      </c>
      <c r="FR139" s="1439"/>
      <c r="FS139" s="1420">
        <v>64008.93</v>
      </c>
      <c r="FT139" s="1439"/>
      <c r="FU139" s="1422">
        <v>0</v>
      </c>
      <c r="FV139" s="1439"/>
      <c r="FW139" s="1420">
        <v>3158567.08</v>
      </c>
      <c r="FX139" s="1439"/>
      <c r="FY139" s="1420">
        <v>486210.01</v>
      </c>
      <c r="FZ139" s="1439"/>
      <c r="GA139" s="1420">
        <v>3824.42</v>
      </c>
      <c r="GB139" s="1439"/>
    </row>
    <row r="140" spans="1:184" ht="12.75" customHeight="1" thickBot="1">
      <c r="A140" s="1418" t="s">
        <v>330</v>
      </c>
      <c r="B140" s="1418" t="s">
        <v>331</v>
      </c>
      <c r="C140" s="1420">
        <v>182.52</v>
      </c>
      <c r="D140" s="1439"/>
      <c r="E140" s="1420">
        <v>9341.77</v>
      </c>
      <c r="F140" s="1439"/>
      <c r="G140" s="1421">
        <v>0.19</v>
      </c>
      <c r="H140" s="1439"/>
      <c r="I140" s="1420">
        <v>9976.48</v>
      </c>
      <c r="J140" s="1439"/>
      <c r="K140" s="1420">
        <v>9854.86</v>
      </c>
      <c r="L140" s="1439"/>
      <c r="M140" s="1422">
        <v>587509160</v>
      </c>
      <c r="N140" s="1439"/>
      <c r="O140" s="1422">
        <v>25</v>
      </c>
      <c r="P140" s="1439"/>
      <c r="Q140" s="1422">
        <v>25</v>
      </c>
      <c r="R140" s="1439"/>
      <c r="S140" s="1422">
        <v>0</v>
      </c>
      <c r="T140" s="1439"/>
      <c r="U140" s="1422">
        <v>0</v>
      </c>
      <c r="V140" s="1439"/>
      <c r="W140" s="1420">
        <v>14.5</v>
      </c>
      <c r="X140" s="1439"/>
      <c r="Y140" s="1420">
        <v>39.5</v>
      </c>
      <c r="Z140" s="1439"/>
      <c r="AA140" s="1420">
        <v>58859340.969999999</v>
      </c>
      <c r="AB140" s="1439"/>
      <c r="AC140" s="1420">
        <v>21506591.149999999</v>
      </c>
      <c r="AD140" s="1422">
        <v>28553000</v>
      </c>
      <c r="AE140" s="1420">
        <v>4346048.54</v>
      </c>
      <c r="AF140" s="1420">
        <v>1671045.6</v>
      </c>
      <c r="AG140" s="1420">
        <v>935.75</v>
      </c>
      <c r="AH140" s="1422">
        <v>0</v>
      </c>
      <c r="AI140" s="1422">
        <v>45516036</v>
      </c>
      <c r="AJ140" s="1422">
        <v>46956836</v>
      </c>
      <c r="AK140" s="1422">
        <v>202022</v>
      </c>
      <c r="AL140" s="1422">
        <v>0</v>
      </c>
      <c r="AM140" s="1422">
        <v>730364</v>
      </c>
      <c r="AN140" s="1422">
        <v>0</v>
      </c>
      <c r="AO140" s="1422">
        <v>0</v>
      </c>
      <c r="AP140" s="1422">
        <v>0</v>
      </c>
      <c r="AQ140" s="1422">
        <v>0</v>
      </c>
      <c r="AR140" s="1422">
        <v>0</v>
      </c>
      <c r="AS140" s="1422">
        <v>0</v>
      </c>
      <c r="AT140" s="1422">
        <v>0</v>
      </c>
      <c r="AU140" s="1422">
        <v>306981</v>
      </c>
      <c r="AV140" s="1422">
        <v>245584</v>
      </c>
      <c r="AW140" s="1422">
        <v>0</v>
      </c>
      <c r="AX140" s="1422">
        <v>0</v>
      </c>
      <c r="AY140" s="1420">
        <v>72608978.439999998</v>
      </c>
      <c r="AZ140" s="1420">
        <v>77426465.599999994</v>
      </c>
      <c r="BA140" s="1422">
        <v>0</v>
      </c>
      <c r="BB140" s="1422">
        <v>0</v>
      </c>
      <c r="BC140" s="1422">
        <v>407597</v>
      </c>
      <c r="BD140" s="1422">
        <v>424057</v>
      </c>
      <c r="BE140" s="1420">
        <v>55772.03</v>
      </c>
      <c r="BF140" s="1422">
        <v>34800</v>
      </c>
      <c r="BG140" s="1422">
        <v>14244</v>
      </c>
      <c r="BH140" s="1422">
        <v>11550</v>
      </c>
      <c r="BI140" s="1422">
        <v>523802</v>
      </c>
      <c r="BJ140" s="1422">
        <v>786348</v>
      </c>
      <c r="BK140" s="1422">
        <v>38090</v>
      </c>
      <c r="BL140" s="1422">
        <v>38090</v>
      </c>
      <c r="BM140" s="1422">
        <v>1903268</v>
      </c>
      <c r="BN140" s="1422">
        <v>1783960</v>
      </c>
      <c r="BO140" s="1420">
        <v>236754.13</v>
      </c>
      <c r="BP140" s="1422">
        <v>72372</v>
      </c>
      <c r="BQ140" s="1420">
        <v>109211.9</v>
      </c>
      <c r="BR140" s="1422">
        <v>19500</v>
      </c>
      <c r="BS140" s="1420">
        <v>27600.29</v>
      </c>
      <c r="BT140" s="1422">
        <v>27000</v>
      </c>
      <c r="BU140" s="1422">
        <v>0</v>
      </c>
      <c r="BV140" s="1422">
        <v>0</v>
      </c>
      <c r="BW140" s="1422">
        <v>882550</v>
      </c>
      <c r="BX140" s="1422">
        <v>874800</v>
      </c>
      <c r="BY140" s="1422">
        <v>0</v>
      </c>
      <c r="BZ140" s="1422">
        <v>0</v>
      </c>
      <c r="CA140" s="1420">
        <v>4643997.92</v>
      </c>
      <c r="CB140" s="1420">
        <v>11167307.26</v>
      </c>
      <c r="CC140" s="1420">
        <v>8842887.2699999996</v>
      </c>
      <c r="CD140" s="1420">
        <v>15239784.26</v>
      </c>
      <c r="CE140" s="1420">
        <v>7614514.1100000003</v>
      </c>
      <c r="CF140" s="1420">
        <v>8721659.6199999992</v>
      </c>
      <c r="CG140" s="1420">
        <v>6053.86</v>
      </c>
      <c r="CH140" s="1422">
        <v>0</v>
      </c>
      <c r="CI140" s="1422">
        <v>0</v>
      </c>
      <c r="CJ140" s="1422">
        <v>0</v>
      </c>
      <c r="CK140" s="1422">
        <v>0</v>
      </c>
      <c r="CL140" s="1422">
        <v>0</v>
      </c>
      <c r="CM140" s="1420">
        <v>128458.13</v>
      </c>
      <c r="CN140" s="1422">
        <v>0</v>
      </c>
      <c r="CO140" s="1422">
        <v>0</v>
      </c>
      <c r="CP140" s="1422">
        <v>0</v>
      </c>
      <c r="CQ140" s="1422">
        <v>0</v>
      </c>
      <c r="CR140" s="1422">
        <v>0</v>
      </c>
      <c r="CS140" s="1420">
        <v>134511.99</v>
      </c>
      <c r="CT140" s="1422">
        <v>0</v>
      </c>
      <c r="CU140" s="1420">
        <v>89200891.810000002</v>
      </c>
      <c r="CV140" s="1420">
        <v>101387909.48</v>
      </c>
      <c r="CW140" s="1420">
        <v>32839149.670000002</v>
      </c>
      <c r="CX140" s="1420">
        <v>32510871.670000002</v>
      </c>
      <c r="CY140" s="1420">
        <v>8091047.2400000002</v>
      </c>
      <c r="CZ140" s="1420">
        <v>9008827.5700000003</v>
      </c>
      <c r="DA140" s="1420">
        <v>2362325.1</v>
      </c>
      <c r="DB140" s="1420">
        <v>2313195.0299999998</v>
      </c>
      <c r="DC140" s="1422">
        <v>0</v>
      </c>
      <c r="DD140" s="1422">
        <v>0</v>
      </c>
      <c r="DE140" s="1420">
        <v>750546.05</v>
      </c>
      <c r="DF140" s="1420">
        <v>623124.91</v>
      </c>
      <c r="DG140" s="1420">
        <v>2744273.3</v>
      </c>
      <c r="DH140" s="1420">
        <v>3336506.31</v>
      </c>
      <c r="DI140" s="1420">
        <v>46787341.359999999</v>
      </c>
      <c r="DJ140" s="1420">
        <v>47792525.490000002</v>
      </c>
      <c r="DK140" s="1420">
        <v>1034709.7</v>
      </c>
      <c r="DL140" s="1420">
        <v>1159376.51</v>
      </c>
      <c r="DM140" s="1420">
        <v>1711134.26</v>
      </c>
      <c r="DN140" s="1420">
        <v>2048932.96</v>
      </c>
      <c r="DO140" s="1420">
        <v>7191336.0800000001</v>
      </c>
      <c r="DP140" s="1420">
        <v>7179383.9900000002</v>
      </c>
      <c r="DQ140" s="1420">
        <v>3480510.2</v>
      </c>
      <c r="DR140" s="1420">
        <v>3593429.88</v>
      </c>
      <c r="DS140" s="1420">
        <v>86053.51</v>
      </c>
      <c r="DT140" s="1422">
        <v>50000</v>
      </c>
      <c r="DU140" s="1420">
        <v>13503743.75</v>
      </c>
      <c r="DV140" s="1420">
        <v>14031123.34</v>
      </c>
      <c r="DW140" s="1420">
        <v>3984223.95</v>
      </c>
      <c r="DX140" s="1420">
        <v>4236009.12</v>
      </c>
      <c r="DY140" s="1420">
        <v>7209230.7300000004</v>
      </c>
      <c r="DZ140" s="1420">
        <v>7016200.3200000003</v>
      </c>
      <c r="EA140" s="1420">
        <v>4013358.73</v>
      </c>
      <c r="EB140" s="1420">
        <v>4118079.55</v>
      </c>
      <c r="EC140" s="1420">
        <v>15206813.41</v>
      </c>
      <c r="ED140" s="1420">
        <v>15370288.99</v>
      </c>
      <c r="EE140" s="1420">
        <v>3497949.73</v>
      </c>
      <c r="EF140" s="1420">
        <v>3606149.63</v>
      </c>
      <c r="EG140" s="1420">
        <v>468232.54</v>
      </c>
      <c r="EH140" s="1422">
        <v>0</v>
      </c>
      <c r="EI140" s="1420">
        <v>11118.01</v>
      </c>
      <c r="EJ140" s="1422">
        <v>15000</v>
      </c>
      <c r="EK140" s="1422">
        <v>0</v>
      </c>
      <c r="EL140" s="1422">
        <v>0</v>
      </c>
      <c r="EM140" s="1420">
        <v>3977300.28</v>
      </c>
      <c r="EN140" s="1420">
        <v>3621149.63</v>
      </c>
      <c r="EO140" s="1420">
        <v>10473482.32</v>
      </c>
      <c r="EP140" s="1422">
        <v>20021551</v>
      </c>
      <c r="EQ140" s="1420">
        <v>2668807.79</v>
      </c>
      <c r="ER140" s="1422">
        <v>4050564</v>
      </c>
      <c r="ES140" s="1420">
        <v>333612.59999999998</v>
      </c>
      <c r="ET140" s="1422">
        <v>0</v>
      </c>
      <c r="EU140" s="1420">
        <v>92951101.510000005</v>
      </c>
      <c r="EV140" s="1420">
        <v>104887202.45</v>
      </c>
      <c r="EW140" s="1420">
        <v>11864608.23</v>
      </c>
      <c r="EX140" s="1422">
        <v>21196141</v>
      </c>
      <c r="EY140" s="1420">
        <v>2668807.79</v>
      </c>
      <c r="EZ140" s="1422">
        <v>4050564</v>
      </c>
      <c r="FA140" s="1420">
        <v>78417685.489999995</v>
      </c>
      <c r="FB140" s="1420">
        <v>79640497.450000003</v>
      </c>
      <c r="FC140" s="1420">
        <v>5280611.62</v>
      </c>
      <c r="FD140" s="1439"/>
      <c r="FE140" s="1420">
        <v>73137073.870000005</v>
      </c>
      <c r="FF140" s="1439"/>
      <c r="FG140" s="1422">
        <v>7829</v>
      </c>
      <c r="FH140" s="1439"/>
      <c r="FI140" s="1420">
        <v>616.34</v>
      </c>
      <c r="FJ140" s="1439"/>
      <c r="FK140" s="1422">
        <v>49445</v>
      </c>
      <c r="FL140" s="1439"/>
      <c r="FM140" s="1420">
        <v>682.15</v>
      </c>
      <c r="FN140" s="1439"/>
      <c r="FO140" s="1422">
        <v>51704</v>
      </c>
      <c r="FP140" s="1439"/>
      <c r="FQ140" s="1420">
        <v>6148741.8600000003</v>
      </c>
      <c r="FR140" s="1439"/>
      <c r="FS140" s="1420">
        <v>234386.1</v>
      </c>
      <c r="FT140" s="1439"/>
      <c r="FU140" s="1422">
        <v>0</v>
      </c>
      <c r="FV140" s="1439"/>
      <c r="FW140" s="1420">
        <v>5914355.7599999998</v>
      </c>
      <c r="FX140" s="1439"/>
      <c r="FY140" s="1420">
        <v>10907943.1</v>
      </c>
      <c r="FZ140" s="1439"/>
      <c r="GA140" s="1422">
        <v>0</v>
      </c>
      <c r="GB140" s="1439"/>
    </row>
    <row r="141" spans="1:184" ht="12.75" customHeight="1" thickBot="1">
      <c r="A141" s="1418" t="s">
        <v>332</v>
      </c>
      <c r="B141" s="1418" t="s">
        <v>333</v>
      </c>
      <c r="C141" s="1420">
        <v>739.93</v>
      </c>
      <c r="D141" s="1439"/>
      <c r="E141" s="1420">
        <v>2223.33</v>
      </c>
      <c r="F141" s="1439"/>
      <c r="G141" s="1421">
        <v>-0.05</v>
      </c>
      <c r="H141" s="1439"/>
      <c r="I141" s="1420">
        <v>2313.9699999999998</v>
      </c>
      <c r="J141" s="1439"/>
      <c r="K141" s="1420">
        <v>2342.0100000000002</v>
      </c>
      <c r="L141" s="1439"/>
      <c r="M141" s="1422">
        <v>157248944</v>
      </c>
      <c r="N141" s="1439"/>
      <c r="O141" s="1422">
        <v>25</v>
      </c>
      <c r="P141" s="1439"/>
      <c r="Q141" s="1422">
        <v>25</v>
      </c>
      <c r="R141" s="1439"/>
      <c r="S141" s="1422">
        <v>0</v>
      </c>
      <c r="T141" s="1439"/>
      <c r="U141" s="1422">
        <v>0</v>
      </c>
      <c r="V141" s="1439"/>
      <c r="W141" s="1420">
        <v>7.1</v>
      </c>
      <c r="X141" s="1439"/>
      <c r="Y141" s="1420">
        <v>32.1</v>
      </c>
      <c r="Z141" s="1439"/>
      <c r="AA141" s="1422">
        <v>7855000</v>
      </c>
      <c r="AB141" s="1439"/>
      <c r="AC141" s="1420">
        <v>4613277.04</v>
      </c>
      <c r="AD141" s="1420">
        <v>5339319.9000000004</v>
      </c>
      <c r="AE141" s="1420">
        <v>802958.45</v>
      </c>
      <c r="AF141" s="1422">
        <v>546375</v>
      </c>
      <c r="AG141" s="1422">
        <v>150000</v>
      </c>
      <c r="AH141" s="1422">
        <v>75000</v>
      </c>
      <c r="AI141" s="1422">
        <v>10321564</v>
      </c>
      <c r="AJ141" s="1422">
        <v>10275422</v>
      </c>
      <c r="AK141" s="1422">
        <v>148052</v>
      </c>
      <c r="AL141" s="1422">
        <v>0</v>
      </c>
      <c r="AM141" s="1422">
        <v>0</v>
      </c>
      <c r="AN141" s="1422">
        <v>0</v>
      </c>
      <c r="AO141" s="1422">
        <v>0</v>
      </c>
      <c r="AP141" s="1422">
        <v>0</v>
      </c>
      <c r="AQ141" s="1422">
        <v>0</v>
      </c>
      <c r="AR141" s="1422">
        <v>0</v>
      </c>
      <c r="AS141" s="1422">
        <v>189739</v>
      </c>
      <c r="AT141" s="1422">
        <v>190000</v>
      </c>
      <c r="AU141" s="1422">
        <v>46953</v>
      </c>
      <c r="AV141" s="1422">
        <v>37562</v>
      </c>
      <c r="AW141" s="1422">
        <v>0</v>
      </c>
      <c r="AX141" s="1422">
        <v>0</v>
      </c>
      <c r="AY141" s="1420">
        <v>16272543.49</v>
      </c>
      <c r="AZ141" s="1420">
        <v>16463678.9</v>
      </c>
      <c r="BA141" s="1422">
        <v>0</v>
      </c>
      <c r="BB141" s="1422">
        <v>0</v>
      </c>
      <c r="BC141" s="1422">
        <v>96866</v>
      </c>
      <c r="BD141" s="1420">
        <v>98202.1</v>
      </c>
      <c r="BE141" s="1420">
        <v>392511.46</v>
      </c>
      <c r="BF141" s="1422">
        <v>200000</v>
      </c>
      <c r="BG141" s="1422">
        <v>1900</v>
      </c>
      <c r="BH141" s="1422">
        <v>0</v>
      </c>
      <c r="BI141" s="1422">
        <v>79594</v>
      </c>
      <c r="BJ141" s="1422">
        <v>79594</v>
      </c>
      <c r="BK141" s="1422">
        <v>39262</v>
      </c>
      <c r="BL141" s="1422">
        <v>39262</v>
      </c>
      <c r="BM141" s="1422">
        <v>669600</v>
      </c>
      <c r="BN141" s="1422">
        <v>697774</v>
      </c>
      <c r="BO141" s="1420">
        <v>20250.34</v>
      </c>
      <c r="BP141" s="1422">
        <v>20000</v>
      </c>
      <c r="BQ141" s="1422">
        <v>0</v>
      </c>
      <c r="BR141" s="1422">
        <v>0</v>
      </c>
      <c r="BS141" s="1422">
        <v>0</v>
      </c>
      <c r="BT141" s="1422">
        <v>8000</v>
      </c>
      <c r="BU141" s="1422">
        <v>0</v>
      </c>
      <c r="BV141" s="1422">
        <v>0</v>
      </c>
      <c r="BW141" s="1422">
        <v>101228</v>
      </c>
      <c r="BX141" s="1422">
        <v>97500</v>
      </c>
      <c r="BY141" s="1422">
        <v>0</v>
      </c>
      <c r="BZ141" s="1422">
        <v>0</v>
      </c>
      <c r="CA141" s="1420">
        <v>478594.8</v>
      </c>
      <c r="CB141" s="1422">
        <v>103661</v>
      </c>
      <c r="CC141" s="1420">
        <v>1879806.6</v>
      </c>
      <c r="CD141" s="1420">
        <v>1343993.1</v>
      </c>
      <c r="CE141" s="1420">
        <v>3823097.37</v>
      </c>
      <c r="CF141" s="1420">
        <v>2732839.91</v>
      </c>
      <c r="CG141" s="1422">
        <v>0</v>
      </c>
      <c r="CH141" s="1422">
        <v>0</v>
      </c>
      <c r="CI141" s="1422">
        <v>0</v>
      </c>
      <c r="CJ141" s="1422">
        <v>0</v>
      </c>
      <c r="CK141" s="1422">
        <v>0</v>
      </c>
      <c r="CL141" s="1422">
        <v>0</v>
      </c>
      <c r="CM141" s="1422">
        <v>0</v>
      </c>
      <c r="CN141" s="1422">
        <v>0</v>
      </c>
      <c r="CO141" s="1422">
        <v>0</v>
      </c>
      <c r="CP141" s="1422">
        <v>0</v>
      </c>
      <c r="CQ141" s="1422">
        <v>0</v>
      </c>
      <c r="CR141" s="1422">
        <v>0</v>
      </c>
      <c r="CS141" s="1422">
        <v>0</v>
      </c>
      <c r="CT141" s="1422">
        <v>0</v>
      </c>
      <c r="CU141" s="1420">
        <v>21975447.460000001</v>
      </c>
      <c r="CV141" s="1420">
        <v>20540511.91</v>
      </c>
      <c r="CW141" s="1420">
        <v>8138224.9100000001</v>
      </c>
      <c r="CX141" s="1420">
        <v>7624016.1200000001</v>
      </c>
      <c r="CY141" s="1420">
        <v>1496456.98</v>
      </c>
      <c r="CZ141" s="1422">
        <v>1481925</v>
      </c>
      <c r="DA141" s="1420">
        <v>698777.69</v>
      </c>
      <c r="DB141" s="1422">
        <v>799567</v>
      </c>
      <c r="DC141" s="1422">
        <v>0</v>
      </c>
      <c r="DD141" s="1422">
        <v>0</v>
      </c>
      <c r="DE141" s="1420">
        <v>948379.06</v>
      </c>
      <c r="DF141" s="1422">
        <v>851591</v>
      </c>
      <c r="DG141" s="1420">
        <v>692059.38</v>
      </c>
      <c r="DH141" s="1420">
        <v>779341.42</v>
      </c>
      <c r="DI141" s="1420">
        <v>11973898.02</v>
      </c>
      <c r="DJ141" s="1420">
        <v>11536440.539999999</v>
      </c>
      <c r="DK141" s="1420">
        <v>352361.46</v>
      </c>
      <c r="DL141" s="1420">
        <v>393020.07</v>
      </c>
      <c r="DM141" s="1420">
        <v>380564.83</v>
      </c>
      <c r="DN141" s="1420">
        <v>533686.56000000006</v>
      </c>
      <c r="DO141" s="1420">
        <v>2092257.87</v>
      </c>
      <c r="DP141" s="1420">
        <v>2151076.37</v>
      </c>
      <c r="DQ141" s="1420">
        <v>1516266.26</v>
      </c>
      <c r="DR141" s="1422">
        <v>1416412</v>
      </c>
      <c r="DS141" s="1420">
        <v>84688.53</v>
      </c>
      <c r="DT141" s="1422">
        <v>2000</v>
      </c>
      <c r="DU141" s="1420">
        <v>4426138.95</v>
      </c>
      <c r="DV141" s="1422">
        <v>4496195</v>
      </c>
      <c r="DW141" s="1420">
        <v>631033.69999999995</v>
      </c>
      <c r="DX141" s="1422">
        <v>715474</v>
      </c>
      <c r="DY141" s="1420">
        <v>1763766.58</v>
      </c>
      <c r="DZ141" s="1420">
        <v>1378525.65</v>
      </c>
      <c r="EA141" s="1420">
        <v>963747.83</v>
      </c>
      <c r="EB141" s="1422">
        <v>962420</v>
      </c>
      <c r="EC141" s="1420">
        <v>3358548.11</v>
      </c>
      <c r="ED141" s="1420">
        <v>3056419.65</v>
      </c>
      <c r="EE141" s="1420">
        <v>1157557.57</v>
      </c>
      <c r="EF141" s="1422">
        <v>1140919</v>
      </c>
      <c r="EG141" s="1422">
        <v>0</v>
      </c>
      <c r="EH141" s="1422">
        <v>0</v>
      </c>
      <c r="EI141" s="1420">
        <v>222576.22</v>
      </c>
      <c r="EJ141" s="1422">
        <v>129288</v>
      </c>
      <c r="EK141" s="1422">
        <v>0</v>
      </c>
      <c r="EL141" s="1422">
        <v>0</v>
      </c>
      <c r="EM141" s="1420">
        <v>1380133.79</v>
      </c>
      <c r="EN141" s="1422">
        <v>1270207</v>
      </c>
      <c r="EO141" s="1420">
        <v>1564560.63</v>
      </c>
      <c r="EP141" s="1422">
        <v>1428545</v>
      </c>
      <c r="EQ141" s="1420">
        <v>498092.5</v>
      </c>
      <c r="ER141" s="1420">
        <v>497077.5</v>
      </c>
      <c r="ES141" s="1422">
        <v>0</v>
      </c>
      <c r="ET141" s="1422">
        <v>0</v>
      </c>
      <c r="EU141" s="1422">
        <v>23201372</v>
      </c>
      <c r="EV141" s="1420">
        <v>22284884.690000001</v>
      </c>
      <c r="EW141" s="1420">
        <v>2260549.34</v>
      </c>
      <c r="EX141" s="1422">
        <v>1850628</v>
      </c>
      <c r="EY141" s="1420">
        <v>498092.5</v>
      </c>
      <c r="EZ141" s="1420">
        <v>497077.5</v>
      </c>
      <c r="FA141" s="1420">
        <v>20442730.16</v>
      </c>
      <c r="FB141" s="1420">
        <v>19937179.190000001</v>
      </c>
      <c r="FC141" s="1420">
        <v>895360.18</v>
      </c>
      <c r="FD141" s="1439"/>
      <c r="FE141" s="1420">
        <v>19547369.98</v>
      </c>
      <c r="FF141" s="1439"/>
      <c r="FG141" s="1422">
        <v>8791</v>
      </c>
      <c r="FH141" s="1439"/>
      <c r="FI141" s="1420">
        <v>159.51</v>
      </c>
      <c r="FJ141" s="1439"/>
      <c r="FK141" s="1422">
        <v>48129</v>
      </c>
      <c r="FL141" s="1439"/>
      <c r="FM141" s="1420">
        <v>175.33</v>
      </c>
      <c r="FN141" s="1439"/>
      <c r="FO141" s="1422">
        <v>49801</v>
      </c>
      <c r="FP141" s="1439"/>
      <c r="FQ141" s="1420">
        <v>1815506.95</v>
      </c>
      <c r="FR141" s="1439"/>
      <c r="FS141" s="1420">
        <v>193395.19</v>
      </c>
      <c r="FT141" s="1439"/>
      <c r="FU141" s="1422">
        <v>0</v>
      </c>
      <c r="FV141" s="1439"/>
      <c r="FW141" s="1420">
        <v>1622111.76</v>
      </c>
      <c r="FX141" s="1439"/>
      <c r="FY141" s="1420">
        <v>5323505.07</v>
      </c>
      <c r="FZ141" s="1439"/>
      <c r="GA141" s="1422">
        <v>0</v>
      </c>
      <c r="GB141" s="1439"/>
    </row>
    <row r="142" spans="1:184" ht="12.75" customHeight="1" thickBot="1">
      <c r="A142" s="1418" t="s">
        <v>334</v>
      </c>
      <c r="B142" s="1418" t="s">
        <v>335</v>
      </c>
      <c r="C142" s="1420">
        <v>141.81</v>
      </c>
      <c r="D142" s="1439"/>
      <c r="E142" s="1420">
        <v>763.31</v>
      </c>
      <c r="F142" s="1439"/>
      <c r="G142" s="1421">
        <v>-0.1</v>
      </c>
      <c r="H142" s="1439"/>
      <c r="I142" s="1420">
        <v>812.61</v>
      </c>
      <c r="J142" s="1439"/>
      <c r="K142" s="1420">
        <v>845.76</v>
      </c>
      <c r="L142" s="1439"/>
      <c r="M142" s="1422">
        <v>96654994</v>
      </c>
      <c r="N142" s="1439"/>
      <c r="O142" s="1420">
        <v>30.8</v>
      </c>
      <c r="P142" s="1439"/>
      <c r="Q142" s="1422">
        <v>25</v>
      </c>
      <c r="R142" s="1439"/>
      <c r="S142" s="1420">
        <v>5.8</v>
      </c>
      <c r="T142" s="1439"/>
      <c r="U142" s="1422">
        <v>0</v>
      </c>
      <c r="V142" s="1439"/>
      <c r="W142" s="1420">
        <v>3.1</v>
      </c>
      <c r="X142" s="1439"/>
      <c r="Y142" s="1420">
        <v>33.9</v>
      </c>
      <c r="Z142" s="1439"/>
      <c r="AA142" s="1420">
        <v>2562919.25</v>
      </c>
      <c r="AB142" s="1439"/>
      <c r="AC142" s="1420">
        <v>2947610.74</v>
      </c>
      <c r="AD142" s="1422">
        <v>3114887</v>
      </c>
      <c r="AE142" s="1420">
        <v>663493.67000000004</v>
      </c>
      <c r="AF142" s="1420">
        <v>364140.74</v>
      </c>
      <c r="AG142" s="1420">
        <v>80.959999999999994</v>
      </c>
      <c r="AH142" s="1422">
        <v>17000</v>
      </c>
      <c r="AI142" s="1422">
        <v>2774753</v>
      </c>
      <c r="AJ142" s="1422">
        <v>2621067</v>
      </c>
      <c r="AK142" s="1422">
        <v>18109</v>
      </c>
      <c r="AL142" s="1422">
        <v>0</v>
      </c>
      <c r="AM142" s="1422">
        <v>0</v>
      </c>
      <c r="AN142" s="1422">
        <v>0</v>
      </c>
      <c r="AO142" s="1422">
        <v>81250</v>
      </c>
      <c r="AP142" s="1422">
        <v>97321</v>
      </c>
      <c r="AQ142" s="1422">
        <v>0</v>
      </c>
      <c r="AR142" s="1422">
        <v>0</v>
      </c>
      <c r="AS142" s="1422">
        <v>0</v>
      </c>
      <c r="AT142" s="1422">
        <v>0</v>
      </c>
      <c r="AU142" s="1422">
        <v>0</v>
      </c>
      <c r="AV142" s="1422">
        <v>0</v>
      </c>
      <c r="AW142" s="1422">
        <v>0</v>
      </c>
      <c r="AX142" s="1422">
        <v>0</v>
      </c>
      <c r="AY142" s="1420">
        <v>6485297.3700000001</v>
      </c>
      <c r="AZ142" s="1420">
        <v>6214415.7400000002</v>
      </c>
      <c r="BA142" s="1422">
        <v>0</v>
      </c>
      <c r="BB142" s="1422">
        <v>0</v>
      </c>
      <c r="BC142" s="1422">
        <v>34981</v>
      </c>
      <c r="BD142" s="1422">
        <v>34501</v>
      </c>
      <c r="BE142" s="1420">
        <v>7800.85</v>
      </c>
      <c r="BF142" s="1422">
        <v>0</v>
      </c>
      <c r="BG142" s="1422">
        <v>50</v>
      </c>
      <c r="BH142" s="1422">
        <v>0</v>
      </c>
      <c r="BI142" s="1422">
        <v>105841</v>
      </c>
      <c r="BJ142" s="1422">
        <v>78382</v>
      </c>
      <c r="BK142" s="1422">
        <v>0</v>
      </c>
      <c r="BL142" s="1422">
        <v>0</v>
      </c>
      <c r="BM142" s="1422">
        <v>269824</v>
      </c>
      <c r="BN142" s="1422">
        <v>264132</v>
      </c>
      <c r="BO142" s="1420">
        <v>96182.85</v>
      </c>
      <c r="BP142" s="1422">
        <v>40000</v>
      </c>
      <c r="BQ142" s="1420">
        <v>2437.52</v>
      </c>
      <c r="BR142" s="1422">
        <v>1500</v>
      </c>
      <c r="BS142" s="1420">
        <v>3396.22</v>
      </c>
      <c r="BT142" s="1422">
        <v>3200</v>
      </c>
      <c r="BU142" s="1422">
        <v>0</v>
      </c>
      <c r="BV142" s="1422">
        <v>0</v>
      </c>
      <c r="BW142" s="1422">
        <v>292740</v>
      </c>
      <c r="BX142" s="1422">
        <v>306600</v>
      </c>
      <c r="BY142" s="1422">
        <v>0</v>
      </c>
      <c r="BZ142" s="1422">
        <v>0</v>
      </c>
      <c r="CA142" s="1422">
        <v>11030</v>
      </c>
      <c r="CB142" s="1422">
        <v>7817</v>
      </c>
      <c r="CC142" s="1420">
        <v>824283.44</v>
      </c>
      <c r="CD142" s="1422">
        <v>736132</v>
      </c>
      <c r="CE142" s="1420">
        <v>1593493.75</v>
      </c>
      <c r="CF142" s="1420">
        <v>1903531.76</v>
      </c>
      <c r="CG142" s="1422">
        <v>0</v>
      </c>
      <c r="CH142" s="1422">
        <v>0</v>
      </c>
      <c r="CI142" s="1422">
        <v>0</v>
      </c>
      <c r="CJ142" s="1422">
        <v>0</v>
      </c>
      <c r="CK142" s="1422">
        <v>0</v>
      </c>
      <c r="CL142" s="1422">
        <v>0</v>
      </c>
      <c r="CM142" s="1422">
        <v>0</v>
      </c>
      <c r="CN142" s="1422">
        <v>0</v>
      </c>
      <c r="CO142" s="1422">
        <v>0</v>
      </c>
      <c r="CP142" s="1422">
        <v>0</v>
      </c>
      <c r="CQ142" s="1422">
        <v>0</v>
      </c>
      <c r="CR142" s="1422">
        <v>0</v>
      </c>
      <c r="CS142" s="1422">
        <v>0</v>
      </c>
      <c r="CT142" s="1422">
        <v>0</v>
      </c>
      <c r="CU142" s="1420">
        <v>8903074.5600000005</v>
      </c>
      <c r="CV142" s="1420">
        <v>8854079.5</v>
      </c>
      <c r="CW142" s="1420">
        <v>3211281.49</v>
      </c>
      <c r="CX142" s="1420">
        <v>3029550.22</v>
      </c>
      <c r="CY142" s="1420">
        <v>610409.43999999994</v>
      </c>
      <c r="CZ142" s="1420">
        <v>655128.02</v>
      </c>
      <c r="DA142" s="1420">
        <v>175136.04</v>
      </c>
      <c r="DB142" s="1420">
        <v>215919.28</v>
      </c>
      <c r="DC142" s="1422">
        <v>0</v>
      </c>
      <c r="DD142" s="1422">
        <v>0</v>
      </c>
      <c r="DE142" s="1420">
        <v>494937.7</v>
      </c>
      <c r="DF142" s="1420">
        <v>450549.22</v>
      </c>
      <c r="DG142" s="1420">
        <v>490483.94</v>
      </c>
      <c r="DH142" s="1420">
        <v>473648.99</v>
      </c>
      <c r="DI142" s="1420">
        <v>4982248.6100000003</v>
      </c>
      <c r="DJ142" s="1420">
        <v>4824795.7300000004</v>
      </c>
      <c r="DK142" s="1420">
        <v>208286.41</v>
      </c>
      <c r="DL142" s="1420">
        <v>245430.36</v>
      </c>
      <c r="DM142" s="1420">
        <v>189039.63</v>
      </c>
      <c r="DN142" s="1420">
        <v>152831.69</v>
      </c>
      <c r="DO142" s="1420">
        <v>955070.93</v>
      </c>
      <c r="DP142" s="1420">
        <v>809073.25</v>
      </c>
      <c r="DQ142" s="1420">
        <v>332664.19</v>
      </c>
      <c r="DR142" s="1420">
        <v>307685.52</v>
      </c>
      <c r="DS142" s="1420">
        <v>34039.58</v>
      </c>
      <c r="DT142" s="1422">
        <v>33660</v>
      </c>
      <c r="DU142" s="1420">
        <v>1719100.74</v>
      </c>
      <c r="DV142" s="1420">
        <v>1548680.82</v>
      </c>
      <c r="DW142" s="1420">
        <v>255327.66</v>
      </c>
      <c r="DX142" s="1420">
        <v>266918.78999999998</v>
      </c>
      <c r="DY142" s="1420">
        <v>592747.59</v>
      </c>
      <c r="DZ142" s="1420">
        <v>575231.19999999995</v>
      </c>
      <c r="EA142" s="1420">
        <v>398879.81</v>
      </c>
      <c r="EB142" s="1420">
        <v>409607.91</v>
      </c>
      <c r="EC142" s="1420">
        <v>1246955.06</v>
      </c>
      <c r="ED142" s="1420">
        <v>1251757.8999999999</v>
      </c>
      <c r="EE142" s="1420">
        <v>433004.98</v>
      </c>
      <c r="EF142" s="1420">
        <v>409478.18</v>
      </c>
      <c r="EG142" s="1422">
        <v>0</v>
      </c>
      <c r="EH142" s="1422">
        <v>0</v>
      </c>
      <c r="EI142" s="1420">
        <v>25385.200000000001</v>
      </c>
      <c r="EJ142" s="1420">
        <v>6299.61</v>
      </c>
      <c r="EK142" s="1422">
        <v>0</v>
      </c>
      <c r="EL142" s="1422">
        <v>0</v>
      </c>
      <c r="EM142" s="1420">
        <v>458390.18</v>
      </c>
      <c r="EN142" s="1420">
        <v>415777.79</v>
      </c>
      <c r="EO142" s="1420">
        <v>459736.12</v>
      </c>
      <c r="EP142" s="1422">
        <v>1207866</v>
      </c>
      <c r="EQ142" s="1420">
        <v>127582.64</v>
      </c>
      <c r="ER142" s="1420">
        <v>157722.32999999999</v>
      </c>
      <c r="ES142" s="1422">
        <v>0</v>
      </c>
      <c r="ET142" s="1422">
        <v>0</v>
      </c>
      <c r="EU142" s="1420">
        <v>8994013.3499999996</v>
      </c>
      <c r="EV142" s="1420">
        <v>9406600.5700000003</v>
      </c>
      <c r="EW142" s="1420">
        <v>556999.69999999995</v>
      </c>
      <c r="EX142" s="1420">
        <v>1278783.96</v>
      </c>
      <c r="EY142" s="1420">
        <v>127582.64</v>
      </c>
      <c r="EZ142" s="1420">
        <v>157722.32999999999</v>
      </c>
      <c r="FA142" s="1420">
        <v>8309431.0099999998</v>
      </c>
      <c r="FB142" s="1420">
        <v>7970094.2800000003</v>
      </c>
      <c r="FC142" s="1420">
        <v>609995.54</v>
      </c>
      <c r="FD142" s="1439"/>
      <c r="FE142" s="1420">
        <v>7699435.4699999997</v>
      </c>
      <c r="FF142" s="1439"/>
      <c r="FG142" s="1422">
        <v>10086</v>
      </c>
      <c r="FH142" s="1439"/>
      <c r="FI142" s="1420">
        <v>69.77</v>
      </c>
      <c r="FJ142" s="1439"/>
      <c r="FK142" s="1422">
        <v>41075</v>
      </c>
      <c r="FL142" s="1439"/>
      <c r="FM142" s="1420">
        <v>75.209999999999994</v>
      </c>
      <c r="FN142" s="1439"/>
      <c r="FO142" s="1422">
        <v>43483</v>
      </c>
      <c r="FP142" s="1439"/>
      <c r="FQ142" s="1420">
        <v>730125.79</v>
      </c>
      <c r="FR142" s="1439"/>
      <c r="FS142" s="1420">
        <v>9237.7999999999993</v>
      </c>
      <c r="FT142" s="1439"/>
      <c r="FU142" s="1422">
        <v>0</v>
      </c>
      <c r="FV142" s="1439"/>
      <c r="FW142" s="1420">
        <v>720887.99</v>
      </c>
      <c r="FX142" s="1439"/>
      <c r="FY142" s="1420">
        <v>709450.18</v>
      </c>
      <c r="FZ142" s="1439"/>
      <c r="GA142" s="1422">
        <v>0</v>
      </c>
      <c r="GB142" s="1439"/>
    </row>
    <row r="143" spans="1:184" ht="12.75" customHeight="1" thickBot="1">
      <c r="A143" s="1418" t="s">
        <v>336</v>
      </c>
      <c r="B143" s="1418" t="s">
        <v>337</v>
      </c>
      <c r="C143" s="1420">
        <v>264.3</v>
      </c>
      <c r="D143" s="1439"/>
      <c r="E143" s="1420">
        <v>759.56</v>
      </c>
      <c r="F143" s="1439"/>
      <c r="G143" s="1421">
        <v>-0.14000000000000001</v>
      </c>
      <c r="H143" s="1439"/>
      <c r="I143" s="1420">
        <v>812.16</v>
      </c>
      <c r="J143" s="1439"/>
      <c r="K143" s="1420">
        <v>829.1</v>
      </c>
      <c r="L143" s="1439"/>
      <c r="M143" s="1422">
        <v>59440083</v>
      </c>
      <c r="N143" s="1439"/>
      <c r="O143" s="1422">
        <v>25</v>
      </c>
      <c r="P143" s="1439"/>
      <c r="Q143" s="1422">
        <v>25</v>
      </c>
      <c r="R143" s="1439"/>
      <c r="S143" s="1422">
        <v>0</v>
      </c>
      <c r="T143" s="1439"/>
      <c r="U143" s="1422">
        <v>0</v>
      </c>
      <c r="V143" s="1439"/>
      <c r="W143" s="1420">
        <v>11.98</v>
      </c>
      <c r="X143" s="1439"/>
      <c r="Y143" s="1420">
        <v>36.979999999999997</v>
      </c>
      <c r="Z143" s="1439"/>
      <c r="AA143" s="1422">
        <v>7790000</v>
      </c>
      <c r="AB143" s="1439"/>
      <c r="AC143" s="1420">
        <v>2051852.2</v>
      </c>
      <c r="AD143" s="1420">
        <v>2117396.23</v>
      </c>
      <c r="AE143" s="1420">
        <v>321952.94</v>
      </c>
      <c r="AF143" s="1422">
        <v>135277</v>
      </c>
      <c r="AG143" s="1420">
        <v>91.06</v>
      </c>
      <c r="AH143" s="1422">
        <v>100</v>
      </c>
      <c r="AI143" s="1422">
        <v>3573025</v>
      </c>
      <c r="AJ143" s="1422">
        <v>3529825</v>
      </c>
      <c r="AK143" s="1422">
        <v>74355</v>
      </c>
      <c r="AL143" s="1422">
        <v>0</v>
      </c>
      <c r="AM143" s="1422">
        <v>0</v>
      </c>
      <c r="AN143" s="1422">
        <v>0</v>
      </c>
      <c r="AO143" s="1422">
        <v>92092</v>
      </c>
      <c r="AP143" s="1422">
        <v>49428</v>
      </c>
      <c r="AQ143" s="1422">
        <v>0</v>
      </c>
      <c r="AR143" s="1422">
        <v>0</v>
      </c>
      <c r="AS143" s="1422">
        <v>0</v>
      </c>
      <c r="AT143" s="1422">
        <v>0</v>
      </c>
      <c r="AU143" s="1422">
        <v>27741</v>
      </c>
      <c r="AV143" s="1422">
        <v>22193</v>
      </c>
      <c r="AW143" s="1422">
        <v>0</v>
      </c>
      <c r="AX143" s="1422">
        <v>0</v>
      </c>
      <c r="AY143" s="1420">
        <v>6141109.2000000002</v>
      </c>
      <c r="AZ143" s="1420">
        <v>5854219.2300000004</v>
      </c>
      <c r="BA143" s="1422">
        <v>0</v>
      </c>
      <c r="BB143" s="1422">
        <v>0</v>
      </c>
      <c r="BC143" s="1422">
        <v>34292</v>
      </c>
      <c r="BD143" s="1422">
        <v>34455</v>
      </c>
      <c r="BE143" s="1420">
        <v>22335.75</v>
      </c>
      <c r="BF143" s="1422">
        <v>0</v>
      </c>
      <c r="BG143" s="1422">
        <v>450</v>
      </c>
      <c r="BH143" s="1422">
        <v>0</v>
      </c>
      <c r="BI143" s="1422">
        <v>42540</v>
      </c>
      <c r="BJ143" s="1422">
        <v>58403</v>
      </c>
      <c r="BK143" s="1422">
        <v>0</v>
      </c>
      <c r="BL143" s="1422">
        <v>0</v>
      </c>
      <c r="BM143" s="1422">
        <v>275776</v>
      </c>
      <c r="BN143" s="1422">
        <v>275264</v>
      </c>
      <c r="BO143" s="1420">
        <v>70620.81</v>
      </c>
      <c r="BP143" s="1422">
        <v>0</v>
      </c>
      <c r="BQ143" s="1422">
        <v>22750</v>
      </c>
      <c r="BR143" s="1420">
        <v>28453.52</v>
      </c>
      <c r="BS143" s="1420">
        <v>2938.13</v>
      </c>
      <c r="BT143" s="1422">
        <v>2938</v>
      </c>
      <c r="BU143" s="1422">
        <v>0</v>
      </c>
      <c r="BV143" s="1422">
        <v>0</v>
      </c>
      <c r="BW143" s="1422">
        <v>0</v>
      </c>
      <c r="BX143" s="1422">
        <v>0</v>
      </c>
      <c r="BY143" s="1422">
        <v>0</v>
      </c>
      <c r="BZ143" s="1422">
        <v>0</v>
      </c>
      <c r="CA143" s="1420">
        <v>97752.53</v>
      </c>
      <c r="CB143" s="1422">
        <v>115279</v>
      </c>
      <c r="CC143" s="1420">
        <v>569455.22</v>
      </c>
      <c r="CD143" s="1420">
        <v>514792.52</v>
      </c>
      <c r="CE143" s="1420">
        <v>1973927.71</v>
      </c>
      <c r="CF143" s="1420">
        <v>1243349.06</v>
      </c>
      <c r="CG143" s="1420">
        <v>6561.91</v>
      </c>
      <c r="CH143" s="1422">
        <v>0</v>
      </c>
      <c r="CI143" s="1422">
        <v>0</v>
      </c>
      <c r="CJ143" s="1422">
        <v>0</v>
      </c>
      <c r="CK143" s="1422">
        <v>0</v>
      </c>
      <c r="CL143" s="1422">
        <v>0</v>
      </c>
      <c r="CM143" s="1422">
        <v>0</v>
      </c>
      <c r="CN143" s="1422">
        <v>0</v>
      </c>
      <c r="CO143" s="1422">
        <v>0</v>
      </c>
      <c r="CP143" s="1422">
        <v>0</v>
      </c>
      <c r="CQ143" s="1422">
        <v>0</v>
      </c>
      <c r="CR143" s="1422">
        <v>0</v>
      </c>
      <c r="CS143" s="1420">
        <v>6561.91</v>
      </c>
      <c r="CT143" s="1422">
        <v>0</v>
      </c>
      <c r="CU143" s="1420">
        <v>8691054.0399999991</v>
      </c>
      <c r="CV143" s="1420">
        <v>7612360.8099999996</v>
      </c>
      <c r="CW143" s="1420">
        <v>2744687.67</v>
      </c>
      <c r="CX143" s="1420">
        <v>2294775.25</v>
      </c>
      <c r="CY143" s="1420">
        <v>628192.93999999994</v>
      </c>
      <c r="CZ143" s="1420">
        <v>624582.74</v>
      </c>
      <c r="DA143" s="1420">
        <v>237971.38</v>
      </c>
      <c r="DB143" s="1420">
        <v>278243.17</v>
      </c>
      <c r="DC143" s="1422">
        <v>0</v>
      </c>
      <c r="DD143" s="1422">
        <v>0</v>
      </c>
      <c r="DE143" s="1420">
        <v>440751.46</v>
      </c>
      <c r="DF143" s="1420">
        <v>437874.88</v>
      </c>
      <c r="DG143" s="1420">
        <v>362074.92</v>
      </c>
      <c r="DH143" s="1420">
        <v>396381.77</v>
      </c>
      <c r="DI143" s="1420">
        <v>4413678.37</v>
      </c>
      <c r="DJ143" s="1420">
        <v>4031857.81</v>
      </c>
      <c r="DK143" s="1420">
        <v>204670.02</v>
      </c>
      <c r="DL143" s="1420">
        <v>183722.3</v>
      </c>
      <c r="DM143" s="1420">
        <v>195743.12</v>
      </c>
      <c r="DN143" s="1420">
        <v>187300.08</v>
      </c>
      <c r="DO143" s="1420">
        <v>877032.88</v>
      </c>
      <c r="DP143" s="1420">
        <v>841867.34</v>
      </c>
      <c r="DQ143" s="1420">
        <v>476705.2</v>
      </c>
      <c r="DR143" s="1420">
        <v>356426.69</v>
      </c>
      <c r="DS143" s="1420">
        <v>19097.61</v>
      </c>
      <c r="DT143" s="1422">
        <v>4242</v>
      </c>
      <c r="DU143" s="1420">
        <v>1773248.83</v>
      </c>
      <c r="DV143" s="1420">
        <v>1573558.41</v>
      </c>
      <c r="DW143" s="1420">
        <v>408244.83</v>
      </c>
      <c r="DX143" s="1420">
        <v>301931.34000000003</v>
      </c>
      <c r="DY143" s="1420">
        <v>409297.62</v>
      </c>
      <c r="DZ143" s="1420">
        <v>336385.15</v>
      </c>
      <c r="EA143" s="1420">
        <v>348397.44</v>
      </c>
      <c r="EB143" s="1420">
        <v>349469.41</v>
      </c>
      <c r="EC143" s="1420">
        <v>1165939.8899999999</v>
      </c>
      <c r="ED143" s="1420">
        <v>987785.9</v>
      </c>
      <c r="EE143" s="1420">
        <v>414434.31</v>
      </c>
      <c r="EF143" s="1420">
        <v>406216.92</v>
      </c>
      <c r="EG143" s="1420">
        <v>16551.849999999999</v>
      </c>
      <c r="EH143" s="1422">
        <v>0</v>
      </c>
      <c r="EI143" s="1420">
        <v>3090.67</v>
      </c>
      <c r="EJ143" s="1422">
        <v>2282</v>
      </c>
      <c r="EK143" s="1422">
        <v>0</v>
      </c>
      <c r="EL143" s="1422">
        <v>0</v>
      </c>
      <c r="EM143" s="1420">
        <v>434076.83</v>
      </c>
      <c r="EN143" s="1420">
        <v>408498.92</v>
      </c>
      <c r="EO143" s="1420">
        <v>24133.17</v>
      </c>
      <c r="EP143" s="1420">
        <v>22963.64</v>
      </c>
      <c r="EQ143" s="1420">
        <v>491842.72</v>
      </c>
      <c r="ER143" s="1420">
        <v>575273.76</v>
      </c>
      <c r="ES143" s="1420">
        <v>435.2</v>
      </c>
      <c r="ET143" s="1422">
        <v>0</v>
      </c>
      <c r="EU143" s="1420">
        <v>8303355.0099999998</v>
      </c>
      <c r="EV143" s="1420">
        <v>7599938.4400000004</v>
      </c>
      <c r="EW143" s="1420">
        <v>174571.72</v>
      </c>
      <c r="EX143" s="1420">
        <v>65681.64</v>
      </c>
      <c r="EY143" s="1420">
        <v>491842.72</v>
      </c>
      <c r="EZ143" s="1420">
        <v>575273.76</v>
      </c>
      <c r="FA143" s="1420">
        <v>7636940.5700000003</v>
      </c>
      <c r="FB143" s="1420">
        <v>6958983.04</v>
      </c>
      <c r="FC143" s="1420">
        <v>250674.86</v>
      </c>
      <c r="FD143" s="1439"/>
      <c r="FE143" s="1420">
        <v>7386265.71</v>
      </c>
      <c r="FF143" s="1439"/>
      <c r="FG143" s="1422">
        <v>9724</v>
      </c>
      <c r="FH143" s="1439"/>
      <c r="FI143" s="1420">
        <v>54.1</v>
      </c>
      <c r="FJ143" s="1439"/>
      <c r="FK143" s="1422">
        <v>43355</v>
      </c>
      <c r="FL143" s="1439"/>
      <c r="FM143" s="1420">
        <v>58.47</v>
      </c>
      <c r="FN143" s="1439"/>
      <c r="FO143" s="1422">
        <v>45503</v>
      </c>
      <c r="FP143" s="1439"/>
      <c r="FQ143" s="1420">
        <v>965326.69</v>
      </c>
      <c r="FR143" s="1439"/>
      <c r="FS143" s="1420">
        <v>39833.919999999998</v>
      </c>
      <c r="FT143" s="1439"/>
      <c r="FU143" s="1422">
        <v>0</v>
      </c>
      <c r="FV143" s="1439"/>
      <c r="FW143" s="1420">
        <v>925492.77</v>
      </c>
      <c r="FX143" s="1439"/>
      <c r="FY143" s="1420">
        <v>452346.09</v>
      </c>
      <c r="FZ143" s="1439"/>
      <c r="GA143" s="1422">
        <v>0</v>
      </c>
      <c r="GB143" s="1439"/>
    </row>
    <row r="144" spans="1:184" ht="12.75" customHeight="1" thickBot="1">
      <c r="A144" s="1418" t="s">
        <v>338</v>
      </c>
      <c r="B144" s="1418" t="s">
        <v>339</v>
      </c>
      <c r="C144" s="1420">
        <v>79.069999999999993</v>
      </c>
      <c r="D144" s="1439"/>
      <c r="E144" s="1420">
        <v>906.19</v>
      </c>
      <c r="F144" s="1439"/>
      <c r="G144" s="1421">
        <v>-0.03</v>
      </c>
      <c r="H144" s="1439"/>
      <c r="I144" s="1420">
        <v>938.87</v>
      </c>
      <c r="J144" s="1439"/>
      <c r="K144" s="1420">
        <v>922.65</v>
      </c>
      <c r="L144" s="1439"/>
      <c r="M144" s="1422">
        <v>35884728</v>
      </c>
      <c r="N144" s="1439"/>
      <c r="O144" s="1422">
        <v>25</v>
      </c>
      <c r="P144" s="1439"/>
      <c r="Q144" s="1422">
        <v>25</v>
      </c>
      <c r="R144" s="1439"/>
      <c r="S144" s="1422">
        <v>0</v>
      </c>
      <c r="T144" s="1439"/>
      <c r="U144" s="1422">
        <v>0</v>
      </c>
      <c r="V144" s="1439"/>
      <c r="W144" s="1422">
        <v>22</v>
      </c>
      <c r="X144" s="1439"/>
      <c r="Y144" s="1422">
        <v>47</v>
      </c>
      <c r="Z144" s="1439"/>
      <c r="AA144" s="1420">
        <v>6956599.3399999999</v>
      </c>
      <c r="AB144" s="1439"/>
      <c r="AC144" s="1420">
        <v>1519402.69</v>
      </c>
      <c r="AD144" s="1422">
        <v>1761000</v>
      </c>
      <c r="AE144" s="1420">
        <v>746638.04</v>
      </c>
      <c r="AF144" s="1422">
        <v>196900</v>
      </c>
      <c r="AG144" s="1420">
        <v>17273.12</v>
      </c>
      <c r="AH144" s="1422">
        <v>17500</v>
      </c>
      <c r="AI144" s="1422">
        <v>4733602</v>
      </c>
      <c r="AJ144" s="1422">
        <v>4874439</v>
      </c>
      <c r="AK144" s="1422">
        <v>11771</v>
      </c>
      <c r="AL144" s="1422">
        <v>22000</v>
      </c>
      <c r="AM144" s="1422">
        <v>96127</v>
      </c>
      <c r="AN144" s="1422">
        <v>0</v>
      </c>
      <c r="AO144" s="1422">
        <v>0</v>
      </c>
      <c r="AP144" s="1422">
        <v>0</v>
      </c>
      <c r="AQ144" s="1422">
        <v>0</v>
      </c>
      <c r="AR144" s="1422">
        <v>0</v>
      </c>
      <c r="AS144" s="1422">
        <v>0</v>
      </c>
      <c r="AT144" s="1422">
        <v>0</v>
      </c>
      <c r="AU144" s="1422">
        <v>99074</v>
      </c>
      <c r="AV144" s="1422">
        <v>79259</v>
      </c>
      <c r="AW144" s="1422">
        <v>0</v>
      </c>
      <c r="AX144" s="1422">
        <v>0</v>
      </c>
      <c r="AY144" s="1420">
        <v>7223887.8499999996</v>
      </c>
      <c r="AZ144" s="1422">
        <v>6951098</v>
      </c>
      <c r="BA144" s="1422">
        <v>0</v>
      </c>
      <c r="BB144" s="1422">
        <v>0</v>
      </c>
      <c r="BC144" s="1422">
        <v>38161</v>
      </c>
      <c r="BD144" s="1422">
        <v>39746</v>
      </c>
      <c r="BE144" s="1420">
        <v>3297.66</v>
      </c>
      <c r="BF144" s="1422">
        <v>10340</v>
      </c>
      <c r="BG144" s="1422">
        <v>100</v>
      </c>
      <c r="BH144" s="1422">
        <v>300</v>
      </c>
      <c r="BI144" s="1422">
        <v>46156</v>
      </c>
      <c r="BJ144" s="1422">
        <v>48082</v>
      </c>
      <c r="BK144" s="1422">
        <v>0</v>
      </c>
      <c r="BL144" s="1422">
        <v>0</v>
      </c>
      <c r="BM144" s="1422">
        <v>213776</v>
      </c>
      <c r="BN144" s="1422">
        <v>214038</v>
      </c>
      <c r="BO144" s="1420">
        <v>56607.49</v>
      </c>
      <c r="BP144" s="1422">
        <v>0</v>
      </c>
      <c r="BQ144" s="1422">
        <v>27625</v>
      </c>
      <c r="BR144" s="1422">
        <v>19500</v>
      </c>
      <c r="BS144" s="1420">
        <v>2672.41</v>
      </c>
      <c r="BT144" s="1422">
        <v>3300</v>
      </c>
      <c r="BU144" s="1422">
        <v>0</v>
      </c>
      <c r="BV144" s="1422">
        <v>0</v>
      </c>
      <c r="BW144" s="1422">
        <v>0</v>
      </c>
      <c r="BX144" s="1422">
        <v>0</v>
      </c>
      <c r="BY144" s="1422">
        <v>0</v>
      </c>
      <c r="BZ144" s="1422">
        <v>0</v>
      </c>
      <c r="CA144" s="1420">
        <v>293154.17</v>
      </c>
      <c r="CB144" s="1422">
        <v>172993</v>
      </c>
      <c r="CC144" s="1420">
        <v>681549.73</v>
      </c>
      <c r="CD144" s="1422">
        <v>508299</v>
      </c>
      <c r="CE144" s="1420">
        <v>1144852.83</v>
      </c>
      <c r="CF144" s="1420">
        <v>846887.76</v>
      </c>
      <c r="CG144" s="1422">
        <v>0</v>
      </c>
      <c r="CH144" s="1422">
        <v>0</v>
      </c>
      <c r="CI144" s="1422">
        <v>0</v>
      </c>
      <c r="CJ144" s="1422">
        <v>0</v>
      </c>
      <c r="CK144" s="1420">
        <v>4240.59</v>
      </c>
      <c r="CL144" s="1420">
        <v>4442.5600000000004</v>
      </c>
      <c r="CM144" s="1422">
        <v>0</v>
      </c>
      <c r="CN144" s="1422">
        <v>0</v>
      </c>
      <c r="CO144" s="1422">
        <v>0</v>
      </c>
      <c r="CP144" s="1422">
        <v>0</v>
      </c>
      <c r="CQ144" s="1422">
        <v>0</v>
      </c>
      <c r="CR144" s="1422">
        <v>0</v>
      </c>
      <c r="CS144" s="1420">
        <v>4240.59</v>
      </c>
      <c r="CT144" s="1420">
        <v>4442.5600000000004</v>
      </c>
      <c r="CU144" s="1422">
        <v>9054531</v>
      </c>
      <c r="CV144" s="1420">
        <v>8310727.3200000003</v>
      </c>
      <c r="CW144" s="1420">
        <v>4059017.72</v>
      </c>
      <c r="CX144" s="1420">
        <v>3704082.97</v>
      </c>
      <c r="CY144" s="1420">
        <v>387738.91</v>
      </c>
      <c r="CZ144" s="1420">
        <v>407658.85</v>
      </c>
      <c r="DA144" s="1420">
        <v>277942.15999999997</v>
      </c>
      <c r="DB144" s="1420">
        <v>234445.76</v>
      </c>
      <c r="DC144" s="1422">
        <v>0</v>
      </c>
      <c r="DD144" s="1422">
        <v>0</v>
      </c>
      <c r="DE144" s="1420">
        <v>201872.38</v>
      </c>
      <c r="DF144" s="1420">
        <v>128849.03</v>
      </c>
      <c r="DG144" s="1420">
        <v>142926.26999999999</v>
      </c>
      <c r="DH144" s="1420">
        <v>127518.19</v>
      </c>
      <c r="DI144" s="1420">
        <v>5069497.4400000004</v>
      </c>
      <c r="DJ144" s="1420">
        <v>4602554.8</v>
      </c>
      <c r="DK144" s="1420">
        <v>552447.54</v>
      </c>
      <c r="DL144" s="1420">
        <v>191915.48</v>
      </c>
      <c r="DM144" s="1420">
        <v>173534.8</v>
      </c>
      <c r="DN144" s="1422">
        <v>156732</v>
      </c>
      <c r="DO144" s="1420">
        <v>693885.04</v>
      </c>
      <c r="DP144" s="1420">
        <v>690692.52</v>
      </c>
      <c r="DQ144" s="1420">
        <v>510524.44</v>
      </c>
      <c r="DR144" s="1420">
        <v>459771.5</v>
      </c>
      <c r="DS144" s="1420">
        <v>5185.38</v>
      </c>
      <c r="DT144" s="1420">
        <v>19442.560000000001</v>
      </c>
      <c r="DU144" s="1420">
        <v>1935577.2</v>
      </c>
      <c r="DV144" s="1420">
        <v>1518554.06</v>
      </c>
      <c r="DW144" s="1420">
        <v>390704.69</v>
      </c>
      <c r="DX144" s="1420">
        <v>397974.55</v>
      </c>
      <c r="DY144" s="1420">
        <v>541380.36</v>
      </c>
      <c r="DZ144" s="1420">
        <v>601700.80000000005</v>
      </c>
      <c r="EA144" s="1420">
        <v>358479.53</v>
      </c>
      <c r="EB144" s="1420">
        <v>327739.12</v>
      </c>
      <c r="EC144" s="1420">
        <v>1290564.58</v>
      </c>
      <c r="ED144" s="1420">
        <v>1327414.47</v>
      </c>
      <c r="EE144" s="1420">
        <v>429136.12</v>
      </c>
      <c r="EF144" s="1422">
        <v>365800</v>
      </c>
      <c r="EG144" s="1422">
        <v>0</v>
      </c>
      <c r="EH144" s="1422">
        <v>0</v>
      </c>
      <c r="EI144" s="1420">
        <v>791.5</v>
      </c>
      <c r="EJ144" s="1422">
        <v>2000</v>
      </c>
      <c r="EK144" s="1422">
        <v>0</v>
      </c>
      <c r="EL144" s="1422">
        <v>0</v>
      </c>
      <c r="EM144" s="1420">
        <v>429927.62</v>
      </c>
      <c r="EN144" s="1422">
        <v>367800</v>
      </c>
      <c r="EO144" s="1420">
        <v>283028.34000000003</v>
      </c>
      <c r="EP144" s="1422">
        <v>77600</v>
      </c>
      <c r="EQ144" s="1420">
        <v>441561.26</v>
      </c>
      <c r="ER144" s="1422">
        <v>441740</v>
      </c>
      <c r="ES144" s="1422">
        <v>0</v>
      </c>
      <c r="ET144" s="1422">
        <v>0</v>
      </c>
      <c r="EU144" s="1420">
        <v>9450156.4399999995</v>
      </c>
      <c r="EV144" s="1420">
        <v>8335663.3300000001</v>
      </c>
      <c r="EW144" s="1420">
        <v>506134.92</v>
      </c>
      <c r="EX144" s="1420">
        <v>202666.66</v>
      </c>
      <c r="EY144" s="1420">
        <v>441561.26</v>
      </c>
      <c r="EZ144" s="1422">
        <v>441740</v>
      </c>
      <c r="FA144" s="1420">
        <v>8502460.2599999998</v>
      </c>
      <c r="FB144" s="1420">
        <v>7691256.6699999999</v>
      </c>
      <c r="FC144" s="1420">
        <v>748576.2</v>
      </c>
      <c r="FD144" s="1439"/>
      <c r="FE144" s="1420">
        <v>7753884.0599999996</v>
      </c>
      <c r="FF144" s="1439"/>
      <c r="FG144" s="1422">
        <v>8556</v>
      </c>
      <c r="FH144" s="1439"/>
      <c r="FI144" s="1420">
        <v>69.25</v>
      </c>
      <c r="FJ144" s="1439"/>
      <c r="FK144" s="1422">
        <v>47252</v>
      </c>
      <c r="FL144" s="1439"/>
      <c r="FM144" s="1420">
        <v>74.819999999999993</v>
      </c>
      <c r="FN144" s="1439"/>
      <c r="FO144" s="1422">
        <v>50024</v>
      </c>
      <c r="FP144" s="1439"/>
      <c r="FQ144" s="1420">
        <v>884324.1</v>
      </c>
      <c r="FR144" s="1439"/>
      <c r="FS144" s="1420">
        <v>20196.5</v>
      </c>
      <c r="FT144" s="1439"/>
      <c r="FU144" s="1422">
        <v>0</v>
      </c>
      <c r="FV144" s="1439"/>
      <c r="FW144" s="1420">
        <v>864127.6</v>
      </c>
      <c r="FX144" s="1439"/>
      <c r="FY144" s="1420">
        <v>231894.27</v>
      </c>
      <c r="FZ144" s="1439"/>
      <c r="GA144" s="1422">
        <v>0</v>
      </c>
      <c r="GB144" s="1439"/>
    </row>
    <row r="145" spans="1:184" ht="12.75" customHeight="1" thickBot="1">
      <c r="A145" s="1418" t="s">
        <v>340</v>
      </c>
      <c r="B145" s="1418" t="s">
        <v>341</v>
      </c>
      <c r="C145" s="1420">
        <v>280.5</v>
      </c>
      <c r="D145" s="1439"/>
      <c r="E145" s="1420">
        <v>970.53</v>
      </c>
      <c r="F145" s="1439"/>
      <c r="G145" s="1421">
        <v>0</v>
      </c>
      <c r="H145" s="1439"/>
      <c r="I145" s="1420">
        <v>1029.98</v>
      </c>
      <c r="J145" s="1439"/>
      <c r="K145" s="1420">
        <v>1022.93</v>
      </c>
      <c r="L145" s="1439"/>
      <c r="M145" s="1422">
        <v>45472906</v>
      </c>
      <c r="N145" s="1439"/>
      <c r="O145" s="1420">
        <v>25.1</v>
      </c>
      <c r="P145" s="1439"/>
      <c r="Q145" s="1422">
        <v>25</v>
      </c>
      <c r="R145" s="1439"/>
      <c r="S145" s="1420">
        <v>0.1</v>
      </c>
      <c r="T145" s="1439"/>
      <c r="U145" s="1422">
        <v>0</v>
      </c>
      <c r="V145" s="1439"/>
      <c r="W145" s="1420">
        <v>23.9</v>
      </c>
      <c r="X145" s="1439"/>
      <c r="Y145" s="1422">
        <v>49</v>
      </c>
      <c r="Z145" s="1439"/>
      <c r="AA145" s="1420">
        <v>7015394.21</v>
      </c>
      <c r="AB145" s="1439"/>
      <c r="AC145" s="1420">
        <v>2035767.82</v>
      </c>
      <c r="AD145" s="1422">
        <v>2116035</v>
      </c>
      <c r="AE145" s="1420">
        <v>588082.19999999995</v>
      </c>
      <c r="AF145" s="1422">
        <v>242838</v>
      </c>
      <c r="AG145" s="1420">
        <v>20899.28</v>
      </c>
      <c r="AH145" s="1422">
        <v>20899</v>
      </c>
      <c r="AI145" s="1422">
        <v>5089152</v>
      </c>
      <c r="AJ145" s="1422">
        <v>5240211</v>
      </c>
      <c r="AK145" s="1422">
        <v>34693</v>
      </c>
      <c r="AL145" s="1422">
        <v>0</v>
      </c>
      <c r="AM145" s="1422">
        <v>60817</v>
      </c>
      <c r="AN145" s="1422">
        <v>0</v>
      </c>
      <c r="AO145" s="1422">
        <v>0</v>
      </c>
      <c r="AP145" s="1422">
        <v>0</v>
      </c>
      <c r="AQ145" s="1422">
        <v>0</v>
      </c>
      <c r="AR145" s="1422">
        <v>0</v>
      </c>
      <c r="AS145" s="1422">
        <v>0</v>
      </c>
      <c r="AT145" s="1422">
        <v>0</v>
      </c>
      <c r="AU145" s="1422">
        <v>32742</v>
      </c>
      <c r="AV145" s="1422">
        <v>26194</v>
      </c>
      <c r="AW145" s="1422">
        <v>0</v>
      </c>
      <c r="AX145" s="1422">
        <v>0</v>
      </c>
      <c r="AY145" s="1420">
        <v>7862153.2999999998</v>
      </c>
      <c r="AZ145" s="1422">
        <v>7646177</v>
      </c>
      <c r="BA145" s="1422">
        <v>0</v>
      </c>
      <c r="BB145" s="1422">
        <v>0</v>
      </c>
      <c r="BC145" s="1422">
        <v>42308</v>
      </c>
      <c r="BD145" s="1422">
        <v>43906</v>
      </c>
      <c r="BE145" s="1420">
        <v>6697.66</v>
      </c>
      <c r="BF145" s="1422">
        <v>9400</v>
      </c>
      <c r="BG145" s="1422">
        <v>50</v>
      </c>
      <c r="BH145" s="1422">
        <v>0</v>
      </c>
      <c r="BI145" s="1422">
        <v>48593</v>
      </c>
      <c r="BJ145" s="1422">
        <v>66361</v>
      </c>
      <c r="BK145" s="1422">
        <v>0</v>
      </c>
      <c r="BL145" s="1422">
        <v>0</v>
      </c>
      <c r="BM145" s="1422">
        <v>313472</v>
      </c>
      <c r="BN145" s="1422">
        <v>331936</v>
      </c>
      <c r="BO145" s="1420">
        <v>44204.480000000003</v>
      </c>
      <c r="BP145" s="1422">
        <v>0</v>
      </c>
      <c r="BQ145" s="1420">
        <v>39812.519999999997</v>
      </c>
      <c r="BR145" s="1422">
        <v>33313</v>
      </c>
      <c r="BS145" s="1420">
        <v>3952.9</v>
      </c>
      <c r="BT145" s="1422">
        <v>3500</v>
      </c>
      <c r="BU145" s="1422">
        <v>0</v>
      </c>
      <c r="BV145" s="1422">
        <v>0</v>
      </c>
      <c r="BW145" s="1422">
        <v>287054</v>
      </c>
      <c r="BX145" s="1422">
        <v>286740</v>
      </c>
      <c r="BY145" s="1422">
        <v>0</v>
      </c>
      <c r="BZ145" s="1422">
        <v>0</v>
      </c>
      <c r="CA145" s="1422">
        <v>158686</v>
      </c>
      <c r="CB145" s="1422">
        <v>148747</v>
      </c>
      <c r="CC145" s="1420">
        <v>944830.56</v>
      </c>
      <c r="CD145" s="1422">
        <v>923903</v>
      </c>
      <c r="CE145" s="1420">
        <v>1447666.18</v>
      </c>
      <c r="CF145" s="1422">
        <v>938152</v>
      </c>
      <c r="CG145" s="1420">
        <v>135852.92000000001</v>
      </c>
      <c r="CH145" s="1422">
        <v>0</v>
      </c>
      <c r="CI145" s="1422">
        <v>0</v>
      </c>
      <c r="CJ145" s="1422">
        <v>0</v>
      </c>
      <c r="CK145" s="1422">
        <v>0</v>
      </c>
      <c r="CL145" s="1422">
        <v>0</v>
      </c>
      <c r="CM145" s="1422">
        <v>0</v>
      </c>
      <c r="CN145" s="1422">
        <v>0</v>
      </c>
      <c r="CO145" s="1422">
        <v>0</v>
      </c>
      <c r="CP145" s="1422">
        <v>0</v>
      </c>
      <c r="CQ145" s="1422">
        <v>0</v>
      </c>
      <c r="CR145" s="1422">
        <v>0</v>
      </c>
      <c r="CS145" s="1420">
        <v>135852.92000000001</v>
      </c>
      <c r="CT145" s="1422">
        <v>0</v>
      </c>
      <c r="CU145" s="1420">
        <v>10390502.960000001</v>
      </c>
      <c r="CV145" s="1422">
        <v>9508232</v>
      </c>
      <c r="CW145" s="1420">
        <v>4308027.79</v>
      </c>
      <c r="CX145" s="1422">
        <v>4052306</v>
      </c>
      <c r="CY145" s="1420">
        <v>476439.36</v>
      </c>
      <c r="CZ145" s="1422">
        <v>447940</v>
      </c>
      <c r="DA145" s="1420">
        <v>239662.47</v>
      </c>
      <c r="DB145" s="1422">
        <v>264735</v>
      </c>
      <c r="DC145" s="1422">
        <v>0</v>
      </c>
      <c r="DD145" s="1422">
        <v>0</v>
      </c>
      <c r="DE145" s="1420">
        <v>277129.45</v>
      </c>
      <c r="DF145" s="1422">
        <v>284067</v>
      </c>
      <c r="DG145" s="1420">
        <v>198433.21</v>
      </c>
      <c r="DH145" s="1422">
        <v>240892</v>
      </c>
      <c r="DI145" s="1420">
        <v>5499692.2800000003</v>
      </c>
      <c r="DJ145" s="1422">
        <v>5289940</v>
      </c>
      <c r="DK145" s="1420">
        <v>288332.03999999998</v>
      </c>
      <c r="DL145" s="1420">
        <v>302653.03999999998</v>
      </c>
      <c r="DM145" s="1420">
        <v>314843.18</v>
      </c>
      <c r="DN145" s="1422">
        <v>269797</v>
      </c>
      <c r="DO145" s="1420">
        <v>900311.51</v>
      </c>
      <c r="DP145" s="1422">
        <v>961870</v>
      </c>
      <c r="DQ145" s="1420">
        <v>522857.34</v>
      </c>
      <c r="DR145" s="1422">
        <v>578013</v>
      </c>
      <c r="DS145" s="1420">
        <v>15976.99</v>
      </c>
      <c r="DT145" s="1422">
        <v>5805</v>
      </c>
      <c r="DU145" s="1420">
        <v>2042321.06</v>
      </c>
      <c r="DV145" s="1420">
        <v>2118138.04</v>
      </c>
      <c r="DW145" s="1420">
        <v>416867.4</v>
      </c>
      <c r="DX145" s="1420">
        <v>431002.35</v>
      </c>
      <c r="DY145" s="1420">
        <v>479478.98</v>
      </c>
      <c r="DZ145" s="1422">
        <v>691375</v>
      </c>
      <c r="EA145" s="1420">
        <v>415692.61</v>
      </c>
      <c r="EB145" s="1422">
        <v>411626</v>
      </c>
      <c r="EC145" s="1420">
        <v>1312038.99</v>
      </c>
      <c r="ED145" s="1420">
        <v>1534003.35</v>
      </c>
      <c r="EE145" s="1420">
        <v>518727.62</v>
      </c>
      <c r="EF145" s="1422">
        <v>506381</v>
      </c>
      <c r="EG145" s="1422">
        <v>0</v>
      </c>
      <c r="EH145" s="1422">
        <v>0</v>
      </c>
      <c r="EI145" s="1420">
        <v>141.61000000000001</v>
      </c>
      <c r="EJ145" s="1422">
        <v>2000</v>
      </c>
      <c r="EK145" s="1422">
        <v>0</v>
      </c>
      <c r="EL145" s="1422">
        <v>0</v>
      </c>
      <c r="EM145" s="1420">
        <v>518869.23</v>
      </c>
      <c r="EN145" s="1422">
        <v>508381</v>
      </c>
      <c r="EO145" s="1420">
        <v>15671.33</v>
      </c>
      <c r="EP145" s="1422">
        <v>654</v>
      </c>
      <c r="EQ145" s="1420">
        <v>503243.69</v>
      </c>
      <c r="ER145" s="1422">
        <v>514164</v>
      </c>
      <c r="ES145" s="1422">
        <v>0</v>
      </c>
      <c r="ET145" s="1422">
        <v>0</v>
      </c>
      <c r="EU145" s="1420">
        <v>9891836.5800000001</v>
      </c>
      <c r="EV145" s="1420">
        <v>9965280.3900000006</v>
      </c>
      <c r="EW145" s="1420">
        <v>256383.18</v>
      </c>
      <c r="EX145" s="1422">
        <v>305845</v>
      </c>
      <c r="EY145" s="1420">
        <v>503243.69</v>
      </c>
      <c r="EZ145" s="1422">
        <v>514164</v>
      </c>
      <c r="FA145" s="1420">
        <v>9132209.7100000009</v>
      </c>
      <c r="FB145" s="1420">
        <v>9145271.3900000006</v>
      </c>
      <c r="FC145" s="1420">
        <v>739513.42</v>
      </c>
      <c r="FD145" s="1439"/>
      <c r="FE145" s="1420">
        <v>8392696.2899999991</v>
      </c>
      <c r="FF145" s="1439"/>
      <c r="FG145" s="1422">
        <v>8647</v>
      </c>
      <c r="FH145" s="1439"/>
      <c r="FI145" s="1420">
        <v>59.99</v>
      </c>
      <c r="FJ145" s="1439"/>
      <c r="FK145" s="1422">
        <v>50861</v>
      </c>
      <c r="FL145" s="1439"/>
      <c r="FM145" s="1420">
        <v>66.430000000000007</v>
      </c>
      <c r="FN145" s="1439"/>
      <c r="FO145" s="1422">
        <v>53200</v>
      </c>
      <c r="FP145" s="1439"/>
      <c r="FQ145" s="1420">
        <v>2277136.4300000002</v>
      </c>
      <c r="FR145" s="1439"/>
      <c r="FS145" s="1420">
        <v>74524.350000000006</v>
      </c>
      <c r="FT145" s="1439"/>
      <c r="FU145" s="1422">
        <v>0</v>
      </c>
      <c r="FV145" s="1439"/>
      <c r="FW145" s="1420">
        <v>2202612.08</v>
      </c>
      <c r="FX145" s="1439"/>
      <c r="FY145" s="1420">
        <v>998678.82</v>
      </c>
      <c r="FZ145" s="1439"/>
      <c r="GA145" s="1420">
        <v>20905.66</v>
      </c>
      <c r="GB145" s="1439"/>
    </row>
    <row r="146" spans="1:184" ht="12.75" customHeight="1" thickBot="1">
      <c r="A146" s="1418" t="s">
        <v>342</v>
      </c>
      <c r="B146" s="1418" t="s">
        <v>343</v>
      </c>
      <c r="C146" s="1420">
        <v>196.66</v>
      </c>
      <c r="D146" s="1439"/>
      <c r="E146" s="1420">
        <v>3935.94</v>
      </c>
      <c r="F146" s="1439"/>
      <c r="G146" s="1421">
        <v>-7.0000000000000007E-2</v>
      </c>
      <c r="H146" s="1439"/>
      <c r="I146" s="1420">
        <v>4230.03</v>
      </c>
      <c r="J146" s="1439"/>
      <c r="K146" s="1420">
        <v>4346.28</v>
      </c>
      <c r="L146" s="1439"/>
      <c r="M146" s="1422">
        <v>337982982</v>
      </c>
      <c r="N146" s="1439"/>
      <c r="O146" s="1422">
        <v>25</v>
      </c>
      <c r="P146" s="1439"/>
      <c r="Q146" s="1422">
        <v>25</v>
      </c>
      <c r="R146" s="1439"/>
      <c r="S146" s="1422">
        <v>0</v>
      </c>
      <c r="T146" s="1439"/>
      <c r="U146" s="1422">
        <v>0</v>
      </c>
      <c r="V146" s="1439"/>
      <c r="W146" s="1420">
        <v>13.9</v>
      </c>
      <c r="X146" s="1439"/>
      <c r="Y146" s="1420">
        <v>38.9</v>
      </c>
      <c r="Z146" s="1439"/>
      <c r="AA146" s="1420">
        <v>21203898.010000002</v>
      </c>
      <c r="AB146" s="1439"/>
      <c r="AC146" s="1420">
        <v>12068412.869999999</v>
      </c>
      <c r="AD146" s="1422">
        <v>12948965</v>
      </c>
      <c r="AE146" s="1420">
        <v>2045923.43</v>
      </c>
      <c r="AF146" s="1420">
        <v>2045285.56</v>
      </c>
      <c r="AG146" s="1420">
        <v>86362.46</v>
      </c>
      <c r="AH146" s="1422">
        <v>80000</v>
      </c>
      <c r="AI146" s="1422">
        <v>18126093</v>
      </c>
      <c r="AJ146" s="1422">
        <v>17722417</v>
      </c>
      <c r="AK146" s="1422">
        <v>288551</v>
      </c>
      <c r="AL146" s="1422">
        <v>0</v>
      </c>
      <c r="AM146" s="1422">
        <v>0</v>
      </c>
      <c r="AN146" s="1422">
        <v>0</v>
      </c>
      <c r="AO146" s="1422">
        <v>0</v>
      </c>
      <c r="AP146" s="1422">
        <v>301425</v>
      </c>
      <c r="AQ146" s="1422">
        <v>0</v>
      </c>
      <c r="AR146" s="1422">
        <v>0</v>
      </c>
      <c r="AS146" s="1422">
        <v>0</v>
      </c>
      <c r="AT146" s="1422">
        <v>0</v>
      </c>
      <c r="AU146" s="1422">
        <v>0</v>
      </c>
      <c r="AV146" s="1422">
        <v>0</v>
      </c>
      <c r="AW146" s="1420">
        <v>5506.91</v>
      </c>
      <c r="AX146" s="1422">
        <v>0</v>
      </c>
      <c r="AY146" s="1420">
        <v>32620849.670000002</v>
      </c>
      <c r="AZ146" s="1420">
        <v>33098092.559999999</v>
      </c>
      <c r="BA146" s="1420">
        <v>424721.05</v>
      </c>
      <c r="BB146" s="1422">
        <v>0</v>
      </c>
      <c r="BC146" s="1422">
        <v>179762</v>
      </c>
      <c r="BD146" s="1422">
        <v>180037</v>
      </c>
      <c r="BE146" s="1420">
        <v>41775.06</v>
      </c>
      <c r="BF146" s="1422">
        <v>0</v>
      </c>
      <c r="BG146" s="1422">
        <v>1250</v>
      </c>
      <c r="BH146" s="1422">
        <v>0</v>
      </c>
      <c r="BI146" s="1422">
        <v>310616</v>
      </c>
      <c r="BJ146" s="1422">
        <v>324871</v>
      </c>
      <c r="BK146" s="1422">
        <v>11720</v>
      </c>
      <c r="BL146" s="1422">
        <v>11960</v>
      </c>
      <c r="BM146" s="1422">
        <v>1476592</v>
      </c>
      <c r="BN146" s="1422">
        <v>1463352</v>
      </c>
      <c r="BO146" s="1420">
        <v>584930.18999999994</v>
      </c>
      <c r="BP146" s="1422">
        <v>228978</v>
      </c>
      <c r="BQ146" s="1420">
        <v>942938.04</v>
      </c>
      <c r="BR146" s="1422">
        <v>494666</v>
      </c>
      <c r="BS146" s="1420">
        <v>15867.15</v>
      </c>
      <c r="BT146" s="1422">
        <v>15900</v>
      </c>
      <c r="BU146" s="1422">
        <v>0</v>
      </c>
      <c r="BV146" s="1422">
        <v>0</v>
      </c>
      <c r="BW146" s="1422">
        <v>793152</v>
      </c>
      <c r="BX146" s="1422">
        <v>0</v>
      </c>
      <c r="BY146" s="1422">
        <v>0</v>
      </c>
      <c r="BZ146" s="1422">
        <v>0</v>
      </c>
      <c r="CA146" s="1422">
        <v>238712</v>
      </c>
      <c r="CB146" s="1422">
        <v>209841</v>
      </c>
      <c r="CC146" s="1420">
        <v>5022035.49</v>
      </c>
      <c r="CD146" s="1422">
        <v>2929605</v>
      </c>
      <c r="CE146" s="1420">
        <v>13695775.74</v>
      </c>
      <c r="CF146" s="1420">
        <v>6506222.9800000004</v>
      </c>
      <c r="CG146" s="1420">
        <v>6785.5</v>
      </c>
      <c r="CH146" s="1422">
        <v>0</v>
      </c>
      <c r="CI146" s="1422">
        <v>0</v>
      </c>
      <c r="CJ146" s="1422">
        <v>0</v>
      </c>
      <c r="CK146" s="1420">
        <v>52931.69</v>
      </c>
      <c r="CL146" s="1422">
        <v>60000</v>
      </c>
      <c r="CM146" s="1422">
        <v>0</v>
      </c>
      <c r="CN146" s="1422">
        <v>0</v>
      </c>
      <c r="CO146" s="1420">
        <v>301489.34999999998</v>
      </c>
      <c r="CP146" s="1422">
        <v>0</v>
      </c>
      <c r="CQ146" s="1422">
        <v>0</v>
      </c>
      <c r="CR146" s="1422">
        <v>0</v>
      </c>
      <c r="CS146" s="1420">
        <v>361206.54</v>
      </c>
      <c r="CT146" s="1422">
        <v>60000</v>
      </c>
      <c r="CU146" s="1420">
        <v>51699867.439999998</v>
      </c>
      <c r="CV146" s="1420">
        <v>42593920.539999999</v>
      </c>
      <c r="CW146" s="1420">
        <v>15908005.76</v>
      </c>
      <c r="CX146" s="1420">
        <v>15839043.640000001</v>
      </c>
      <c r="CY146" s="1420">
        <v>3160287.47</v>
      </c>
      <c r="CZ146" s="1420">
        <v>3394114.17</v>
      </c>
      <c r="DA146" s="1420">
        <v>1476762.63</v>
      </c>
      <c r="DB146" s="1420">
        <v>1255434.92</v>
      </c>
      <c r="DC146" s="1420">
        <v>584112.75</v>
      </c>
      <c r="DD146" s="1420">
        <v>1044123.08</v>
      </c>
      <c r="DE146" s="1420">
        <v>1778698.87</v>
      </c>
      <c r="DF146" s="1420">
        <v>1263510.17</v>
      </c>
      <c r="DG146" s="1420">
        <v>1446715.7</v>
      </c>
      <c r="DH146" s="1420">
        <v>1346845.96</v>
      </c>
      <c r="DI146" s="1420">
        <v>24354583.18</v>
      </c>
      <c r="DJ146" s="1420">
        <v>24143071.940000001</v>
      </c>
      <c r="DK146" s="1420">
        <v>1561328.09</v>
      </c>
      <c r="DL146" s="1420">
        <v>629859.69999999995</v>
      </c>
      <c r="DM146" s="1420">
        <v>1509261.5</v>
      </c>
      <c r="DN146" s="1420">
        <v>1438913.94</v>
      </c>
      <c r="DO146" s="1420">
        <v>4775052.91</v>
      </c>
      <c r="DP146" s="1420">
        <v>3834924.76</v>
      </c>
      <c r="DQ146" s="1420">
        <v>1575561.03</v>
      </c>
      <c r="DR146" s="1420">
        <v>1347092.03</v>
      </c>
      <c r="DS146" s="1420">
        <v>113045.96</v>
      </c>
      <c r="DT146" s="1422">
        <v>110528</v>
      </c>
      <c r="DU146" s="1420">
        <v>9534249.4900000002</v>
      </c>
      <c r="DV146" s="1420">
        <v>7361318.4299999997</v>
      </c>
      <c r="DW146" s="1420">
        <v>2286764.52</v>
      </c>
      <c r="DX146" s="1420">
        <v>1894090.5</v>
      </c>
      <c r="DY146" s="1420">
        <v>5222525.18</v>
      </c>
      <c r="DZ146" s="1420">
        <v>3705464.59</v>
      </c>
      <c r="EA146" s="1420">
        <v>2366626.56</v>
      </c>
      <c r="EB146" s="1420">
        <v>2469943.27</v>
      </c>
      <c r="EC146" s="1420">
        <v>9875916.2599999998</v>
      </c>
      <c r="ED146" s="1420">
        <v>8069498.3600000003</v>
      </c>
      <c r="EE146" s="1420">
        <v>2732768.44</v>
      </c>
      <c r="EF146" s="1420">
        <v>2348285.88</v>
      </c>
      <c r="EG146" s="1422">
        <v>0</v>
      </c>
      <c r="EH146" s="1422">
        <v>0</v>
      </c>
      <c r="EI146" s="1422">
        <v>3250</v>
      </c>
      <c r="EJ146" s="1422">
        <v>1000</v>
      </c>
      <c r="EK146" s="1422">
        <v>0</v>
      </c>
      <c r="EL146" s="1422">
        <v>0</v>
      </c>
      <c r="EM146" s="1420">
        <v>2736018.44</v>
      </c>
      <c r="EN146" s="1420">
        <v>2349285.88</v>
      </c>
      <c r="EO146" s="1420">
        <v>4250704.4800000004</v>
      </c>
      <c r="EP146" s="1422">
        <v>398736</v>
      </c>
      <c r="EQ146" s="1420">
        <v>1472559.39</v>
      </c>
      <c r="ER146" s="1422">
        <v>1546054</v>
      </c>
      <c r="ES146" s="1420">
        <v>181598.87</v>
      </c>
      <c r="ET146" s="1422">
        <v>0</v>
      </c>
      <c r="EU146" s="1420">
        <v>52405630.109999999</v>
      </c>
      <c r="EV146" s="1420">
        <v>43867964.609999999</v>
      </c>
      <c r="EW146" s="1420">
        <v>5077970.34</v>
      </c>
      <c r="EX146" s="1420">
        <v>576300.04</v>
      </c>
      <c r="EY146" s="1420">
        <v>1472559.39</v>
      </c>
      <c r="EZ146" s="1422">
        <v>1546054</v>
      </c>
      <c r="FA146" s="1420">
        <v>45855100.380000003</v>
      </c>
      <c r="FB146" s="1420">
        <v>41745610.57</v>
      </c>
      <c r="FC146" s="1420">
        <v>2757034.24</v>
      </c>
      <c r="FD146" s="1439"/>
      <c r="FE146" s="1420">
        <v>43098066.140000001</v>
      </c>
      <c r="FF146" s="1439"/>
      <c r="FG146" s="1422">
        <v>10949</v>
      </c>
      <c r="FH146" s="1439"/>
      <c r="FI146" s="1420">
        <v>323.60000000000002</v>
      </c>
      <c r="FJ146" s="1439"/>
      <c r="FK146" s="1422">
        <v>44255</v>
      </c>
      <c r="FL146" s="1439"/>
      <c r="FM146" s="1420">
        <v>352.85</v>
      </c>
      <c r="FN146" s="1439"/>
      <c r="FO146" s="1422">
        <v>47288</v>
      </c>
      <c r="FP146" s="1439"/>
      <c r="FQ146" s="1420">
        <v>8760347.7400000002</v>
      </c>
      <c r="FR146" s="1439"/>
      <c r="FS146" s="1420">
        <v>127986.26</v>
      </c>
      <c r="FT146" s="1439"/>
      <c r="FU146" s="1422">
        <v>0</v>
      </c>
      <c r="FV146" s="1439"/>
      <c r="FW146" s="1420">
        <v>8632361.4800000004</v>
      </c>
      <c r="FX146" s="1439"/>
      <c r="FY146" s="1420">
        <v>2563306.88</v>
      </c>
      <c r="FZ146" s="1439"/>
      <c r="GA146" s="1422">
        <v>0</v>
      </c>
      <c r="GB146" s="1439"/>
    </row>
    <row r="147" spans="1:184" ht="12.75" customHeight="1" thickBot="1">
      <c r="A147" s="1418" t="s">
        <v>344</v>
      </c>
      <c r="B147" s="1418" t="s">
        <v>345</v>
      </c>
      <c r="C147" s="1420">
        <v>67.72</v>
      </c>
      <c r="D147" s="1439"/>
      <c r="E147" s="1420">
        <v>427.82</v>
      </c>
      <c r="F147" s="1439"/>
      <c r="G147" s="1421">
        <v>0.11</v>
      </c>
      <c r="H147" s="1439"/>
      <c r="I147" s="1420">
        <v>455.12</v>
      </c>
      <c r="J147" s="1439"/>
      <c r="K147" s="1420">
        <v>447.67</v>
      </c>
      <c r="L147" s="1439"/>
      <c r="M147" s="1422">
        <v>118626131</v>
      </c>
      <c r="N147" s="1439"/>
      <c r="O147" s="1422">
        <v>27</v>
      </c>
      <c r="P147" s="1439"/>
      <c r="Q147" s="1422">
        <v>25</v>
      </c>
      <c r="R147" s="1439"/>
      <c r="S147" s="1422">
        <v>2</v>
      </c>
      <c r="T147" s="1439"/>
      <c r="U147" s="1422">
        <v>0</v>
      </c>
      <c r="V147" s="1439"/>
      <c r="W147" s="1422">
        <v>12</v>
      </c>
      <c r="X147" s="1439"/>
      <c r="Y147" s="1422">
        <v>39</v>
      </c>
      <c r="Z147" s="1439"/>
      <c r="AA147" s="1422">
        <v>4810000</v>
      </c>
      <c r="AB147" s="1439"/>
      <c r="AC147" s="1420">
        <v>3871162.07</v>
      </c>
      <c r="AD147" s="1420">
        <v>4415936.75</v>
      </c>
      <c r="AE147" s="1420">
        <v>417470.76</v>
      </c>
      <c r="AF147" s="1422">
        <v>283807</v>
      </c>
      <c r="AG147" s="1422">
        <v>0</v>
      </c>
      <c r="AH147" s="1422">
        <v>0</v>
      </c>
      <c r="AI147" s="1422">
        <v>0</v>
      </c>
      <c r="AJ147" s="1422">
        <v>0</v>
      </c>
      <c r="AK147" s="1422">
        <v>0</v>
      </c>
      <c r="AL147" s="1422">
        <v>0</v>
      </c>
      <c r="AM147" s="1422">
        <v>45700</v>
      </c>
      <c r="AN147" s="1422">
        <v>0</v>
      </c>
      <c r="AO147" s="1422">
        <v>0</v>
      </c>
      <c r="AP147" s="1422">
        <v>0</v>
      </c>
      <c r="AQ147" s="1422">
        <v>0</v>
      </c>
      <c r="AR147" s="1422">
        <v>0</v>
      </c>
      <c r="AS147" s="1422">
        <v>0</v>
      </c>
      <c r="AT147" s="1422">
        <v>0</v>
      </c>
      <c r="AU147" s="1422">
        <v>0</v>
      </c>
      <c r="AV147" s="1422">
        <v>0</v>
      </c>
      <c r="AW147" s="1422">
        <v>0</v>
      </c>
      <c r="AX147" s="1422">
        <v>0</v>
      </c>
      <c r="AY147" s="1420">
        <v>4334332.83</v>
      </c>
      <c r="AZ147" s="1420">
        <v>4699743.75</v>
      </c>
      <c r="BA147" s="1422">
        <v>0</v>
      </c>
      <c r="BB147" s="1422">
        <v>0</v>
      </c>
      <c r="BC147" s="1422">
        <v>18516</v>
      </c>
      <c r="BD147" s="1422">
        <v>19233</v>
      </c>
      <c r="BE147" s="1420">
        <v>13894.51</v>
      </c>
      <c r="BF147" s="1422">
        <v>0</v>
      </c>
      <c r="BG147" s="1422">
        <v>100</v>
      </c>
      <c r="BH147" s="1422">
        <v>0</v>
      </c>
      <c r="BI147" s="1422">
        <v>0</v>
      </c>
      <c r="BJ147" s="1422">
        <v>0</v>
      </c>
      <c r="BK147" s="1422">
        <v>0</v>
      </c>
      <c r="BL147" s="1422">
        <v>0</v>
      </c>
      <c r="BM147" s="1422">
        <v>96224</v>
      </c>
      <c r="BN147" s="1422">
        <v>102212</v>
      </c>
      <c r="BO147" s="1420">
        <v>67954.22</v>
      </c>
      <c r="BP147" s="1422">
        <v>31000</v>
      </c>
      <c r="BQ147" s="1420">
        <v>3250.32</v>
      </c>
      <c r="BR147" s="1422">
        <v>3000</v>
      </c>
      <c r="BS147" s="1420">
        <v>1531.84</v>
      </c>
      <c r="BT147" s="1422">
        <v>0</v>
      </c>
      <c r="BU147" s="1422">
        <v>0</v>
      </c>
      <c r="BV147" s="1422">
        <v>0</v>
      </c>
      <c r="BW147" s="1422">
        <v>0</v>
      </c>
      <c r="BX147" s="1422">
        <v>0</v>
      </c>
      <c r="BY147" s="1422">
        <v>0</v>
      </c>
      <c r="BZ147" s="1422">
        <v>0</v>
      </c>
      <c r="CA147" s="1422">
        <v>0</v>
      </c>
      <c r="CB147" s="1422">
        <v>0</v>
      </c>
      <c r="CC147" s="1420">
        <v>201470.89</v>
      </c>
      <c r="CD147" s="1422">
        <v>155445</v>
      </c>
      <c r="CE147" s="1420">
        <v>218347.23</v>
      </c>
      <c r="CF147" s="1422">
        <v>248906</v>
      </c>
      <c r="CG147" s="1422">
        <v>0</v>
      </c>
      <c r="CH147" s="1422">
        <v>0</v>
      </c>
      <c r="CI147" s="1422">
        <v>0</v>
      </c>
      <c r="CJ147" s="1422">
        <v>0</v>
      </c>
      <c r="CK147" s="1422">
        <v>0</v>
      </c>
      <c r="CL147" s="1422">
        <v>0</v>
      </c>
      <c r="CM147" s="1422">
        <v>0</v>
      </c>
      <c r="CN147" s="1422">
        <v>0</v>
      </c>
      <c r="CO147" s="1422">
        <v>0</v>
      </c>
      <c r="CP147" s="1422">
        <v>0</v>
      </c>
      <c r="CQ147" s="1422">
        <v>0</v>
      </c>
      <c r="CR147" s="1422">
        <v>0</v>
      </c>
      <c r="CS147" s="1422">
        <v>0</v>
      </c>
      <c r="CT147" s="1422">
        <v>0</v>
      </c>
      <c r="CU147" s="1420">
        <v>4754150.95</v>
      </c>
      <c r="CV147" s="1420">
        <v>5104094.75</v>
      </c>
      <c r="CW147" s="1420">
        <v>1834645.33</v>
      </c>
      <c r="CX147" s="1420">
        <v>1722132.99</v>
      </c>
      <c r="CY147" s="1420">
        <v>293073.46000000002</v>
      </c>
      <c r="CZ147" s="1420">
        <v>425867.59</v>
      </c>
      <c r="DA147" s="1420">
        <v>219683.71</v>
      </c>
      <c r="DB147" s="1420">
        <v>212239.69</v>
      </c>
      <c r="DC147" s="1422">
        <v>0</v>
      </c>
      <c r="DD147" s="1422">
        <v>0</v>
      </c>
      <c r="DE147" s="1420">
        <v>27317.15</v>
      </c>
      <c r="DF147" s="1420">
        <v>20279.63</v>
      </c>
      <c r="DG147" s="1420">
        <v>79073.61</v>
      </c>
      <c r="DH147" s="1420">
        <v>96434.78</v>
      </c>
      <c r="DI147" s="1420">
        <v>2453793.2599999998</v>
      </c>
      <c r="DJ147" s="1420">
        <v>2476954.6800000002</v>
      </c>
      <c r="DK147" s="1420">
        <v>184219.61</v>
      </c>
      <c r="DL147" s="1420">
        <v>183655.31</v>
      </c>
      <c r="DM147" s="1420">
        <v>92030.92</v>
      </c>
      <c r="DN147" s="1420">
        <v>96023.91</v>
      </c>
      <c r="DO147" s="1420">
        <v>434168.53</v>
      </c>
      <c r="DP147" s="1420">
        <v>447026.08</v>
      </c>
      <c r="DQ147" s="1420">
        <v>85285.17</v>
      </c>
      <c r="DR147" s="1420">
        <v>80265.08</v>
      </c>
      <c r="DS147" s="1420">
        <v>12053.82</v>
      </c>
      <c r="DT147" s="1422">
        <v>9050</v>
      </c>
      <c r="DU147" s="1420">
        <v>807758.05</v>
      </c>
      <c r="DV147" s="1420">
        <v>816020.38</v>
      </c>
      <c r="DW147" s="1420">
        <v>121580.92</v>
      </c>
      <c r="DX147" s="1420">
        <v>148909.47</v>
      </c>
      <c r="DY147" s="1420">
        <v>260607.07</v>
      </c>
      <c r="DZ147" s="1420">
        <v>261498.3</v>
      </c>
      <c r="EA147" s="1420">
        <v>204208.67</v>
      </c>
      <c r="EB147" s="1420">
        <v>219023.42</v>
      </c>
      <c r="EC147" s="1420">
        <v>586396.66</v>
      </c>
      <c r="ED147" s="1420">
        <v>629431.18999999994</v>
      </c>
      <c r="EE147" s="1420">
        <v>213445.58</v>
      </c>
      <c r="EF147" s="1420">
        <v>210691.09</v>
      </c>
      <c r="EG147" s="1422">
        <v>0</v>
      </c>
      <c r="EH147" s="1422">
        <v>0</v>
      </c>
      <c r="EI147" s="1422">
        <v>0</v>
      </c>
      <c r="EJ147" s="1422">
        <v>0</v>
      </c>
      <c r="EK147" s="1422">
        <v>0</v>
      </c>
      <c r="EL147" s="1422">
        <v>0</v>
      </c>
      <c r="EM147" s="1420">
        <v>213445.58</v>
      </c>
      <c r="EN147" s="1420">
        <v>210691.09</v>
      </c>
      <c r="EO147" s="1420">
        <v>768083.35</v>
      </c>
      <c r="EP147" s="1422">
        <v>55000</v>
      </c>
      <c r="EQ147" s="1420">
        <v>1179327.42</v>
      </c>
      <c r="ER147" s="1420">
        <v>681973.76000000001</v>
      </c>
      <c r="ES147" s="1422">
        <v>0</v>
      </c>
      <c r="ET147" s="1422">
        <v>0</v>
      </c>
      <c r="EU147" s="1420">
        <v>6008804.3200000003</v>
      </c>
      <c r="EV147" s="1420">
        <v>4870071.0999999996</v>
      </c>
      <c r="EW147" s="1420">
        <v>927036.13</v>
      </c>
      <c r="EX147" s="1420">
        <v>151086.21</v>
      </c>
      <c r="EY147" s="1420">
        <v>1179327.42</v>
      </c>
      <c r="EZ147" s="1420">
        <v>681973.76000000001</v>
      </c>
      <c r="FA147" s="1420">
        <v>3902440.77</v>
      </c>
      <c r="FB147" s="1420">
        <v>4037011.13</v>
      </c>
      <c r="FC147" s="1420">
        <v>188102.63</v>
      </c>
      <c r="FD147" s="1439"/>
      <c r="FE147" s="1420">
        <v>3714338.14</v>
      </c>
      <c r="FF147" s="1439"/>
      <c r="FG147" s="1422">
        <v>8682</v>
      </c>
      <c r="FH147" s="1439"/>
      <c r="FI147" s="1420">
        <v>40.520000000000003</v>
      </c>
      <c r="FJ147" s="1439"/>
      <c r="FK147" s="1422">
        <v>39440</v>
      </c>
      <c r="FL147" s="1439"/>
      <c r="FM147" s="1420">
        <v>43.4</v>
      </c>
      <c r="FN147" s="1439"/>
      <c r="FO147" s="1422">
        <v>41531</v>
      </c>
      <c r="FP147" s="1439"/>
      <c r="FQ147" s="1420">
        <v>1200883.92</v>
      </c>
      <c r="FR147" s="1439"/>
      <c r="FS147" s="1420">
        <v>34227.33</v>
      </c>
      <c r="FT147" s="1439"/>
      <c r="FU147" s="1422">
        <v>0</v>
      </c>
      <c r="FV147" s="1439"/>
      <c r="FW147" s="1420">
        <v>1166656.5900000001</v>
      </c>
      <c r="FX147" s="1439"/>
      <c r="FY147" s="1420">
        <v>379752.65</v>
      </c>
      <c r="FZ147" s="1439"/>
      <c r="GA147" s="1422">
        <v>0</v>
      </c>
      <c r="GB147" s="1439"/>
    </row>
    <row r="148" spans="1:184" ht="12.75" customHeight="1" thickBot="1">
      <c r="A148" s="1418" t="s">
        <v>346</v>
      </c>
      <c r="B148" s="1418" t="s">
        <v>347</v>
      </c>
      <c r="C148" s="1420">
        <v>117.02</v>
      </c>
      <c r="D148" s="1439"/>
      <c r="E148" s="1420">
        <v>2720.1</v>
      </c>
      <c r="F148" s="1439"/>
      <c r="G148" s="1421">
        <v>-0.05</v>
      </c>
      <c r="H148" s="1439"/>
      <c r="I148" s="1420">
        <v>2902.31</v>
      </c>
      <c r="J148" s="1439"/>
      <c r="K148" s="1420">
        <v>2998.18</v>
      </c>
      <c r="L148" s="1439"/>
      <c r="M148" s="1422">
        <v>151709149</v>
      </c>
      <c r="N148" s="1439"/>
      <c r="O148" s="1422">
        <v>25</v>
      </c>
      <c r="P148" s="1439"/>
      <c r="Q148" s="1422">
        <v>25</v>
      </c>
      <c r="R148" s="1439"/>
      <c r="S148" s="1422">
        <v>0</v>
      </c>
      <c r="T148" s="1439"/>
      <c r="U148" s="1422">
        <v>0</v>
      </c>
      <c r="V148" s="1439"/>
      <c r="W148" s="1420">
        <v>8.39</v>
      </c>
      <c r="X148" s="1439"/>
      <c r="Y148" s="1420">
        <v>33.39</v>
      </c>
      <c r="Z148" s="1439"/>
      <c r="AA148" s="1422">
        <v>15045000</v>
      </c>
      <c r="AB148" s="1439"/>
      <c r="AC148" s="1422">
        <v>4641140</v>
      </c>
      <c r="AD148" s="1422">
        <v>4632000</v>
      </c>
      <c r="AE148" s="1420">
        <v>1006555.62</v>
      </c>
      <c r="AF148" s="1420">
        <v>506987.9</v>
      </c>
      <c r="AG148" s="1422">
        <v>0</v>
      </c>
      <c r="AH148" s="1422">
        <v>0</v>
      </c>
      <c r="AI148" s="1422">
        <v>14446192</v>
      </c>
      <c r="AJ148" s="1422">
        <v>14188858</v>
      </c>
      <c r="AK148" s="1422">
        <v>200871</v>
      </c>
      <c r="AL148" s="1422">
        <v>200000</v>
      </c>
      <c r="AM148" s="1422">
        <v>0</v>
      </c>
      <c r="AN148" s="1422">
        <v>0</v>
      </c>
      <c r="AO148" s="1422">
        <v>213064</v>
      </c>
      <c r="AP148" s="1422">
        <v>254239</v>
      </c>
      <c r="AQ148" s="1422">
        <v>0</v>
      </c>
      <c r="AR148" s="1422">
        <v>0</v>
      </c>
      <c r="AS148" s="1422">
        <v>0</v>
      </c>
      <c r="AT148" s="1422">
        <v>0</v>
      </c>
      <c r="AU148" s="1422">
        <v>32697</v>
      </c>
      <c r="AV148" s="1422">
        <v>26157</v>
      </c>
      <c r="AW148" s="1422">
        <v>0</v>
      </c>
      <c r="AX148" s="1422">
        <v>0</v>
      </c>
      <c r="AY148" s="1420">
        <v>20540519.620000001</v>
      </c>
      <c r="AZ148" s="1420">
        <v>19808241.899999999</v>
      </c>
      <c r="BA148" s="1422">
        <v>0</v>
      </c>
      <c r="BB148" s="1422">
        <v>0</v>
      </c>
      <c r="BC148" s="1422">
        <v>124005</v>
      </c>
      <c r="BD148" s="1422">
        <v>123555</v>
      </c>
      <c r="BE148" s="1420">
        <v>27599.49</v>
      </c>
      <c r="BF148" s="1422">
        <v>46600</v>
      </c>
      <c r="BG148" s="1422">
        <v>300</v>
      </c>
      <c r="BH148" s="1422">
        <v>300</v>
      </c>
      <c r="BI148" s="1422">
        <v>364289</v>
      </c>
      <c r="BJ148" s="1420">
        <v>350135.2</v>
      </c>
      <c r="BK148" s="1422">
        <v>22561</v>
      </c>
      <c r="BL148" s="1422">
        <v>19180</v>
      </c>
      <c r="BM148" s="1422">
        <v>2452224</v>
      </c>
      <c r="BN148" s="1422">
        <v>2424752</v>
      </c>
      <c r="BO148" s="1420">
        <v>12282.44</v>
      </c>
      <c r="BP148" s="1422">
        <v>0</v>
      </c>
      <c r="BQ148" s="1420">
        <v>173085.44</v>
      </c>
      <c r="BR148" s="1420">
        <v>173875.49</v>
      </c>
      <c r="BS148" s="1420">
        <v>13073.07</v>
      </c>
      <c r="BT148" s="1422">
        <v>0</v>
      </c>
      <c r="BU148" s="1422">
        <v>0</v>
      </c>
      <c r="BV148" s="1422">
        <v>0</v>
      </c>
      <c r="BW148" s="1422">
        <v>179560</v>
      </c>
      <c r="BX148" s="1422">
        <v>194400</v>
      </c>
      <c r="BY148" s="1422">
        <v>0</v>
      </c>
      <c r="BZ148" s="1422">
        <v>0</v>
      </c>
      <c r="CA148" s="1422">
        <v>309212</v>
      </c>
      <c r="CB148" s="1422">
        <v>282918</v>
      </c>
      <c r="CC148" s="1420">
        <v>3678191.44</v>
      </c>
      <c r="CD148" s="1420">
        <v>3615715.69</v>
      </c>
      <c r="CE148" s="1420">
        <v>9206676.5899999999</v>
      </c>
      <c r="CF148" s="1420">
        <v>6015696.1399999997</v>
      </c>
      <c r="CG148" s="1420">
        <v>4104.3100000000004</v>
      </c>
      <c r="CH148" s="1422">
        <v>0</v>
      </c>
      <c r="CI148" s="1422">
        <v>0</v>
      </c>
      <c r="CJ148" s="1422">
        <v>0</v>
      </c>
      <c r="CK148" s="1422">
        <v>108414</v>
      </c>
      <c r="CL148" s="1422">
        <v>52000</v>
      </c>
      <c r="CM148" s="1420">
        <v>293.5</v>
      </c>
      <c r="CN148" s="1422">
        <v>0</v>
      </c>
      <c r="CO148" s="1420">
        <v>21619.33</v>
      </c>
      <c r="CP148" s="1422">
        <v>0</v>
      </c>
      <c r="CQ148" s="1422">
        <v>0</v>
      </c>
      <c r="CR148" s="1422">
        <v>0</v>
      </c>
      <c r="CS148" s="1420">
        <v>134431.14000000001</v>
      </c>
      <c r="CT148" s="1422">
        <v>52000</v>
      </c>
      <c r="CU148" s="1420">
        <v>33559818.789999999</v>
      </c>
      <c r="CV148" s="1420">
        <v>29491653.73</v>
      </c>
      <c r="CW148" s="1420">
        <v>10783657.699999999</v>
      </c>
      <c r="CX148" s="1420">
        <v>10555249.26</v>
      </c>
      <c r="CY148" s="1420">
        <v>2235962.2400000002</v>
      </c>
      <c r="CZ148" s="1422">
        <v>2510710</v>
      </c>
      <c r="DA148" s="1420">
        <v>850370.2</v>
      </c>
      <c r="DB148" s="1420">
        <v>749354.49</v>
      </c>
      <c r="DC148" s="1422">
        <v>0</v>
      </c>
      <c r="DD148" s="1422">
        <v>0</v>
      </c>
      <c r="DE148" s="1420">
        <v>3854927.48</v>
      </c>
      <c r="DF148" s="1420">
        <v>3109752.03</v>
      </c>
      <c r="DG148" s="1420">
        <v>1364499.53</v>
      </c>
      <c r="DH148" s="1420">
        <v>1478931.34</v>
      </c>
      <c r="DI148" s="1420">
        <v>19089417.149999999</v>
      </c>
      <c r="DJ148" s="1420">
        <v>18403997.120000001</v>
      </c>
      <c r="DK148" s="1420">
        <v>816378.15</v>
      </c>
      <c r="DL148" s="1420">
        <v>826657.38</v>
      </c>
      <c r="DM148" s="1420">
        <v>443743.97</v>
      </c>
      <c r="DN148" s="1420">
        <v>371656.29</v>
      </c>
      <c r="DO148" s="1420">
        <v>3904165.57</v>
      </c>
      <c r="DP148" s="1420">
        <v>4569530.6100000003</v>
      </c>
      <c r="DQ148" s="1420">
        <v>944549.07</v>
      </c>
      <c r="DR148" s="1420">
        <v>1128040.93</v>
      </c>
      <c r="DS148" s="1420">
        <v>179431.85</v>
      </c>
      <c r="DT148" s="1422">
        <v>97000</v>
      </c>
      <c r="DU148" s="1420">
        <v>6288268.6100000003</v>
      </c>
      <c r="DV148" s="1420">
        <v>6992885.21</v>
      </c>
      <c r="DW148" s="1420">
        <v>1152939.08</v>
      </c>
      <c r="DX148" s="1420">
        <v>1351744.82</v>
      </c>
      <c r="DY148" s="1420">
        <v>2396632.5099999998</v>
      </c>
      <c r="DZ148" s="1420">
        <v>3133287.67</v>
      </c>
      <c r="EA148" s="1420">
        <v>1533785.04</v>
      </c>
      <c r="EB148" s="1420">
        <v>1564458.3</v>
      </c>
      <c r="EC148" s="1420">
        <v>5083356.63</v>
      </c>
      <c r="ED148" s="1420">
        <v>6049490.79</v>
      </c>
      <c r="EE148" s="1420">
        <v>1812768.31</v>
      </c>
      <c r="EF148" s="1422">
        <v>269610</v>
      </c>
      <c r="EG148" s="1422">
        <v>0</v>
      </c>
      <c r="EH148" s="1422">
        <v>0</v>
      </c>
      <c r="EI148" s="1420">
        <v>37754.06</v>
      </c>
      <c r="EJ148" s="1422">
        <v>55000</v>
      </c>
      <c r="EK148" s="1422">
        <v>0</v>
      </c>
      <c r="EL148" s="1422">
        <v>0</v>
      </c>
      <c r="EM148" s="1420">
        <v>1850522.37</v>
      </c>
      <c r="EN148" s="1422">
        <v>324610</v>
      </c>
      <c r="EO148" s="1420">
        <v>27291.38</v>
      </c>
      <c r="EP148" s="1422">
        <v>0</v>
      </c>
      <c r="EQ148" s="1420">
        <v>386021.23</v>
      </c>
      <c r="ER148" s="1420">
        <v>1024768.76</v>
      </c>
      <c r="ES148" s="1422">
        <v>0</v>
      </c>
      <c r="ET148" s="1422">
        <v>0</v>
      </c>
      <c r="EU148" s="1420">
        <v>32724877.370000001</v>
      </c>
      <c r="EV148" s="1420">
        <v>32795751.879999999</v>
      </c>
      <c r="EW148" s="1420">
        <v>687446.38</v>
      </c>
      <c r="EX148" s="1420">
        <v>242596.72</v>
      </c>
      <c r="EY148" s="1420">
        <v>386021.23</v>
      </c>
      <c r="EZ148" s="1420">
        <v>1024768.76</v>
      </c>
      <c r="FA148" s="1420">
        <v>31651409.760000002</v>
      </c>
      <c r="FB148" s="1420">
        <v>31528386.399999999</v>
      </c>
      <c r="FC148" s="1420">
        <v>677232.24</v>
      </c>
      <c r="FD148" s="1439"/>
      <c r="FE148" s="1420">
        <v>30974177.52</v>
      </c>
      <c r="FF148" s="1439"/>
      <c r="FG148" s="1422">
        <v>11387</v>
      </c>
      <c r="FH148" s="1439"/>
      <c r="FI148" s="1420">
        <v>209.28</v>
      </c>
      <c r="FJ148" s="1439"/>
      <c r="FK148" s="1422">
        <v>43144</v>
      </c>
      <c r="FL148" s="1439"/>
      <c r="FM148" s="1420">
        <v>232.49</v>
      </c>
      <c r="FN148" s="1439"/>
      <c r="FO148" s="1422">
        <v>46601</v>
      </c>
      <c r="FP148" s="1439"/>
      <c r="FQ148" s="1420">
        <v>5109785.16</v>
      </c>
      <c r="FR148" s="1439"/>
      <c r="FS148" s="1420">
        <v>593568.74</v>
      </c>
      <c r="FT148" s="1439"/>
      <c r="FU148" s="1422">
        <v>0</v>
      </c>
      <c r="FV148" s="1439"/>
      <c r="FW148" s="1420">
        <v>4516216.42</v>
      </c>
      <c r="FX148" s="1439"/>
      <c r="FY148" s="1420">
        <v>558485.9</v>
      </c>
      <c r="FZ148" s="1439"/>
      <c r="GA148" s="1422">
        <v>0</v>
      </c>
      <c r="GB148" s="1439"/>
    </row>
    <row r="149" spans="1:184" ht="12.75" customHeight="1" thickBot="1">
      <c r="A149" s="1418" t="s">
        <v>348</v>
      </c>
      <c r="B149" s="1418" t="s">
        <v>349</v>
      </c>
      <c r="C149" s="1420">
        <v>371.3</v>
      </c>
      <c r="D149" s="1439"/>
      <c r="E149" s="1420">
        <v>1225.07</v>
      </c>
      <c r="F149" s="1439"/>
      <c r="G149" s="1421">
        <v>0.01</v>
      </c>
      <c r="H149" s="1439"/>
      <c r="I149" s="1420">
        <v>1300.98</v>
      </c>
      <c r="J149" s="1439"/>
      <c r="K149" s="1420">
        <v>1272.44</v>
      </c>
      <c r="L149" s="1439"/>
      <c r="M149" s="1422">
        <v>65355406</v>
      </c>
      <c r="N149" s="1439"/>
      <c r="O149" s="1420">
        <v>26.6</v>
      </c>
      <c r="P149" s="1439"/>
      <c r="Q149" s="1422">
        <v>25</v>
      </c>
      <c r="R149" s="1439"/>
      <c r="S149" s="1420">
        <v>1.6</v>
      </c>
      <c r="T149" s="1439"/>
      <c r="U149" s="1422">
        <v>0</v>
      </c>
      <c r="V149" s="1439"/>
      <c r="W149" s="1420">
        <v>9.4</v>
      </c>
      <c r="X149" s="1439"/>
      <c r="Y149" s="1422">
        <v>36</v>
      </c>
      <c r="Z149" s="1439"/>
      <c r="AA149" s="1420">
        <v>6692438.4299999997</v>
      </c>
      <c r="AB149" s="1439"/>
      <c r="AC149" s="1420">
        <v>1717645.11</v>
      </c>
      <c r="AD149" s="1422">
        <v>1806770</v>
      </c>
      <c r="AE149" s="1420">
        <v>1052567.55</v>
      </c>
      <c r="AF149" s="1422">
        <v>980353</v>
      </c>
      <c r="AG149" s="1422">
        <v>0</v>
      </c>
      <c r="AH149" s="1422">
        <v>0</v>
      </c>
      <c r="AI149" s="1422">
        <v>6095970</v>
      </c>
      <c r="AJ149" s="1422">
        <v>6374052</v>
      </c>
      <c r="AK149" s="1422">
        <v>0</v>
      </c>
      <c r="AL149" s="1422">
        <v>0</v>
      </c>
      <c r="AM149" s="1422">
        <v>169939</v>
      </c>
      <c r="AN149" s="1422">
        <v>108444</v>
      </c>
      <c r="AO149" s="1422">
        <v>0</v>
      </c>
      <c r="AP149" s="1422">
        <v>0</v>
      </c>
      <c r="AQ149" s="1422">
        <v>0</v>
      </c>
      <c r="AR149" s="1422">
        <v>0</v>
      </c>
      <c r="AS149" s="1422">
        <v>0</v>
      </c>
      <c r="AT149" s="1422">
        <v>0</v>
      </c>
      <c r="AU149" s="1422">
        <v>0</v>
      </c>
      <c r="AV149" s="1422">
        <v>0</v>
      </c>
      <c r="AW149" s="1422">
        <v>0</v>
      </c>
      <c r="AX149" s="1422">
        <v>0</v>
      </c>
      <c r="AY149" s="1420">
        <v>9036121.6600000001</v>
      </c>
      <c r="AZ149" s="1422">
        <v>9269619</v>
      </c>
      <c r="BA149" s="1422">
        <v>0</v>
      </c>
      <c r="BB149" s="1422">
        <v>0</v>
      </c>
      <c r="BC149" s="1422">
        <v>52628</v>
      </c>
      <c r="BD149" s="1422">
        <v>55059</v>
      </c>
      <c r="BE149" s="1422">
        <v>9000</v>
      </c>
      <c r="BF149" s="1422">
        <v>0</v>
      </c>
      <c r="BG149" s="1422">
        <v>650</v>
      </c>
      <c r="BH149" s="1422">
        <v>0</v>
      </c>
      <c r="BI149" s="1422">
        <v>26816</v>
      </c>
      <c r="BJ149" s="1422">
        <v>5098</v>
      </c>
      <c r="BK149" s="1422">
        <v>4981</v>
      </c>
      <c r="BL149" s="1422">
        <v>0</v>
      </c>
      <c r="BM149" s="1422">
        <v>943392</v>
      </c>
      <c r="BN149" s="1422">
        <v>1014024</v>
      </c>
      <c r="BO149" s="1420">
        <v>83512.210000000006</v>
      </c>
      <c r="BP149" s="1422">
        <v>70000</v>
      </c>
      <c r="BQ149" s="1422">
        <v>26000</v>
      </c>
      <c r="BR149" s="1422">
        <v>26000</v>
      </c>
      <c r="BS149" s="1420">
        <v>5580.28</v>
      </c>
      <c r="BT149" s="1422">
        <v>5000</v>
      </c>
      <c r="BU149" s="1422">
        <v>0</v>
      </c>
      <c r="BV149" s="1422">
        <v>0</v>
      </c>
      <c r="BW149" s="1422">
        <v>184680</v>
      </c>
      <c r="BX149" s="1420">
        <v>148220.26</v>
      </c>
      <c r="BY149" s="1422">
        <v>0</v>
      </c>
      <c r="BZ149" s="1422">
        <v>0</v>
      </c>
      <c r="CA149" s="1420">
        <v>218057.99</v>
      </c>
      <c r="CB149" s="1422">
        <v>102826</v>
      </c>
      <c r="CC149" s="1420">
        <v>1555297.48</v>
      </c>
      <c r="CD149" s="1420">
        <v>1426227.26</v>
      </c>
      <c r="CE149" s="1420">
        <v>2639342.4700000002</v>
      </c>
      <c r="CF149" s="1420">
        <v>3512216.14</v>
      </c>
      <c r="CG149" s="1420">
        <v>-196923.2</v>
      </c>
      <c r="CH149" s="1422">
        <v>0</v>
      </c>
      <c r="CI149" s="1422">
        <v>0</v>
      </c>
      <c r="CJ149" s="1422">
        <v>0</v>
      </c>
      <c r="CK149" s="1420">
        <v>6893.32</v>
      </c>
      <c r="CL149" s="1422">
        <v>0</v>
      </c>
      <c r="CM149" s="1422">
        <v>2875</v>
      </c>
      <c r="CN149" s="1422">
        <v>0</v>
      </c>
      <c r="CO149" s="1422">
        <v>2050</v>
      </c>
      <c r="CP149" s="1422">
        <v>0</v>
      </c>
      <c r="CQ149" s="1422">
        <v>0</v>
      </c>
      <c r="CR149" s="1422">
        <v>0</v>
      </c>
      <c r="CS149" s="1420">
        <v>-185104.88</v>
      </c>
      <c r="CT149" s="1422">
        <v>0</v>
      </c>
      <c r="CU149" s="1420">
        <v>13045656.73</v>
      </c>
      <c r="CV149" s="1420">
        <v>14208062.4</v>
      </c>
      <c r="CW149" s="1420">
        <v>4663338.84</v>
      </c>
      <c r="CX149" s="1420">
        <v>5732142.6799999997</v>
      </c>
      <c r="CY149" s="1420">
        <v>527105.52</v>
      </c>
      <c r="CZ149" s="1420">
        <v>613513.92000000004</v>
      </c>
      <c r="DA149" s="1420">
        <v>225357.33</v>
      </c>
      <c r="DB149" s="1420">
        <v>182575.59</v>
      </c>
      <c r="DC149" s="1422">
        <v>0</v>
      </c>
      <c r="DD149" s="1422">
        <v>0</v>
      </c>
      <c r="DE149" s="1420">
        <v>1078889.6299999999</v>
      </c>
      <c r="DF149" s="1420">
        <v>1131969.8400000001</v>
      </c>
      <c r="DG149" s="1420">
        <v>198781.63</v>
      </c>
      <c r="DH149" s="1420">
        <v>205265.8</v>
      </c>
      <c r="DI149" s="1420">
        <v>6693472.9500000002</v>
      </c>
      <c r="DJ149" s="1420">
        <v>7865467.8300000001</v>
      </c>
      <c r="DK149" s="1420">
        <v>239331.95</v>
      </c>
      <c r="DL149" s="1420">
        <v>346844.08</v>
      </c>
      <c r="DM149" s="1420">
        <v>223180.19</v>
      </c>
      <c r="DN149" s="1420">
        <v>490802.93</v>
      </c>
      <c r="DO149" s="1420">
        <v>1202128.69</v>
      </c>
      <c r="DP149" s="1420">
        <v>1739870.25</v>
      </c>
      <c r="DQ149" s="1420">
        <v>936224.13</v>
      </c>
      <c r="DR149" s="1420">
        <v>1160157.6200000001</v>
      </c>
      <c r="DS149" s="1420">
        <v>25401.279999999999</v>
      </c>
      <c r="DT149" s="1422">
        <v>27881</v>
      </c>
      <c r="DU149" s="1420">
        <v>2626266.2400000002</v>
      </c>
      <c r="DV149" s="1420">
        <v>3765555.88</v>
      </c>
      <c r="DW149" s="1420">
        <v>582277.76</v>
      </c>
      <c r="DX149" s="1420">
        <v>687845.64</v>
      </c>
      <c r="DY149" s="1420">
        <v>1091373.71</v>
      </c>
      <c r="DZ149" s="1420">
        <v>1121552.72</v>
      </c>
      <c r="EA149" s="1420">
        <v>426177.8</v>
      </c>
      <c r="EB149" s="1420">
        <v>421621.62</v>
      </c>
      <c r="EC149" s="1420">
        <v>2099829.27</v>
      </c>
      <c r="ED149" s="1420">
        <v>2231019.98</v>
      </c>
      <c r="EE149" s="1420">
        <v>780607.32</v>
      </c>
      <c r="EF149" s="1420">
        <v>728020.93</v>
      </c>
      <c r="EG149" s="1422">
        <v>0</v>
      </c>
      <c r="EH149" s="1422">
        <v>0</v>
      </c>
      <c r="EI149" s="1420">
        <v>4797.55</v>
      </c>
      <c r="EJ149" s="1422">
        <v>10625</v>
      </c>
      <c r="EK149" s="1422">
        <v>0</v>
      </c>
      <c r="EL149" s="1422">
        <v>0</v>
      </c>
      <c r="EM149" s="1420">
        <v>785404.87</v>
      </c>
      <c r="EN149" s="1420">
        <v>738645.93</v>
      </c>
      <c r="EO149" s="1420">
        <v>215869.96</v>
      </c>
      <c r="EP149" s="1422">
        <v>116642</v>
      </c>
      <c r="EQ149" s="1420">
        <v>506723.26</v>
      </c>
      <c r="ER149" s="1422">
        <v>562000</v>
      </c>
      <c r="ES149" s="1420">
        <v>94045.46</v>
      </c>
      <c r="ET149" s="1422">
        <v>4300</v>
      </c>
      <c r="EU149" s="1420">
        <v>13021612.01</v>
      </c>
      <c r="EV149" s="1420">
        <v>15283631.619999999</v>
      </c>
      <c r="EW149" s="1420">
        <v>834524.68</v>
      </c>
      <c r="EX149" s="1420">
        <v>938030.33</v>
      </c>
      <c r="EY149" s="1420">
        <v>506723.26</v>
      </c>
      <c r="EZ149" s="1422">
        <v>562000</v>
      </c>
      <c r="FA149" s="1420">
        <v>11680364.07</v>
      </c>
      <c r="FB149" s="1420">
        <v>13783601.289999999</v>
      </c>
      <c r="FC149" s="1420">
        <v>949226.32</v>
      </c>
      <c r="FD149" s="1439"/>
      <c r="FE149" s="1420">
        <v>10731137.75</v>
      </c>
      <c r="FF149" s="1439"/>
      <c r="FG149" s="1422">
        <v>8759</v>
      </c>
      <c r="FH149" s="1439"/>
      <c r="FI149" s="1420">
        <v>80.239999999999995</v>
      </c>
      <c r="FJ149" s="1439"/>
      <c r="FK149" s="1422">
        <v>42923</v>
      </c>
      <c r="FL149" s="1439"/>
      <c r="FM149" s="1420">
        <v>89.73</v>
      </c>
      <c r="FN149" s="1439"/>
      <c r="FO149" s="1422">
        <v>44792</v>
      </c>
      <c r="FP149" s="1439"/>
      <c r="FQ149" s="1420">
        <v>2558905.7999999998</v>
      </c>
      <c r="FR149" s="1439"/>
      <c r="FS149" s="1420">
        <v>188776.2</v>
      </c>
      <c r="FT149" s="1439"/>
      <c r="FU149" s="1422">
        <v>0</v>
      </c>
      <c r="FV149" s="1439"/>
      <c r="FW149" s="1420">
        <v>2370129.6</v>
      </c>
      <c r="FX149" s="1439"/>
      <c r="FY149" s="1420">
        <v>193046.58</v>
      </c>
      <c r="FZ149" s="1439"/>
      <c r="GA149" s="1422">
        <v>0</v>
      </c>
      <c r="GB149" s="1439"/>
    </row>
    <row r="150" spans="1:184" ht="12.75" customHeight="1" thickBot="1">
      <c r="A150" s="1418" t="s">
        <v>350</v>
      </c>
      <c r="B150" s="1418" t="s">
        <v>351</v>
      </c>
      <c r="C150" s="1420">
        <v>111.41</v>
      </c>
      <c r="D150" s="1439"/>
      <c r="E150" s="1420">
        <v>1296.18</v>
      </c>
      <c r="F150" s="1439"/>
      <c r="G150" s="1421">
        <v>-0.03</v>
      </c>
      <c r="H150" s="1439"/>
      <c r="I150" s="1420">
        <v>1395.16</v>
      </c>
      <c r="J150" s="1439"/>
      <c r="K150" s="1420">
        <v>1408.61</v>
      </c>
      <c r="L150" s="1439"/>
      <c r="M150" s="1422">
        <v>40959407</v>
      </c>
      <c r="N150" s="1439"/>
      <c r="O150" s="1422">
        <v>30</v>
      </c>
      <c r="P150" s="1439"/>
      <c r="Q150" s="1422">
        <v>25</v>
      </c>
      <c r="R150" s="1439"/>
      <c r="S150" s="1422">
        <v>5</v>
      </c>
      <c r="T150" s="1439"/>
      <c r="U150" s="1422">
        <v>0</v>
      </c>
      <c r="V150" s="1439"/>
      <c r="W150" s="1422">
        <v>0</v>
      </c>
      <c r="X150" s="1439"/>
      <c r="Y150" s="1422">
        <v>30</v>
      </c>
      <c r="Z150" s="1439"/>
      <c r="AA150" s="1422">
        <v>0</v>
      </c>
      <c r="AB150" s="1439"/>
      <c r="AC150" s="1420">
        <v>1039989.68</v>
      </c>
      <c r="AD150" s="1422">
        <v>1031397</v>
      </c>
      <c r="AE150" s="1420">
        <v>681933.06</v>
      </c>
      <c r="AF150" s="1422">
        <v>267086</v>
      </c>
      <c r="AG150" s="1422">
        <v>0</v>
      </c>
      <c r="AH150" s="1422">
        <v>0</v>
      </c>
      <c r="AI150" s="1422">
        <v>7154115</v>
      </c>
      <c r="AJ150" s="1422">
        <v>7677291</v>
      </c>
      <c r="AK150" s="1422">
        <v>17244</v>
      </c>
      <c r="AL150" s="1422">
        <v>38132</v>
      </c>
      <c r="AM150" s="1422">
        <v>0</v>
      </c>
      <c r="AN150" s="1422">
        <v>0</v>
      </c>
      <c r="AO150" s="1422">
        <v>47281</v>
      </c>
      <c r="AP150" s="1422">
        <v>0</v>
      </c>
      <c r="AQ150" s="1422">
        <v>0</v>
      </c>
      <c r="AR150" s="1422">
        <v>0</v>
      </c>
      <c r="AS150" s="1422">
        <v>0</v>
      </c>
      <c r="AT150" s="1422">
        <v>0</v>
      </c>
      <c r="AU150" s="1422">
        <v>83876</v>
      </c>
      <c r="AV150" s="1422">
        <v>67100</v>
      </c>
      <c r="AW150" s="1422">
        <v>0</v>
      </c>
      <c r="AX150" s="1422">
        <v>0</v>
      </c>
      <c r="AY150" s="1420">
        <v>9024438.7400000002</v>
      </c>
      <c r="AZ150" s="1422">
        <v>9081006</v>
      </c>
      <c r="BA150" s="1422">
        <v>0</v>
      </c>
      <c r="BB150" s="1422">
        <v>0</v>
      </c>
      <c r="BC150" s="1422">
        <v>58260</v>
      </c>
      <c r="BD150" s="1422">
        <v>59878</v>
      </c>
      <c r="BE150" s="1420">
        <v>3399.46</v>
      </c>
      <c r="BF150" s="1422">
        <v>3800</v>
      </c>
      <c r="BG150" s="1422">
        <v>250</v>
      </c>
      <c r="BH150" s="1422">
        <v>0</v>
      </c>
      <c r="BI150" s="1422">
        <v>18649</v>
      </c>
      <c r="BJ150" s="1422">
        <v>26694</v>
      </c>
      <c r="BK150" s="1422">
        <v>6446</v>
      </c>
      <c r="BL150" s="1422">
        <v>0</v>
      </c>
      <c r="BM150" s="1422">
        <v>466240</v>
      </c>
      <c r="BN150" s="1422">
        <v>477158</v>
      </c>
      <c r="BO150" s="1420">
        <v>14558.16</v>
      </c>
      <c r="BP150" s="1422">
        <v>0</v>
      </c>
      <c r="BQ150" s="1420">
        <v>28166.76</v>
      </c>
      <c r="BR150" s="1422">
        <v>21125</v>
      </c>
      <c r="BS150" s="1420">
        <v>5447.21</v>
      </c>
      <c r="BT150" s="1422">
        <v>0</v>
      </c>
      <c r="BU150" s="1422">
        <v>0</v>
      </c>
      <c r="BV150" s="1422">
        <v>0</v>
      </c>
      <c r="BW150" s="1422">
        <v>0</v>
      </c>
      <c r="BX150" s="1422">
        <v>0</v>
      </c>
      <c r="BY150" s="1422">
        <v>0</v>
      </c>
      <c r="BZ150" s="1422">
        <v>0</v>
      </c>
      <c r="CA150" s="1420">
        <v>201750.94</v>
      </c>
      <c r="CB150" s="1422">
        <v>13692</v>
      </c>
      <c r="CC150" s="1420">
        <v>803167.53</v>
      </c>
      <c r="CD150" s="1422">
        <v>602347</v>
      </c>
      <c r="CE150" s="1420">
        <v>2401547.31</v>
      </c>
      <c r="CF150" s="1420">
        <v>937052.66</v>
      </c>
      <c r="CG150" s="1422">
        <v>0</v>
      </c>
      <c r="CH150" s="1422">
        <v>0</v>
      </c>
      <c r="CI150" s="1422">
        <v>0</v>
      </c>
      <c r="CJ150" s="1422">
        <v>0</v>
      </c>
      <c r="CK150" s="1422">
        <v>0</v>
      </c>
      <c r="CL150" s="1422">
        <v>0</v>
      </c>
      <c r="CM150" s="1422">
        <v>500</v>
      </c>
      <c r="CN150" s="1422">
        <v>0</v>
      </c>
      <c r="CO150" s="1422">
        <v>0</v>
      </c>
      <c r="CP150" s="1422">
        <v>0</v>
      </c>
      <c r="CQ150" s="1422">
        <v>0</v>
      </c>
      <c r="CR150" s="1422">
        <v>0</v>
      </c>
      <c r="CS150" s="1422">
        <v>500</v>
      </c>
      <c r="CT150" s="1422">
        <v>0</v>
      </c>
      <c r="CU150" s="1420">
        <v>12229653.58</v>
      </c>
      <c r="CV150" s="1420">
        <v>10620405.66</v>
      </c>
      <c r="CW150" s="1420">
        <v>4758441.8899999997</v>
      </c>
      <c r="CX150" s="1420">
        <v>4675928.0999999996</v>
      </c>
      <c r="CY150" s="1420">
        <v>961728.35</v>
      </c>
      <c r="CZ150" s="1420">
        <v>806618.15</v>
      </c>
      <c r="DA150" s="1420">
        <v>326983.21000000002</v>
      </c>
      <c r="DB150" s="1422">
        <v>328895</v>
      </c>
      <c r="DC150" s="1422">
        <v>0</v>
      </c>
      <c r="DD150" s="1422">
        <v>0</v>
      </c>
      <c r="DE150" s="1420">
        <v>514047.86</v>
      </c>
      <c r="DF150" s="1420">
        <v>419499.39</v>
      </c>
      <c r="DG150" s="1420">
        <v>387981.76</v>
      </c>
      <c r="DH150" s="1420">
        <v>431420.39</v>
      </c>
      <c r="DI150" s="1420">
        <v>6949183.0700000003</v>
      </c>
      <c r="DJ150" s="1420">
        <v>6662361.0300000003</v>
      </c>
      <c r="DK150" s="1420">
        <v>339073.91</v>
      </c>
      <c r="DL150" s="1422">
        <v>357276</v>
      </c>
      <c r="DM150" s="1420">
        <v>341698.56</v>
      </c>
      <c r="DN150" s="1422">
        <v>312343</v>
      </c>
      <c r="DO150" s="1420">
        <v>1138132.93</v>
      </c>
      <c r="DP150" s="1422">
        <v>1283301</v>
      </c>
      <c r="DQ150" s="1420">
        <v>535911.4</v>
      </c>
      <c r="DR150" s="1422">
        <v>551510</v>
      </c>
      <c r="DS150" s="1420">
        <v>10830.58</v>
      </c>
      <c r="DT150" s="1422">
        <v>10000</v>
      </c>
      <c r="DU150" s="1420">
        <v>2365647.38</v>
      </c>
      <c r="DV150" s="1422">
        <v>2514430</v>
      </c>
      <c r="DW150" s="1420">
        <v>451454.92</v>
      </c>
      <c r="DX150" s="1422">
        <v>468642</v>
      </c>
      <c r="DY150" s="1420">
        <v>757760.14</v>
      </c>
      <c r="DZ150" s="1420">
        <v>770591.82</v>
      </c>
      <c r="EA150" s="1420">
        <v>694584.34</v>
      </c>
      <c r="EB150" s="1422">
        <v>720208</v>
      </c>
      <c r="EC150" s="1420">
        <v>1903799.4</v>
      </c>
      <c r="ED150" s="1420">
        <v>1959441.82</v>
      </c>
      <c r="EE150" s="1420">
        <v>659866.74</v>
      </c>
      <c r="EF150" s="1422">
        <v>38351</v>
      </c>
      <c r="EG150" s="1420">
        <v>29914.61</v>
      </c>
      <c r="EH150" s="1422">
        <v>0</v>
      </c>
      <c r="EI150" s="1422">
        <v>0</v>
      </c>
      <c r="EJ150" s="1420">
        <v>6591.42</v>
      </c>
      <c r="EK150" s="1422">
        <v>0</v>
      </c>
      <c r="EL150" s="1422">
        <v>0</v>
      </c>
      <c r="EM150" s="1420">
        <v>689781.35</v>
      </c>
      <c r="EN150" s="1420">
        <v>44942.42</v>
      </c>
      <c r="EO150" s="1420">
        <v>822751.97</v>
      </c>
      <c r="EP150" s="1422">
        <v>0</v>
      </c>
      <c r="EQ150" s="1422">
        <v>0</v>
      </c>
      <c r="ER150" s="1422">
        <v>0</v>
      </c>
      <c r="ES150" s="1422">
        <v>0</v>
      </c>
      <c r="ET150" s="1422">
        <v>0</v>
      </c>
      <c r="EU150" s="1420">
        <v>12731163.17</v>
      </c>
      <c r="EV150" s="1420">
        <v>11181175.27</v>
      </c>
      <c r="EW150" s="1420">
        <v>1293214.26</v>
      </c>
      <c r="EX150" s="1420">
        <v>300394.65000000002</v>
      </c>
      <c r="EY150" s="1422">
        <v>0</v>
      </c>
      <c r="EZ150" s="1422">
        <v>0</v>
      </c>
      <c r="FA150" s="1420">
        <v>11437948.91</v>
      </c>
      <c r="FB150" s="1420">
        <v>10880780.619999999</v>
      </c>
      <c r="FC150" s="1420">
        <v>313006.33</v>
      </c>
      <c r="FD150" s="1439"/>
      <c r="FE150" s="1420">
        <v>11124942.58</v>
      </c>
      <c r="FF150" s="1439"/>
      <c r="FG150" s="1422">
        <v>8582</v>
      </c>
      <c r="FH150" s="1439"/>
      <c r="FI150" s="1420">
        <v>95.34</v>
      </c>
      <c r="FJ150" s="1439"/>
      <c r="FK150" s="1422">
        <v>43476</v>
      </c>
      <c r="FL150" s="1439"/>
      <c r="FM150" s="1420">
        <v>106.78</v>
      </c>
      <c r="FN150" s="1439"/>
      <c r="FO150" s="1422">
        <v>46149</v>
      </c>
      <c r="FP150" s="1439"/>
      <c r="FQ150" s="1420">
        <v>4864294.38</v>
      </c>
      <c r="FR150" s="1439"/>
      <c r="FS150" s="1420">
        <v>97544.05</v>
      </c>
      <c r="FT150" s="1439"/>
      <c r="FU150" s="1422">
        <v>0</v>
      </c>
      <c r="FV150" s="1439"/>
      <c r="FW150" s="1420">
        <v>4766750.33</v>
      </c>
      <c r="FX150" s="1439"/>
      <c r="FY150" s="1420">
        <v>1279042.1200000001</v>
      </c>
      <c r="FZ150" s="1439"/>
      <c r="GA150" s="1422">
        <v>0</v>
      </c>
      <c r="GB150" s="1439"/>
    </row>
    <row r="151" spans="1:184" ht="12.75" customHeight="1" thickBot="1">
      <c r="A151" s="1418" t="s">
        <v>352</v>
      </c>
      <c r="B151" s="1418" t="s">
        <v>353</v>
      </c>
      <c r="C151" s="1420">
        <v>135.56</v>
      </c>
      <c r="D151" s="1439"/>
      <c r="E151" s="1420">
        <v>928.09</v>
      </c>
      <c r="F151" s="1439"/>
      <c r="G151" s="1421">
        <v>-0.03</v>
      </c>
      <c r="H151" s="1439"/>
      <c r="I151" s="1420">
        <v>984.41</v>
      </c>
      <c r="J151" s="1439"/>
      <c r="K151" s="1420">
        <v>1018.64</v>
      </c>
      <c r="L151" s="1439"/>
      <c r="M151" s="1422">
        <v>41118813</v>
      </c>
      <c r="N151" s="1439"/>
      <c r="O151" s="1422">
        <v>25</v>
      </c>
      <c r="P151" s="1439"/>
      <c r="Q151" s="1422">
        <v>25</v>
      </c>
      <c r="R151" s="1439"/>
      <c r="S151" s="1422">
        <v>0</v>
      </c>
      <c r="T151" s="1439"/>
      <c r="U151" s="1422">
        <v>0</v>
      </c>
      <c r="V151" s="1439"/>
      <c r="W151" s="1420">
        <v>11.7</v>
      </c>
      <c r="X151" s="1439"/>
      <c r="Y151" s="1420">
        <v>36.700000000000003</v>
      </c>
      <c r="Z151" s="1439"/>
      <c r="AA151" s="1422">
        <v>3955000</v>
      </c>
      <c r="AB151" s="1439"/>
      <c r="AC151" s="1420">
        <v>1353414.33</v>
      </c>
      <c r="AD151" s="1422">
        <v>1300068</v>
      </c>
      <c r="AE151" s="1420">
        <v>617828.21</v>
      </c>
      <c r="AF151" s="1422">
        <v>583130</v>
      </c>
      <c r="AG151" s="1422">
        <v>0</v>
      </c>
      <c r="AH151" s="1422">
        <v>0</v>
      </c>
      <c r="AI151" s="1422">
        <v>5185582</v>
      </c>
      <c r="AJ151" s="1422">
        <v>5038169</v>
      </c>
      <c r="AK151" s="1422">
        <v>26950</v>
      </c>
      <c r="AL151" s="1422">
        <v>0</v>
      </c>
      <c r="AM151" s="1422">
        <v>0</v>
      </c>
      <c r="AN151" s="1422">
        <v>0</v>
      </c>
      <c r="AO151" s="1422">
        <v>18129</v>
      </c>
      <c r="AP151" s="1422">
        <v>103711</v>
      </c>
      <c r="AQ151" s="1422">
        <v>0</v>
      </c>
      <c r="AR151" s="1422">
        <v>0</v>
      </c>
      <c r="AS151" s="1422">
        <v>0</v>
      </c>
      <c r="AT151" s="1422">
        <v>0</v>
      </c>
      <c r="AU151" s="1422">
        <v>35966</v>
      </c>
      <c r="AV151" s="1422">
        <v>28773</v>
      </c>
      <c r="AW151" s="1420">
        <v>216.86</v>
      </c>
      <c r="AX151" s="1422">
        <v>0</v>
      </c>
      <c r="AY151" s="1420">
        <v>7238086.4000000004</v>
      </c>
      <c r="AZ151" s="1422">
        <v>7053851</v>
      </c>
      <c r="BA151" s="1422">
        <v>0</v>
      </c>
      <c r="BB151" s="1422">
        <v>0</v>
      </c>
      <c r="BC151" s="1422">
        <v>42131</v>
      </c>
      <c r="BD151" s="1422">
        <v>41739</v>
      </c>
      <c r="BE151" s="1422">
        <v>3600</v>
      </c>
      <c r="BF151" s="1422">
        <v>0</v>
      </c>
      <c r="BG151" s="1422">
        <v>250</v>
      </c>
      <c r="BH151" s="1422">
        <v>0</v>
      </c>
      <c r="BI151" s="1422">
        <v>18893</v>
      </c>
      <c r="BJ151" s="1422">
        <v>20476</v>
      </c>
      <c r="BK151" s="1422">
        <v>2930</v>
      </c>
      <c r="BL151" s="1422">
        <v>2392</v>
      </c>
      <c r="BM151" s="1422">
        <v>317936</v>
      </c>
      <c r="BN151" s="1422">
        <v>313214</v>
      </c>
      <c r="BO151" s="1422">
        <v>4173</v>
      </c>
      <c r="BP151" s="1422">
        <v>0</v>
      </c>
      <c r="BQ151" s="1420">
        <v>21124.36</v>
      </c>
      <c r="BR151" s="1422">
        <v>0</v>
      </c>
      <c r="BS151" s="1420">
        <v>3468.81</v>
      </c>
      <c r="BT151" s="1422">
        <v>3400</v>
      </c>
      <c r="BU151" s="1422">
        <v>0</v>
      </c>
      <c r="BV151" s="1422">
        <v>0</v>
      </c>
      <c r="BW151" s="1422">
        <v>194012</v>
      </c>
      <c r="BX151" s="1422">
        <v>194400</v>
      </c>
      <c r="BY151" s="1422">
        <v>0</v>
      </c>
      <c r="BZ151" s="1422">
        <v>0</v>
      </c>
      <c r="CA151" s="1420">
        <v>1187517.92</v>
      </c>
      <c r="CB151" s="1420">
        <v>84922.97</v>
      </c>
      <c r="CC151" s="1420">
        <v>1796036.09</v>
      </c>
      <c r="CD151" s="1420">
        <v>660543.97</v>
      </c>
      <c r="CE151" s="1420">
        <v>1835057.73</v>
      </c>
      <c r="CF151" s="1420">
        <v>909456.87</v>
      </c>
      <c r="CG151" s="1420">
        <v>25013.22</v>
      </c>
      <c r="CH151" s="1422">
        <v>0</v>
      </c>
      <c r="CI151" s="1422">
        <v>0</v>
      </c>
      <c r="CJ151" s="1422">
        <v>0</v>
      </c>
      <c r="CK151" s="1422">
        <v>0</v>
      </c>
      <c r="CL151" s="1422">
        <v>0</v>
      </c>
      <c r="CM151" s="1422">
        <v>0</v>
      </c>
      <c r="CN151" s="1422">
        <v>0</v>
      </c>
      <c r="CO151" s="1422">
        <v>0</v>
      </c>
      <c r="CP151" s="1422">
        <v>0</v>
      </c>
      <c r="CQ151" s="1422">
        <v>0</v>
      </c>
      <c r="CR151" s="1422">
        <v>0</v>
      </c>
      <c r="CS151" s="1420">
        <v>25013.22</v>
      </c>
      <c r="CT151" s="1422">
        <v>0</v>
      </c>
      <c r="CU151" s="1420">
        <v>10894193.439999999</v>
      </c>
      <c r="CV151" s="1420">
        <v>8623851.8399999999</v>
      </c>
      <c r="CW151" s="1420">
        <v>4102924.65</v>
      </c>
      <c r="CX151" s="1420">
        <v>3860958.35</v>
      </c>
      <c r="CY151" s="1420">
        <v>629614.43999999994</v>
      </c>
      <c r="CZ151" s="1420">
        <v>541815.04000000004</v>
      </c>
      <c r="DA151" s="1420">
        <v>346939.82</v>
      </c>
      <c r="DB151" s="1420">
        <v>301135.64</v>
      </c>
      <c r="DC151" s="1422">
        <v>0</v>
      </c>
      <c r="DD151" s="1422">
        <v>0</v>
      </c>
      <c r="DE151" s="1420">
        <v>386938.68</v>
      </c>
      <c r="DF151" s="1420">
        <v>317342.94</v>
      </c>
      <c r="DG151" s="1420">
        <v>115144.21</v>
      </c>
      <c r="DH151" s="1420">
        <v>108144.02</v>
      </c>
      <c r="DI151" s="1420">
        <v>5581561.7999999998</v>
      </c>
      <c r="DJ151" s="1420">
        <v>5129395.99</v>
      </c>
      <c r="DK151" s="1420">
        <v>292662.96999999997</v>
      </c>
      <c r="DL151" s="1420">
        <v>304783.65000000002</v>
      </c>
      <c r="DM151" s="1420">
        <v>152262.56</v>
      </c>
      <c r="DN151" s="1420">
        <v>155991.21</v>
      </c>
      <c r="DO151" s="1420">
        <v>861221.66</v>
      </c>
      <c r="DP151" s="1420">
        <v>973458.23</v>
      </c>
      <c r="DQ151" s="1420">
        <v>376848.84</v>
      </c>
      <c r="DR151" s="1420">
        <v>289657.2</v>
      </c>
      <c r="DS151" s="1420">
        <v>19032.849999999999</v>
      </c>
      <c r="DT151" s="1422">
        <v>17900</v>
      </c>
      <c r="DU151" s="1420">
        <v>1702028.88</v>
      </c>
      <c r="DV151" s="1420">
        <v>1741790.29</v>
      </c>
      <c r="DW151" s="1422">
        <v>371307</v>
      </c>
      <c r="DX151" s="1420">
        <v>358773.36</v>
      </c>
      <c r="DY151" s="1420">
        <v>465376.71</v>
      </c>
      <c r="DZ151" s="1420">
        <v>408694.68</v>
      </c>
      <c r="EA151" s="1420">
        <v>452572.49</v>
      </c>
      <c r="EB151" s="1420">
        <v>473627.52</v>
      </c>
      <c r="EC151" s="1420">
        <v>1289256.2</v>
      </c>
      <c r="ED151" s="1420">
        <v>1241095.56</v>
      </c>
      <c r="EE151" s="1420">
        <v>473571.47</v>
      </c>
      <c r="EF151" s="1420">
        <v>417445.32</v>
      </c>
      <c r="EG151" s="1422">
        <v>0</v>
      </c>
      <c r="EH151" s="1422">
        <v>16500</v>
      </c>
      <c r="EI151" s="1422">
        <v>0</v>
      </c>
      <c r="EJ151" s="1422">
        <v>1</v>
      </c>
      <c r="EK151" s="1422">
        <v>0</v>
      </c>
      <c r="EL151" s="1422">
        <v>0</v>
      </c>
      <c r="EM151" s="1420">
        <v>473571.47</v>
      </c>
      <c r="EN151" s="1420">
        <v>433946.32</v>
      </c>
      <c r="EO151" s="1420">
        <v>4238067.8899999997</v>
      </c>
      <c r="EP151" s="1420">
        <v>4503.34</v>
      </c>
      <c r="EQ151" s="1420">
        <v>374605.76</v>
      </c>
      <c r="ER151" s="1422">
        <v>371789</v>
      </c>
      <c r="ES151" s="1422">
        <v>0</v>
      </c>
      <c r="ET151" s="1422">
        <v>0</v>
      </c>
      <c r="EU151" s="1422">
        <v>13659092</v>
      </c>
      <c r="EV151" s="1420">
        <v>8922520.5</v>
      </c>
      <c r="EW151" s="1420">
        <v>4569126.74</v>
      </c>
      <c r="EX151" s="1420">
        <v>70998.5</v>
      </c>
      <c r="EY151" s="1420">
        <v>374605.76</v>
      </c>
      <c r="EZ151" s="1422">
        <v>371789</v>
      </c>
      <c r="FA151" s="1420">
        <v>8715359.5</v>
      </c>
      <c r="FB151" s="1422">
        <v>8479733</v>
      </c>
      <c r="FC151" s="1420">
        <v>477596.34</v>
      </c>
      <c r="FD151" s="1439"/>
      <c r="FE151" s="1420">
        <v>8237763.1600000001</v>
      </c>
      <c r="FF151" s="1439"/>
      <c r="FG151" s="1422">
        <v>8876</v>
      </c>
      <c r="FH151" s="1439"/>
      <c r="FI151" s="1420">
        <v>72.03</v>
      </c>
      <c r="FJ151" s="1439"/>
      <c r="FK151" s="1422">
        <v>43540</v>
      </c>
      <c r="FL151" s="1439"/>
      <c r="FM151" s="1420">
        <v>76.819999999999993</v>
      </c>
      <c r="FN151" s="1439"/>
      <c r="FO151" s="1422">
        <v>45334</v>
      </c>
      <c r="FP151" s="1439"/>
      <c r="FQ151" s="1420">
        <v>3249153.51</v>
      </c>
      <c r="FR151" s="1439"/>
      <c r="FS151" s="1420">
        <v>118963.71</v>
      </c>
      <c r="FT151" s="1439"/>
      <c r="FU151" s="1422">
        <v>0</v>
      </c>
      <c r="FV151" s="1439"/>
      <c r="FW151" s="1420">
        <v>3130189.8</v>
      </c>
      <c r="FX151" s="1439"/>
      <c r="FY151" s="1422">
        <v>0</v>
      </c>
      <c r="FZ151" s="1439"/>
      <c r="GA151" s="1422">
        <v>0</v>
      </c>
      <c r="GB151" s="1439"/>
    </row>
    <row r="152" spans="1:184" ht="12.75" customHeight="1" thickBot="1">
      <c r="A152" s="1418" t="s">
        <v>354</v>
      </c>
      <c r="B152" s="1418" t="s">
        <v>355</v>
      </c>
      <c r="C152" s="1420">
        <v>52.47</v>
      </c>
      <c r="D152" s="1439"/>
      <c r="E152" s="1420">
        <v>1299.47</v>
      </c>
      <c r="F152" s="1439"/>
      <c r="G152" s="1421">
        <v>-0.12</v>
      </c>
      <c r="H152" s="1439"/>
      <c r="I152" s="1420">
        <v>1369.91</v>
      </c>
      <c r="J152" s="1439"/>
      <c r="K152" s="1420">
        <v>1474.78</v>
      </c>
      <c r="L152" s="1439"/>
      <c r="M152" s="1422">
        <v>74512991</v>
      </c>
      <c r="N152" s="1439"/>
      <c r="O152" s="1422">
        <v>25</v>
      </c>
      <c r="P152" s="1439"/>
      <c r="Q152" s="1422">
        <v>25</v>
      </c>
      <c r="R152" s="1439"/>
      <c r="S152" s="1422">
        <v>0</v>
      </c>
      <c r="T152" s="1439"/>
      <c r="U152" s="1422">
        <v>0</v>
      </c>
      <c r="V152" s="1439"/>
      <c r="W152" s="1420">
        <v>13.2</v>
      </c>
      <c r="X152" s="1439"/>
      <c r="Y152" s="1420">
        <v>38.200000000000003</v>
      </c>
      <c r="Z152" s="1439"/>
      <c r="AA152" s="1422">
        <v>10205000</v>
      </c>
      <c r="AB152" s="1439"/>
      <c r="AC152" s="1420">
        <v>2512322.2200000002</v>
      </c>
      <c r="AD152" s="1422">
        <v>2537000</v>
      </c>
      <c r="AE152" s="1420">
        <v>449182.68</v>
      </c>
      <c r="AF152" s="1422">
        <v>368698</v>
      </c>
      <c r="AG152" s="1422">
        <v>0</v>
      </c>
      <c r="AH152" s="1422">
        <v>0</v>
      </c>
      <c r="AI152" s="1422">
        <v>7141888</v>
      </c>
      <c r="AJ152" s="1422">
        <v>6682447</v>
      </c>
      <c r="AK152" s="1422">
        <v>110942</v>
      </c>
      <c r="AL152" s="1422">
        <v>0</v>
      </c>
      <c r="AM152" s="1422">
        <v>0</v>
      </c>
      <c r="AN152" s="1422">
        <v>0</v>
      </c>
      <c r="AO152" s="1422">
        <v>252484</v>
      </c>
      <c r="AP152" s="1422">
        <v>271534</v>
      </c>
      <c r="AQ152" s="1422">
        <v>0</v>
      </c>
      <c r="AR152" s="1422">
        <v>0</v>
      </c>
      <c r="AS152" s="1422">
        <v>0</v>
      </c>
      <c r="AT152" s="1422">
        <v>0</v>
      </c>
      <c r="AU152" s="1422">
        <v>114154</v>
      </c>
      <c r="AV152" s="1422">
        <v>91323</v>
      </c>
      <c r="AW152" s="1422">
        <v>0</v>
      </c>
      <c r="AX152" s="1422">
        <v>0</v>
      </c>
      <c r="AY152" s="1420">
        <v>10580972.9</v>
      </c>
      <c r="AZ152" s="1422">
        <v>9951002</v>
      </c>
      <c r="BA152" s="1422">
        <v>0</v>
      </c>
      <c r="BB152" s="1422">
        <v>0</v>
      </c>
      <c r="BC152" s="1422">
        <v>60997</v>
      </c>
      <c r="BD152" s="1422">
        <v>58755</v>
      </c>
      <c r="BE152" s="1420">
        <v>46950.53</v>
      </c>
      <c r="BF152" s="1422">
        <v>20600</v>
      </c>
      <c r="BG152" s="1422">
        <v>50</v>
      </c>
      <c r="BH152" s="1422">
        <v>0</v>
      </c>
      <c r="BI152" s="1422">
        <v>41808</v>
      </c>
      <c r="BJ152" s="1422">
        <v>36352</v>
      </c>
      <c r="BK152" s="1422">
        <v>6739</v>
      </c>
      <c r="BL152" s="1422">
        <v>0</v>
      </c>
      <c r="BM152" s="1422">
        <v>1221152</v>
      </c>
      <c r="BN152" s="1422">
        <v>2083164</v>
      </c>
      <c r="BO152" s="1420">
        <v>340466.64</v>
      </c>
      <c r="BP152" s="1422">
        <v>0</v>
      </c>
      <c r="BQ152" s="1420">
        <v>25458.560000000001</v>
      </c>
      <c r="BR152" s="1422">
        <v>3250</v>
      </c>
      <c r="BS152" s="1420">
        <v>6159.21</v>
      </c>
      <c r="BT152" s="1422">
        <v>10000</v>
      </c>
      <c r="BU152" s="1422">
        <v>0</v>
      </c>
      <c r="BV152" s="1422">
        <v>0</v>
      </c>
      <c r="BW152" s="1422">
        <v>165839</v>
      </c>
      <c r="BX152" s="1422">
        <v>194400</v>
      </c>
      <c r="BY152" s="1422">
        <v>0</v>
      </c>
      <c r="BZ152" s="1422">
        <v>0</v>
      </c>
      <c r="CA152" s="1420">
        <v>808799.6</v>
      </c>
      <c r="CB152" s="1422">
        <v>5303867</v>
      </c>
      <c r="CC152" s="1420">
        <v>2724419.54</v>
      </c>
      <c r="CD152" s="1422">
        <v>7710388</v>
      </c>
      <c r="CE152" s="1420">
        <v>5458967.9500000002</v>
      </c>
      <c r="CF152" s="1422">
        <v>5375330</v>
      </c>
      <c r="CG152" s="1422">
        <v>0</v>
      </c>
      <c r="CH152" s="1422">
        <v>0</v>
      </c>
      <c r="CI152" s="1422">
        <v>0</v>
      </c>
      <c r="CJ152" s="1422">
        <v>0</v>
      </c>
      <c r="CK152" s="1422">
        <v>15000</v>
      </c>
      <c r="CL152" s="1422">
        <v>34600</v>
      </c>
      <c r="CM152" s="1422">
        <v>0</v>
      </c>
      <c r="CN152" s="1422">
        <v>0</v>
      </c>
      <c r="CO152" s="1422">
        <v>16900</v>
      </c>
      <c r="CP152" s="1422">
        <v>0</v>
      </c>
      <c r="CQ152" s="1422">
        <v>0</v>
      </c>
      <c r="CR152" s="1422">
        <v>0</v>
      </c>
      <c r="CS152" s="1422">
        <v>31900</v>
      </c>
      <c r="CT152" s="1422">
        <v>34600</v>
      </c>
      <c r="CU152" s="1420">
        <v>18796260.390000001</v>
      </c>
      <c r="CV152" s="1422">
        <v>23071320</v>
      </c>
      <c r="CW152" s="1420">
        <v>4824234.78</v>
      </c>
      <c r="CX152" s="1422">
        <v>4896037</v>
      </c>
      <c r="CY152" s="1420">
        <v>1258376.99</v>
      </c>
      <c r="CZ152" s="1422">
        <v>844200</v>
      </c>
      <c r="DA152" s="1420">
        <v>372253.09</v>
      </c>
      <c r="DB152" s="1422">
        <v>337167</v>
      </c>
      <c r="DC152" s="1422">
        <v>0</v>
      </c>
      <c r="DD152" s="1422">
        <v>0</v>
      </c>
      <c r="DE152" s="1420">
        <v>1204014.8799999999</v>
      </c>
      <c r="DF152" s="1422">
        <v>1660120</v>
      </c>
      <c r="DG152" s="1420">
        <v>773973.77</v>
      </c>
      <c r="DH152" s="1422">
        <v>671450</v>
      </c>
      <c r="DI152" s="1420">
        <v>8432853.5099999998</v>
      </c>
      <c r="DJ152" s="1422">
        <v>8408974</v>
      </c>
      <c r="DK152" s="1420">
        <v>627418.80000000005</v>
      </c>
      <c r="DL152" s="1422">
        <v>652895</v>
      </c>
      <c r="DM152" s="1420">
        <v>126388.54</v>
      </c>
      <c r="DN152" s="1422">
        <v>104215</v>
      </c>
      <c r="DO152" s="1420">
        <v>1637541.97</v>
      </c>
      <c r="DP152" s="1422">
        <v>1595654</v>
      </c>
      <c r="DQ152" s="1420">
        <v>328162.52</v>
      </c>
      <c r="DR152" s="1422">
        <v>352197</v>
      </c>
      <c r="DS152" s="1420">
        <v>49535.23</v>
      </c>
      <c r="DT152" s="1422">
        <v>60945</v>
      </c>
      <c r="DU152" s="1420">
        <v>2769047.06</v>
      </c>
      <c r="DV152" s="1422">
        <v>2765906</v>
      </c>
      <c r="DW152" s="1420">
        <v>903776.63</v>
      </c>
      <c r="DX152" s="1422">
        <v>985987</v>
      </c>
      <c r="DY152" s="1420">
        <v>2652062.27</v>
      </c>
      <c r="DZ152" s="1422">
        <v>3263134</v>
      </c>
      <c r="EA152" s="1420">
        <v>568238.91</v>
      </c>
      <c r="EB152" s="1422">
        <v>596167</v>
      </c>
      <c r="EC152" s="1420">
        <v>4124077.81</v>
      </c>
      <c r="ED152" s="1422">
        <v>4845288</v>
      </c>
      <c r="EE152" s="1420">
        <v>1062026.45</v>
      </c>
      <c r="EF152" s="1422">
        <v>1114474</v>
      </c>
      <c r="EG152" s="1422">
        <v>0</v>
      </c>
      <c r="EH152" s="1422">
        <v>0</v>
      </c>
      <c r="EI152" s="1420">
        <v>333.31</v>
      </c>
      <c r="EJ152" s="1422">
        <v>5000</v>
      </c>
      <c r="EK152" s="1422">
        <v>0</v>
      </c>
      <c r="EL152" s="1422">
        <v>0</v>
      </c>
      <c r="EM152" s="1420">
        <v>1062359.76</v>
      </c>
      <c r="EN152" s="1422">
        <v>1119474</v>
      </c>
      <c r="EO152" s="1420">
        <v>1530941.4</v>
      </c>
      <c r="EP152" s="1422">
        <v>8241615</v>
      </c>
      <c r="EQ152" s="1420">
        <v>560332.71</v>
      </c>
      <c r="ER152" s="1422">
        <v>677500</v>
      </c>
      <c r="ES152" s="1420">
        <v>17585.37</v>
      </c>
      <c r="ET152" s="1422">
        <v>0</v>
      </c>
      <c r="EU152" s="1420">
        <v>18497197.620000001</v>
      </c>
      <c r="EV152" s="1422">
        <v>26058757</v>
      </c>
      <c r="EW152" s="1420">
        <v>1668330.94</v>
      </c>
      <c r="EX152" s="1422">
        <v>8297115</v>
      </c>
      <c r="EY152" s="1420">
        <v>560332.71</v>
      </c>
      <c r="EZ152" s="1422">
        <v>677500</v>
      </c>
      <c r="FA152" s="1420">
        <v>16268533.970000001</v>
      </c>
      <c r="FB152" s="1422">
        <v>17084142</v>
      </c>
      <c r="FC152" s="1420">
        <v>391190.25</v>
      </c>
      <c r="FD152" s="1439"/>
      <c r="FE152" s="1420">
        <v>15877343.720000001</v>
      </c>
      <c r="FF152" s="1439"/>
      <c r="FG152" s="1422">
        <v>12218</v>
      </c>
      <c r="FH152" s="1439"/>
      <c r="FI152" s="1420">
        <v>110.04</v>
      </c>
      <c r="FJ152" s="1439"/>
      <c r="FK152" s="1422">
        <v>41886</v>
      </c>
      <c r="FL152" s="1439"/>
      <c r="FM152" s="1420">
        <v>119.9</v>
      </c>
      <c r="FN152" s="1439"/>
      <c r="FO152" s="1422">
        <v>43699</v>
      </c>
      <c r="FP152" s="1439"/>
      <c r="FQ152" s="1420">
        <v>3083674.06</v>
      </c>
      <c r="FR152" s="1439"/>
      <c r="FS152" s="1420">
        <v>980543.93</v>
      </c>
      <c r="FT152" s="1439"/>
      <c r="FU152" s="1422">
        <v>0</v>
      </c>
      <c r="FV152" s="1439"/>
      <c r="FW152" s="1420">
        <v>2103130.13</v>
      </c>
      <c r="FX152" s="1439"/>
      <c r="FY152" s="1420">
        <v>3414889.08</v>
      </c>
      <c r="FZ152" s="1439"/>
      <c r="GA152" s="1422">
        <v>0</v>
      </c>
      <c r="GB152" s="1439"/>
    </row>
    <row r="153" spans="1:184" ht="12.75" customHeight="1" thickBot="1">
      <c r="A153" s="1418" t="s">
        <v>356</v>
      </c>
      <c r="B153" s="1418" t="s">
        <v>357</v>
      </c>
      <c r="C153" s="1420">
        <v>232.21</v>
      </c>
      <c r="D153" s="1439"/>
      <c r="E153" s="1420">
        <v>589.58000000000004</v>
      </c>
      <c r="F153" s="1439"/>
      <c r="G153" s="1421">
        <v>-0.32</v>
      </c>
      <c r="H153" s="1439"/>
      <c r="I153" s="1420">
        <v>632.11</v>
      </c>
      <c r="J153" s="1439"/>
      <c r="K153" s="1420">
        <v>688.03</v>
      </c>
      <c r="L153" s="1439"/>
      <c r="M153" s="1422">
        <v>56271493</v>
      </c>
      <c r="N153" s="1439"/>
      <c r="O153" s="1422">
        <v>25</v>
      </c>
      <c r="P153" s="1439"/>
      <c r="Q153" s="1422">
        <v>25</v>
      </c>
      <c r="R153" s="1439"/>
      <c r="S153" s="1422">
        <v>0</v>
      </c>
      <c r="T153" s="1439"/>
      <c r="U153" s="1422">
        <v>0</v>
      </c>
      <c r="V153" s="1439"/>
      <c r="W153" s="1420">
        <v>10.9</v>
      </c>
      <c r="X153" s="1439"/>
      <c r="Y153" s="1420">
        <v>35.9</v>
      </c>
      <c r="Z153" s="1439"/>
      <c r="AA153" s="1422">
        <v>1670000</v>
      </c>
      <c r="AB153" s="1439"/>
      <c r="AC153" s="1420">
        <v>1994702.55</v>
      </c>
      <c r="AD153" s="1422">
        <v>1204000</v>
      </c>
      <c r="AE153" s="1420">
        <v>298541.95</v>
      </c>
      <c r="AF153" s="1422">
        <v>130000</v>
      </c>
      <c r="AG153" s="1422">
        <v>0</v>
      </c>
      <c r="AH153" s="1422">
        <v>0</v>
      </c>
      <c r="AI153" s="1422">
        <v>2695758</v>
      </c>
      <c r="AJ153" s="1422">
        <v>2491310</v>
      </c>
      <c r="AK153" s="1422">
        <v>63712</v>
      </c>
      <c r="AL153" s="1422">
        <v>0</v>
      </c>
      <c r="AM153" s="1422">
        <v>0</v>
      </c>
      <c r="AN153" s="1422">
        <v>0</v>
      </c>
      <c r="AO153" s="1422">
        <v>140637</v>
      </c>
      <c r="AP153" s="1422">
        <v>170865</v>
      </c>
      <c r="AQ153" s="1422">
        <v>0</v>
      </c>
      <c r="AR153" s="1422">
        <v>0</v>
      </c>
      <c r="AS153" s="1422">
        <v>0</v>
      </c>
      <c r="AT153" s="1422">
        <v>0</v>
      </c>
      <c r="AU153" s="1422">
        <v>32873</v>
      </c>
      <c r="AV153" s="1422">
        <v>26298</v>
      </c>
      <c r="AW153" s="1422">
        <v>0</v>
      </c>
      <c r="AX153" s="1422">
        <v>0</v>
      </c>
      <c r="AY153" s="1420">
        <v>5226224.5</v>
      </c>
      <c r="AZ153" s="1422">
        <v>4022473</v>
      </c>
      <c r="BA153" s="1422">
        <v>0</v>
      </c>
      <c r="BB153" s="1422">
        <v>0</v>
      </c>
      <c r="BC153" s="1422">
        <v>28457</v>
      </c>
      <c r="BD153" s="1422">
        <v>26802</v>
      </c>
      <c r="BE153" s="1420">
        <v>10909.83</v>
      </c>
      <c r="BF153" s="1422">
        <v>0</v>
      </c>
      <c r="BG153" s="1422">
        <v>50</v>
      </c>
      <c r="BH153" s="1422">
        <v>0</v>
      </c>
      <c r="BI153" s="1422">
        <v>34698</v>
      </c>
      <c r="BJ153" s="1422">
        <v>43564</v>
      </c>
      <c r="BK153" s="1422">
        <v>0</v>
      </c>
      <c r="BL153" s="1422">
        <v>0</v>
      </c>
      <c r="BM153" s="1422">
        <v>538656</v>
      </c>
      <c r="BN153" s="1422">
        <v>499928</v>
      </c>
      <c r="BO153" s="1420">
        <v>2818.62</v>
      </c>
      <c r="BP153" s="1422">
        <v>0</v>
      </c>
      <c r="BQ153" s="1422">
        <v>6500</v>
      </c>
      <c r="BR153" s="1422">
        <v>0</v>
      </c>
      <c r="BS153" s="1420">
        <v>3102.92</v>
      </c>
      <c r="BT153" s="1422">
        <v>0</v>
      </c>
      <c r="BU153" s="1422">
        <v>0</v>
      </c>
      <c r="BV153" s="1422">
        <v>0</v>
      </c>
      <c r="BW153" s="1422">
        <v>153879</v>
      </c>
      <c r="BX153" s="1422">
        <v>155520</v>
      </c>
      <c r="BY153" s="1422">
        <v>0</v>
      </c>
      <c r="BZ153" s="1422">
        <v>0</v>
      </c>
      <c r="CA153" s="1422">
        <v>25206</v>
      </c>
      <c r="CB153" s="1422">
        <v>21552</v>
      </c>
      <c r="CC153" s="1420">
        <v>804277.37</v>
      </c>
      <c r="CD153" s="1422">
        <v>747366</v>
      </c>
      <c r="CE153" s="1420">
        <v>1250787.3400000001</v>
      </c>
      <c r="CF153" s="1420">
        <v>1721355.73</v>
      </c>
      <c r="CG153" s="1420">
        <v>26569.88</v>
      </c>
      <c r="CH153" s="1422">
        <v>0</v>
      </c>
      <c r="CI153" s="1422">
        <v>0</v>
      </c>
      <c r="CJ153" s="1422">
        <v>0</v>
      </c>
      <c r="CK153" s="1422">
        <v>0</v>
      </c>
      <c r="CL153" s="1422">
        <v>0</v>
      </c>
      <c r="CM153" s="1422">
        <v>0</v>
      </c>
      <c r="CN153" s="1422">
        <v>0</v>
      </c>
      <c r="CO153" s="1422">
        <v>0</v>
      </c>
      <c r="CP153" s="1422">
        <v>0</v>
      </c>
      <c r="CQ153" s="1422">
        <v>0</v>
      </c>
      <c r="CR153" s="1422">
        <v>0</v>
      </c>
      <c r="CS153" s="1420">
        <v>26569.88</v>
      </c>
      <c r="CT153" s="1422">
        <v>0</v>
      </c>
      <c r="CU153" s="1420">
        <v>7307859.0899999999</v>
      </c>
      <c r="CV153" s="1420">
        <v>6491194.7300000004</v>
      </c>
      <c r="CW153" s="1420">
        <v>2857049.23</v>
      </c>
      <c r="CX153" s="1420">
        <v>1967640.25</v>
      </c>
      <c r="CY153" s="1420">
        <v>308825.95</v>
      </c>
      <c r="CZ153" s="1420">
        <v>324688.43</v>
      </c>
      <c r="DA153" s="1420">
        <v>219460.78</v>
      </c>
      <c r="DB153" s="1420">
        <v>163135.74</v>
      </c>
      <c r="DC153" s="1422">
        <v>0</v>
      </c>
      <c r="DD153" s="1422">
        <v>0</v>
      </c>
      <c r="DE153" s="1422">
        <v>330403</v>
      </c>
      <c r="DF153" s="1420">
        <v>463332.54</v>
      </c>
      <c r="DG153" s="1420">
        <v>383521.32</v>
      </c>
      <c r="DH153" s="1420">
        <v>380062.69</v>
      </c>
      <c r="DI153" s="1420">
        <v>4099260.28</v>
      </c>
      <c r="DJ153" s="1420">
        <v>3298859.65</v>
      </c>
      <c r="DK153" s="1420">
        <v>299798.13</v>
      </c>
      <c r="DL153" s="1420">
        <v>286793.65000000002</v>
      </c>
      <c r="DM153" s="1420">
        <v>265272.37</v>
      </c>
      <c r="DN153" s="1420">
        <v>158838.25</v>
      </c>
      <c r="DO153" s="1420">
        <v>853775.03</v>
      </c>
      <c r="DP153" s="1420">
        <v>488183.03999999998</v>
      </c>
      <c r="DQ153" s="1420">
        <v>193592.93</v>
      </c>
      <c r="DR153" s="1420">
        <v>177838.6</v>
      </c>
      <c r="DS153" s="1420">
        <v>16760.73</v>
      </c>
      <c r="DT153" s="1422">
        <v>0</v>
      </c>
      <c r="DU153" s="1420">
        <v>1629199.19</v>
      </c>
      <c r="DV153" s="1420">
        <v>1111653.54</v>
      </c>
      <c r="DW153" s="1420">
        <v>446062.87</v>
      </c>
      <c r="DX153" s="1420">
        <v>382609.78</v>
      </c>
      <c r="DY153" s="1420">
        <v>710512.35</v>
      </c>
      <c r="DZ153" s="1420">
        <v>716022.55</v>
      </c>
      <c r="EA153" s="1420">
        <v>308242.58</v>
      </c>
      <c r="EB153" s="1420">
        <v>267629.59999999998</v>
      </c>
      <c r="EC153" s="1420">
        <v>1464817.8</v>
      </c>
      <c r="ED153" s="1420">
        <v>1366261.93</v>
      </c>
      <c r="EE153" s="1420">
        <v>557448.46</v>
      </c>
      <c r="EF153" s="1420">
        <v>560524.34</v>
      </c>
      <c r="EG153" s="1422">
        <v>0</v>
      </c>
      <c r="EH153" s="1422">
        <v>0</v>
      </c>
      <c r="EI153" s="1420">
        <v>348.53</v>
      </c>
      <c r="EJ153" s="1422">
        <v>10000</v>
      </c>
      <c r="EK153" s="1422">
        <v>0</v>
      </c>
      <c r="EL153" s="1422">
        <v>0</v>
      </c>
      <c r="EM153" s="1420">
        <v>557796.99</v>
      </c>
      <c r="EN153" s="1420">
        <v>570524.34</v>
      </c>
      <c r="EO153" s="1420">
        <v>31897.81</v>
      </c>
      <c r="EP153" s="1422">
        <v>0</v>
      </c>
      <c r="EQ153" s="1420">
        <v>140862.5</v>
      </c>
      <c r="ER153" s="1422">
        <v>143243</v>
      </c>
      <c r="ES153" s="1420">
        <v>35628.379999999997</v>
      </c>
      <c r="ET153" s="1422">
        <v>0</v>
      </c>
      <c r="EU153" s="1420">
        <v>7959462.9500000002</v>
      </c>
      <c r="EV153" s="1420">
        <v>6490542.46</v>
      </c>
      <c r="EW153" s="1420">
        <v>53299.06</v>
      </c>
      <c r="EX153" s="1422">
        <v>0</v>
      </c>
      <c r="EY153" s="1420">
        <v>140862.5</v>
      </c>
      <c r="EZ153" s="1422">
        <v>143243</v>
      </c>
      <c r="FA153" s="1420">
        <v>7765301.3899999997</v>
      </c>
      <c r="FB153" s="1420">
        <v>6347299.46</v>
      </c>
      <c r="FC153" s="1420">
        <v>364712.02</v>
      </c>
      <c r="FD153" s="1439"/>
      <c r="FE153" s="1420">
        <v>7400589.3700000001</v>
      </c>
      <c r="FF153" s="1439"/>
      <c r="FG153" s="1422">
        <v>12552</v>
      </c>
      <c r="FH153" s="1439"/>
      <c r="FI153" s="1420">
        <v>62.52</v>
      </c>
      <c r="FJ153" s="1439"/>
      <c r="FK153" s="1422">
        <v>42312</v>
      </c>
      <c r="FL153" s="1439"/>
      <c r="FM153" s="1420">
        <v>69.09</v>
      </c>
      <c r="FN153" s="1439"/>
      <c r="FO153" s="1422">
        <v>44131</v>
      </c>
      <c r="FP153" s="1439"/>
      <c r="FQ153" s="1420">
        <v>465955.01</v>
      </c>
      <c r="FR153" s="1439"/>
      <c r="FS153" s="1420">
        <v>34329.17</v>
      </c>
      <c r="FT153" s="1439"/>
      <c r="FU153" s="1422">
        <v>0</v>
      </c>
      <c r="FV153" s="1439"/>
      <c r="FW153" s="1420">
        <v>431625.84</v>
      </c>
      <c r="FX153" s="1439"/>
      <c r="FY153" s="1420">
        <v>12906.89</v>
      </c>
      <c r="FZ153" s="1439"/>
      <c r="GA153" s="1422">
        <v>0</v>
      </c>
      <c r="GB153" s="1439"/>
    </row>
    <row r="154" spans="1:184" ht="12.75" customHeight="1" thickBot="1">
      <c r="A154" s="1418" t="s">
        <v>358</v>
      </c>
      <c r="B154" s="1418" t="s">
        <v>359</v>
      </c>
      <c r="C154" s="1420">
        <v>403.45</v>
      </c>
      <c r="D154" s="1439"/>
      <c r="E154" s="1420">
        <v>515.26</v>
      </c>
      <c r="F154" s="1439"/>
      <c r="G154" s="1421">
        <v>-0.24</v>
      </c>
      <c r="H154" s="1439"/>
      <c r="I154" s="1420">
        <v>540.15</v>
      </c>
      <c r="J154" s="1439"/>
      <c r="K154" s="1420">
        <v>533.37</v>
      </c>
      <c r="L154" s="1439"/>
      <c r="M154" s="1422">
        <v>46479871</v>
      </c>
      <c r="N154" s="1439"/>
      <c r="O154" s="1422">
        <v>25</v>
      </c>
      <c r="P154" s="1439"/>
      <c r="Q154" s="1422">
        <v>25</v>
      </c>
      <c r="R154" s="1439"/>
      <c r="S154" s="1422">
        <v>0</v>
      </c>
      <c r="T154" s="1439"/>
      <c r="U154" s="1422">
        <v>0</v>
      </c>
      <c r="V154" s="1439"/>
      <c r="W154" s="1420">
        <v>10.9</v>
      </c>
      <c r="X154" s="1439"/>
      <c r="Y154" s="1420">
        <v>35.9</v>
      </c>
      <c r="Z154" s="1439"/>
      <c r="AA154" s="1420">
        <v>1597544.63</v>
      </c>
      <c r="AB154" s="1439"/>
      <c r="AC154" s="1420">
        <v>1352967.93</v>
      </c>
      <c r="AD154" s="1422">
        <v>1135000</v>
      </c>
      <c r="AE154" s="1420">
        <v>212531.59</v>
      </c>
      <c r="AF154" s="1422">
        <v>37800</v>
      </c>
      <c r="AG154" s="1422">
        <v>6000</v>
      </c>
      <c r="AH154" s="1422">
        <v>6000</v>
      </c>
      <c r="AI154" s="1422">
        <v>1965045</v>
      </c>
      <c r="AJ154" s="1422">
        <v>2092915</v>
      </c>
      <c r="AK154" s="1422">
        <v>69249</v>
      </c>
      <c r="AL154" s="1422">
        <v>0</v>
      </c>
      <c r="AM154" s="1422">
        <v>0</v>
      </c>
      <c r="AN154" s="1422">
        <v>0</v>
      </c>
      <c r="AO154" s="1422">
        <v>203096</v>
      </c>
      <c r="AP154" s="1422">
        <v>0</v>
      </c>
      <c r="AQ154" s="1422">
        <v>0</v>
      </c>
      <c r="AR154" s="1422">
        <v>0</v>
      </c>
      <c r="AS154" s="1422">
        <v>0</v>
      </c>
      <c r="AT154" s="1422">
        <v>0</v>
      </c>
      <c r="AU154" s="1422">
        <v>4823</v>
      </c>
      <c r="AV154" s="1422">
        <v>3858</v>
      </c>
      <c r="AW154" s="1422">
        <v>0</v>
      </c>
      <c r="AX154" s="1422">
        <v>0</v>
      </c>
      <c r="AY154" s="1420">
        <v>3813712.52</v>
      </c>
      <c r="AZ154" s="1422">
        <v>3275573</v>
      </c>
      <c r="BA154" s="1422">
        <v>0</v>
      </c>
      <c r="BB154" s="1422">
        <v>0</v>
      </c>
      <c r="BC154" s="1422">
        <v>22060</v>
      </c>
      <c r="BD154" s="1422">
        <v>22789</v>
      </c>
      <c r="BE154" s="1420">
        <v>164469.89000000001</v>
      </c>
      <c r="BF154" s="1422">
        <v>5200</v>
      </c>
      <c r="BG154" s="1422">
        <v>1850</v>
      </c>
      <c r="BH154" s="1422">
        <v>0</v>
      </c>
      <c r="BI154" s="1422">
        <v>17308</v>
      </c>
      <c r="BJ154" s="1422">
        <v>15500</v>
      </c>
      <c r="BK154" s="1422">
        <v>5860</v>
      </c>
      <c r="BL154" s="1422">
        <v>5860</v>
      </c>
      <c r="BM154" s="1422">
        <v>430528</v>
      </c>
      <c r="BN154" s="1422">
        <v>482724</v>
      </c>
      <c r="BO154" s="1420">
        <v>3295.01</v>
      </c>
      <c r="BP154" s="1422">
        <v>0</v>
      </c>
      <c r="BQ154" s="1420">
        <v>32500.32</v>
      </c>
      <c r="BR154" s="1422">
        <v>17875</v>
      </c>
      <c r="BS154" s="1420">
        <v>2218.92</v>
      </c>
      <c r="BT154" s="1422">
        <v>2200</v>
      </c>
      <c r="BU154" s="1422">
        <v>0</v>
      </c>
      <c r="BV154" s="1422">
        <v>0</v>
      </c>
      <c r="BW154" s="1422">
        <v>116640</v>
      </c>
      <c r="BX154" s="1422">
        <v>116640</v>
      </c>
      <c r="BY154" s="1422">
        <v>0</v>
      </c>
      <c r="BZ154" s="1422">
        <v>0</v>
      </c>
      <c r="CA154" s="1422">
        <v>14137</v>
      </c>
      <c r="CB154" s="1422">
        <v>77132</v>
      </c>
      <c r="CC154" s="1420">
        <v>810867.14</v>
      </c>
      <c r="CD154" s="1422">
        <v>745920</v>
      </c>
      <c r="CE154" s="1420">
        <v>1120765.18</v>
      </c>
      <c r="CF154" s="1422">
        <v>1626383</v>
      </c>
      <c r="CG154" s="1422">
        <v>0</v>
      </c>
      <c r="CH154" s="1422">
        <v>0</v>
      </c>
      <c r="CI154" s="1422">
        <v>0</v>
      </c>
      <c r="CJ154" s="1422">
        <v>0</v>
      </c>
      <c r="CK154" s="1422">
        <v>0</v>
      </c>
      <c r="CL154" s="1422">
        <v>0</v>
      </c>
      <c r="CM154" s="1422">
        <v>0</v>
      </c>
      <c r="CN154" s="1422">
        <v>0</v>
      </c>
      <c r="CO154" s="1422">
        <v>0</v>
      </c>
      <c r="CP154" s="1422">
        <v>0</v>
      </c>
      <c r="CQ154" s="1422">
        <v>0</v>
      </c>
      <c r="CR154" s="1422">
        <v>0</v>
      </c>
      <c r="CS154" s="1422">
        <v>0</v>
      </c>
      <c r="CT154" s="1422">
        <v>0</v>
      </c>
      <c r="CU154" s="1420">
        <v>5745344.8399999999</v>
      </c>
      <c r="CV154" s="1422">
        <v>5647876</v>
      </c>
      <c r="CW154" s="1420">
        <v>2576290.59</v>
      </c>
      <c r="CX154" s="1422">
        <v>1966510</v>
      </c>
      <c r="CY154" s="1420">
        <v>240117.05</v>
      </c>
      <c r="CZ154" s="1422">
        <v>185121</v>
      </c>
      <c r="DA154" s="1420">
        <v>159112.04</v>
      </c>
      <c r="DB154" s="1422">
        <v>150010</v>
      </c>
      <c r="DC154" s="1422">
        <v>0</v>
      </c>
      <c r="DD154" s="1422">
        <v>0</v>
      </c>
      <c r="DE154" s="1422">
        <v>166274</v>
      </c>
      <c r="DF154" s="1422">
        <v>187027</v>
      </c>
      <c r="DG154" s="1420">
        <v>113419.16</v>
      </c>
      <c r="DH154" s="1422">
        <v>65430</v>
      </c>
      <c r="DI154" s="1420">
        <v>3255212.84</v>
      </c>
      <c r="DJ154" s="1422">
        <v>2554098</v>
      </c>
      <c r="DK154" s="1420">
        <v>315860.7</v>
      </c>
      <c r="DL154" s="1422">
        <v>310373</v>
      </c>
      <c r="DM154" s="1420">
        <v>80948.259999999995</v>
      </c>
      <c r="DN154" s="1422">
        <v>97498</v>
      </c>
      <c r="DO154" s="1420">
        <v>541785.12</v>
      </c>
      <c r="DP154" s="1422">
        <v>561995</v>
      </c>
      <c r="DQ154" s="1420">
        <v>121202.77</v>
      </c>
      <c r="DR154" s="1422">
        <v>136180</v>
      </c>
      <c r="DS154" s="1420">
        <v>10406.379999999999</v>
      </c>
      <c r="DT154" s="1422">
        <v>13815</v>
      </c>
      <c r="DU154" s="1420">
        <v>1070203.23</v>
      </c>
      <c r="DV154" s="1422">
        <v>1119861</v>
      </c>
      <c r="DW154" s="1420">
        <v>217741.58</v>
      </c>
      <c r="DX154" s="1422">
        <v>229324</v>
      </c>
      <c r="DY154" s="1420">
        <v>758652.18</v>
      </c>
      <c r="DZ154" s="1422">
        <v>701357</v>
      </c>
      <c r="EA154" s="1420">
        <v>233043.49</v>
      </c>
      <c r="EB154" s="1422">
        <v>230500</v>
      </c>
      <c r="EC154" s="1420">
        <v>1209437.25</v>
      </c>
      <c r="ED154" s="1422">
        <v>1161181</v>
      </c>
      <c r="EE154" s="1420">
        <v>317565.7</v>
      </c>
      <c r="EF154" s="1422">
        <v>285756</v>
      </c>
      <c r="EG154" s="1420">
        <v>10321.25</v>
      </c>
      <c r="EH154" s="1422">
        <v>0</v>
      </c>
      <c r="EI154" s="1422">
        <v>0</v>
      </c>
      <c r="EJ154" s="1422">
        <v>400</v>
      </c>
      <c r="EK154" s="1422">
        <v>0</v>
      </c>
      <c r="EL154" s="1422">
        <v>0</v>
      </c>
      <c r="EM154" s="1420">
        <v>327886.95</v>
      </c>
      <c r="EN154" s="1422">
        <v>286156</v>
      </c>
      <c r="EO154" s="1422">
        <v>0</v>
      </c>
      <c r="EP154" s="1422">
        <v>766614</v>
      </c>
      <c r="EQ154" s="1420">
        <v>139285.5</v>
      </c>
      <c r="ER154" s="1422">
        <v>138595</v>
      </c>
      <c r="ES154" s="1422">
        <v>0</v>
      </c>
      <c r="ET154" s="1422">
        <v>0</v>
      </c>
      <c r="EU154" s="1420">
        <v>6002025.7699999996</v>
      </c>
      <c r="EV154" s="1422">
        <v>6026505</v>
      </c>
      <c r="EW154" s="1420">
        <v>30821.19</v>
      </c>
      <c r="EX154" s="1422">
        <v>803310</v>
      </c>
      <c r="EY154" s="1420">
        <v>139285.5</v>
      </c>
      <c r="EZ154" s="1422">
        <v>138595</v>
      </c>
      <c r="FA154" s="1420">
        <v>5831919.0800000001</v>
      </c>
      <c r="FB154" s="1422">
        <v>5084600</v>
      </c>
      <c r="FC154" s="1420">
        <v>315857.63</v>
      </c>
      <c r="FD154" s="1439"/>
      <c r="FE154" s="1420">
        <v>5516061.4500000002</v>
      </c>
      <c r="FF154" s="1439"/>
      <c r="FG154" s="1422">
        <v>10705</v>
      </c>
      <c r="FH154" s="1439"/>
      <c r="FI154" s="1420">
        <v>47.62</v>
      </c>
      <c r="FJ154" s="1439"/>
      <c r="FK154" s="1422">
        <v>42303</v>
      </c>
      <c r="FL154" s="1439"/>
      <c r="FM154" s="1420">
        <v>53.81</v>
      </c>
      <c r="FN154" s="1439"/>
      <c r="FO154" s="1422">
        <v>43849</v>
      </c>
      <c r="FP154" s="1439"/>
      <c r="FQ154" s="1420">
        <v>1688527.36</v>
      </c>
      <c r="FR154" s="1439"/>
      <c r="FS154" s="1420">
        <v>19468.11</v>
      </c>
      <c r="FT154" s="1439"/>
      <c r="FU154" s="1422">
        <v>0</v>
      </c>
      <c r="FV154" s="1439"/>
      <c r="FW154" s="1420">
        <v>1669059.25</v>
      </c>
      <c r="FX154" s="1439"/>
      <c r="FY154" s="1420">
        <v>528661.03</v>
      </c>
      <c r="FZ154" s="1439"/>
      <c r="GA154" s="1422">
        <v>0</v>
      </c>
      <c r="GB154" s="1439"/>
    </row>
    <row r="155" spans="1:184" ht="12.75" customHeight="1" thickBot="1">
      <c r="A155" s="1418" t="s">
        <v>360</v>
      </c>
      <c r="B155" s="1418" t="s">
        <v>361</v>
      </c>
      <c r="C155" s="1420">
        <v>320.97000000000003</v>
      </c>
      <c r="D155" s="1439"/>
      <c r="E155" s="1420">
        <v>536.45000000000005</v>
      </c>
      <c r="F155" s="1439"/>
      <c r="G155" s="1421">
        <v>-0.02</v>
      </c>
      <c r="H155" s="1439"/>
      <c r="I155" s="1420">
        <v>572.23</v>
      </c>
      <c r="J155" s="1439"/>
      <c r="K155" s="1420">
        <v>549.94000000000005</v>
      </c>
      <c r="L155" s="1439"/>
      <c r="M155" s="1422">
        <v>30651069</v>
      </c>
      <c r="N155" s="1439"/>
      <c r="O155" s="1422">
        <v>25</v>
      </c>
      <c r="P155" s="1439"/>
      <c r="Q155" s="1422">
        <v>25</v>
      </c>
      <c r="R155" s="1439"/>
      <c r="S155" s="1422">
        <v>0</v>
      </c>
      <c r="T155" s="1439"/>
      <c r="U155" s="1422">
        <v>0</v>
      </c>
      <c r="V155" s="1439"/>
      <c r="W155" s="1420">
        <v>8.6999999999999993</v>
      </c>
      <c r="X155" s="1439"/>
      <c r="Y155" s="1420">
        <v>33.700000000000003</v>
      </c>
      <c r="Z155" s="1439"/>
      <c r="AA155" s="1420">
        <v>2432779.0099999998</v>
      </c>
      <c r="AB155" s="1439"/>
      <c r="AC155" s="1420">
        <v>951092.04</v>
      </c>
      <c r="AD155" s="1422">
        <v>775000</v>
      </c>
      <c r="AE155" s="1420">
        <v>182833.89</v>
      </c>
      <c r="AF155" s="1422">
        <v>87500</v>
      </c>
      <c r="AG155" s="1420">
        <v>267.11</v>
      </c>
      <c r="AH155" s="1422">
        <v>0</v>
      </c>
      <c r="AI155" s="1422">
        <v>2294538</v>
      </c>
      <c r="AJ155" s="1422">
        <v>2462314</v>
      </c>
      <c r="AK155" s="1422">
        <v>31844</v>
      </c>
      <c r="AL155" s="1422">
        <v>0</v>
      </c>
      <c r="AM155" s="1422">
        <v>132401</v>
      </c>
      <c r="AN155" s="1422">
        <v>0</v>
      </c>
      <c r="AO155" s="1422">
        <v>0</v>
      </c>
      <c r="AP155" s="1422">
        <v>0</v>
      </c>
      <c r="AQ155" s="1422">
        <v>0</v>
      </c>
      <c r="AR155" s="1422">
        <v>0</v>
      </c>
      <c r="AS155" s="1422">
        <v>0</v>
      </c>
      <c r="AT155" s="1422">
        <v>0</v>
      </c>
      <c r="AU155" s="1422">
        <v>43193</v>
      </c>
      <c r="AV155" s="1422">
        <v>34555</v>
      </c>
      <c r="AW155" s="1422">
        <v>0</v>
      </c>
      <c r="AX155" s="1422">
        <v>0</v>
      </c>
      <c r="AY155" s="1420">
        <v>3636169.04</v>
      </c>
      <c r="AZ155" s="1422">
        <v>3359369</v>
      </c>
      <c r="BA155" s="1422">
        <v>0</v>
      </c>
      <c r="BB155" s="1422">
        <v>0</v>
      </c>
      <c r="BC155" s="1422">
        <v>22746</v>
      </c>
      <c r="BD155" s="1422">
        <v>24111</v>
      </c>
      <c r="BE155" s="1420">
        <v>112670.75</v>
      </c>
      <c r="BF155" s="1422">
        <v>183400</v>
      </c>
      <c r="BG155" s="1422">
        <v>50</v>
      </c>
      <c r="BH155" s="1422">
        <v>0</v>
      </c>
      <c r="BI155" s="1422">
        <v>32707</v>
      </c>
      <c r="BJ155" s="1422">
        <v>61470</v>
      </c>
      <c r="BK155" s="1422">
        <v>586</v>
      </c>
      <c r="BL155" s="1422">
        <v>598</v>
      </c>
      <c r="BM155" s="1422">
        <v>423584</v>
      </c>
      <c r="BN155" s="1422">
        <v>462484</v>
      </c>
      <c r="BO155" s="1420">
        <v>3288.9</v>
      </c>
      <c r="BP155" s="1422">
        <v>0</v>
      </c>
      <c r="BQ155" s="1422">
        <v>0</v>
      </c>
      <c r="BR155" s="1422">
        <v>0</v>
      </c>
      <c r="BS155" s="1420">
        <v>2419.21</v>
      </c>
      <c r="BT155" s="1422">
        <v>3500</v>
      </c>
      <c r="BU155" s="1422">
        <v>0</v>
      </c>
      <c r="BV155" s="1422">
        <v>0</v>
      </c>
      <c r="BW155" s="1422">
        <v>0</v>
      </c>
      <c r="BX155" s="1422">
        <v>0</v>
      </c>
      <c r="BY155" s="1422">
        <v>0</v>
      </c>
      <c r="BZ155" s="1422">
        <v>0</v>
      </c>
      <c r="CA155" s="1422">
        <v>20582</v>
      </c>
      <c r="CB155" s="1422">
        <v>20004</v>
      </c>
      <c r="CC155" s="1420">
        <v>618633.86</v>
      </c>
      <c r="CD155" s="1422">
        <v>755567</v>
      </c>
      <c r="CE155" s="1420">
        <v>1706382.29</v>
      </c>
      <c r="CF155" s="1420">
        <v>1281833.74</v>
      </c>
      <c r="CG155" s="1422">
        <v>0</v>
      </c>
      <c r="CH155" s="1422">
        <v>0</v>
      </c>
      <c r="CI155" s="1422">
        <v>0</v>
      </c>
      <c r="CJ155" s="1422">
        <v>0</v>
      </c>
      <c r="CK155" s="1422">
        <v>0</v>
      </c>
      <c r="CL155" s="1422">
        <v>0</v>
      </c>
      <c r="CM155" s="1422">
        <v>13400</v>
      </c>
      <c r="CN155" s="1422">
        <v>0</v>
      </c>
      <c r="CO155" s="1420">
        <v>25219.42</v>
      </c>
      <c r="CP155" s="1422">
        <v>0</v>
      </c>
      <c r="CQ155" s="1422">
        <v>0</v>
      </c>
      <c r="CR155" s="1422">
        <v>0</v>
      </c>
      <c r="CS155" s="1420">
        <v>38619.42</v>
      </c>
      <c r="CT155" s="1422">
        <v>0</v>
      </c>
      <c r="CU155" s="1420">
        <v>5999804.6100000003</v>
      </c>
      <c r="CV155" s="1420">
        <v>5396769.7400000002</v>
      </c>
      <c r="CW155" s="1420">
        <v>1968985.89</v>
      </c>
      <c r="CX155" s="1420">
        <v>1867095.08</v>
      </c>
      <c r="CY155" s="1420">
        <v>399166.71</v>
      </c>
      <c r="CZ155" s="1420">
        <v>397867.02</v>
      </c>
      <c r="DA155" s="1420">
        <v>140171.89000000001</v>
      </c>
      <c r="DB155" s="1420">
        <v>156632.66</v>
      </c>
      <c r="DC155" s="1422">
        <v>0</v>
      </c>
      <c r="DD155" s="1422">
        <v>0</v>
      </c>
      <c r="DE155" s="1420">
        <v>397156.71</v>
      </c>
      <c r="DF155" s="1420">
        <v>359220.6</v>
      </c>
      <c r="DG155" s="1420">
        <v>88709.63</v>
      </c>
      <c r="DH155" s="1420">
        <v>100142.23</v>
      </c>
      <c r="DI155" s="1420">
        <v>2994190.83</v>
      </c>
      <c r="DJ155" s="1420">
        <v>2880957.59</v>
      </c>
      <c r="DK155" s="1420">
        <v>163994.03</v>
      </c>
      <c r="DL155" s="1420">
        <v>148892.76</v>
      </c>
      <c r="DM155" s="1420">
        <v>79104.009999999995</v>
      </c>
      <c r="DN155" s="1420">
        <v>92867.14</v>
      </c>
      <c r="DO155" s="1420">
        <v>560548.56999999995</v>
      </c>
      <c r="DP155" s="1420">
        <v>609658.31000000006</v>
      </c>
      <c r="DQ155" s="1420">
        <v>348896.07</v>
      </c>
      <c r="DR155" s="1420">
        <v>312214.42</v>
      </c>
      <c r="DS155" s="1420">
        <v>14556.24</v>
      </c>
      <c r="DT155" s="1420">
        <v>8649.5</v>
      </c>
      <c r="DU155" s="1420">
        <v>1167098.92</v>
      </c>
      <c r="DV155" s="1420">
        <v>1172282.1299999999</v>
      </c>
      <c r="DW155" s="1420">
        <v>246006.5</v>
      </c>
      <c r="DX155" s="1420">
        <v>254861.18</v>
      </c>
      <c r="DY155" s="1420">
        <v>451929.66</v>
      </c>
      <c r="DZ155" s="1420">
        <v>414870.68</v>
      </c>
      <c r="EA155" s="1420">
        <v>185099.81</v>
      </c>
      <c r="EB155" s="1420">
        <v>206484.78</v>
      </c>
      <c r="EC155" s="1420">
        <v>883035.97</v>
      </c>
      <c r="ED155" s="1420">
        <v>876216.64</v>
      </c>
      <c r="EE155" s="1420">
        <v>348292.78</v>
      </c>
      <c r="EF155" s="1420">
        <v>380267.33</v>
      </c>
      <c r="EG155" s="1420">
        <v>7286.03</v>
      </c>
      <c r="EH155" s="1422">
        <v>0</v>
      </c>
      <c r="EI155" s="1420">
        <v>845.12</v>
      </c>
      <c r="EJ155" s="1420">
        <v>3560.95</v>
      </c>
      <c r="EK155" s="1422">
        <v>0</v>
      </c>
      <c r="EL155" s="1422">
        <v>0</v>
      </c>
      <c r="EM155" s="1420">
        <v>356423.93</v>
      </c>
      <c r="EN155" s="1420">
        <v>383828.28</v>
      </c>
      <c r="EO155" s="1422">
        <v>133200</v>
      </c>
      <c r="EP155" s="1422">
        <v>0</v>
      </c>
      <c r="EQ155" s="1420">
        <v>309592.59000000003</v>
      </c>
      <c r="ER155" s="1420">
        <v>251025.88</v>
      </c>
      <c r="ES155" s="1422">
        <v>13777</v>
      </c>
      <c r="ET155" s="1422">
        <v>0</v>
      </c>
      <c r="EU155" s="1420">
        <v>5857319.2400000002</v>
      </c>
      <c r="EV155" s="1420">
        <v>5564310.5199999996</v>
      </c>
      <c r="EW155" s="1420">
        <v>192607.88</v>
      </c>
      <c r="EX155" s="1422">
        <v>17000</v>
      </c>
      <c r="EY155" s="1420">
        <v>309592.59000000003</v>
      </c>
      <c r="EZ155" s="1420">
        <v>251025.88</v>
      </c>
      <c r="FA155" s="1420">
        <v>5355118.7699999996</v>
      </c>
      <c r="FB155" s="1420">
        <v>5296284.6399999997</v>
      </c>
      <c r="FC155" s="1420">
        <v>153578.04999999999</v>
      </c>
      <c r="FD155" s="1439"/>
      <c r="FE155" s="1420">
        <v>5201540.72</v>
      </c>
      <c r="FF155" s="1439"/>
      <c r="FG155" s="1422">
        <v>9696</v>
      </c>
      <c r="FH155" s="1439"/>
      <c r="FI155" s="1420">
        <v>45.92</v>
      </c>
      <c r="FJ155" s="1439"/>
      <c r="FK155" s="1422">
        <v>38777</v>
      </c>
      <c r="FL155" s="1439"/>
      <c r="FM155" s="1420">
        <v>49.08</v>
      </c>
      <c r="FN155" s="1439"/>
      <c r="FO155" s="1422">
        <v>40820</v>
      </c>
      <c r="FP155" s="1439"/>
      <c r="FQ155" s="1420">
        <v>1454726.03</v>
      </c>
      <c r="FR155" s="1439"/>
      <c r="FS155" s="1420">
        <v>12500.82</v>
      </c>
      <c r="FT155" s="1439"/>
      <c r="FU155" s="1422">
        <v>0</v>
      </c>
      <c r="FV155" s="1439"/>
      <c r="FW155" s="1420">
        <v>1442225.21</v>
      </c>
      <c r="FX155" s="1439"/>
      <c r="FY155" s="1422">
        <v>0</v>
      </c>
      <c r="FZ155" s="1439"/>
      <c r="GA155" s="1422">
        <v>0</v>
      </c>
      <c r="GB155" s="1439"/>
    </row>
    <row r="156" spans="1:184" ht="12.75" customHeight="1" thickBot="1">
      <c r="A156" s="1418" t="s">
        <v>362</v>
      </c>
      <c r="B156" s="1418" t="s">
        <v>363</v>
      </c>
      <c r="C156" s="1420">
        <v>315.93</v>
      </c>
      <c r="D156" s="1439"/>
      <c r="E156" s="1420">
        <v>473.14</v>
      </c>
      <c r="F156" s="1439"/>
      <c r="G156" s="1421">
        <v>-0.16</v>
      </c>
      <c r="H156" s="1439"/>
      <c r="I156" s="1420">
        <v>501.95</v>
      </c>
      <c r="J156" s="1439"/>
      <c r="K156" s="1420">
        <v>534.77</v>
      </c>
      <c r="L156" s="1439"/>
      <c r="M156" s="1422">
        <v>64148827</v>
      </c>
      <c r="N156" s="1439"/>
      <c r="O156" s="1422">
        <v>25</v>
      </c>
      <c r="P156" s="1439"/>
      <c r="Q156" s="1422">
        <v>25</v>
      </c>
      <c r="R156" s="1439"/>
      <c r="S156" s="1422">
        <v>0</v>
      </c>
      <c r="T156" s="1439"/>
      <c r="U156" s="1422">
        <v>0</v>
      </c>
      <c r="V156" s="1439"/>
      <c r="W156" s="1422">
        <v>9</v>
      </c>
      <c r="X156" s="1439"/>
      <c r="Y156" s="1422">
        <v>34</v>
      </c>
      <c r="Z156" s="1439"/>
      <c r="AA156" s="1420">
        <v>4157776.17</v>
      </c>
      <c r="AB156" s="1439"/>
      <c r="AC156" s="1420">
        <v>1961518.1</v>
      </c>
      <c r="AD156" s="1420">
        <v>1909028.24</v>
      </c>
      <c r="AE156" s="1420">
        <v>301204.68</v>
      </c>
      <c r="AF156" s="1422">
        <v>131800</v>
      </c>
      <c r="AG156" s="1420">
        <v>274.56</v>
      </c>
      <c r="AH156" s="1422">
        <v>300</v>
      </c>
      <c r="AI156" s="1422">
        <v>1362118</v>
      </c>
      <c r="AJ156" s="1422">
        <v>1141996</v>
      </c>
      <c r="AK156" s="1422">
        <v>62478</v>
      </c>
      <c r="AL156" s="1422">
        <v>60000</v>
      </c>
      <c r="AM156" s="1422">
        <v>0</v>
      </c>
      <c r="AN156" s="1422">
        <v>0</v>
      </c>
      <c r="AO156" s="1422">
        <v>88026</v>
      </c>
      <c r="AP156" s="1422">
        <v>94556</v>
      </c>
      <c r="AQ156" s="1422">
        <v>0</v>
      </c>
      <c r="AR156" s="1422">
        <v>0</v>
      </c>
      <c r="AS156" s="1422">
        <v>0</v>
      </c>
      <c r="AT156" s="1422">
        <v>0</v>
      </c>
      <c r="AU156" s="1422">
        <v>0</v>
      </c>
      <c r="AV156" s="1422">
        <v>0</v>
      </c>
      <c r="AW156" s="1422">
        <v>0</v>
      </c>
      <c r="AX156" s="1422">
        <v>0</v>
      </c>
      <c r="AY156" s="1420">
        <v>3775619.34</v>
      </c>
      <c r="AZ156" s="1420">
        <v>3337680.24</v>
      </c>
      <c r="BA156" s="1422">
        <v>0</v>
      </c>
      <c r="BB156" s="1422">
        <v>0</v>
      </c>
      <c r="BC156" s="1422">
        <v>22118</v>
      </c>
      <c r="BD156" s="1420">
        <v>21359.1</v>
      </c>
      <c r="BE156" s="1420">
        <v>3728.71</v>
      </c>
      <c r="BF156" s="1422">
        <v>0</v>
      </c>
      <c r="BG156" s="1422">
        <v>0</v>
      </c>
      <c r="BH156" s="1422">
        <v>0</v>
      </c>
      <c r="BI156" s="1422">
        <v>17877</v>
      </c>
      <c r="BJ156" s="1420">
        <v>10901.32</v>
      </c>
      <c r="BK156" s="1422">
        <v>0</v>
      </c>
      <c r="BL156" s="1422">
        <v>0</v>
      </c>
      <c r="BM156" s="1422">
        <v>167152</v>
      </c>
      <c r="BN156" s="1422">
        <v>156354</v>
      </c>
      <c r="BO156" s="1420">
        <v>124030.36</v>
      </c>
      <c r="BP156" s="1422">
        <v>0</v>
      </c>
      <c r="BQ156" s="1422">
        <v>0</v>
      </c>
      <c r="BR156" s="1422">
        <v>0</v>
      </c>
      <c r="BS156" s="1420">
        <v>1998.57</v>
      </c>
      <c r="BT156" s="1422">
        <v>2100</v>
      </c>
      <c r="BU156" s="1422">
        <v>0</v>
      </c>
      <c r="BV156" s="1422">
        <v>0</v>
      </c>
      <c r="BW156" s="1422">
        <v>0</v>
      </c>
      <c r="BX156" s="1422">
        <v>0</v>
      </c>
      <c r="BY156" s="1422">
        <v>0</v>
      </c>
      <c r="BZ156" s="1422">
        <v>0</v>
      </c>
      <c r="CA156" s="1422">
        <v>2303</v>
      </c>
      <c r="CB156" s="1422">
        <v>1842</v>
      </c>
      <c r="CC156" s="1420">
        <v>339207.64</v>
      </c>
      <c r="CD156" s="1420">
        <v>192556.42</v>
      </c>
      <c r="CE156" s="1420">
        <v>1332532.83</v>
      </c>
      <c r="CF156" s="1420">
        <v>1264554.1100000001</v>
      </c>
      <c r="CG156" s="1422">
        <v>0</v>
      </c>
      <c r="CH156" s="1422">
        <v>0</v>
      </c>
      <c r="CI156" s="1422">
        <v>0</v>
      </c>
      <c r="CJ156" s="1422">
        <v>0</v>
      </c>
      <c r="CK156" s="1422">
        <v>0</v>
      </c>
      <c r="CL156" s="1422">
        <v>0</v>
      </c>
      <c r="CM156" s="1422">
        <v>0</v>
      </c>
      <c r="CN156" s="1422">
        <v>0</v>
      </c>
      <c r="CO156" s="1422">
        <v>0</v>
      </c>
      <c r="CP156" s="1422">
        <v>0</v>
      </c>
      <c r="CQ156" s="1422">
        <v>0</v>
      </c>
      <c r="CR156" s="1422">
        <v>0</v>
      </c>
      <c r="CS156" s="1422">
        <v>0</v>
      </c>
      <c r="CT156" s="1422">
        <v>0</v>
      </c>
      <c r="CU156" s="1420">
        <v>5447359.8099999996</v>
      </c>
      <c r="CV156" s="1420">
        <v>4794790.7699999996</v>
      </c>
      <c r="CW156" s="1420">
        <v>1850333.9</v>
      </c>
      <c r="CX156" s="1420">
        <v>1634977.69</v>
      </c>
      <c r="CY156" s="1420">
        <v>437091.44</v>
      </c>
      <c r="CZ156" s="1420">
        <v>214533.01</v>
      </c>
      <c r="DA156" s="1420">
        <v>203463.36</v>
      </c>
      <c r="DB156" s="1422">
        <v>198934</v>
      </c>
      <c r="DC156" s="1422">
        <v>0</v>
      </c>
      <c r="DD156" s="1422">
        <v>0</v>
      </c>
      <c r="DE156" s="1420">
        <v>102044.89</v>
      </c>
      <c r="DF156" s="1420">
        <v>149598.01</v>
      </c>
      <c r="DG156" s="1420">
        <v>263379.12</v>
      </c>
      <c r="DH156" s="1420">
        <v>253300.68</v>
      </c>
      <c r="DI156" s="1420">
        <v>2856312.71</v>
      </c>
      <c r="DJ156" s="1420">
        <v>2451343.39</v>
      </c>
      <c r="DK156" s="1420">
        <v>138774.87</v>
      </c>
      <c r="DL156" s="1420">
        <v>140858.64000000001</v>
      </c>
      <c r="DM156" s="1420">
        <v>53507.13</v>
      </c>
      <c r="DN156" s="1420">
        <v>54030.84</v>
      </c>
      <c r="DO156" s="1420">
        <v>439633.02</v>
      </c>
      <c r="DP156" s="1420">
        <v>528546.4</v>
      </c>
      <c r="DQ156" s="1420">
        <v>277139.65999999997</v>
      </c>
      <c r="DR156" s="1420">
        <v>239279.12</v>
      </c>
      <c r="DS156" s="1420">
        <v>13538.41</v>
      </c>
      <c r="DT156" s="1420">
        <v>14592.38</v>
      </c>
      <c r="DU156" s="1420">
        <v>922593.09</v>
      </c>
      <c r="DV156" s="1420">
        <v>977307.38</v>
      </c>
      <c r="DW156" s="1420">
        <v>190389.89</v>
      </c>
      <c r="DX156" s="1420">
        <v>189951.41</v>
      </c>
      <c r="DY156" s="1420">
        <v>427001.23</v>
      </c>
      <c r="DZ156" s="1420">
        <v>372931.12</v>
      </c>
      <c r="EA156" s="1420">
        <v>266519.28000000003</v>
      </c>
      <c r="EB156" s="1420">
        <v>226863.1</v>
      </c>
      <c r="EC156" s="1420">
        <v>883910.4</v>
      </c>
      <c r="ED156" s="1420">
        <v>789745.63</v>
      </c>
      <c r="EE156" s="1420">
        <v>335432.94</v>
      </c>
      <c r="EF156" s="1420">
        <v>298118.64</v>
      </c>
      <c r="EG156" s="1420">
        <v>12900.43</v>
      </c>
      <c r="EH156" s="1422">
        <v>0</v>
      </c>
      <c r="EI156" s="1422">
        <v>0</v>
      </c>
      <c r="EJ156" s="1422">
        <v>500</v>
      </c>
      <c r="EK156" s="1422">
        <v>0</v>
      </c>
      <c r="EL156" s="1422">
        <v>0</v>
      </c>
      <c r="EM156" s="1420">
        <v>348333.37</v>
      </c>
      <c r="EN156" s="1420">
        <v>298618.64</v>
      </c>
      <c r="EO156" s="1422">
        <v>14500</v>
      </c>
      <c r="EP156" s="1422">
        <v>177598</v>
      </c>
      <c r="EQ156" s="1420">
        <v>274764.37</v>
      </c>
      <c r="ER156" s="1420">
        <v>279640.44</v>
      </c>
      <c r="ES156" s="1422">
        <v>0</v>
      </c>
      <c r="ET156" s="1422">
        <v>0</v>
      </c>
      <c r="EU156" s="1420">
        <v>5300413.9400000004</v>
      </c>
      <c r="EV156" s="1420">
        <v>4974253.4800000004</v>
      </c>
      <c r="EW156" s="1420">
        <v>139136.69</v>
      </c>
      <c r="EX156" s="1422">
        <v>204098</v>
      </c>
      <c r="EY156" s="1420">
        <v>274764.37</v>
      </c>
      <c r="EZ156" s="1420">
        <v>279640.44</v>
      </c>
      <c r="FA156" s="1420">
        <v>4886512.88</v>
      </c>
      <c r="FB156" s="1420">
        <v>4490515.04</v>
      </c>
      <c r="FC156" s="1420">
        <v>207816.26</v>
      </c>
      <c r="FD156" s="1439"/>
      <c r="FE156" s="1420">
        <v>4678696.62</v>
      </c>
      <c r="FF156" s="1439"/>
      <c r="FG156" s="1422">
        <v>9888</v>
      </c>
      <c r="FH156" s="1439"/>
      <c r="FI156" s="1420">
        <v>42.6</v>
      </c>
      <c r="FJ156" s="1439"/>
      <c r="FK156" s="1422">
        <v>42443</v>
      </c>
      <c r="FL156" s="1439"/>
      <c r="FM156" s="1420">
        <v>46.75</v>
      </c>
      <c r="FN156" s="1439"/>
      <c r="FO156" s="1422">
        <v>45536</v>
      </c>
      <c r="FP156" s="1439"/>
      <c r="FQ156" s="1420">
        <v>1735857.96</v>
      </c>
      <c r="FR156" s="1439"/>
      <c r="FS156" s="1420">
        <v>8318.94</v>
      </c>
      <c r="FT156" s="1439"/>
      <c r="FU156" s="1422">
        <v>0</v>
      </c>
      <c r="FV156" s="1439"/>
      <c r="FW156" s="1420">
        <v>1727539.02</v>
      </c>
      <c r="FX156" s="1439"/>
      <c r="FY156" s="1420">
        <v>1854280.8</v>
      </c>
      <c r="FZ156" s="1439"/>
      <c r="GA156" s="1422">
        <v>0</v>
      </c>
      <c r="GB156" s="1439"/>
    </row>
    <row r="157" spans="1:184" ht="12.75" customHeight="1" thickBot="1">
      <c r="A157" s="1418" t="s">
        <v>364</v>
      </c>
      <c r="B157" s="1418" t="s">
        <v>365</v>
      </c>
      <c r="C157" s="1420">
        <v>237.52</v>
      </c>
      <c r="D157" s="1439"/>
      <c r="E157" s="1420">
        <v>1010.67</v>
      </c>
      <c r="F157" s="1439"/>
      <c r="G157" s="1421">
        <v>0.02</v>
      </c>
      <c r="H157" s="1439"/>
      <c r="I157" s="1420">
        <v>1045.3599999999999</v>
      </c>
      <c r="J157" s="1439"/>
      <c r="K157" s="1420">
        <v>990.3</v>
      </c>
      <c r="L157" s="1439"/>
      <c r="M157" s="1422">
        <v>50146739</v>
      </c>
      <c r="N157" s="1439"/>
      <c r="O157" s="1422">
        <v>25</v>
      </c>
      <c r="P157" s="1439"/>
      <c r="Q157" s="1422">
        <v>25</v>
      </c>
      <c r="R157" s="1439"/>
      <c r="S157" s="1422">
        <v>0</v>
      </c>
      <c r="T157" s="1439"/>
      <c r="U157" s="1422">
        <v>0</v>
      </c>
      <c r="V157" s="1439"/>
      <c r="W157" s="1420">
        <v>10.1</v>
      </c>
      <c r="X157" s="1439"/>
      <c r="Y157" s="1420">
        <v>35.1</v>
      </c>
      <c r="Z157" s="1439"/>
      <c r="AA157" s="1422">
        <v>5865000</v>
      </c>
      <c r="AB157" s="1439"/>
      <c r="AC157" s="1420">
        <v>1626363.17</v>
      </c>
      <c r="AD157" s="1422">
        <v>1392748</v>
      </c>
      <c r="AE157" s="1420">
        <v>343202.63</v>
      </c>
      <c r="AF157" s="1422">
        <v>236520</v>
      </c>
      <c r="AG157" s="1420">
        <v>61849.919999999998</v>
      </c>
      <c r="AH157" s="1422">
        <v>50000</v>
      </c>
      <c r="AI157" s="1422">
        <v>4716125</v>
      </c>
      <c r="AJ157" s="1422">
        <v>5129460</v>
      </c>
      <c r="AK157" s="1422">
        <v>22255</v>
      </c>
      <c r="AL157" s="1422">
        <v>25000</v>
      </c>
      <c r="AM157" s="1422">
        <v>329323</v>
      </c>
      <c r="AN157" s="1422">
        <v>0</v>
      </c>
      <c r="AO157" s="1422">
        <v>0</v>
      </c>
      <c r="AP157" s="1422">
        <v>0</v>
      </c>
      <c r="AQ157" s="1422">
        <v>0</v>
      </c>
      <c r="AR157" s="1422">
        <v>0</v>
      </c>
      <c r="AS157" s="1422">
        <v>0</v>
      </c>
      <c r="AT157" s="1422">
        <v>0</v>
      </c>
      <c r="AU157" s="1422">
        <v>33627</v>
      </c>
      <c r="AV157" s="1422">
        <v>26902</v>
      </c>
      <c r="AW157" s="1422">
        <v>0</v>
      </c>
      <c r="AX157" s="1422">
        <v>0</v>
      </c>
      <c r="AY157" s="1420">
        <v>7132745.7199999997</v>
      </c>
      <c r="AZ157" s="1422">
        <v>6860630</v>
      </c>
      <c r="BA157" s="1422">
        <v>0</v>
      </c>
      <c r="BB157" s="1422">
        <v>0</v>
      </c>
      <c r="BC157" s="1422">
        <v>40959</v>
      </c>
      <c r="BD157" s="1422">
        <v>44143</v>
      </c>
      <c r="BE157" s="1420">
        <v>10887.15</v>
      </c>
      <c r="BF157" s="1422">
        <v>0</v>
      </c>
      <c r="BG157" s="1422">
        <v>300</v>
      </c>
      <c r="BH157" s="1422">
        <v>300</v>
      </c>
      <c r="BI157" s="1422">
        <v>7354</v>
      </c>
      <c r="BJ157" s="1422">
        <v>1285</v>
      </c>
      <c r="BK157" s="1422">
        <v>6153</v>
      </c>
      <c r="BL157" s="1422">
        <v>0</v>
      </c>
      <c r="BM157" s="1422">
        <v>710272</v>
      </c>
      <c r="BN157" s="1422">
        <v>804540</v>
      </c>
      <c r="BO157" s="1420">
        <v>-1295.72</v>
      </c>
      <c r="BP157" s="1422">
        <v>0</v>
      </c>
      <c r="BQ157" s="1422">
        <v>0</v>
      </c>
      <c r="BR157" s="1422">
        <v>0</v>
      </c>
      <c r="BS157" s="1420">
        <v>3813.78</v>
      </c>
      <c r="BT157" s="1422">
        <v>3900</v>
      </c>
      <c r="BU157" s="1422">
        <v>0</v>
      </c>
      <c r="BV157" s="1422">
        <v>0</v>
      </c>
      <c r="BW157" s="1422">
        <v>0</v>
      </c>
      <c r="BX157" s="1422">
        <v>0</v>
      </c>
      <c r="BY157" s="1422">
        <v>0</v>
      </c>
      <c r="BZ157" s="1422">
        <v>0</v>
      </c>
      <c r="CA157" s="1420">
        <v>321908.08</v>
      </c>
      <c r="CB157" s="1422">
        <v>108852</v>
      </c>
      <c r="CC157" s="1420">
        <v>1100351.29</v>
      </c>
      <c r="CD157" s="1422">
        <v>963020</v>
      </c>
      <c r="CE157" s="1420">
        <v>1924913.61</v>
      </c>
      <c r="CF157" s="1420">
        <v>1207900.6000000001</v>
      </c>
      <c r="CG157" s="1422">
        <v>0</v>
      </c>
      <c r="CH157" s="1422">
        <v>0</v>
      </c>
      <c r="CI157" s="1422">
        <v>0</v>
      </c>
      <c r="CJ157" s="1422">
        <v>0</v>
      </c>
      <c r="CK157" s="1422">
        <v>0</v>
      </c>
      <c r="CL157" s="1422">
        <v>0</v>
      </c>
      <c r="CM157" s="1422">
        <v>0</v>
      </c>
      <c r="CN157" s="1422">
        <v>0</v>
      </c>
      <c r="CO157" s="1420">
        <v>18146.07</v>
      </c>
      <c r="CP157" s="1422">
        <v>32813</v>
      </c>
      <c r="CQ157" s="1420">
        <v>13618.03</v>
      </c>
      <c r="CR157" s="1422">
        <v>0</v>
      </c>
      <c r="CS157" s="1420">
        <v>31764.1</v>
      </c>
      <c r="CT157" s="1422">
        <v>32813</v>
      </c>
      <c r="CU157" s="1420">
        <v>10189774.720000001</v>
      </c>
      <c r="CV157" s="1420">
        <v>9064363.5999999996</v>
      </c>
      <c r="CW157" s="1420">
        <v>3200603.76</v>
      </c>
      <c r="CX157" s="1420">
        <v>3169080.12</v>
      </c>
      <c r="CY157" s="1420">
        <v>527199.37</v>
      </c>
      <c r="CZ157" s="1420">
        <v>456805.08</v>
      </c>
      <c r="DA157" s="1420">
        <v>315652.56</v>
      </c>
      <c r="DB157" s="1420">
        <v>289300.09999999998</v>
      </c>
      <c r="DC157" s="1422">
        <v>0</v>
      </c>
      <c r="DD157" s="1422">
        <v>0</v>
      </c>
      <c r="DE157" s="1420">
        <v>378417.28</v>
      </c>
      <c r="DF157" s="1420">
        <v>438693.58</v>
      </c>
      <c r="DG157" s="1420">
        <v>166914.39000000001</v>
      </c>
      <c r="DH157" s="1420">
        <v>193306.34</v>
      </c>
      <c r="DI157" s="1420">
        <v>4588787.3600000003</v>
      </c>
      <c r="DJ157" s="1420">
        <v>4547185.22</v>
      </c>
      <c r="DK157" s="1420">
        <v>206389.14</v>
      </c>
      <c r="DL157" s="1420">
        <v>213952.91</v>
      </c>
      <c r="DM157" s="1420">
        <v>659331.23</v>
      </c>
      <c r="DN157" s="1420">
        <v>536475.97</v>
      </c>
      <c r="DO157" s="1420">
        <v>873043.73</v>
      </c>
      <c r="DP157" s="1420">
        <v>652574.78</v>
      </c>
      <c r="DQ157" s="1420">
        <v>271693.81</v>
      </c>
      <c r="DR157" s="1420">
        <v>275275.75</v>
      </c>
      <c r="DS157" s="1420">
        <v>4234.9799999999996</v>
      </c>
      <c r="DT157" s="1422">
        <v>4500</v>
      </c>
      <c r="DU157" s="1420">
        <v>2014692.89</v>
      </c>
      <c r="DV157" s="1420">
        <v>1682779.41</v>
      </c>
      <c r="DW157" s="1420">
        <v>339801.61</v>
      </c>
      <c r="DX157" s="1420">
        <v>498880.16</v>
      </c>
      <c r="DY157" s="1420">
        <v>1398169.44</v>
      </c>
      <c r="DZ157" s="1420">
        <v>938910.86</v>
      </c>
      <c r="EA157" s="1420">
        <v>421161.82</v>
      </c>
      <c r="EB157" s="1420">
        <v>381327.09</v>
      </c>
      <c r="EC157" s="1420">
        <v>2159132.87</v>
      </c>
      <c r="ED157" s="1420">
        <v>1819118.11</v>
      </c>
      <c r="EE157" s="1420">
        <v>526768.09</v>
      </c>
      <c r="EF157" s="1422">
        <v>557220</v>
      </c>
      <c r="EG157" s="1422">
        <v>0</v>
      </c>
      <c r="EH157" s="1422">
        <v>0</v>
      </c>
      <c r="EI157" s="1422">
        <v>0</v>
      </c>
      <c r="EJ157" s="1420">
        <v>1525.06</v>
      </c>
      <c r="EK157" s="1422">
        <v>0</v>
      </c>
      <c r="EL157" s="1422">
        <v>0</v>
      </c>
      <c r="EM157" s="1420">
        <v>526768.09</v>
      </c>
      <c r="EN157" s="1420">
        <v>558745.06000000006</v>
      </c>
      <c r="EO157" s="1420">
        <v>949815.38</v>
      </c>
      <c r="EP157" s="1420">
        <v>10803.6</v>
      </c>
      <c r="EQ157" s="1420">
        <v>385436.76</v>
      </c>
      <c r="ER157" s="1420">
        <v>384513.76</v>
      </c>
      <c r="ES157" s="1422">
        <v>0</v>
      </c>
      <c r="ET157" s="1422">
        <v>0</v>
      </c>
      <c r="EU157" s="1420">
        <v>10624633.35</v>
      </c>
      <c r="EV157" s="1420">
        <v>9003145.1600000001</v>
      </c>
      <c r="EW157" s="1420">
        <v>1218211.42</v>
      </c>
      <c r="EX157" s="1420">
        <v>163703.6</v>
      </c>
      <c r="EY157" s="1420">
        <v>385436.76</v>
      </c>
      <c r="EZ157" s="1420">
        <v>384513.76</v>
      </c>
      <c r="FA157" s="1420">
        <v>9020985.1699999999</v>
      </c>
      <c r="FB157" s="1420">
        <v>8454927.8000000007</v>
      </c>
      <c r="FC157" s="1420">
        <v>303800.87</v>
      </c>
      <c r="FD157" s="1439"/>
      <c r="FE157" s="1420">
        <v>8717184.3000000007</v>
      </c>
      <c r="FF157" s="1439"/>
      <c r="FG157" s="1422">
        <v>8625</v>
      </c>
      <c r="FH157" s="1439"/>
      <c r="FI157" s="1420">
        <v>77.209999999999994</v>
      </c>
      <c r="FJ157" s="1439"/>
      <c r="FK157" s="1422">
        <v>39346</v>
      </c>
      <c r="FL157" s="1439"/>
      <c r="FM157" s="1420">
        <v>83.73</v>
      </c>
      <c r="FN157" s="1439"/>
      <c r="FO157" s="1422">
        <v>40945</v>
      </c>
      <c r="FP157" s="1439"/>
      <c r="FQ157" s="1420">
        <v>1060270.52</v>
      </c>
      <c r="FR157" s="1439"/>
      <c r="FS157" s="1420">
        <v>117506.48</v>
      </c>
      <c r="FT157" s="1439"/>
      <c r="FU157" s="1422">
        <v>0</v>
      </c>
      <c r="FV157" s="1439"/>
      <c r="FW157" s="1420">
        <v>942764.04</v>
      </c>
      <c r="FX157" s="1439"/>
      <c r="FY157" s="1420">
        <v>244552.16</v>
      </c>
      <c r="FZ157" s="1439"/>
      <c r="GA157" s="1422">
        <v>0</v>
      </c>
      <c r="GB157" s="1439"/>
    </row>
    <row r="158" spans="1:184" ht="12.75" customHeight="1" thickBot="1">
      <c r="A158" s="1418" t="s">
        <v>366</v>
      </c>
      <c r="B158" s="1418" t="s">
        <v>367</v>
      </c>
      <c r="C158" s="1420">
        <v>345.69</v>
      </c>
      <c r="D158" s="1439"/>
      <c r="E158" s="1420">
        <v>380.79</v>
      </c>
      <c r="F158" s="1439"/>
      <c r="G158" s="1421">
        <v>-0.04</v>
      </c>
      <c r="H158" s="1439"/>
      <c r="I158" s="1420">
        <v>402.06</v>
      </c>
      <c r="J158" s="1439"/>
      <c r="K158" s="1420">
        <v>394.41</v>
      </c>
      <c r="L158" s="1439"/>
      <c r="M158" s="1422">
        <v>32319872</v>
      </c>
      <c r="N158" s="1439"/>
      <c r="O158" s="1422">
        <v>25</v>
      </c>
      <c r="P158" s="1439"/>
      <c r="Q158" s="1422">
        <v>25</v>
      </c>
      <c r="R158" s="1439"/>
      <c r="S158" s="1422">
        <v>0</v>
      </c>
      <c r="T158" s="1439"/>
      <c r="U158" s="1422">
        <v>0</v>
      </c>
      <c r="V158" s="1439"/>
      <c r="W158" s="1420">
        <v>9.8000000000000007</v>
      </c>
      <c r="X158" s="1439"/>
      <c r="Y158" s="1420">
        <v>34.799999999999997</v>
      </c>
      <c r="Z158" s="1439"/>
      <c r="AA158" s="1420">
        <v>815201.09</v>
      </c>
      <c r="AB158" s="1439"/>
      <c r="AC158" s="1420">
        <v>1047202.97</v>
      </c>
      <c r="AD158" s="1422">
        <v>981500</v>
      </c>
      <c r="AE158" s="1420">
        <v>290170.31</v>
      </c>
      <c r="AF158" s="1422">
        <v>273654</v>
      </c>
      <c r="AG158" s="1420">
        <v>23490.17</v>
      </c>
      <c r="AH158" s="1422">
        <v>23000</v>
      </c>
      <c r="AI158" s="1422">
        <v>1597458</v>
      </c>
      <c r="AJ158" s="1422">
        <v>1597458</v>
      </c>
      <c r="AK158" s="1422">
        <v>1727</v>
      </c>
      <c r="AL158" s="1422">
        <v>1727</v>
      </c>
      <c r="AM158" s="1422">
        <v>46046</v>
      </c>
      <c r="AN158" s="1422">
        <v>46046</v>
      </c>
      <c r="AO158" s="1422">
        <v>0</v>
      </c>
      <c r="AP158" s="1422">
        <v>0</v>
      </c>
      <c r="AQ158" s="1422">
        <v>0</v>
      </c>
      <c r="AR158" s="1422">
        <v>0</v>
      </c>
      <c r="AS158" s="1422">
        <v>0</v>
      </c>
      <c r="AT158" s="1422">
        <v>0</v>
      </c>
      <c r="AU158" s="1422">
        <v>0</v>
      </c>
      <c r="AV158" s="1422">
        <v>0</v>
      </c>
      <c r="AW158" s="1422">
        <v>0</v>
      </c>
      <c r="AX158" s="1422">
        <v>0</v>
      </c>
      <c r="AY158" s="1420">
        <v>3006094.45</v>
      </c>
      <c r="AZ158" s="1422">
        <v>2923385</v>
      </c>
      <c r="BA158" s="1422">
        <v>0</v>
      </c>
      <c r="BB158" s="1422">
        <v>0</v>
      </c>
      <c r="BC158" s="1422">
        <v>16313</v>
      </c>
      <c r="BD158" s="1422">
        <v>16313</v>
      </c>
      <c r="BE158" s="1422">
        <v>118777</v>
      </c>
      <c r="BF158" s="1422">
        <v>119977</v>
      </c>
      <c r="BG158" s="1422">
        <v>50</v>
      </c>
      <c r="BH158" s="1422">
        <v>0</v>
      </c>
      <c r="BI158" s="1422">
        <v>0</v>
      </c>
      <c r="BJ158" s="1422">
        <v>0</v>
      </c>
      <c r="BK158" s="1422">
        <v>0</v>
      </c>
      <c r="BL158" s="1422">
        <v>0</v>
      </c>
      <c r="BM158" s="1422">
        <v>287680</v>
      </c>
      <c r="BN158" s="1422">
        <v>287680</v>
      </c>
      <c r="BO158" s="1420">
        <v>3835.77</v>
      </c>
      <c r="BP158" s="1422">
        <v>0</v>
      </c>
      <c r="BQ158" s="1422">
        <v>0</v>
      </c>
      <c r="BR158" s="1422">
        <v>0</v>
      </c>
      <c r="BS158" s="1420">
        <v>1049.57</v>
      </c>
      <c r="BT158" s="1422">
        <v>1300</v>
      </c>
      <c r="BU158" s="1422">
        <v>0</v>
      </c>
      <c r="BV158" s="1422">
        <v>0</v>
      </c>
      <c r="BW158" s="1422">
        <v>0</v>
      </c>
      <c r="BX158" s="1422">
        <v>0</v>
      </c>
      <c r="BY158" s="1422">
        <v>0</v>
      </c>
      <c r="BZ158" s="1422">
        <v>0</v>
      </c>
      <c r="CA158" s="1422">
        <v>11279</v>
      </c>
      <c r="CB158" s="1422">
        <v>11279</v>
      </c>
      <c r="CC158" s="1420">
        <v>438984.34</v>
      </c>
      <c r="CD158" s="1422">
        <v>436549</v>
      </c>
      <c r="CE158" s="1420">
        <v>674575.88</v>
      </c>
      <c r="CF158" s="1420">
        <v>462839.65</v>
      </c>
      <c r="CG158" s="1422">
        <v>67625</v>
      </c>
      <c r="CH158" s="1422">
        <v>0</v>
      </c>
      <c r="CI158" s="1422">
        <v>0</v>
      </c>
      <c r="CJ158" s="1422">
        <v>0</v>
      </c>
      <c r="CK158" s="1422">
        <v>0</v>
      </c>
      <c r="CL158" s="1422">
        <v>0</v>
      </c>
      <c r="CM158" s="1422">
        <v>0</v>
      </c>
      <c r="CN158" s="1422">
        <v>0</v>
      </c>
      <c r="CO158" s="1420">
        <v>5427.45</v>
      </c>
      <c r="CP158" s="1422">
        <v>0</v>
      </c>
      <c r="CQ158" s="1422">
        <v>0</v>
      </c>
      <c r="CR158" s="1422">
        <v>0</v>
      </c>
      <c r="CS158" s="1420">
        <v>73052.45</v>
      </c>
      <c r="CT158" s="1422">
        <v>0</v>
      </c>
      <c r="CU158" s="1420">
        <v>4192707.12</v>
      </c>
      <c r="CV158" s="1420">
        <v>3822773.65</v>
      </c>
      <c r="CW158" s="1420">
        <v>1551526.98</v>
      </c>
      <c r="CX158" s="1420">
        <v>1520732.41</v>
      </c>
      <c r="CY158" s="1420">
        <v>184083.88</v>
      </c>
      <c r="CZ158" s="1420">
        <v>171076.16</v>
      </c>
      <c r="DA158" s="1420">
        <v>165645.31</v>
      </c>
      <c r="DB158" s="1420">
        <v>166087.78</v>
      </c>
      <c r="DC158" s="1422">
        <v>0</v>
      </c>
      <c r="DD158" s="1422">
        <v>0</v>
      </c>
      <c r="DE158" s="1420">
        <v>116563.09</v>
      </c>
      <c r="DF158" s="1420">
        <v>126113.21</v>
      </c>
      <c r="DG158" s="1420">
        <v>32793.449999999997</v>
      </c>
      <c r="DH158" s="1420">
        <v>69062.28</v>
      </c>
      <c r="DI158" s="1420">
        <v>2050612.71</v>
      </c>
      <c r="DJ158" s="1420">
        <v>2053071.84</v>
      </c>
      <c r="DK158" s="1420">
        <v>146526.91</v>
      </c>
      <c r="DL158" s="1420">
        <v>146309.31</v>
      </c>
      <c r="DM158" s="1420">
        <v>146557.25</v>
      </c>
      <c r="DN158" s="1420">
        <v>141536.92000000001</v>
      </c>
      <c r="DO158" s="1420">
        <v>336994.41</v>
      </c>
      <c r="DP158" s="1420">
        <v>281197.43</v>
      </c>
      <c r="DQ158" s="1420">
        <v>271262.27</v>
      </c>
      <c r="DR158" s="1420">
        <v>235010.68</v>
      </c>
      <c r="DS158" s="1420">
        <v>1787.23</v>
      </c>
      <c r="DT158" s="1422">
        <v>1800</v>
      </c>
      <c r="DU158" s="1420">
        <v>903128.07</v>
      </c>
      <c r="DV158" s="1420">
        <v>805854.34</v>
      </c>
      <c r="DW158" s="1420">
        <v>221180.77</v>
      </c>
      <c r="DX158" s="1420">
        <v>210778.41</v>
      </c>
      <c r="DY158" s="1420">
        <v>374927.65</v>
      </c>
      <c r="DZ158" s="1420">
        <v>174893.35</v>
      </c>
      <c r="EA158" s="1420">
        <v>144368.95999999999</v>
      </c>
      <c r="EB158" s="1420">
        <v>145237.04999999999</v>
      </c>
      <c r="EC158" s="1420">
        <v>740477.38</v>
      </c>
      <c r="ED158" s="1420">
        <v>530908.81000000006</v>
      </c>
      <c r="EE158" s="1420">
        <v>338390.57</v>
      </c>
      <c r="EF158" s="1420">
        <v>304297.82</v>
      </c>
      <c r="EG158" s="1422">
        <v>0</v>
      </c>
      <c r="EH158" s="1422">
        <v>0</v>
      </c>
      <c r="EI158" s="1422">
        <v>0</v>
      </c>
      <c r="EJ158" s="1420">
        <v>341.58</v>
      </c>
      <c r="EK158" s="1422">
        <v>0</v>
      </c>
      <c r="EL158" s="1422">
        <v>0</v>
      </c>
      <c r="EM158" s="1420">
        <v>338390.57</v>
      </c>
      <c r="EN158" s="1420">
        <v>304639.40000000002</v>
      </c>
      <c r="EO158" s="1422">
        <v>0</v>
      </c>
      <c r="EP158" s="1422">
        <v>0</v>
      </c>
      <c r="EQ158" s="1420">
        <v>140592.99</v>
      </c>
      <c r="ER158" s="1420">
        <v>109145.7</v>
      </c>
      <c r="ES158" s="1422">
        <v>0</v>
      </c>
      <c r="ET158" s="1422">
        <v>0</v>
      </c>
      <c r="EU158" s="1420">
        <v>4173201.72</v>
      </c>
      <c r="EV158" s="1420">
        <v>3803620.09</v>
      </c>
      <c r="EW158" s="1420">
        <v>94389.05</v>
      </c>
      <c r="EX158" s="1422">
        <v>10400</v>
      </c>
      <c r="EY158" s="1420">
        <v>140592.99</v>
      </c>
      <c r="EZ158" s="1420">
        <v>109145.7</v>
      </c>
      <c r="FA158" s="1420">
        <v>3938219.68</v>
      </c>
      <c r="FB158" s="1420">
        <v>3684074.39</v>
      </c>
      <c r="FC158" s="1420">
        <v>239845.39</v>
      </c>
      <c r="FD158" s="1439"/>
      <c r="FE158" s="1420">
        <v>3698374.29</v>
      </c>
      <c r="FF158" s="1439"/>
      <c r="FG158" s="1422">
        <v>9712</v>
      </c>
      <c r="FH158" s="1439"/>
      <c r="FI158" s="1420">
        <v>39.81</v>
      </c>
      <c r="FJ158" s="1439"/>
      <c r="FK158" s="1422">
        <v>37360</v>
      </c>
      <c r="FL158" s="1439"/>
      <c r="FM158" s="1420">
        <v>44.11</v>
      </c>
      <c r="FN158" s="1439"/>
      <c r="FO158" s="1422">
        <v>39431</v>
      </c>
      <c r="FP158" s="1439"/>
      <c r="FQ158" s="1420">
        <v>387816.91</v>
      </c>
      <c r="FR158" s="1439"/>
      <c r="FS158" s="1420">
        <v>11362.33</v>
      </c>
      <c r="FT158" s="1439"/>
      <c r="FU158" s="1422">
        <v>0</v>
      </c>
      <c r="FV158" s="1439"/>
      <c r="FW158" s="1420">
        <v>376454.58</v>
      </c>
      <c r="FX158" s="1439"/>
      <c r="FY158" s="1422">
        <v>0</v>
      </c>
      <c r="FZ158" s="1439"/>
      <c r="GA158" s="1422">
        <v>0</v>
      </c>
      <c r="GB158" s="1439"/>
    </row>
    <row r="159" spans="1:184" ht="12.75" customHeight="1" thickBot="1">
      <c r="A159" s="1418" t="s">
        <v>368</v>
      </c>
      <c r="B159" s="1418" t="s">
        <v>369</v>
      </c>
      <c r="C159" s="1420">
        <v>614.46</v>
      </c>
      <c r="D159" s="1439"/>
      <c r="E159" s="1420">
        <v>865.1</v>
      </c>
      <c r="F159" s="1439"/>
      <c r="G159" s="1421">
        <v>0.01</v>
      </c>
      <c r="H159" s="1439"/>
      <c r="I159" s="1420">
        <v>891.24</v>
      </c>
      <c r="J159" s="1439"/>
      <c r="K159" s="1420">
        <v>897.08</v>
      </c>
      <c r="L159" s="1439"/>
      <c r="M159" s="1422">
        <v>55972640</v>
      </c>
      <c r="N159" s="1439"/>
      <c r="O159" s="1422">
        <v>25</v>
      </c>
      <c r="P159" s="1439"/>
      <c r="Q159" s="1422">
        <v>25</v>
      </c>
      <c r="R159" s="1439"/>
      <c r="S159" s="1422">
        <v>0</v>
      </c>
      <c r="T159" s="1439"/>
      <c r="U159" s="1422">
        <v>0</v>
      </c>
      <c r="V159" s="1439"/>
      <c r="W159" s="1420">
        <v>10.9</v>
      </c>
      <c r="X159" s="1439"/>
      <c r="Y159" s="1420">
        <v>35.9</v>
      </c>
      <c r="Z159" s="1439"/>
      <c r="AA159" s="1420">
        <v>5224065.0999999996</v>
      </c>
      <c r="AB159" s="1439"/>
      <c r="AC159" s="1420">
        <v>1913500.22</v>
      </c>
      <c r="AD159" s="1422">
        <v>2116000</v>
      </c>
      <c r="AE159" s="1420">
        <v>436954.03</v>
      </c>
      <c r="AF159" s="1422">
        <v>159200</v>
      </c>
      <c r="AG159" s="1422">
        <v>0</v>
      </c>
      <c r="AH159" s="1422">
        <v>0</v>
      </c>
      <c r="AI159" s="1422">
        <v>3722271</v>
      </c>
      <c r="AJ159" s="1422">
        <v>3817554</v>
      </c>
      <c r="AK159" s="1422">
        <v>62633</v>
      </c>
      <c r="AL159" s="1422">
        <v>0</v>
      </c>
      <c r="AM159" s="1422">
        <v>2183</v>
      </c>
      <c r="AN159" s="1422">
        <v>0</v>
      </c>
      <c r="AO159" s="1422">
        <v>0</v>
      </c>
      <c r="AP159" s="1422">
        <v>0</v>
      </c>
      <c r="AQ159" s="1422">
        <v>0</v>
      </c>
      <c r="AR159" s="1422">
        <v>0</v>
      </c>
      <c r="AS159" s="1422">
        <v>1206299</v>
      </c>
      <c r="AT159" s="1422">
        <v>1206300</v>
      </c>
      <c r="AU159" s="1422">
        <v>0</v>
      </c>
      <c r="AV159" s="1422">
        <v>0</v>
      </c>
      <c r="AW159" s="1422">
        <v>422</v>
      </c>
      <c r="AX159" s="1422">
        <v>0</v>
      </c>
      <c r="AY159" s="1420">
        <v>7344262.25</v>
      </c>
      <c r="AZ159" s="1422">
        <v>7299054</v>
      </c>
      <c r="BA159" s="1422">
        <v>0</v>
      </c>
      <c r="BB159" s="1422">
        <v>0</v>
      </c>
      <c r="BC159" s="1422">
        <v>37103</v>
      </c>
      <c r="BD159" s="1422">
        <v>37906</v>
      </c>
      <c r="BE159" s="1420">
        <v>397317.31</v>
      </c>
      <c r="BF159" s="1422">
        <v>389800</v>
      </c>
      <c r="BG159" s="1422">
        <v>0</v>
      </c>
      <c r="BH159" s="1422">
        <v>0</v>
      </c>
      <c r="BI159" s="1422">
        <v>12961</v>
      </c>
      <c r="BJ159" s="1422">
        <v>24911</v>
      </c>
      <c r="BK159" s="1422">
        <v>0</v>
      </c>
      <c r="BL159" s="1422">
        <v>0</v>
      </c>
      <c r="BM159" s="1422">
        <v>297104</v>
      </c>
      <c r="BN159" s="1422">
        <v>431114</v>
      </c>
      <c r="BO159" s="1420">
        <v>107877.09</v>
      </c>
      <c r="BP159" s="1422">
        <v>103000</v>
      </c>
      <c r="BQ159" s="1420">
        <v>19351.93</v>
      </c>
      <c r="BR159" s="1420">
        <v>10562.5</v>
      </c>
      <c r="BS159" s="1420">
        <v>3481.8</v>
      </c>
      <c r="BT159" s="1422">
        <v>3400</v>
      </c>
      <c r="BU159" s="1422">
        <v>0</v>
      </c>
      <c r="BV159" s="1422">
        <v>0</v>
      </c>
      <c r="BW159" s="1422">
        <v>0</v>
      </c>
      <c r="BX159" s="1422">
        <v>0</v>
      </c>
      <c r="BY159" s="1422">
        <v>0</v>
      </c>
      <c r="BZ159" s="1422">
        <v>0</v>
      </c>
      <c r="CA159" s="1420">
        <v>403581.16</v>
      </c>
      <c r="CB159" s="1422">
        <v>212410</v>
      </c>
      <c r="CC159" s="1420">
        <v>1278777.29</v>
      </c>
      <c r="CD159" s="1420">
        <v>1213103.5</v>
      </c>
      <c r="CE159" s="1420">
        <v>2290903.86</v>
      </c>
      <c r="CF159" s="1422">
        <v>1746550</v>
      </c>
      <c r="CG159" s="1420">
        <v>-21686.84</v>
      </c>
      <c r="CH159" s="1422">
        <v>906500</v>
      </c>
      <c r="CI159" s="1422">
        <v>0</v>
      </c>
      <c r="CJ159" s="1422">
        <v>0</v>
      </c>
      <c r="CK159" s="1422">
        <v>0</v>
      </c>
      <c r="CL159" s="1422">
        <v>0</v>
      </c>
      <c r="CM159" s="1422">
        <v>0</v>
      </c>
      <c r="CN159" s="1422">
        <v>0</v>
      </c>
      <c r="CO159" s="1422">
        <v>0</v>
      </c>
      <c r="CP159" s="1422">
        <v>0</v>
      </c>
      <c r="CQ159" s="1422">
        <v>0</v>
      </c>
      <c r="CR159" s="1422">
        <v>0</v>
      </c>
      <c r="CS159" s="1420">
        <v>-21686.84</v>
      </c>
      <c r="CT159" s="1422">
        <v>906500</v>
      </c>
      <c r="CU159" s="1420">
        <v>10892256.560000001</v>
      </c>
      <c r="CV159" s="1420">
        <v>11165207.5</v>
      </c>
      <c r="CW159" s="1420">
        <v>3667140.34</v>
      </c>
      <c r="CX159" s="1420">
        <v>3621100.27</v>
      </c>
      <c r="CY159" s="1420">
        <v>675996.35</v>
      </c>
      <c r="CZ159" s="1420">
        <v>742683.36</v>
      </c>
      <c r="DA159" s="1420">
        <v>393689.86</v>
      </c>
      <c r="DB159" s="1420">
        <v>432286.92</v>
      </c>
      <c r="DC159" s="1422">
        <v>0</v>
      </c>
      <c r="DD159" s="1422">
        <v>0</v>
      </c>
      <c r="DE159" s="1420">
        <v>304181.21999999997</v>
      </c>
      <c r="DF159" s="1420">
        <v>267658.07</v>
      </c>
      <c r="DG159" s="1420">
        <v>67552.44</v>
      </c>
      <c r="DH159" s="1420">
        <v>71526.820000000007</v>
      </c>
      <c r="DI159" s="1420">
        <v>5108560.21</v>
      </c>
      <c r="DJ159" s="1420">
        <v>5135255.4400000004</v>
      </c>
      <c r="DK159" s="1420">
        <v>261047.14</v>
      </c>
      <c r="DL159" s="1420">
        <v>328023.7</v>
      </c>
      <c r="DM159" s="1420">
        <v>72336.58</v>
      </c>
      <c r="DN159" s="1420">
        <v>73256.149999999994</v>
      </c>
      <c r="DO159" s="1420">
        <v>1032519.16</v>
      </c>
      <c r="DP159" s="1420">
        <v>1022949.28</v>
      </c>
      <c r="DQ159" s="1420">
        <v>867779.71</v>
      </c>
      <c r="DR159" s="1420">
        <v>764337.96</v>
      </c>
      <c r="DS159" s="1420">
        <v>40025.4</v>
      </c>
      <c r="DT159" s="1420">
        <v>42787.92</v>
      </c>
      <c r="DU159" s="1420">
        <v>2273707.9900000002</v>
      </c>
      <c r="DV159" s="1420">
        <v>2231355.0099999998</v>
      </c>
      <c r="DW159" s="1420">
        <v>445403.1</v>
      </c>
      <c r="DX159" s="1420">
        <v>483249.51</v>
      </c>
      <c r="DY159" s="1420">
        <v>573048.41</v>
      </c>
      <c r="DZ159" s="1420">
        <v>522214.61</v>
      </c>
      <c r="EA159" s="1420">
        <v>545632.87</v>
      </c>
      <c r="EB159" s="1420">
        <v>616861.54</v>
      </c>
      <c r="EC159" s="1420">
        <v>1564084.38</v>
      </c>
      <c r="ED159" s="1420">
        <v>1622325.66</v>
      </c>
      <c r="EE159" s="1420">
        <v>514742.42</v>
      </c>
      <c r="EF159" s="1420">
        <v>479989.58</v>
      </c>
      <c r="EG159" s="1420">
        <v>14912.95</v>
      </c>
      <c r="EH159" s="1420">
        <v>14912.95</v>
      </c>
      <c r="EI159" s="1420">
        <v>623.98</v>
      </c>
      <c r="EJ159" s="1422">
        <v>6530</v>
      </c>
      <c r="EK159" s="1422">
        <v>0</v>
      </c>
      <c r="EL159" s="1422">
        <v>0</v>
      </c>
      <c r="EM159" s="1420">
        <v>530279.35</v>
      </c>
      <c r="EN159" s="1420">
        <v>501432.53</v>
      </c>
      <c r="EO159" s="1420">
        <v>575787.66</v>
      </c>
      <c r="EP159" s="1420">
        <v>994997.35</v>
      </c>
      <c r="EQ159" s="1420">
        <v>571031.76</v>
      </c>
      <c r="ER159" s="1422">
        <v>573410</v>
      </c>
      <c r="ES159" s="1422">
        <v>27196</v>
      </c>
      <c r="ET159" s="1422">
        <v>0</v>
      </c>
      <c r="EU159" s="1420">
        <v>10650647.35</v>
      </c>
      <c r="EV159" s="1420">
        <v>11058775.99</v>
      </c>
      <c r="EW159" s="1420">
        <v>1057014.6100000001</v>
      </c>
      <c r="EX159" s="1420">
        <v>1424193.76</v>
      </c>
      <c r="EY159" s="1420">
        <v>571031.76</v>
      </c>
      <c r="EZ159" s="1422">
        <v>573410</v>
      </c>
      <c r="FA159" s="1420">
        <v>9022600.9800000004</v>
      </c>
      <c r="FB159" s="1420">
        <v>9061172.2300000004</v>
      </c>
      <c r="FC159" s="1420">
        <v>376902.05</v>
      </c>
      <c r="FD159" s="1439"/>
      <c r="FE159" s="1420">
        <v>8645698.9299999997</v>
      </c>
      <c r="FF159" s="1439"/>
      <c r="FG159" s="1422">
        <v>9993</v>
      </c>
      <c r="FH159" s="1439"/>
      <c r="FI159" s="1420">
        <v>75.19</v>
      </c>
      <c r="FJ159" s="1439"/>
      <c r="FK159" s="1422">
        <v>41925</v>
      </c>
      <c r="FL159" s="1439"/>
      <c r="FM159" s="1420">
        <v>81.95</v>
      </c>
      <c r="FN159" s="1439"/>
      <c r="FO159" s="1422">
        <v>44604</v>
      </c>
      <c r="FP159" s="1439"/>
      <c r="FQ159" s="1420">
        <v>1758244.53</v>
      </c>
      <c r="FR159" s="1439"/>
      <c r="FS159" s="1420">
        <v>32438.81</v>
      </c>
      <c r="FT159" s="1439"/>
      <c r="FU159" s="1420">
        <v>141241.94</v>
      </c>
      <c r="FV159" s="1439"/>
      <c r="FW159" s="1420">
        <v>1584563.78</v>
      </c>
      <c r="FX159" s="1439"/>
      <c r="FY159" s="1420">
        <v>737768.44</v>
      </c>
      <c r="FZ159" s="1439"/>
      <c r="GA159" s="1422">
        <v>0</v>
      </c>
      <c r="GB159" s="1439"/>
    </row>
    <row r="160" spans="1:184" ht="12.75" customHeight="1" thickBot="1">
      <c r="A160" s="1418" t="s">
        <v>370</v>
      </c>
      <c r="B160" s="1418" t="s">
        <v>371</v>
      </c>
      <c r="C160" s="1420">
        <v>397.53</v>
      </c>
      <c r="D160" s="1439"/>
      <c r="E160" s="1420">
        <v>336.68</v>
      </c>
      <c r="F160" s="1439"/>
      <c r="G160" s="1421">
        <v>-0.17</v>
      </c>
      <c r="H160" s="1439"/>
      <c r="I160" s="1420">
        <v>359.94</v>
      </c>
      <c r="J160" s="1439"/>
      <c r="K160" s="1420">
        <v>372.38</v>
      </c>
      <c r="L160" s="1439"/>
      <c r="M160" s="1422">
        <v>22489589</v>
      </c>
      <c r="N160" s="1439"/>
      <c r="O160" s="1422">
        <v>25</v>
      </c>
      <c r="P160" s="1439"/>
      <c r="Q160" s="1422">
        <v>25</v>
      </c>
      <c r="R160" s="1439"/>
      <c r="S160" s="1422">
        <v>0</v>
      </c>
      <c r="T160" s="1439"/>
      <c r="U160" s="1422">
        <v>0</v>
      </c>
      <c r="V160" s="1439"/>
      <c r="W160" s="1422">
        <v>8</v>
      </c>
      <c r="X160" s="1439"/>
      <c r="Y160" s="1422">
        <v>33</v>
      </c>
      <c r="Z160" s="1439"/>
      <c r="AA160" s="1420">
        <v>1774957.6</v>
      </c>
      <c r="AB160" s="1439"/>
      <c r="AC160" s="1420">
        <v>683925.93</v>
      </c>
      <c r="AD160" s="1422">
        <v>684000</v>
      </c>
      <c r="AE160" s="1420">
        <v>331974.58</v>
      </c>
      <c r="AF160" s="1422">
        <v>73100</v>
      </c>
      <c r="AG160" s="1422">
        <v>0</v>
      </c>
      <c r="AH160" s="1422">
        <v>0</v>
      </c>
      <c r="AI160" s="1422">
        <v>1385461</v>
      </c>
      <c r="AJ160" s="1422">
        <v>1384920</v>
      </c>
      <c r="AK160" s="1422">
        <v>39677</v>
      </c>
      <c r="AL160" s="1422">
        <v>39000</v>
      </c>
      <c r="AM160" s="1422">
        <v>0</v>
      </c>
      <c r="AN160" s="1422">
        <v>0</v>
      </c>
      <c r="AO160" s="1422">
        <v>0</v>
      </c>
      <c r="AP160" s="1422">
        <v>0</v>
      </c>
      <c r="AQ160" s="1422">
        <v>0</v>
      </c>
      <c r="AR160" s="1422">
        <v>0</v>
      </c>
      <c r="AS160" s="1422">
        <v>729859</v>
      </c>
      <c r="AT160" s="1422">
        <v>730000</v>
      </c>
      <c r="AU160" s="1422">
        <v>8469</v>
      </c>
      <c r="AV160" s="1422">
        <v>6776</v>
      </c>
      <c r="AW160" s="1422">
        <v>0</v>
      </c>
      <c r="AX160" s="1422">
        <v>0</v>
      </c>
      <c r="AY160" s="1420">
        <v>3179366.51</v>
      </c>
      <c r="AZ160" s="1422">
        <v>2917796</v>
      </c>
      <c r="BA160" s="1422">
        <v>0</v>
      </c>
      <c r="BB160" s="1422">
        <v>0</v>
      </c>
      <c r="BC160" s="1422">
        <v>15402</v>
      </c>
      <c r="BD160" s="1422">
        <v>15325</v>
      </c>
      <c r="BE160" s="1420">
        <v>390876.83</v>
      </c>
      <c r="BF160" s="1422">
        <v>385000</v>
      </c>
      <c r="BG160" s="1422">
        <v>3100</v>
      </c>
      <c r="BH160" s="1422">
        <v>0</v>
      </c>
      <c r="BI160" s="1422">
        <v>0</v>
      </c>
      <c r="BJ160" s="1422">
        <v>0</v>
      </c>
      <c r="BK160" s="1422">
        <v>0</v>
      </c>
      <c r="BL160" s="1422">
        <v>0</v>
      </c>
      <c r="BM160" s="1422">
        <v>284704</v>
      </c>
      <c r="BN160" s="1422">
        <v>283360</v>
      </c>
      <c r="BO160" s="1420">
        <v>51963.19</v>
      </c>
      <c r="BP160" s="1422">
        <v>0</v>
      </c>
      <c r="BQ160" s="1420">
        <v>2437.52</v>
      </c>
      <c r="BR160" s="1422">
        <v>2000</v>
      </c>
      <c r="BS160" s="1420">
        <v>1748.74</v>
      </c>
      <c r="BT160" s="1422">
        <v>1000</v>
      </c>
      <c r="BU160" s="1422">
        <v>0</v>
      </c>
      <c r="BV160" s="1422">
        <v>0</v>
      </c>
      <c r="BW160" s="1422">
        <v>0</v>
      </c>
      <c r="BX160" s="1422">
        <v>0</v>
      </c>
      <c r="BY160" s="1422">
        <v>0</v>
      </c>
      <c r="BZ160" s="1422">
        <v>0</v>
      </c>
      <c r="CA160" s="1420">
        <v>61046.58</v>
      </c>
      <c r="CB160" s="1420">
        <v>49722.13</v>
      </c>
      <c r="CC160" s="1420">
        <v>811278.86</v>
      </c>
      <c r="CD160" s="1420">
        <v>736407.13</v>
      </c>
      <c r="CE160" s="1420">
        <v>1486373.05</v>
      </c>
      <c r="CF160" s="1420">
        <v>1029264.42</v>
      </c>
      <c r="CG160" s="1422">
        <v>115690</v>
      </c>
      <c r="CH160" s="1420">
        <v>2033652.96</v>
      </c>
      <c r="CI160" s="1422">
        <v>0</v>
      </c>
      <c r="CJ160" s="1422">
        <v>0</v>
      </c>
      <c r="CK160" s="1422">
        <v>4000</v>
      </c>
      <c r="CL160" s="1422">
        <v>4000</v>
      </c>
      <c r="CM160" s="1422">
        <v>0</v>
      </c>
      <c r="CN160" s="1422">
        <v>0</v>
      </c>
      <c r="CO160" s="1420">
        <v>66977.009999999995</v>
      </c>
      <c r="CP160" s="1422">
        <v>0</v>
      </c>
      <c r="CQ160" s="1422">
        <v>0</v>
      </c>
      <c r="CR160" s="1422">
        <v>0</v>
      </c>
      <c r="CS160" s="1420">
        <v>186667.01</v>
      </c>
      <c r="CT160" s="1420">
        <v>2037652.96</v>
      </c>
      <c r="CU160" s="1420">
        <v>5663685.4299999997</v>
      </c>
      <c r="CV160" s="1420">
        <v>6721120.5099999998</v>
      </c>
      <c r="CW160" s="1420">
        <v>1860107.04</v>
      </c>
      <c r="CX160" s="1420">
        <v>1751835.92</v>
      </c>
      <c r="CY160" s="1420">
        <v>263016.34999999998</v>
      </c>
      <c r="CZ160" s="1420">
        <v>259446.05</v>
      </c>
      <c r="DA160" s="1420">
        <v>282019.56</v>
      </c>
      <c r="DB160" s="1420">
        <v>228299.71</v>
      </c>
      <c r="DC160" s="1422">
        <v>0</v>
      </c>
      <c r="DD160" s="1422">
        <v>0</v>
      </c>
      <c r="DE160" s="1420">
        <v>227103.32</v>
      </c>
      <c r="DF160" s="1420">
        <v>207453.95</v>
      </c>
      <c r="DG160" s="1420">
        <v>183757.96</v>
      </c>
      <c r="DH160" s="1420">
        <v>188154.52</v>
      </c>
      <c r="DI160" s="1420">
        <v>2816004.23</v>
      </c>
      <c r="DJ160" s="1420">
        <v>2635190.15</v>
      </c>
      <c r="DK160" s="1420">
        <v>268944.76</v>
      </c>
      <c r="DL160" s="1420">
        <v>300317.09000000003</v>
      </c>
      <c r="DM160" s="1420">
        <v>79000.38</v>
      </c>
      <c r="DN160" s="1420">
        <v>102936.8</v>
      </c>
      <c r="DO160" s="1420">
        <v>426383.11</v>
      </c>
      <c r="DP160" s="1420">
        <v>462722.96</v>
      </c>
      <c r="DQ160" s="1420">
        <v>578264.51</v>
      </c>
      <c r="DR160" s="1420">
        <v>346257.18</v>
      </c>
      <c r="DS160" s="1420">
        <v>4825.3</v>
      </c>
      <c r="DT160" s="1422">
        <v>950</v>
      </c>
      <c r="DU160" s="1420">
        <v>1357418.06</v>
      </c>
      <c r="DV160" s="1420">
        <v>1213184.03</v>
      </c>
      <c r="DW160" s="1420">
        <v>64519.040000000001</v>
      </c>
      <c r="DX160" s="1420">
        <v>69796.149999999994</v>
      </c>
      <c r="DY160" s="1420">
        <v>322524.84000000003</v>
      </c>
      <c r="DZ160" s="1420">
        <v>245580.93</v>
      </c>
      <c r="EA160" s="1420">
        <v>169895.36</v>
      </c>
      <c r="EB160" s="1420">
        <v>165264.6</v>
      </c>
      <c r="EC160" s="1420">
        <v>556939.24</v>
      </c>
      <c r="ED160" s="1420">
        <v>480641.68</v>
      </c>
      <c r="EE160" s="1420">
        <v>267094.75</v>
      </c>
      <c r="EF160" s="1420">
        <v>252985.69</v>
      </c>
      <c r="EG160" s="1422">
        <v>0</v>
      </c>
      <c r="EH160" s="1422">
        <v>0</v>
      </c>
      <c r="EI160" s="1422">
        <v>0</v>
      </c>
      <c r="EJ160" s="1422">
        <v>3624</v>
      </c>
      <c r="EK160" s="1422">
        <v>0</v>
      </c>
      <c r="EL160" s="1422">
        <v>0</v>
      </c>
      <c r="EM160" s="1420">
        <v>267094.75</v>
      </c>
      <c r="EN160" s="1420">
        <v>256609.69</v>
      </c>
      <c r="EO160" s="1420">
        <v>647849.61</v>
      </c>
      <c r="EP160" s="1422">
        <v>3426000</v>
      </c>
      <c r="EQ160" s="1420">
        <v>228104.61</v>
      </c>
      <c r="ER160" s="1422">
        <v>322450</v>
      </c>
      <c r="ES160" s="1422">
        <v>0</v>
      </c>
      <c r="ET160" s="1422">
        <v>0</v>
      </c>
      <c r="EU160" s="1420">
        <v>5873410.5</v>
      </c>
      <c r="EV160" s="1420">
        <v>8334075.5499999998</v>
      </c>
      <c r="EW160" s="1420">
        <v>978508.22</v>
      </c>
      <c r="EX160" s="1420">
        <v>3429621.24</v>
      </c>
      <c r="EY160" s="1420">
        <v>228104.61</v>
      </c>
      <c r="EZ160" s="1422">
        <v>322450</v>
      </c>
      <c r="FA160" s="1420">
        <v>4666797.67</v>
      </c>
      <c r="FB160" s="1420">
        <v>4582004.3099999996</v>
      </c>
      <c r="FC160" s="1420">
        <v>133670.39999999999</v>
      </c>
      <c r="FD160" s="1439"/>
      <c r="FE160" s="1420">
        <v>4533127.2699999996</v>
      </c>
      <c r="FF160" s="1439"/>
      <c r="FG160" s="1422">
        <v>13464</v>
      </c>
      <c r="FH160" s="1439"/>
      <c r="FI160" s="1420">
        <v>42.82</v>
      </c>
      <c r="FJ160" s="1439"/>
      <c r="FK160" s="1422">
        <v>35976</v>
      </c>
      <c r="FL160" s="1439"/>
      <c r="FM160" s="1420">
        <v>46.89</v>
      </c>
      <c r="FN160" s="1439"/>
      <c r="FO160" s="1422">
        <v>39423</v>
      </c>
      <c r="FP160" s="1439"/>
      <c r="FQ160" s="1420">
        <v>2266300.3199999998</v>
      </c>
      <c r="FR160" s="1439"/>
      <c r="FS160" s="1420">
        <v>28710.9</v>
      </c>
      <c r="FT160" s="1439"/>
      <c r="FU160" s="1422">
        <v>0</v>
      </c>
      <c r="FV160" s="1439"/>
      <c r="FW160" s="1420">
        <v>2237589.42</v>
      </c>
      <c r="FX160" s="1439"/>
      <c r="FY160" s="1420">
        <v>24205.45</v>
      </c>
      <c r="FZ160" s="1439"/>
      <c r="GA160" s="1422">
        <v>0</v>
      </c>
      <c r="GB160" s="1439"/>
    </row>
    <row r="161" spans="1:184" ht="12.75" customHeight="1" thickBot="1">
      <c r="A161" s="1418" t="s">
        <v>372</v>
      </c>
      <c r="B161" s="1418" t="s">
        <v>373</v>
      </c>
      <c r="C161" s="1420">
        <v>251.47</v>
      </c>
      <c r="D161" s="1439"/>
      <c r="E161" s="1420">
        <v>539.85</v>
      </c>
      <c r="F161" s="1439"/>
      <c r="G161" s="1421">
        <v>-0.13</v>
      </c>
      <c r="H161" s="1439"/>
      <c r="I161" s="1420">
        <v>565.98</v>
      </c>
      <c r="J161" s="1439"/>
      <c r="K161" s="1420">
        <v>579.35</v>
      </c>
      <c r="L161" s="1439"/>
      <c r="M161" s="1422">
        <v>31660701</v>
      </c>
      <c r="N161" s="1439"/>
      <c r="O161" s="1422">
        <v>25</v>
      </c>
      <c r="P161" s="1439"/>
      <c r="Q161" s="1422">
        <v>25</v>
      </c>
      <c r="R161" s="1439"/>
      <c r="S161" s="1422">
        <v>0</v>
      </c>
      <c r="T161" s="1439"/>
      <c r="U161" s="1422">
        <v>0</v>
      </c>
      <c r="V161" s="1439"/>
      <c r="W161" s="1420">
        <v>9.9</v>
      </c>
      <c r="X161" s="1439"/>
      <c r="Y161" s="1420">
        <v>34.9</v>
      </c>
      <c r="Z161" s="1439"/>
      <c r="AA161" s="1420">
        <v>2750253.62</v>
      </c>
      <c r="AB161" s="1439"/>
      <c r="AC161" s="1420">
        <v>1007199.16</v>
      </c>
      <c r="AD161" s="1422">
        <v>885000</v>
      </c>
      <c r="AE161" s="1420">
        <v>353489.02</v>
      </c>
      <c r="AF161" s="1422">
        <v>130150</v>
      </c>
      <c r="AG161" s="1420">
        <v>54169.57</v>
      </c>
      <c r="AH161" s="1422">
        <v>40000</v>
      </c>
      <c r="AI161" s="1422">
        <v>2698716</v>
      </c>
      <c r="AJ161" s="1422">
        <v>2658757</v>
      </c>
      <c r="AK161" s="1422">
        <v>26115</v>
      </c>
      <c r="AL161" s="1422">
        <v>10000</v>
      </c>
      <c r="AM161" s="1422">
        <v>0</v>
      </c>
      <c r="AN161" s="1422">
        <v>0</v>
      </c>
      <c r="AO161" s="1422">
        <v>86641</v>
      </c>
      <c r="AP161" s="1422">
        <v>45036</v>
      </c>
      <c r="AQ161" s="1422">
        <v>0</v>
      </c>
      <c r="AR161" s="1422">
        <v>0</v>
      </c>
      <c r="AS161" s="1422">
        <v>0</v>
      </c>
      <c r="AT161" s="1422">
        <v>0</v>
      </c>
      <c r="AU161" s="1422">
        <v>13662</v>
      </c>
      <c r="AV161" s="1422">
        <v>10930</v>
      </c>
      <c r="AW161" s="1422">
        <v>0</v>
      </c>
      <c r="AX161" s="1422">
        <v>0</v>
      </c>
      <c r="AY161" s="1420">
        <v>4239991.75</v>
      </c>
      <c r="AZ161" s="1422">
        <v>3779873</v>
      </c>
      <c r="BA161" s="1422">
        <v>0</v>
      </c>
      <c r="BB161" s="1422">
        <v>0</v>
      </c>
      <c r="BC161" s="1422">
        <v>23962</v>
      </c>
      <c r="BD161" s="1422">
        <v>23932</v>
      </c>
      <c r="BE161" s="1420">
        <v>1322.31</v>
      </c>
      <c r="BF161" s="1422">
        <v>2400</v>
      </c>
      <c r="BG161" s="1422">
        <v>50</v>
      </c>
      <c r="BH161" s="1422">
        <v>0</v>
      </c>
      <c r="BI161" s="1422">
        <v>10401</v>
      </c>
      <c r="BJ161" s="1422">
        <v>24000</v>
      </c>
      <c r="BK161" s="1422">
        <v>0</v>
      </c>
      <c r="BL161" s="1422">
        <v>0</v>
      </c>
      <c r="BM161" s="1422">
        <v>404736</v>
      </c>
      <c r="BN161" s="1422">
        <v>395692</v>
      </c>
      <c r="BO161" s="1420">
        <v>4445.3999999999996</v>
      </c>
      <c r="BP161" s="1422">
        <v>0</v>
      </c>
      <c r="BQ161" s="1420">
        <v>34937.519999999997</v>
      </c>
      <c r="BR161" s="1420">
        <v>47937.5</v>
      </c>
      <c r="BS161" s="1420">
        <v>2138.4699999999998</v>
      </c>
      <c r="BT161" s="1422">
        <v>2000</v>
      </c>
      <c r="BU161" s="1422">
        <v>0</v>
      </c>
      <c r="BV161" s="1422">
        <v>0</v>
      </c>
      <c r="BW161" s="1422">
        <v>0</v>
      </c>
      <c r="BX161" s="1422">
        <v>0</v>
      </c>
      <c r="BY161" s="1422">
        <v>0</v>
      </c>
      <c r="BZ161" s="1422">
        <v>0</v>
      </c>
      <c r="CA161" s="1422">
        <v>58932</v>
      </c>
      <c r="CB161" s="1422">
        <v>54289</v>
      </c>
      <c r="CC161" s="1420">
        <v>540924.69999999995</v>
      </c>
      <c r="CD161" s="1420">
        <v>550250.5</v>
      </c>
      <c r="CE161" s="1420">
        <v>1195220.1499999999</v>
      </c>
      <c r="CF161" s="1420">
        <v>1098439.1100000001</v>
      </c>
      <c r="CG161" s="1420">
        <v>6308.89</v>
      </c>
      <c r="CH161" s="1422">
        <v>0</v>
      </c>
      <c r="CI161" s="1422">
        <v>0</v>
      </c>
      <c r="CJ161" s="1422">
        <v>0</v>
      </c>
      <c r="CK161" s="1422">
        <v>0</v>
      </c>
      <c r="CL161" s="1422">
        <v>0</v>
      </c>
      <c r="CM161" s="1422">
        <v>0</v>
      </c>
      <c r="CN161" s="1422">
        <v>0</v>
      </c>
      <c r="CO161" s="1422">
        <v>0</v>
      </c>
      <c r="CP161" s="1422">
        <v>0</v>
      </c>
      <c r="CQ161" s="1422">
        <v>0</v>
      </c>
      <c r="CR161" s="1422">
        <v>0</v>
      </c>
      <c r="CS161" s="1420">
        <v>6308.89</v>
      </c>
      <c r="CT161" s="1422">
        <v>0</v>
      </c>
      <c r="CU161" s="1420">
        <v>5982445.4900000002</v>
      </c>
      <c r="CV161" s="1420">
        <v>5428562.6100000003</v>
      </c>
      <c r="CW161" s="1420">
        <v>2271927.54</v>
      </c>
      <c r="CX161" s="1420">
        <v>2378013.69</v>
      </c>
      <c r="CY161" s="1420">
        <v>260463.71</v>
      </c>
      <c r="CZ161" s="1420">
        <v>219242.98</v>
      </c>
      <c r="DA161" s="1420">
        <v>114632.42</v>
      </c>
      <c r="DB161" s="1420">
        <v>117956.64</v>
      </c>
      <c r="DC161" s="1422">
        <v>0</v>
      </c>
      <c r="DD161" s="1422">
        <v>0</v>
      </c>
      <c r="DE161" s="1420">
        <v>267480.28000000003</v>
      </c>
      <c r="DF161" s="1420">
        <v>320258.73</v>
      </c>
      <c r="DG161" s="1420">
        <v>66732.75</v>
      </c>
      <c r="DH161" s="1420">
        <v>105381.99</v>
      </c>
      <c r="DI161" s="1420">
        <v>2981236.7</v>
      </c>
      <c r="DJ161" s="1420">
        <v>3140854.03</v>
      </c>
      <c r="DK161" s="1420">
        <v>157803.57</v>
      </c>
      <c r="DL161" s="1420">
        <v>173561.97</v>
      </c>
      <c r="DM161" s="1420">
        <v>111338.39</v>
      </c>
      <c r="DN161" s="1420">
        <v>105870.77</v>
      </c>
      <c r="DO161" s="1420">
        <v>512741.4</v>
      </c>
      <c r="DP161" s="1420">
        <v>595872.47</v>
      </c>
      <c r="DQ161" s="1420">
        <v>335038.3</v>
      </c>
      <c r="DR161" s="1420">
        <v>403519.67</v>
      </c>
      <c r="DS161" s="1420">
        <v>4563.87</v>
      </c>
      <c r="DT161" s="1422">
        <v>17600</v>
      </c>
      <c r="DU161" s="1420">
        <v>1121485.53</v>
      </c>
      <c r="DV161" s="1420">
        <v>1296424.8799999999</v>
      </c>
      <c r="DW161" s="1420">
        <v>269630.09000000003</v>
      </c>
      <c r="DX161" s="1420">
        <v>308966.40000000002</v>
      </c>
      <c r="DY161" s="1422">
        <v>450222</v>
      </c>
      <c r="DZ161" s="1420">
        <v>462672.98</v>
      </c>
      <c r="EA161" s="1420">
        <v>246334.85</v>
      </c>
      <c r="EB161" s="1420">
        <v>249393.69</v>
      </c>
      <c r="EC161" s="1420">
        <v>966186.94</v>
      </c>
      <c r="ED161" s="1420">
        <v>1021033.07</v>
      </c>
      <c r="EE161" s="1420">
        <v>303489.65000000002</v>
      </c>
      <c r="EF161" s="1420">
        <v>324645.05</v>
      </c>
      <c r="EG161" s="1420">
        <v>31178.26</v>
      </c>
      <c r="EH161" s="1420">
        <v>7917.44</v>
      </c>
      <c r="EI161" s="1420">
        <v>94.08</v>
      </c>
      <c r="EJ161" s="1420">
        <v>2900.83</v>
      </c>
      <c r="EK161" s="1422">
        <v>0</v>
      </c>
      <c r="EL161" s="1422">
        <v>0</v>
      </c>
      <c r="EM161" s="1420">
        <v>334761.99</v>
      </c>
      <c r="EN161" s="1420">
        <v>335463.32</v>
      </c>
      <c r="EO161" s="1420">
        <v>194232.81</v>
      </c>
      <c r="EP161" s="1420">
        <v>44334.2</v>
      </c>
      <c r="EQ161" s="1420">
        <v>112243.5</v>
      </c>
      <c r="ER161" s="1422">
        <v>157485</v>
      </c>
      <c r="ES161" s="1422">
        <v>0</v>
      </c>
      <c r="ET161" s="1422">
        <v>0</v>
      </c>
      <c r="EU161" s="1420">
        <v>5710147.4699999997</v>
      </c>
      <c r="EV161" s="1420">
        <v>5995594.5</v>
      </c>
      <c r="EW161" s="1420">
        <v>326564.87</v>
      </c>
      <c r="EX161" s="1420">
        <v>223208.2</v>
      </c>
      <c r="EY161" s="1420">
        <v>112243.5</v>
      </c>
      <c r="EZ161" s="1422">
        <v>157485</v>
      </c>
      <c r="FA161" s="1420">
        <v>5271339.0999999996</v>
      </c>
      <c r="FB161" s="1420">
        <v>5614901.2999999998</v>
      </c>
      <c r="FC161" s="1420">
        <v>295711.03999999998</v>
      </c>
      <c r="FD161" s="1439"/>
      <c r="FE161" s="1420">
        <v>4975628.0599999996</v>
      </c>
      <c r="FF161" s="1439"/>
      <c r="FG161" s="1422">
        <v>9216</v>
      </c>
      <c r="FH161" s="1439"/>
      <c r="FI161" s="1420">
        <v>48.43</v>
      </c>
      <c r="FJ161" s="1439"/>
      <c r="FK161" s="1422">
        <v>36860</v>
      </c>
      <c r="FL161" s="1439"/>
      <c r="FM161" s="1420">
        <v>53.6</v>
      </c>
      <c r="FN161" s="1439"/>
      <c r="FO161" s="1422">
        <v>39481</v>
      </c>
      <c r="FP161" s="1439"/>
      <c r="FQ161" s="1420">
        <v>1782449.88</v>
      </c>
      <c r="FR161" s="1439"/>
      <c r="FS161" s="1420">
        <v>211602.83</v>
      </c>
      <c r="FT161" s="1439"/>
      <c r="FU161" s="1422">
        <v>0</v>
      </c>
      <c r="FV161" s="1439"/>
      <c r="FW161" s="1420">
        <v>1570847.05</v>
      </c>
      <c r="FX161" s="1439"/>
      <c r="FY161" s="1420">
        <v>150397.43</v>
      </c>
      <c r="FZ161" s="1439"/>
      <c r="GA161" s="1422">
        <v>0</v>
      </c>
      <c r="GB161" s="1439"/>
    </row>
    <row r="162" spans="1:184" ht="12.75" customHeight="1" thickBot="1">
      <c r="A162" s="1418" t="s">
        <v>374</v>
      </c>
      <c r="B162" s="1418" t="s">
        <v>375</v>
      </c>
      <c r="C162" s="1420">
        <v>336.37</v>
      </c>
      <c r="D162" s="1439"/>
      <c r="E162" s="1420">
        <v>2299.54</v>
      </c>
      <c r="F162" s="1439"/>
      <c r="G162" s="1421">
        <v>-0.12</v>
      </c>
      <c r="H162" s="1439"/>
      <c r="I162" s="1420">
        <v>2428.25</v>
      </c>
      <c r="J162" s="1439"/>
      <c r="K162" s="1420">
        <v>2440.6999999999998</v>
      </c>
      <c r="L162" s="1439"/>
      <c r="M162" s="1422">
        <v>146046597</v>
      </c>
      <c r="N162" s="1439"/>
      <c r="O162" s="1422">
        <v>25</v>
      </c>
      <c r="P162" s="1439"/>
      <c r="Q162" s="1422">
        <v>25</v>
      </c>
      <c r="R162" s="1439"/>
      <c r="S162" s="1422">
        <v>0</v>
      </c>
      <c r="T162" s="1439"/>
      <c r="U162" s="1422">
        <v>0</v>
      </c>
      <c r="V162" s="1439"/>
      <c r="W162" s="1422">
        <v>9</v>
      </c>
      <c r="X162" s="1439"/>
      <c r="Y162" s="1422">
        <v>34</v>
      </c>
      <c r="Z162" s="1439"/>
      <c r="AA162" s="1422">
        <v>13965000</v>
      </c>
      <c r="AB162" s="1439"/>
      <c r="AC162" s="1420">
        <v>4512624.62</v>
      </c>
      <c r="AD162" s="1422">
        <v>4680466</v>
      </c>
      <c r="AE162" s="1420">
        <v>1134712.04</v>
      </c>
      <c r="AF162" s="1422">
        <v>973919</v>
      </c>
      <c r="AG162" s="1420">
        <v>227428.18</v>
      </c>
      <c r="AH162" s="1422">
        <v>225000</v>
      </c>
      <c r="AI162" s="1422">
        <v>11079773</v>
      </c>
      <c r="AJ162" s="1422">
        <v>11203178</v>
      </c>
      <c r="AK162" s="1422">
        <v>152198</v>
      </c>
      <c r="AL162" s="1422">
        <v>0</v>
      </c>
      <c r="AM162" s="1422">
        <v>0</v>
      </c>
      <c r="AN162" s="1422">
        <v>0</v>
      </c>
      <c r="AO162" s="1422">
        <v>114949</v>
      </c>
      <c r="AP162" s="1422">
        <v>20429</v>
      </c>
      <c r="AQ162" s="1422">
        <v>0</v>
      </c>
      <c r="AR162" s="1422">
        <v>0</v>
      </c>
      <c r="AS162" s="1422">
        <v>0</v>
      </c>
      <c r="AT162" s="1422">
        <v>0</v>
      </c>
      <c r="AU162" s="1422">
        <v>48297</v>
      </c>
      <c r="AV162" s="1422">
        <v>38637</v>
      </c>
      <c r="AW162" s="1422">
        <v>0</v>
      </c>
      <c r="AX162" s="1422">
        <v>0</v>
      </c>
      <c r="AY162" s="1420">
        <v>17269981.84</v>
      </c>
      <c r="AZ162" s="1422">
        <v>17141629</v>
      </c>
      <c r="BA162" s="1422">
        <v>0</v>
      </c>
      <c r="BB162" s="1422">
        <v>0</v>
      </c>
      <c r="BC162" s="1422">
        <v>100947</v>
      </c>
      <c r="BD162" s="1422">
        <v>103155</v>
      </c>
      <c r="BE162" s="1420">
        <v>22385.27</v>
      </c>
      <c r="BF162" s="1422">
        <v>15600</v>
      </c>
      <c r="BG162" s="1422">
        <v>600</v>
      </c>
      <c r="BH162" s="1422">
        <v>0</v>
      </c>
      <c r="BI162" s="1422">
        <v>217411</v>
      </c>
      <c r="BJ162" s="1422">
        <v>167168</v>
      </c>
      <c r="BK162" s="1422">
        <v>1465</v>
      </c>
      <c r="BL162" s="1422">
        <v>0</v>
      </c>
      <c r="BM162" s="1422">
        <v>1777664</v>
      </c>
      <c r="BN162" s="1422">
        <v>1837792</v>
      </c>
      <c r="BO162" s="1420">
        <v>15835.79</v>
      </c>
      <c r="BP162" s="1422">
        <v>33111</v>
      </c>
      <c r="BQ162" s="1420">
        <v>163185.91</v>
      </c>
      <c r="BR162" s="1422">
        <v>138937</v>
      </c>
      <c r="BS162" s="1420">
        <v>16179.53</v>
      </c>
      <c r="BT162" s="1422">
        <v>13275</v>
      </c>
      <c r="BU162" s="1422">
        <v>0</v>
      </c>
      <c r="BV162" s="1422">
        <v>0</v>
      </c>
      <c r="BW162" s="1422">
        <v>528226</v>
      </c>
      <c r="BX162" s="1422">
        <v>513382</v>
      </c>
      <c r="BY162" s="1422">
        <v>0</v>
      </c>
      <c r="BZ162" s="1422">
        <v>0</v>
      </c>
      <c r="CA162" s="1420">
        <v>660187.56999999995</v>
      </c>
      <c r="CB162" s="1422">
        <v>213123</v>
      </c>
      <c r="CC162" s="1420">
        <v>3504087.07</v>
      </c>
      <c r="CD162" s="1422">
        <v>3035543</v>
      </c>
      <c r="CE162" s="1420">
        <v>5748307.1600000001</v>
      </c>
      <c r="CF162" s="1420">
        <v>4243823.49</v>
      </c>
      <c r="CG162" s="1422">
        <v>0</v>
      </c>
      <c r="CH162" s="1422">
        <v>0</v>
      </c>
      <c r="CI162" s="1422">
        <v>0</v>
      </c>
      <c r="CJ162" s="1422">
        <v>0</v>
      </c>
      <c r="CK162" s="1420">
        <v>34337.96</v>
      </c>
      <c r="CL162" s="1422">
        <v>44000</v>
      </c>
      <c r="CM162" s="1420">
        <v>32160.81</v>
      </c>
      <c r="CN162" s="1422">
        <v>0</v>
      </c>
      <c r="CO162" s="1420">
        <v>13163.34</v>
      </c>
      <c r="CP162" s="1422">
        <v>0</v>
      </c>
      <c r="CQ162" s="1422">
        <v>0</v>
      </c>
      <c r="CR162" s="1422">
        <v>0</v>
      </c>
      <c r="CS162" s="1420">
        <v>79662.11</v>
      </c>
      <c r="CT162" s="1422">
        <v>44000</v>
      </c>
      <c r="CU162" s="1420">
        <v>26602038.18</v>
      </c>
      <c r="CV162" s="1420">
        <v>24464995.489999998</v>
      </c>
      <c r="CW162" s="1420">
        <v>8284829.7300000004</v>
      </c>
      <c r="CX162" s="1420">
        <v>7833929.0599999996</v>
      </c>
      <c r="CY162" s="1420">
        <v>1323217.6599999999</v>
      </c>
      <c r="CZ162" s="1420">
        <v>1430472.23</v>
      </c>
      <c r="DA162" s="1420">
        <v>859900.68</v>
      </c>
      <c r="DB162" s="1420">
        <v>709929.01</v>
      </c>
      <c r="DC162" s="1422">
        <v>0</v>
      </c>
      <c r="DD162" s="1422">
        <v>0</v>
      </c>
      <c r="DE162" s="1420">
        <v>1521549.82</v>
      </c>
      <c r="DF162" s="1420">
        <v>1673692.66</v>
      </c>
      <c r="DG162" s="1420">
        <v>1305050.26</v>
      </c>
      <c r="DH162" s="1420">
        <v>1274799.74</v>
      </c>
      <c r="DI162" s="1420">
        <v>13294548.15</v>
      </c>
      <c r="DJ162" s="1420">
        <v>12922822.699999999</v>
      </c>
      <c r="DK162" s="1420">
        <v>499484.8</v>
      </c>
      <c r="DL162" s="1420">
        <v>384360.32</v>
      </c>
      <c r="DM162" s="1420">
        <v>596580.06999999995</v>
      </c>
      <c r="DN162" s="1420">
        <v>487289.71</v>
      </c>
      <c r="DO162" s="1420">
        <v>2928060.52</v>
      </c>
      <c r="DP162" s="1420">
        <v>2497206.4500000002</v>
      </c>
      <c r="DQ162" s="1420">
        <v>1358014.64</v>
      </c>
      <c r="DR162" s="1420">
        <v>1259109.3700000001</v>
      </c>
      <c r="DS162" s="1420">
        <v>67365.09</v>
      </c>
      <c r="DT162" s="1420">
        <v>77028.37</v>
      </c>
      <c r="DU162" s="1420">
        <v>5449505.1200000001</v>
      </c>
      <c r="DV162" s="1420">
        <v>4704994.22</v>
      </c>
      <c r="DW162" s="1420">
        <v>1722308.4</v>
      </c>
      <c r="DX162" s="1420">
        <v>1812465.45</v>
      </c>
      <c r="DY162" s="1420">
        <v>2429309.65</v>
      </c>
      <c r="DZ162" s="1420">
        <v>2514648.89</v>
      </c>
      <c r="EA162" s="1420">
        <v>1206669.47</v>
      </c>
      <c r="EB162" s="1420">
        <v>1204216.96</v>
      </c>
      <c r="EC162" s="1420">
        <v>5358287.5199999996</v>
      </c>
      <c r="ED162" s="1420">
        <v>5531331.2999999998</v>
      </c>
      <c r="EE162" s="1420">
        <v>1572303.3</v>
      </c>
      <c r="EF162" s="1420">
        <v>1489991.18</v>
      </c>
      <c r="EG162" s="1422">
        <v>0</v>
      </c>
      <c r="EH162" s="1422">
        <v>0</v>
      </c>
      <c r="EI162" s="1420">
        <v>2900.55</v>
      </c>
      <c r="EJ162" s="1420">
        <v>12734.62</v>
      </c>
      <c r="EK162" s="1422">
        <v>0</v>
      </c>
      <c r="EL162" s="1422">
        <v>0</v>
      </c>
      <c r="EM162" s="1420">
        <v>1575203.85</v>
      </c>
      <c r="EN162" s="1420">
        <v>1502725.8</v>
      </c>
      <c r="EO162" s="1420">
        <v>685583.94</v>
      </c>
      <c r="EP162" s="1422">
        <v>168973</v>
      </c>
      <c r="EQ162" s="1422">
        <v>936044</v>
      </c>
      <c r="ER162" s="1422">
        <v>940094</v>
      </c>
      <c r="ES162" s="1422">
        <v>0</v>
      </c>
      <c r="ET162" s="1422">
        <v>0</v>
      </c>
      <c r="EU162" s="1420">
        <v>27299172.579999998</v>
      </c>
      <c r="EV162" s="1420">
        <v>25770941.02</v>
      </c>
      <c r="EW162" s="1420">
        <v>1940241.99</v>
      </c>
      <c r="EX162" s="1420">
        <v>444549.9</v>
      </c>
      <c r="EY162" s="1422">
        <v>936044</v>
      </c>
      <c r="EZ162" s="1422">
        <v>940094</v>
      </c>
      <c r="FA162" s="1420">
        <v>24422886.59</v>
      </c>
      <c r="FB162" s="1420">
        <v>24386297.120000001</v>
      </c>
      <c r="FC162" s="1420">
        <v>1020557.51</v>
      </c>
      <c r="FD162" s="1439"/>
      <c r="FE162" s="1420">
        <v>23402329.079999998</v>
      </c>
      <c r="FF162" s="1439"/>
      <c r="FG162" s="1422">
        <v>10176</v>
      </c>
      <c r="FH162" s="1439"/>
      <c r="FI162" s="1420">
        <v>170.51</v>
      </c>
      <c r="FJ162" s="1439"/>
      <c r="FK162" s="1422">
        <v>44109</v>
      </c>
      <c r="FL162" s="1439"/>
      <c r="FM162" s="1420">
        <v>196.7</v>
      </c>
      <c r="FN162" s="1439"/>
      <c r="FO162" s="1422">
        <v>47313</v>
      </c>
      <c r="FP162" s="1439"/>
      <c r="FQ162" s="1420">
        <v>3091955.67</v>
      </c>
      <c r="FR162" s="1439"/>
      <c r="FS162" s="1420">
        <v>328473.21999999997</v>
      </c>
      <c r="FT162" s="1439"/>
      <c r="FU162" s="1422">
        <v>0</v>
      </c>
      <c r="FV162" s="1439"/>
      <c r="FW162" s="1420">
        <v>2763482.45</v>
      </c>
      <c r="FX162" s="1439"/>
      <c r="FY162" s="1420">
        <v>868155.5</v>
      </c>
      <c r="FZ162" s="1439"/>
      <c r="GA162" s="1422">
        <v>0</v>
      </c>
      <c r="GB162" s="1439"/>
    </row>
    <row r="163" spans="1:184" ht="12.75" customHeight="1" thickBot="1">
      <c r="A163" s="1418" t="s">
        <v>376</v>
      </c>
      <c r="B163" s="1418" t="s">
        <v>377</v>
      </c>
      <c r="C163" s="1420">
        <v>360.88</v>
      </c>
      <c r="D163" s="1439"/>
      <c r="E163" s="1420">
        <v>962.05</v>
      </c>
      <c r="F163" s="1439"/>
      <c r="G163" s="1421">
        <v>-0.02</v>
      </c>
      <c r="H163" s="1439"/>
      <c r="I163" s="1420">
        <v>1007.33</v>
      </c>
      <c r="J163" s="1439"/>
      <c r="K163" s="1420">
        <v>1018.53</v>
      </c>
      <c r="L163" s="1439"/>
      <c r="M163" s="1422">
        <v>43274386</v>
      </c>
      <c r="N163" s="1439"/>
      <c r="O163" s="1422">
        <v>25</v>
      </c>
      <c r="P163" s="1439"/>
      <c r="Q163" s="1422">
        <v>25</v>
      </c>
      <c r="R163" s="1439"/>
      <c r="S163" s="1422">
        <v>0</v>
      </c>
      <c r="T163" s="1439"/>
      <c r="U163" s="1422">
        <v>0</v>
      </c>
      <c r="V163" s="1439"/>
      <c r="W163" s="1420">
        <v>15.2</v>
      </c>
      <c r="X163" s="1439"/>
      <c r="Y163" s="1420">
        <v>40.200000000000003</v>
      </c>
      <c r="Z163" s="1439"/>
      <c r="AA163" s="1422">
        <v>5665000</v>
      </c>
      <c r="AB163" s="1439"/>
      <c r="AC163" s="1420">
        <v>1572283.99</v>
      </c>
      <c r="AD163" s="1422">
        <v>1572966</v>
      </c>
      <c r="AE163" s="1420">
        <v>566272.37</v>
      </c>
      <c r="AF163" s="1422">
        <v>256743</v>
      </c>
      <c r="AG163" s="1420">
        <v>91585.18</v>
      </c>
      <c r="AH163" s="1422">
        <v>50000</v>
      </c>
      <c r="AI163" s="1422">
        <v>5066207</v>
      </c>
      <c r="AJ163" s="1422">
        <v>5068660</v>
      </c>
      <c r="AK163" s="1422">
        <v>64152</v>
      </c>
      <c r="AL163" s="1422">
        <v>0</v>
      </c>
      <c r="AM163" s="1422">
        <v>10390</v>
      </c>
      <c r="AN163" s="1422">
        <v>0</v>
      </c>
      <c r="AO163" s="1422">
        <v>0</v>
      </c>
      <c r="AP163" s="1422">
        <v>39660</v>
      </c>
      <c r="AQ163" s="1422">
        <v>0</v>
      </c>
      <c r="AR163" s="1422">
        <v>0</v>
      </c>
      <c r="AS163" s="1422">
        <v>212718</v>
      </c>
      <c r="AT163" s="1422">
        <v>0</v>
      </c>
      <c r="AU163" s="1422">
        <v>53343</v>
      </c>
      <c r="AV163" s="1422">
        <v>42674</v>
      </c>
      <c r="AW163" s="1422">
        <v>0</v>
      </c>
      <c r="AX163" s="1422">
        <v>0</v>
      </c>
      <c r="AY163" s="1420">
        <v>7636951.54</v>
      </c>
      <c r="AZ163" s="1422">
        <v>7030703</v>
      </c>
      <c r="BA163" s="1422">
        <v>0</v>
      </c>
      <c r="BB163" s="1422">
        <v>0</v>
      </c>
      <c r="BC163" s="1422">
        <v>42126</v>
      </c>
      <c r="BD163" s="1422">
        <v>42618</v>
      </c>
      <c r="BE163" s="1420">
        <v>389019.12</v>
      </c>
      <c r="BF163" s="1422">
        <v>0</v>
      </c>
      <c r="BG163" s="1422">
        <v>1500</v>
      </c>
      <c r="BH163" s="1422">
        <v>0</v>
      </c>
      <c r="BI163" s="1422">
        <v>21615</v>
      </c>
      <c r="BJ163" s="1422">
        <v>22673</v>
      </c>
      <c r="BK163" s="1422">
        <v>586</v>
      </c>
      <c r="BL163" s="1422">
        <v>0</v>
      </c>
      <c r="BM163" s="1422">
        <v>252960</v>
      </c>
      <c r="BN163" s="1422">
        <v>265144</v>
      </c>
      <c r="BO163" s="1420">
        <v>4172.54</v>
      </c>
      <c r="BP163" s="1422">
        <v>0</v>
      </c>
      <c r="BQ163" s="1422">
        <v>35750</v>
      </c>
      <c r="BR163" s="1422">
        <v>95062</v>
      </c>
      <c r="BS163" s="1420">
        <v>4158.37</v>
      </c>
      <c r="BT163" s="1422">
        <v>0</v>
      </c>
      <c r="BU163" s="1422">
        <v>0</v>
      </c>
      <c r="BV163" s="1422">
        <v>0</v>
      </c>
      <c r="BW163" s="1422">
        <v>0</v>
      </c>
      <c r="BX163" s="1422">
        <v>0</v>
      </c>
      <c r="BY163" s="1422">
        <v>0</v>
      </c>
      <c r="BZ163" s="1422">
        <v>0</v>
      </c>
      <c r="CA163" s="1420">
        <v>1569919.08</v>
      </c>
      <c r="CB163" s="1422">
        <v>98470</v>
      </c>
      <c r="CC163" s="1420">
        <v>2321806.11</v>
      </c>
      <c r="CD163" s="1422">
        <v>523967</v>
      </c>
      <c r="CE163" s="1420">
        <v>1302404.93</v>
      </c>
      <c r="CF163" s="1420">
        <v>1001959.41</v>
      </c>
      <c r="CG163" s="1422">
        <v>0</v>
      </c>
      <c r="CH163" s="1422">
        <v>0</v>
      </c>
      <c r="CI163" s="1422">
        <v>0</v>
      </c>
      <c r="CJ163" s="1422">
        <v>0</v>
      </c>
      <c r="CK163" s="1420">
        <v>2237.64</v>
      </c>
      <c r="CL163" s="1422">
        <v>0</v>
      </c>
      <c r="CM163" s="1422">
        <v>1600</v>
      </c>
      <c r="CN163" s="1422">
        <v>0</v>
      </c>
      <c r="CO163" s="1422">
        <v>0</v>
      </c>
      <c r="CP163" s="1422">
        <v>0</v>
      </c>
      <c r="CQ163" s="1422">
        <v>0</v>
      </c>
      <c r="CR163" s="1422">
        <v>0</v>
      </c>
      <c r="CS163" s="1420">
        <v>3837.64</v>
      </c>
      <c r="CT163" s="1422">
        <v>0</v>
      </c>
      <c r="CU163" s="1420">
        <v>11265000.220000001</v>
      </c>
      <c r="CV163" s="1420">
        <v>8556629.4100000001</v>
      </c>
      <c r="CW163" s="1420">
        <v>4239476.5199999996</v>
      </c>
      <c r="CX163" s="1420">
        <v>3812611.94</v>
      </c>
      <c r="CY163" s="1420">
        <v>449163.7</v>
      </c>
      <c r="CZ163" s="1420">
        <v>370013.52</v>
      </c>
      <c r="DA163" s="1420">
        <v>307255.84000000003</v>
      </c>
      <c r="DB163" s="1420">
        <v>297028.55</v>
      </c>
      <c r="DC163" s="1422">
        <v>0</v>
      </c>
      <c r="DD163" s="1422">
        <v>0</v>
      </c>
      <c r="DE163" s="1420">
        <v>210213.84</v>
      </c>
      <c r="DF163" s="1420">
        <v>229258.25</v>
      </c>
      <c r="DG163" s="1420">
        <v>200007.86</v>
      </c>
      <c r="DH163" s="1420">
        <v>181419.41</v>
      </c>
      <c r="DI163" s="1420">
        <v>5406117.7599999998</v>
      </c>
      <c r="DJ163" s="1420">
        <v>4890331.67</v>
      </c>
      <c r="DK163" s="1420">
        <v>303076.99</v>
      </c>
      <c r="DL163" s="1420">
        <v>302367.19</v>
      </c>
      <c r="DM163" s="1420">
        <v>63491.79</v>
      </c>
      <c r="DN163" s="1420">
        <v>63016.93</v>
      </c>
      <c r="DO163" s="1420">
        <v>865134.46</v>
      </c>
      <c r="DP163" s="1420">
        <v>803647.79</v>
      </c>
      <c r="DQ163" s="1420">
        <v>537365.71</v>
      </c>
      <c r="DR163" s="1420">
        <v>612533.29</v>
      </c>
      <c r="DS163" s="1420">
        <v>11374.64</v>
      </c>
      <c r="DT163" s="1422">
        <v>3000</v>
      </c>
      <c r="DU163" s="1420">
        <v>1780443.59</v>
      </c>
      <c r="DV163" s="1420">
        <v>1784565.2</v>
      </c>
      <c r="DW163" s="1420">
        <v>441492.96</v>
      </c>
      <c r="DX163" s="1420">
        <v>426173.2</v>
      </c>
      <c r="DY163" s="1420">
        <v>919925.66</v>
      </c>
      <c r="DZ163" s="1420">
        <v>1181156.76</v>
      </c>
      <c r="EA163" s="1420">
        <v>446121.14</v>
      </c>
      <c r="EB163" s="1420">
        <v>441533.79</v>
      </c>
      <c r="EC163" s="1420">
        <v>1807539.76</v>
      </c>
      <c r="ED163" s="1420">
        <v>2048863.75</v>
      </c>
      <c r="EE163" s="1420">
        <v>518737.32</v>
      </c>
      <c r="EF163" s="1420">
        <v>243743.08</v>
      </c>
      <c r="EG163" s="1422">
        <v>0</v>
      </c>
      <c r="EH163" s="1422">
        <v>0</v>
      </c>
      <c r="EI163" s="1422">
        <v>0</v>
      </c>
      <c r="EJ163" s="1422">
        <v>2500</v>
      </c>
      <c r="EK163" s="1422">
        <v>0</v>
      </c>
      <c r="EL163" s="1422">
        <v>0</v>
      </c>
      <c r="EM163" s="1420">
        <v>518737.32</v>
      </c>
      <c r="EN163" s="1420">
        <v>246243.08</v>
      </c>
      <c r="EO163" s="1420">
        <v>2274034.46</v>
      </c>
      <c r="EP163" s="1422">
        <v>0</v>
      </c>
      <c r="EQ163" s="1422">
        <v>347499</v>
      </c>
      <c r="ER163" s="1422">
        <v>344355</v>
      </c>
      <c r="ES163" s="1422">
        <v>0</v>
      </c>
      <c r="ET163" s="1422">
        <v>0</v>
      </c>
      <c r="EU163" s="1420">
        <v>12134371.890000001</v>
      </c>
      <c r="EV163" s="1420">
        <v>9314358.6999999993</v>
      </c>
      <c r="EW163" s="1420">
        <v>2436624.13</v>
      </c>
      <c r="EX163" s="1422">
        <v>279512</v>
      </c>
      <c r="EY163" s="1422">
        <v>347499</v>
      </c>
      <c r="EZ163" s="1422">
        <v>344355</v>
      </c>
      <c r="FA163" s="1420">
        <v>9350248.7599999998</v>
      </c>
      <c r="FB163" s="1420">
        <v>8690491.6999999993</v>
      </c>
      <c r="FC163" s="1420">
        <v>513649.03</v>
      </c>
      <c r="FD163" s="1439"/>
      <c r="FE163" s="1420">
        <v>8836599.7300000004</v>
      </c>
      <c r="FF163" s="1439"/>
      <c r="FG163" s="1422">
        <v>9185</v>
      </c>
      <c r="FH163" s="1439"/>
      <c r="FI163" s="1420">
        <v>84.3</v>
      </c>
      <c r="FJ163" s="1439"/>
      <c r="FK163" s="1422">
        <v>38822</v>
      </c>
      <c r="FL163" s="1439"/>
      <c r="FM163" s="1420">
        <v>91.99</v>
      </c>
      <c r="FN163" s="1439"/>
      <c r="FO163" s="1422">
        <v>41729</v>
      </c>
      <c r="FP163" s="1439"/>
      <c r="FQ163" s="1420">
        <v>1445550.78</v>
      </c>
      <c r="FR163" s="1439"/>
      <c r="FS163" s="1420">
        <v>35092.660000000003</v>
      </c>
      <c r="FT163" s="1439"/>
      <c r="FU163" s="1422">
        <v>0</v>
      </c>
      <c r="FV163" s="1439"/>
      <c r="FW163" s="1420">
        <v>1410458.12</v>
      </c>
      <c r="FX163" s="1439"/>
      <c r="FY163" s="1420">
        <v>633816.35</v>
      </c>
      <c r="FZ163" s="1439"/>
      <c r="GA163" s="1422">
        <v>0</v>
      </c>
      <c r="GB163" s="1439"/>
    </row>
    <row r="164" spans="1:184" ht="12.75" customHeight="1" thickBot="1">
      <c r="A164" s="1418" t="s">
        <v>378</v>
      </c>
      <c r="B164" s="1418" t="s">
        <v>379</v>
      </c>
      <c r="C164" s="1420">
        <v>224.01</v>
      </c>
      <c r="D164" s="1439"/>
      <c r="E164" s="1420">
        <v>343.33</v>
      </c>
      <c r="F164" s="1439"/>
      <c r="G164" s="1421">
        <v>-0.27</v>
      </c>
      <c r="H164" s="1439"/>
      <c r="I164" s="1420">
        <v>355.01</v>
      </c>
      <c r="J164" s="1439"/>
      <c r="K164" s="1420">
        <v>352.76</v>
      </c>
      <c r="L164" s="1439"/>
      <c r="M164" s="1422">
        <v>35099344</v>
      </c>
      <c r="N164" s="1439"/>
      <c r="O164" s="1422">
        <v>25</v>
      </c>
      <c r="P164" s="1439"/>
      <c r="Q164" s="1422">
        <v>25</v>
      </c>
      <c r="R164" s="1439"/>
      <c r="S164" s="1422">
        <v>0</v>
      </c>
      <c r="T164" s="1439"/>
      <c r="U164" s="1422">
        <v>0</v>
      </c>
      <c r="V164" s="1439"/>
      <c r="W164" s="1422">
        <v>9</v>
      </c>
      <c r="X164" s="1439"/>
      <c r="Y164" s="1422">
        <v>34</v>
      </c>
      <c r="Z164" s="1439"/>
      <c r="AA164" s="1422">
        <v>870000</v>
      </c>
      <c r="AB164" s="1439"/>
      <c r="AC164" s="1420">
        <v>1090552.96</v>
      </c>
      <c r="AD164" s="1420">
        <v>1091357.82</v>
      </c>
      <c r="AE164" s="1420">
        <v>114738.42</v>
      </c>
      <c r="AF164" s="1422">
        <v>35960</v>
      </c>
      <c r="AG164" s="1420">
        <v>38344.74</v>
      </c>
      <c r="AH164" s="1422">
        <v>38000</v>
      </c>
      <c r="AI164" s="1422">
        <v>1247136</v>
      </c>
      <c r="AJ164" s="1422">
        <v>1298409</v>
      </c>
      <c r="AK164" s="1422">
        <v>34126</v>
      </c>
      <c r="AL164" s="1422">
        <v>0</v>
      </c>
      <c r="AM164" s="1422">
        <v>13928</v>
      </c>
      <c r="AN164" s="1422">
        <v>0</v>
      </c>
      <c r="AO164" s="1422">
        <v>0</v>
      </c>
      <c r="AP164" s="1422">
        <v>0</v>
      </c>
      <c r="AQ164" s="1422">
        <v>0</v>
      </c>
      <c r="AR164" s="1422">
        <v>0</v>
      </c>
      <c r="AS164" s="1422">
        <v>0</v>
      </c>
      <c r="AT164" s="1422">
        <v>0</v>
      </c>
      <c r="AU164" s="1422">
        <v>7724</v>
      </c>
      <c r="AV164" s="1422">
        <v>6179</v>
      </c>
      <c r="AW164" s="1422">
        <v>20702</v>
      </c>
      <c r="AX164" s="1422">
        <v>0</v>
      </c>
      <c r="AY164" s="1420">
        <v>2567252.12</v>
      </c>
      <c r="AZ164" s="1420">
        <v>2469905.8199999998</v>
      </c>
      <c r="BA164" s="1422">
        <v>0</v>
      </c>
      <c r="BB164" s="1422">
        <v>0</v>
      </c>
      <c r="BC164" s="1422">
        <v>14590</v>
      </c>
      <c r="BD164" s="1422">
        <v>15047</v>
      </c>
      <c r="BE164" s="1420">
        <v>197545.08</v>
      </c>
      <c r="BF164" s="1420">
        <v>111468.29</v>
      </c>
      <c r="BG164" s="1422">
        <v>0</v>
      </c>
      <c r="BH164" s="1422">
        <v>0</v>
      </c>
      <c r="BI164" s="1422">
        <v>12595</v>
      </c>
      <c r="BJ164" s="1422">
        <v>5554</v>
      </c>
      <c r="BK164" s="1422">
        <v>0</v>
      </c>
      <c r="BL164" s="1422">
        <v>0</v>
      </c>
      <c r="BM164" s="1422">
        <v>299584</v>
      </c>
      <c r="BN164" s="1422">
        <v>380176</v>
      </c>
      <c r="BO164" s="1420">
        <v>1445.12</v>
      </c>
      <c r="BP164" s="1422">
        <v>30000</v>
      </c>
      <c r="BQ164" s="1420">
        <v>41437.519999999997</v>
      </c>
      <c r="BR164" s="1422">
        <v>20000</v>
      </c>
      <c r="BS164" s="1420">
        <v>1654.79</v>
      </c>
      <c r="BT164" s="1422">
        <v>1600</v>
      </c>
      <c r="BU164" s="1422">
        <v>0</v>
      </c>
      <c r="BV164" s="1422">
        <v>0</v>
      </c>
      <c r="BW164" s="1422">
        <v>0</v>
      </c>
      <c r="BX164" s="1422">
        <v>0</v>
      </c>
      <c r="BY164" s="1422">
        <v>0</v>
      </c>
      <c r="BZ164" s="1422">
        <v>0</v>
      </c>
      <c r="CA164" s="1422">
        <v>8687</v>
      </c>
      <c r="CB164" s="1422">
        <v>7476</v>
      </c>
      <c r="CC164" s="1420">
        <v>577538.51</v>
      </c>
      <c r="CD164" s="1420">
        <v>571321.29</v>
      </c>
      <c r="CE164" s="1420">
        <v>1781070.09</v>
      </c>
      <c r="CF164" s="1420">
        <v>1024177.79</v>
      </c>
      <c r="CG164" s="1422">
        <v>0</v>
      </c>
      <c r="CH164" s="1422">
        <v>0</v>
      </c>
      <c r="CI164" s="1422">
        <v>0</v>
      </c>
      <c r="CJ164" s="1422">
        <v>0</v>
      </c>
      <c r="CK164" s="1422">
        <v>0</v>
      </c>
      <c r="CL164" s="1422">
        <v>0</v>
      </c>
      <c r="CM164" s="1422">
        <v>0</v>
      </c>
      <c r="CN164" s="1422">
        <v>0</v>
      </c>
      <c r="CO164" s="1420">
        <v>800.21</v>
      </c>
      <c r="CP164" s="1422">
        <v>0</v>
      </c>
      <c r="CQ164" s="1422">
        <v>0</v>
      </c>
      <c r="CR164" s="1422">
        <v>0</v>
      </c>
      <c r="CS164" s="1420">
        <v>800.21</v>
      </c>
      <c r="CT164" s="1422">
        <v>0</v>
      </c>
      <c r="CU164" s="1420">
        <v>4926660.93</v>
      </c>
      <c r="CV164" s="1420">
        <v>4065404.9</v>
      </c>
      <c r="CW164" s="1420">
        <v>1393498.24</v>
      </c>
      <c r="CX164" s="1420">
        <v>1254582.31</v>
      </c>
      <c r="CY164" s="1420">
        <v>255710.69</v>
      </c>
      <c r="CZ164" s="1420">
        <v>265280.17</v>
      </c>
      <c r="DA164" s="1420">
        <v>23962.58</v>
      </c>
      <c r="DB164" s="1422">
        <v>25550</v>
      </c>
      <c r="DC164" s="1422">
        <v>0</v>
      </c>
      <c r="DD164" s="1422">
        <v>0</v>
      </c>
      <c r="DE164" s="1420">
        <v>522016.42</v>
      </c>
      <c r="DF164" s="1420">
        <v>269957.42</v>
      </c>
      <c r="DG164" s="1420">
        <v>125127.79</v>
      </c>
      <c r="DH164" s="1420">
        <v>167514.28</v>
      </c>
      <c r="DI164" s="1420">
        <v>2320315.7200000002</v>
      </c>
      <c r="DJ164" s="1420">
        <v>1982884.18</v>
      </c>
      <c r="DK164" s="1420">
        <v>206797.21</v>
      </c>
      <c r="DL164" s="1420">
        <v>228453.14</v>
      </c>
      <c r="DM164" s="1420">
        <v>165832.62</v>
      </c>
      <c r="DN164" s="1420">
        <v>150588.45000000001</v>
      </c>
      <c r="DO164" s="1420">
        <v>345101.63</v>
      </c>
      <c r="DP164" s="1420">
        <v>285073.33</v>
      </c>
      <c r="DQ164" s="1420">
        <v>296994.03000000003</v>
      </c>
      <c r="DR164" s="1420">
        <v>229365.74</v>
      </c>
      <c r="DS164" s="1420">
        <v>2261.15</v>
      </c>
      <c r="DT164" s="1422">
        <v>2500</v>
      </c>
      <c r="DU164" s="1420">
        <v>1016986.64</v>
      </c>
      <c r="DV164" s="1420">
        <v>895980.66</v>
      </c>
      <c r="DW164" s="1420">
        <v>184913.25</v>
      </c>
      <c r="DX164" s="1420">
        <v>164408.72</v>
      </c>
      <c r="DY164" s="1420">
        <v>360317.09</v>
      </c>
      <c r="DZ164" s="1420">
        <v>462391.39</v>
      </c>
      <c r="EA164" s="1420">
        <v>201790.28</v>
      </c>
      <c r="EB164" s="1420">
        <v>146733.56</v>
      </c>
      <c r="EC164" s="1420">
        <v>747020.62</v>
      </c>
      <c r="ED164" s="1420">
        <v>773533.67</v>
      </c>
      <c r="EE164" s="1420">
        <v>261796.75</v>
      </c>
      <c r="EF164" s="1422">
        <v>244500</v>
      </c>
      <c r="EG164" s="1422">
        <v>0</v>
      </c>
      <c r="EH164" s="1422">
        <v>0</v>
      </c>
      <c r="EI164" s="1422">
        <v>0</v>
      </c>
      <c r="EJ164" s="1422">
        <v>2000</v>
      </c>
      <c r="EK164" s="1422">
        <v>0</v>
      </c>
      <c r="EL164" s="1422">
        <v>0</v>
      </c>
      <c r="EM164" s="1420">
        <v>261796.75</v>
      </c>
      <c r="EN164" s="1422">
        <v>246500</v>
      </c>
      <c r="EO164" s="1420">
        <v>523455.28</v>
      </c>
      <c r="EP164" s="1420">
        <v>142026.76</v>
      </c>
      <c r="EQ164" s="1420">
        <v>78759.88</v>
      </c>
      <c r="ER164" s="1422">
        <v>58025</v>
      </c>
      <c r="ES164" s="1420">
        <v>13.54</v>
      </c>
      <c r="ET164" s="1422">
        <v>0</v>
      </c>
      <c r="EU164" s="1420">
        <v>4948348.43</v>
      </c>
      <c r="EV164" s="1420">
        <v>4098950.27</v>
      </c>
      <c r="EW164" s="1420">
        <v>831594.32</v>
      </c>
      <c r="EX164" s="1420">
        <v>222463.97</v>
      </c>
      <c r="EY164" s="1420">
        <v>78759.88</v>
      </c>
      <c r="EZ164" s="1422">
        <v>58025</v>
      </c>
      <c r="FA164" s="1420">
        <v>4037994.23</v>
      </c>
      <c r="FB164" s="1420">
        <v>3818461.3</v>
      </c>
      <c r="FC164" s="1420">
        <v>83274.58</v>
      </c>
      <c r="FD164" s="1439"/>
      <c r="FE164" s="1420">
        <v>3954719.65</v>
      </c>
      <c r="FF164" s="1439"/>
      <c r="FG164" s="1422">
        <v>11518</v>
      </c>
      <c r="FH164" s="1439"/>
      <c r="FI164" s="1420">
        <v>30.95</v>
      </c>
      <c r="FJ164" s="1439"/>
      <c r="FK164" s="1422">
        <v>40840</v>
      </c>
      <c r="FL164" s="1439"/>
      <c r="FM164" s="1420">
        <v>34.36</v>
      </c>
      <c r="FN164" s="1439"/>
      <c r="FO164" s="1422">
        <v>43248</v>
      </c>
      <c r="FP164" s="1439"/>
      <c r="FQ164" s="1420">
        <v>893530.51</v>
      </c>
      <c r="FR164" s="1439"/>
      <c r="FS164" s="1420">
        <v>112952.93</v>
      </c>
      <c r="FT164" s="1439"/>
      <c r="FU164" s="1422">
        <v>0</v>
      </c>
      <c r="FV164" s="1439"/>
      <c r="FW164" s="1420">
        <v>780577.58</v>
      </c>
      <c r="FX164" s="1439"/>
      <c r="FY164" s="1422">
        <v>0</v>
      </c>
      <c r="FZ164" s="1439"/>
      <c r="GA164" s="1422">
        <v>0</v>
      </c>
      <c r="GB164" s="1439"/>
    </row>
    <row r="165" spans="1:184" ht="12.75" customHeight="1" thickBot="1">
      <c r="A165" s="1418" t="s">
        <v>380</v>
      </c>
      <c r="B165" s="1418" t="s">
        <v>381</v>
      </c>
      <c r="C165" s="1420">
        <v>106.17</v>
      </c>
      <c r="D165" s="1439"/>
      <c r="E165" s="1420">
        <v>585.6</v>
      </c>
      <c r="F165" s="1439"/>
      <c r="G165" s="1421">
        <v>-0.11</v>
      </c>
      <c r="H165" s="1439"/>
      <c r="I165" s="1420">
        <v>630.83000000000004</v>
      </c>
      <c r="J165" s="1439"/>
      <c r="K165" s="1420">
        <v>630.77</v>
      </c>
      <c r="L165" s="1439"/>
      <c r="M165" s="1422">
        <v>34514597</v>
      </c>
      <c r="N165" s="1439"/>
      <c r="O165" s="1422">
        <v>25</v>
      </c>
      <c r="P165" s="1439"/>
      <c r="Q165" s="1422">
        <v>25</v>
      </c>
      <c r="R165" s="1439"/>
      <c r="S165" s="1422">
        <v>0</v>
      </c>
      <c r="T165" s="1439"/>
      <c r="U165" s="1422">
        <v>0</v>
      </c>
      <c r="V165" s="1439"/>
      <c r="W165" s="1420">
        <v>11.87</v>
      </c>
      <c r="X165" s="1439"/>
      <c r="Y165" s="1420">
        <v>36.869999999999997</v>
      </c>
      <c r="Z165" s="1439"/>
      <c r="AA165" s="1420">
        <v>3803380.86</v>
      </c>
      <c r="AB165" s="1439"/>
      <c r="AC165" s="1420">
        <v>1160510.72</v>
      </c>
      <c r="AD165" s="1422">
        <v>1050000</v>
      </c>
      <c r="AE165" s="1420">
        <v>367364.74</v>
      </c>
      <c r="AF165" s="1422">
        <v>110000</v>
      </c>
      <c r="AG165" s="1422">
        <v>0</v>
      </c>
      <c r="AH165" s="1422">
        <v>0</v>
      </c>
      <c r="AI165" s="1422">
        <v>2958497</v>
      </c>
      <c r="AJ165" s="1422">
        <v>3036215</v>
      </c>
      <c r="AK165" s="1422">
        <v>58970</v>
      </c>
      <c r="AL165" s="1422">
        <v>30000</v>
      </c>
      <c r="AM165" s="1422">
        <v>0</v>
      </c>
      <c r="AN165" s="1422">
        <v>0</v>
      </c>
      <c r="AO165" s="1422">
        <v>58995</v>
      </c>
      <c r="AP165" s="1422">
        <v>0</v>
      </c>
      <c r="AQ165" s="1422">
        <v>0</v>
      </c>
      <c r="AR165" s="1422">
        <v>0</v>
      </c>
      <c r="AS165" s="1422">
        <v>0</v>
      </c>
      <c r="AT165" s="1422">
        <v>0</v>
      </c>
      <c r="AU165" s="1422">
        <v>41074</v>
      </c>
      <c r="AV165" s="1422">
        <v>32859</v>
      </c>
      <c r="AW165" s="1422">
        <v>0</v>
      </c>
      <c r="AX165" s="1422">
        <v>0</v>
      </c>
      <c r="AY165" s="1420">
        <v>4645411.46</v>
      </c>
      <c r="AZ165" s="1422">
        <v>4259074</v>
      </c>
      <c r="BA165" s="1422">
        <v>0</v>
      </c>
      <c r="BB165" s="1422">
        <v>0</v>
      </c>
      <c r="BC165" s="1422">
        <v>26089</v>
      </c>
      <c r="BD165" s="1422">
        <v>26806</v>
      </c>
      <c r="BE165" s="1420">
        <v>12916.25</v>
      </c>
      <c r="BF165" s="1422">
        <v>0</v>
      </c>
      <c r="BG165" s="1422">
        <v>2294</v>
      </c>
      <c r="BH165" s="1422">
        <v>0</v>
      </c>
      <c r="BI165" s="1422">
        <v>5201</v>
      </c>
      <c r="BJ165" s="1422">
        <v>0</v>
      </c>
      <c r="BK165" s="1422">
        <v>0</v>
      </c>
      <c r="BL165" s="1422">
        <v>0</v>
      </c>
      <c r="BM165" s="1422">
        <v>179552</v>
      </c>
      <c r="BN165" s="1422">
        <v>187220</v>
      </c>
      <c r="BO165" s="1420">
        <v>18165.080000000002</v>
      </c>
      <c r="BP165" s="1420">
        <v>10535.91</v>
      </c>
      <c r="BQ165" s="1420">
        <v>8125.32</v>
      </c>
      <c r="BR165" s="1422">
        <v>0</v>
      </c>
      <c r="BS165" s="1420">
        <v>2520.6799999999998</v>
      </c>
      <c r="BT165" s="1422">
        <v>0</v>
      </c>
      <c r="BU165" s="1422">
        <v>0</v>
      </c>
      <c r="BV165" s="1422">
        <v>0</v>
      </c>
      <c r="BW165" s="1422">
        <v>94347</v>
      </c>
      <c r="BX165" s="1422">
        <v>97200</v>
      </c>
      <c r="BY165" s="1422">
        <v>0</v>
      </c>
      <c r="BZ165" s="1422">
        <v>0</v>
      </c>
      <c r="CA165" s="1420">
        <v>145730.70000000001</v>
      </c>
      <c r="CB165" s="1422">
        <v>58785</v>
      </c>
      <c r="CC165" s="1420">
        <v>494941.03</v>
      </c>
      <c r="CD165" s="1420">
        <v>380546.91</v>
      </c>
      <c r="CE165" s="1420">
        <v>1325422.23</v>
      </c>
      <c r="CF165" s="1420">
        <v>675061.8</v>
      </c>
      <c r="CG165" s="1420">
        <v>341382.47</v>
      </c>
      <c r="CH165" s="1422">
        <v>0</v>
      </c>
      <c r="CI165" s="1422">
        <v>0</v>
      </c>
      <c r="CJ165" s="1422">
        <v>0</v>
      </c>
      <c r="CK165" s="1422">
        <v>0</v>
      </c>
      <c r="CL165" s="1422">
        <v>0</v>
      </c>
      <c r="CM165" s="1422">
        <v>0</v>
      </c>
      <c r="CN165" s="1422">
        <v>0</v>
      </c>
      <c r="CO165" s="1422">
        <v>0</v>
      </c>
      <c r="CP165" s="1422">
        <v>0</v>
      </c>
      <c r="CQ165" s="1422">
        <v>0</v>
      </c>
      <c r="CR165" s="1422">
        <v>0</v>
      </c>
      <c r="CS165" s="1420">
        <v>341382.47</v>
      </c>
      <c r="CT165" s="1422">
        <v>0</v>
      </c>
      <c r="CU165" s="1420">
        <v>6807157.1900000004</v>
      </c>
      <c r="CV165" s="1420">
        <v>5314682.71</v>
      </c>
      <c r="CW165" s="1420">
        <v>1801954.93</v>
      </c>
      <c r="CX165" s="1420">
        <v>1654223.09</v>
      </c>
      <c r="CY165" s="1420">
        <v>412400.2</v>
      </c>
      <c r="CZ165" s="1420">
        <v>405889.07</v>
      </c>
      <c r="DA165" s="1420">
        <v>164225.62</v>
      </c>
      <c r="DB165" s="1420">
        <v>162221.98000000001</v>
      </c>
      <c r="DC165" s="1422">
        <v>0</v>
      </c>
      <c r="DD165" s="1422">
        <v>0</v>
      </c>
      <c r="DE165" s="1420">
        <v>135395.06</v>
      </c>
      <c r="DF165" s="1420">
        <v>154420.1</v>
      </c>
      <c r="DG165" s="1420">
        <v>166838.34</v>
      </c>
      <c r="DH165" s="1420">
        <v>199607.4</v>
      </c>
      <c r="DI165" s="1420">
        <v>2680814.15</v>
      </c>
      <c r="DJ165" s="1420">
        <v>2576361.64</v>
      </c>
      <c r="DK165" s="1420">
        <v>252236.65</v>
      </c>
      <c r="DL165" s="1420">
        <v>285557.28999999998</v>
      </c>
      <c r="DM165" s="1420">
        <v>77980.5</v>
      </c>
      <c r="DN165" s="1420">
        <v>66970.92</v>
      </c>
      <c r="DO165" s="1420">
        <v>561262.64</v>
      </c>
      <c r="DP165" s="1420">
        <v>585102.07999999996</v>
      </c>
      <c r="DQ165" s="1420">
        <v>388511.09</v>
      </c>
      <c r="DR165" s="1420">
        <v>356917.11</v>
      </c>
      <c r="DS165" s="1420">
        <v>133569.01</v>
      </c>
      <c r="DT165" s="1422">
        <v>12000</v>
      </c>
      <c r="DU165" s="1420">
        <v>1413559.89</v>
      </c>
      <c r="DV165" s="1420">
        <v>1306547.3999999999</v>
      </c>
      <c r="DW165" s="1420">
        <v>209658.99</v>
      </c>
      <c r="DX165" s="1420">
        <v>220340.47</v>
      </c>
      <c r="DY165" s="1420">
        <v>603331.68000000005</v>
      </c>
      <c r="DZ165" s="1420">
        <v>399278.78</v>
      </c>
      <c r="EA165" s="1420">
        <v>265597.88</v>
      </c>
      <c r="EB165" s="1420">
        <v>247375.93</v>
      </c>
      <c r="EC165" s="1420">
        <v>1078588.55</v>
      </c>
      <c r="ED165" s="1420">
        <v>866995.18</v>
      </c>
      <c r="EE165" s="1420">
        <v>385451.24</v>
      </c>
      <c r="EF165" s="1420">
        <v>374763.67</v>
      </c>
      <c r="EG165" s="1422">
        <v>0</v>
      </c>
      <c r="EH165" s="1422">
        <v>0</v>
      </c>
      <c r="EI165" s="1420">
        <v>28.23</v>
      </c>
      <c r="EJ165" s="1422">
        <v>500</v>
      </c>
      <c r="EK165" s="1422">
        <v>0</v>
      </c>
      <c r="EL165" s="1422">
        <v>0</v>
      </c>
      <c r="EM165" s="1420">
        <v>385479.47</v>
      </c>
      <c r="EN165" s="1420">
        <v>375263.67</v>
      </c>
      <c r="EO165" s="1420">
        <v>602044.53</v>
      </c>
      <c r="EP165" s="1422">
        <v>0</v>
      </c>
      <c r="EQ165" s="1420">
        <v>123337.5</v>
      </c>
      <c r="ER165" s="1422">
        <v>166875</v>
      </c>
      <c r="ES165" s="1422">
        <v>0</v>
      </c>
      <c r="ET165" s="1422">
        <v>0</v>
      </c>
      <c r="EU165" s="1420">
        <v>6283824.0899999999</v>
      </c>
      <c r="EV165" s="1420">
        <v>5292042.8899999997</v>
      </c>
      <c r="EW165" s="1420">
        <v>859049.94</v>
      </c>
      <c r="EX165" s="1420">
        <v>122873.24</v>
      </c>
      <c r="EY165" s="1420">
        <v>123337.5</v>
      </c>
      <c r="EZ165" s="1422">
        <v>166875</v>
      </c>
      <c r="FA165" s="1420">
        <v>5301436.6500000004</v>
      </c>
      <c r="FB165" s="1420">
        <v>5002294.6500000004</v>
      </c>
      <c r="FC165" s="1420">
        <v>362422.74</v>
      </c>
      <c r="FD165" s="1439"/>
      <c r="FE165" s="1420">
        <v>4939013.91</v>
      </c>
      <c r="FF165" s="1439"/>
      <c r="FG165" s="1422">
        <v>8434</v>
      </c>
      <c r="FH165" s="1439"/>
      <c r="FI165" s="1420">
        <v>39.880000000000003</v>
      </c>
      <c r="FJ165" s="1439"/>
      <c r="FK165" s="1422">
        <v>44613</v>
      </c>
      <c r="FL165" s="1439"/>
      <c r="FM165" s="1420">
        <v>40.96</v>
      </c>
      <c r="FN165" s="1439"/>
      <c r="FO165" s="1422">
        <v>47224</v>
      </c>
      <c r="FP165" s="1439"/>
      <c r="FQ165" s="1422">
        <v>1029050</v>
      </c>
      <c r="FR165" s="1439"/>
      <c r="FS165" s="1420">
        <v>18182.62</v>
      </c>
      <c r="FT165" s="1439"/>
      <c r="FU165" s="1422">
        <v>0</v>
      </c>
      <c r="FV165" s="1439"/>
      <c r="FW165" s="1420">
        <v>1010867.38</v>
      </c>
      <c r="FX165" s="1439"/>
      <c r="FY165" s="1420">
        <v>1015037.28</v>
      </c>
      <c r="FZ165" s="1439"/>
      <c r="GA165" s="1422">
        <v>0</v>
      </c>
      <c r="GB165" s="1439"/>
    </row>
    <row r="166" spans="1:184" ht="12.75" customHeight="1" thickBot="1">
      <c r="A166" s="1418" t="s">
        <v>382</v>
      </c>
      <c r="B166" s="1418" t="s">
        <v>383</v>
      </c>
      <c r="C166" s="1420">
        <v>400.66</v>
      </c>
      <c r="D166" s="1439"/>
      <c r="E166" s="1420">
        <v>948.49</v>
      </c>
      <c r="F166" s="1439"/>
      <c r="G166" s="1421">
        <v>0.02</v>
      </c>
      <c r="H166" s="1439"/>
      <c r="I166" s="1420">
        <v>1014.36</v>
      </c>
      <c r="J166" s="1439"/>
      <c r="K166" s="1422">
        <v>1054</v>
      </c>
      <c r="L166" s="1439"/>
      <c r="M166" s="1422">
        <v>48549228</v>
      </c>
      <c r="N166" s="1439"/>
      <c r="O166" s="1422">
        <v>25</v>
      </c>
      <c r="P166" s="1439"/>
      <c r="Q166" s="1422">
        <v>25</v>
      </c>
      <c r="R166" s="1439"/>
      <c r="S166" s="1422">
        <v>0</v>
      </c>
      <c r="T166" s="1439"/>
      <c r="U166" s="1422">
        <v>0</v>
      </c>
      <c r="V166" s="1439"/>
      <c r="W166" s="1420">
        <v>9.98</v>
      </c>
      <c r="X166" s="1439"/>
      <c r="Y166" s="1420">
        <v>34.979999999999997</v>
      </c>
      <c r="Z166" s="1439"/>
      <c r="AA166" s="1420">
        <v>4877666.1500000004</v>
      </c>
      <c r="AB166" s="1439"/>
      <c r="AC166" s="1420">
        <v>1556561.1</v>
      </c>
      <c r="AD166" s="1422">
        <v>1955456</v>
      </c>
      <c r="AE166" s="1420">
        <v>402418.77</v>
      </c>
      <c r="AF166" s="1422">
        <v>166475</v>
      </c>
      <c r="AG166" s="1422">
        <v>0</v>
      </c>
      <c r="AH166" s="1422">
        <v>0</v>
      </c>
      <c r="AI166" s="1422">
        <v>5015369</v>
      </c>
      <c r="AJ166" s="1422">
        <v>4881834</v>
      </c>
      <c r="AK166" s="1422">
        <v>92643</v>
      </c>
      <c r="AL166" s="1422">
        <v>0</v>
      </c>
      <c r="AM166" s="1422">
        <v>0</v>
      </c>
      <c r="AN166" s="1422">
        <v>0</v>
      </c>
      <c r="AO166" s="1422">
        <v>40567</v>
      </c>
      <c r="AP166" s="1422">
        <v>100762</v>
      </c>
      <c r="AQ166" s="1422">
        <v>0</v>
      </c>
      <c r="AR166" s="1422">
        <v>0</v>
      </c>
      <c r="AS166" s="1422">
        <v>0</v>
      </c>
      <c r="AT166" s="1422">
        <v>0</v>
      </c>
      <c r="AU166" s="1422">
        <v>38884</v>
      </c>
      <c r="AV166" s="1422">
        <v>31107</v>
      </c>
      <c r="AW166" s="1422">
        <v>0</v>
      </c>
      <c r="AX166" s="1422">
        <v>0</v>
      </c>
      <c r="AY166" s="1420">
        <v>7146442.8700000001</v>
      </c>
      <c r="AZ166" s="1422">
        <v>7135634</v>
      </c>
      <c r="BA166" s="1422">
        <v>0</v>
      </c>
      <c r="BB166" s="1422">
        <v>0</v>
      </c>
      <c r="BC166" s="1422">
        <v>43593</v>
      </c>
      <c r="BD166" s="1422">
        <v>43278</v>
      </c>
      <c r="BE166" s="1420">
        <v>7500.27</v>
      </c>
      <c r="BF166" s="1422">
        <v>8800</v>
      </c>
      <c r="BG166" s="1422">
        <v>350</v>
      </c>
      <c r="BH166" s="1422">
        <v>0</v>
      </c>
      <c r="BI166" s="1422">
        <v>66511</v>
      </c>
      <c r="BJ166" s="1422">
        <v>56787</v>
      </c>
      <c r="BK166" s="1422">
        <v>0</v>
      </c>
      <c r="BL166" s="1422">
        <v>0</v>
      </c>
      <c r="BM166" s="1422">
        <v>224688</v>
      </c>
      <c r="BN166" s="1422">
        <v>253506</v>
      </c>
      <c r="BO166" s="1420">
        <v>7959.03</v>
      </c>
      <c r="BP166" s="1422">
        <v>0</v>
      </c>
      <c r="BQ166" s="1420">
        <v>18687.52</v>
      </c>
      <c r="BR166" s="1422">
        <v>21125</v>
      </c>
      <c r="BS166" s="1420">
        <v>3190.11</v>
      </c>
      <c r="BT166" s="1422">
        <v>3000</v>
      </c>
      <c r="BU166" s="1422">
        <v>0</v>
      </c>
      <c r="BV166" s="1422">
        <v>0</v>
      </c>
      <c r="BW166" s="1422">
        <v>0</v>
      </c>
      <c r="BX166" s="1422">
        <v>0</v>
      </c>
      <c r="BY166" s="1422">
        <v>0</v>
      </c>
      <c r="BZ166" s="1422">
        <v>0</v>
      </c>
      <c r="CA166" s="1420">
        <v>352557.31</v>
      </c>
      <c r="CB166" s="1422">
        <v>85115</v>
      </c>
      <c r="CC166" s="1420">
        <v>725036.24</v>
      </c>
      <c r="CD166" s="1422">
        <v>471611</v>
      </c>
      <c r="CE166" s="1420">
        <v>1459153.14</v>
      </c>
      <c r="CF166" s="1420">
        <v>1246307.69</v>
      </c>
      <c r="CG166" s="1422">
        <v>0</v>
      </c>
      <c r="CH166" s="1422">
        <v>0</v>
      </c>
      <c r="CI166" s="1422">
        <v>0</v>
      </c>
      <c r="CJ166" s="1422">
        <v>0</v>
      </c>
      <c r="CK166" s="1422">
        <v>0</v>
      </c>
      <c r="CL166" s="1422">
        <v>0</v>
      </c>
      <c r="CM166" s="1422">
        <v>0</v>
      </c>
      <c r="CN166" s="1422">
        <v>0</v>
      </c>
      <c r="CO166" s="1422">
        <v>0</v>
      </c>
      <c r="CP166" s="1422">
        <v>0</v>
      </c>
      <c r="CQ166" s="1422">
        <v>0</v>
      </c>
      <c r="CR166" s="1422">
        <v>0</v>
      </c>
      <c r="CS166" s="1422">
        <v>0</v>
      </c>
      <c r="CT166" s="1422">
        <v>0</v>
      </c>
      <c r="CU166" s="1420">
        <v>9330632.25</v>
      </c>
      <c r="CV166" s="1420">
        <v>8853552.6899999995</v>
      </c>
      <c r="CW166" s="1420">
        <v>3384452.17</v>
      </c>
      <c r="CX166" s="1420">
        <v>3058675.19</v>
      </c>
      <c r="CY166" s="1420">
        <v>551060.9</v>
      </c>
      <c r="CZ166" s="1420">
        <v>638338.55000000005</v>
      </c>
      <c r="DA166" s="1420">
        <v>303305.7</v>
      </c>
      <c r="DB166" s="1420">
        <v>319792.82</v>
      </c>
      <c r="DC166" s="1422">
        <v>0</v>
      </c>
      <c r="DD166" s="1422">
        <v>0</v>
      </c>
      <c r="DE166" s="1420">
        <v>164950.31</v>
      </c>
      <c r="DF166" s="1420">
        <v>194434.87</v>
      </c>
      <c r="DG166" s="1420">
        <v>389806.49</v>
      </c>
      <c r="DH166" s="1420">
        <v>401613.41</v>
      </c>
      <c r="DI166" s="1420">
        <v>4793575.57</v>
      </c>
      <c r="DJ166" s="1420">
        <v>4612854.84</v>
      </c>
      <c r="DK166" s="1420">
        <v>295167.81</v>
      </c>
      <c r="DL166" s="1422">
        <v>316389</v>
      </c>
      <c r="DM166" s="1420">
        <v>155831.23000000001</v>
      </c>
      <c r="DN166" s="1422">
        <v>167234</v>
      </c>
      <c r="DO166" s="1420">
        <v>833924.23</v>
      </c>
      <c r="DP166" s="1420">
        <v>858064.92</v>
      </c>
      <c r="DQ166" s="1420">
        <v>532218.81000000006</v>
      </c>
      <c r="DR166" s="1422">
        <v>557318</v>
      </c>
      <c r="DS166" s="1420">
        <v>26116.91</v>
      </c>
      <c r="DT166" s="1422">
        <v>13750</v>
      </c>
      <c r="DU166" s="1420">
        <v>1843258.99</v>
      </c>
      <c r="DV166" s="1420">
        <v>1912755.92</v>
      </c>
      <c r="DW166" s="1420">
        <v>393217.35</v>
      </c>
      <c r="DX166" s="1420">
        <v>459265.01</v>
      </c>
      <c r="DY166" s="1420">
        <v>373788.92</v>
      </c>
      <c r="DZ166" s="1420">
        <v>460743.98</v>
      </c>
      <c r="EA166" s="1420">
        <v>397775.94</v>
      </c>
      <c r="EB166" s="1422">
        <v>354014</v>
      </c>
      <c r="EC166" s="1420">
        <v>1164782.21</v>
      </c>
      <c r="ED166" s="1420">
        <v>1274022.99</v>
      </c>
      <c r="EE166" s="1420">
        <v>487647.15</v>
      </c>
      <c r="EF166" s="1422">
        <v>477565</v>
      </c>
      <c r="EG166" s="1422">
        <v>0</v>
      </c>
      <c r="EH166" s="1422">
        <v>0</v>
      </c>
      <c r="EI166" s="1422">
        <v>0</v>
      </c>
      <c r="EJ166" s="1420">
        <v>589.17999999999995</v>
      </c>
      <c r="EK166" s="1422">
        <v>0</v>
      </c>
      <c r="EL166" s="1422">
        <v>0</v>
      </c>
      <c r="EM166" s="1420">
        <v>487647.15</v>
      </c>
      <c r="EN166" s="1420">
        <v>478154.18</v>
      </c>
      <c r="EO166" s="1420">
        <v>2497.46</v>
      </c>
      <c r="EP166" s="1422">
        <v>0</v>
      </c>
      <c r="EQ166" s="1420">
        <v>156840.17000000001</v>
      </c>
      <c r="ER166" s="1422">
        <v>306755</v>
      </c>
      <c r="ES166" s="1422">
        <v>44601</v>
      </c>
      <c r="ET166" s="1422">
        <v>0</v>
      </c>
      <c r="EU166" s="1420">
        <v>8493202.5500000007</v>
      </c>
      <c r="EV166" s="1420">
        <v>8584542.9299999997</v>
      </c>
      <c r="EW166" s="1420">
        <v>217369.42</v>
      </c>
      <c r="EX166" s="1420">
        <v>191158.33</v>
      </c>
      <c r="EY166" s="1420">
        <v>156840.17000000001</v>
      </c>
      <c r="EZ166" s="1422">
        <v>306755</v>
      </c>
      <c r="FA166" s="1420">
        <v>8118992.96</v>
      </c>
      <c r="FB166" s="1420">
        <v>8086629.5999999996</v>
      </c>
      <c r="FC166" s="1420">
        <v>386012.62</v>
      </c>
      <c r="FD166" s="1439"/>
      <c r="FE166" s="1420">
        <v>7732980.3399999999</v>
      </c>
      <c r="FF166" s="1439"/>
      <c r="FG166" s="1422">
        <v>8152</v>
      </c>
      <c r="FH166" s="1439"/>
      <c r="FI166" s="1422">
        <v>76</v>
      </c>
      <c r="FJ166" s="1439"/>
      <c r="FK166" s="1422">
        <v>41641</v>
      </c>
      <c r="FL166" s="1439"/>
      <c r="FM166" s="1420">
        <v>81.5</v>
      </c>
      <c r="FN166" s="1439"/>
      <c r="FO166" s="1422">
        <v>43865</v>
      </c>
      <c r="FP166" s="1439"/>
      <c r="FQ166" s="1420">
        <v>3173051.46</v>
      </c>
      <c r="FR166" s="1439"/>
      <c r="FS166" s="1420">
        <v>146900.32999999999</v>
      </c>
      <c r="FT166" s="1439"/>
      <c r="FU166" s="1422">
        <v>0</v>
      </c>
      <c r="FV166" s="1439"/>
      <c r="FW166" s="1420">
        <v>3026151.13</v>
      </c>
      <c r="FX166" s="1439"/>
      <c r="FY166" s="1420">
        <v>254071.85</v>
      </c>
      <c r="FZ166" s="1439"/>
      <c r="GA166" s="1422">
        <v>0</v>
      </c>
      <c r="GB166" s="1439"/>
    </row>
    <row r="167" spans="1:184" ht="12.75" customHeight="1" thickBot="1">
      <c r="A167" s="1418" t="s">
        <v>384</v>
      </c>
      <c r="B167" s="1418" t="s">
        <v>385</v>
      </c>
      <c r="C167" s="1420">
        <v>153.97999999999999</v>
      </c>
      <c r="D167" s="1439"/>
      <c r="E167" s="1420">
        <v>717.19</v>
      </c>
      <c r="F167" s="1439"/>
      <c r="G167" s="1421">
        <v>-0.06</v>
      </c>
      <c r="H167" s="1439"/>
      <c r="I167" s="1420">
        <v>766.41</v>
      </c>
      <c r="J167" s="1439"/>
      <c r="K167" s="1420">
        <v>750.77</v>
      </c>
      <c r="L167" s="1439"/>
      <c r="M167" s="1422">
        <v>33076985</v>
      </c>
      <c r="N167" s="1439"/>
      <c r="O167" s="1422">
        <v>25</v>
      </c>
      <c r="P167" s="1439"/>
      <c r="Q167" s="1422">
        <v>25</v>
      </c>
      <c r="R167" s="1439"/>
      <c r="S167" s="1422">
        <v>0</v>
      </c>
      <c r="T167" s="1439"/>
      <c r="U167" s="1422">
        <v>0</v>
      </c>
      <c r="V167" s="1439"/>
      <c r="W167" s="1420">
        <v>3.6</v>
      </c>
      <c r="X167" s="1439"/>
      <c r="Y167" s="1420">
        <v>28.6</v>
      </c>
      <c r="Z167" s="1439"/>
      <c r="AA167" s="1420">
        <v>1335130.3799999999</v>
      </c>
      <c r="AB167" s="1439"/>
      <c r="AC167" s="1420">
        <v>873702.6</v>
      </c>
      <c r="AD167" s="1422">
        <v>741250</v>
      </c>
      <c r="AE167" s="1420">
        <v>296271.62</v>
      </c>
      <c r="AF167" s="1422">
        <v>98880</v>
      </c>
      <c r="AG167" s="1422">
        <v>0</v>
      </c>
      <c r="AH167" s="1422">
        <v>0</v>
      </c>
      <c r="AI167" s="1422">
        <v>3747557</v>
      </c>
      <c r="AJ167" s="1422">
        <v>3927867</v>
      </c>
      <c r="AK167" s="1422">
        <v>35549</v>
      </c>
      <c r="AL167" s="1422">
        <v>35000</v>
      </c>
      <c r="AM167" s="1422">
        <v>101141</v>
      </c>
      <c r="AN167" s="1422">
        <v>0</v>
      </c>
      <c r="AO167" s="1422">
        <v>0</v>
      </c>
      <c r="AP167" s="1422">
        <v>0</v>
      </c>
      <c r="AQ167" s="1422">
        <v>0</v>
      </c>
      <c r="AR167" s="1422">
        <v>0</v>
      </c>
      <c r="AS167" s="1422">
        <v>0</v>
      </c>
      <c r="AT167" s="1422">
        <v>0</v>
      </c>
      <c r="AU167" s="1422">
        <v>26743</v>
      </c>
      <c r="AV167" s="1422">
        <v>21395</v>
      </c>
      <c r="AW167" s="1422">
        <v>26317</v>
      </c>
      <c r="AX167" s="1422">
        <v>23000</v>
      </c>
      <c r="AY167" s="1420">
        <v>5107281.22</v>
      </c>
      <c r="AZ167" s="1422">
        <v>4847392</v>
      </c>
      <c r="BA167" s="1422">
        <v>0</v>
      </c>
      <c r="BB167" s="1422">
        <v>0</v>
      </c>
      <c r="BC167" s="1422">
        <v>31052</v>
      </c>
      <c r="BD167" s="1422">
        <v>32668</v>
      </c>
      <c r="BE167" s="1420">
        <v>8285.15</v>
      </c>
      <c r="BF167" s="1422">
        <v>3000</v>
      </c>
      <c r="BG167" s="1422">
        <v>300</v>
      </c>
      <c r="BH167" s="1422">
        <v>0</v>
      </c>
      <c r="BI167" s="1422">
        <v>1585</v>
      </c>
      <c r="BJ167" s="1422">
        <v>4104</v>
      </c>
      <c r="BK167" s="1422">
        <v>0</v>
      </c>
      <c r="BL167" s="1422">
        <v>0</v>
      </c>
      <c r="BM167" s="1422">
        <v>241056</v>
      </c>
      <c r="BN167" s="1422">
        <v>369719</v>
      </c>
      <c r="BO167" s="1420">
        <v>3371.64</v>
      </c>
      <c r="BP167" s="1422">
        <v>3076</v>
      </c>
      <c r="BQ167" s="1422">
        <v>0</v>
      </c>
      <c r="BR167" s="1422">
        <v>0</v>
      </c>
      <c r="BS167" s="1420">
        <v>2871.14</v>
      </c>
      <c r="BT167" s="1422">
        <v>2850</v>
      </c>
      <c r="BU167" s="1422">
        <v>0</v>
      </c>
      <c r="BV167" s="1422">
        <v>0</v>
      </c>
      <c r="BW167" s="1422">
        <v>96228</v>
      </c>
      <c r="BX167" s="1422">
        <v>97200</v>
      </c>
      <c r="BY167" s="1422">
        <v>0</v>
      </c>
      <c r="BZ167" s="1422">
        <v>0</v>
      </c>
      <c r="CA167" s="1420">
        <v>455164.57</v>
      </c>
      <c r="CB167" s="1422">
        <v>656774</v>
      </c>
      <c r="CC167" s="1420">
        <v>839913.5</v>
      </c>
      <c r="CD167" s="1422">
        <v>1169391</v>
      </c>
      <c r="CE167" s="1420">
        <v>1075805.8400000001</v>
      </c>
      <c r="CF167" s="1422">
        <v>796303</v>
      </c>
      <c r="CG167" s="1422">
        <v>597800</v>
      </c>
      <c r="CH167" s="1422">
        <v>0</v>
      </c>
      <c r="CI167" s="1422">
        <v>0</v>
      </c>
      <c r="CJ167" s="1422">
        <v>0</v>
      </c>
      <c r="CK167" s="1422">
        <v>0</v>
      </c>
      <c r="CL167" s="1422">
        <v>0</v>
      </c>
      <c r="CM167" s="1422">
        <v>0</v>
      </c>
      <c r="CN167" s="1422">
        <v>0</v>
      </c>
      <c r="CO167" s="1420">
        <v>3958.59</v>
      </c>
      <c r="CP167" s="1422">
        <v>0</v>
      </c>
      <c r="CQ167" s="1422">
        <v>0</v>
      </c>
      <c r="CR167" s="1422">
        <v>0</v>
      </c>
      <c r="CS167" s="1420">
        <v>601758.59</v>
      </c>
      <c r="CT167" s="1422">
        <v>0</v>
      </c>
      <c r="CU167" s="1420">
        <v>7624759.1500000004</v>
      </c>
      <c r="CV167" s="1422">
        <v>6813086</v>
      </c>
      <c r="CW167" s="1420">
        <v>3230163.52</v>
      </c>
      <c r="CX167" s="1422">
        <v>2509995</v>
      </c>
      <c r="CY167" s="1420">
        <v>389147.26</v>
      </c>
      <c r="CZ167" s="1422">
        <v>349189</v>
      </c>
      <c r="DA167" s="1420">
        <v>188675.62</v>
      </c>
      <c r="DB167" s="1422">
        <v>182346</v>
      </c>
      <c r="DC167" s="1422">
        <v>0</v>
      </c>
      <c r="DD167" s="1422">
        <v>0</v>
      </c>
      <c r="DE167" s="1420">
        <v>354166.99</v>
      </c>
      <c r="DF167" s="1422">
        <v>532688</v>
      </c>
      <c r="DG167" s="1420">
        <v>127450.09</v>
      </c>
      <c r="DH167" s="1422">
        <v>299263</v>
      </c>
      <c r="DI167" s="1420">
        <v>4289603.4800000004</v>
      </c>
      <c r="DJ167" s="1422">
        <v>3873481</v>
      </c>
      <c r="DK167" s="1420">
        <v>318347.65000000002</v>
      </c>
      <c r="DL167" s="1422">
        <v>252256</v>
      </c>
      <c r="DM167" s="1420">
        <v>188808.06</v>
      </c>
      <c r="DN167" s="1422">
        <v>100917</v>
      </c>
      <c r="DO167" s="1420">
        <v>613876.84</v>
      </c>
      <c r="DP167" s="1422">
        <v>579088</v>
      </c>
      <c r="DQ167" s="1420">
        <v>282380.39</v>
      </c>
      <c r="DR167" s="1422">
        <v>213947</v>
      </c>
      <c r="DS167" s="1420">
        <v>8787.93</v>
      </c>
      <c r="DT167" s="1422">
        <v>3169</v>
      </c>
      <c r="DU167" s="1420">
        <v>1412200.87</v>
      </c>
      <c r="DV167" s="1422">
        <v>1149377</v>
      </c>
      <c r="DW167" s="1420">
        <v>304759.2</v>
      </c>
      <c r="DX167" s="1422">
        <v>276767</v>
      </c>
      <c r="DY167" s="1420">
        <v>341076.93</v>
      </c>
      <c r="DZ167" s="1422">
        <v>346019</v>
      </c>
      <c r="EA167" s="1420">
        <v>318756.09999999998</v>
      </c>
      <c r="EB167" s="1422">
        <v>287054</v>
      </c>
      <c r="EC167" s="1420">
        <v>964592.23</v>
      </c>
      <c r="ED167" s="1422">
        <v>909840</v>
      </c>
      <c r="EE167" s="1420">
        <v>396656.15</v>
      </c>
      <c r="EF167" s="1422">
        <v>353741</v>
      </c>
      <c r="EG167" s="1422">
        <v>0</v>
      </c>
      <c r="EH167" s="1422">
        <v>0</v>
      </c>
      <c r="EI167" s="1422">
        <v>0</v>
      </c>
      <c r="EJ167" s="1422">
        <v>12296</v>
      </c>
      <c r="EK167" s="1422">
        <v>0</v>
      </c>
      <c r="EL167" s="1422">
        <v>0</v>
      </c>
      <c r="EM167" s="1420">
        <v>396656.15</v>
      </c>
      <c r="EN167" s="1422">
        <v>366037</v>
      </c>
      <c r="EO167" s="1420">
        <v>672468.89</v>
      </c>
      <c r="EP167" s="1422">
        <v>1322960</v>
      </c>
      <c r="EQ167" s="1420">
        <v>121680.99</v>
      </c>
      <c r="ER167" s="1422">
        <v>148816</v>
      </c>
      <c r="ES167" s="1420">
        <v>9064.31</v>
      </c>
      <c r="ET167" s="1422">
        <v>0</v>
      </c>
      <c r="EU167" s="1420">
        <v>7866266.9199999999</v>
      </c>
      <c r="EV167" s="1422">
        <v>7770511</v>
      </c>
      <c r="EW167" s="1420">
        <v>876553.68</v>
      </c>
      <c r="EX167" s="1422">
        <v>1332700</v>
      </c>
      <c r="EY167" s="1420">
        <v>121680.99</v>
      </c>
      <c r="EZ167" s="1422">
        <v>148816</v>
      </c>
      <c r="FA167" s="1420">
        <v>6868032.25</v>
      </c>
      <c r="FB167" s="1422">
        <v>6288995</v>
      </c>
      <c r="FC167" s="1420">
        <v>344352.59</v>
      </c>
      <c r="FD167" s="1439"/>
      <c r="FE167" s="1420">
        <v>6523679.6600000001</v>
      </c>
      <c r="FF167" s="1439"/>
      <c r="FG167" s="1422">
        <v>9096</v>
      </c>
      <c r="FH167" s="1439"/>
      <c r="FI167" s="1420">
        <v>53.17</v>
      </c>
      <c r="FJ167" s="1439"/>
      <c r="FK167" s="1422">
        <v>47460</v>
      </c>
      <c r="FL167" s="1439"/>
      <c r="FM167" s="1420">
        <v>56.28</v>
      </c>
      <c r="FN167" s="1439"/>
      <c r="FO167" s="1422">
        <v>50468</v>
      </c>
      <c r="FP167" s="1439"/>
      <c r="FQ167" s="1420">
        <v>2520047.0099999998</v>
      </c>
      <c r="FR167" s="1439"/>
      <c r="FS167" s="1420">
        <v>174725.96</v>
      </c>
      <c r="FT167" s="1439"/>
      <c r="FU167" s="1422">
        <v>0</v>
      </c>
      <c r="FV167" s="1439"/>
      <c r="FW167" s="1420">
        <v>2345321.0499999998</v>
      </c>
      <c r="FX167" s="1439"/>
      <c r="FY167" s="1420">
        <v>597885.03</v>
      </c>
      <c r="FZ167" s="1439"/>
      <c r="GA167" s="1422">
        <v>0</v>
      </c>
      <c r="GB167" s="1439"/>
    </row>
    <row r="168" spans="1:184" ht="12.75" customHeight="1" thickBot="1">
      <c r="A168" s="1418" t="s">
        <v>386</v>
      </c>
      <c r="B168" s="1418" t="s">
        <v>387</v>
      </c>
      <c r="C168" s="1420">
        <v>137.99</v>
      </c>
      <c r="D168" s="1439"/>
      <c r="E168" s="1420">
        <v>2114.73</v>
      </c>
      <c r="F168" s="1439"/>
      <c r="G168" s="1421">
        <v>-0.24</v>
      </c>
      <c r="H168" s="1439"/>
      <c r="I168" s="1420">
        <v>2232.77</v>
      </c>
      <c r="J168" s="1439"/>
      <c r="K168" s="1420">
        <v>2314.9499999999998</v>
      </c>
      <c r="L168" s="1439"/>
      <c r="M168" s="1422">
        <v>113701999</v>
      </c>
      <c r="N168" s="1439"/>
      <c r="O168" s="1422">
        <v>25</v>
      </c>
      <c r="P168" s="1439"/>
      <c r="Q168" s="1422">
        <v>25</v>
      </c>
      <c r="R168" s="1439"/>
      <c r="S168" s="1422">
        <v>0</v>
      </c>
      <c r="T168" s="1439"/>
      <c r="U168" s="1422">
        <v>0</v>
      </c>
      <c r="V168" s="1439"/>
      <c r="W168" s="1420">
        <v>9.1</v>
      </c>
      <c r="X168" s="1439"/>
      <c r="Y168" s="1420">
        <v>34.1</v>
      </c>
      <c r="Z168" s="1439"/>
      <c r="AA168" s="1422">
        <v>7300000</v>
      </c>
      <c r="AB168" s="1439"/>
      <c r="AC168" s="1420">
        <v>3682598.62</v>
      </c>
      <c r="AD168" s="1422">
        <v>3674700</v>
      </c>
      <c r="AE168" s="1420">
        <v>587602.43000000005</v>
      </c>
      <c r="AF168" s="1422">
        <v>312786</v>
      </c>
      <c r="AG168" s="1422">
        <v>0</v>
      </c>
      <c r="AH168" s="1422">
        <v>0</v>
      </c>
      <c r="AI168" s="1422">
        <v>11102332</v>
      </c>
      <c r="AJ168" s="1422">
        <v>10914166</v>
      </c>
      <c r="AK168" s="1422">
        <v>217874</v>
      </c>
      <c r="AL168" s="1422">
        <v>0</v>
      </c>
      <c r="AM168" s="1422">
        <v>0</v>
      </c>
      <c r="AN168" s="1422">
        <v>0</v>
      </c>
      <c r="AO168" s="1422">
        <v>796391</v>
      </c>
      <c r="AP168" s="1422">
        <v>224225</v>
      </c>
      <c r="AQ168" s="1422">
        <v>0</v>
      </c>
      <c r="AR168" s="1422">
        <v>0</v>
      </c>
      <c r="AS168" s="1422">
        <v>0</v>
      </c>
      <c r="AT168" s="1422">
        <v>0</v>
      </c>
      <c r="AU168" s="1422">
        <v>177851</v>
      </c>
      <c r="AV168" s="1422">
        <v>142281</v>
      </c>
      <c r="AW168" s="1422">
        <v>0</v>
      </c>
      <c r="AX168" s="1422">
        <v>0</v>
      </c>
      <c r="AY168" s="1420">
        <v>16564649.050000001</v>
      </c>
      <c r="AZ168" s="1422">
        <v>15268158</v>
      </c>
      <c r="BA168" s="1422">
        <v>0</v>
      </c>
      <c r="BB168" s="1422">
        <v>0</v>
      </c>
      <c r="BC168" s="1422">
        <v>95746</v>
      </c>
      <c r="BD168" s="1422">
        <v>95014</v>
      </c>
      <c r="BE168" s="1420">
        <v>43674.61</v>
      </c>
      <c r="BF168" s="1422">
        <v>0</v>
      </c>
      <c r="BG168" s="1422">
        <v>150</v>
      </c>
      <c r="BH168" s="1422">
        <v>0</v>
      </c>
      <c r="BI168" s="1422">
        <v>203028</v>
      </c>
      <c r="BJ168" s="1422">
        <v>246918</v>
      </c>
      <c r="BK168" s="1422">
        <v>0</v>
      </c>
      <c r="BL168" s="1422">
        <v>0</v>
      </c>
      <c r="BM168" s="1422">
        <v>3136704</v>
      </c>
      <c r="BN168" s="1422">
        <v>3146814</v>
      </c>
      <c r="BO168" s="1420">
        <v>9483.57</v>
      </c>
      <c r="BP168" s="1422">
        <v>0</v>
      </c>
      <c r="BQ168" s="1420">
        <v>39812.839999999997</v>
      </c>
      <c r="BR168" s="1422">
        <v>0</v>
      </c>
      <c r="BS168" s="1420">
        <v>10790.01</v>
      </c>
      <c r="BT168" s="1422">
        <v>0</v>
      </c>
      <c r="BU168" s="1422">
        <v>0</v>
      </c>
      <c r="BV168" s="1422">
        <v>0</v>
      </c>
      <c r="BW168" s="1422">
        <v>350000</v>
      </c>
      <c r="BX168" s="1422">
        <v>350000</v>
      </c>
      <c r="BY168" s="1422">
        <v>0</v>
      </c>
      <c r="BZ168" s="1422">
        <v>0</v>
      </c>
      <c r="CA168" s="1420">
        <v>255659.93</v>
      </c>
      <c r="CB168" s="1422">
        <v>211997</v>
      </c>
      <c r="CC168" s="1420">
        <v>4145048.96</v>
      </c>
      <c r="CD168" s="1422">
        <v>4050743</v>
      </c>
      <c r="CE168" s="1420">
        <v>8604680.2200000007</v>
      </c>
      <c r="CF168" s="1420">
        <v>5811336.21</v>
      </c>
      <c r="CG168" s="1422">
        <v>0</v>
      </c>
      <c r="CH168" s="1422">
        <v>0</v>
      </c>
      <c r="CI168" s="1422">
        <v>0</v>
      </c>
      <c r="CJ168" s="1422">
        <v>0</v>
      </c>
      <c r="CK168" s="1422">
        <v>0</v>
      </c>
      <c r="CL168" s="1422">
        <v>0</v>
      </c>
      <c r="CM168" s="1422">
        <v>0</v>
      </c>
      <c r="CN168" s="1422">
        <v>0</v>
      </c>
      <c r="CO168" s="1422">
        <v>0</v>
      </c>
      <c r="CP168" s="1422">
        <v>0</v>
      </c>
      <c r="CQ168" s="1422">
        <v>0</v>
      </c>
      <c r="CR168" s="1422">
        <v>0</v>
      </c>
      <c r="CS168" s="1422">
        <v>0</v>
      </c>
      <c r="CT168" s="1422">
        <v>0</v>
      </c>
      <c r="CU168" s="1420">
        <v>29314378.23</v>
      </c>
      <c r="CV168" s="1420">
        <v>25130237.210000001</v>
      </c>
      <c r="CW168" s="1420">
        <v>8802741.9600000009</v>
      </c>
      <c r="CX168" s="1420">
        <v>8908362.9600000009</v>
      </c>
      <c r="CY168" s="1420">
        <v>1444729.57</v>
      </c>
      <c r="CZ168" s="1420">
        <v>1289802.71</v>
      </c>
      <c r="DA168" s="1420">
        <v>511176.69</v>
      </c>
      <c r="DB168" s="1422">
        <v>410268</v>
      </c>
      <c r="DC168" s="1422">
        <v>0</v>
      </c>
      <c r="DD168" s="1422">
        <v>0</v>
      </c>
      <c r="DE168" s="1420">
        <v>1033076.88</v>
      </c>
      <c r="DF168" s="1420">
        <v>1654011.65</v>
      </c>
      <c r="DG168" s="1420">
        <v>953007.45</v>
      </c>
      <c r="DH168" s="1420">
        <v>654882.75</v>
      </c>
      <c r="DI168" s="1420">
        <v>12744732.550000001</v>
      </c>
      <c r="DJ168" s="1420">
        <v>12917328.07</v>
      </c>
      <c r="DK168" s="1420">
        <v>736972.92</v>
      </c>
      <c r="DL168" s="1420">
        <v>986994.23</v>
      </c>
      <c r="DM168" s="1420">
        <v>611774.98</v>
      </c>
      <c r="DN168" s="1422">
        <v>475645</v>
      </c>
      <c r="DO168" s="1420">
        <v>2972328.43</v>
      </c>
      <c r="DP168" s="1422">
        <v>2030381</v>
      </c>
      <c r="DQ168" s="1420">
        <v>1058947.07</v>
      </c>
      <c r="DR168" s="1420">
        <v>1237686.6000000001</v>
      </c>
      <c r="DS168" s="1420">
        <v>21345.200000000001</v>
      </c>
      <c r="DT168" s="1420">
        <v>54510.74</v>
      </c>
      <c r="DU168" s="1420">
        <v>5401368.5999999996</v>
      </c>
      <c r="DV168" s="1420">
        <v>4785217.57</v>
      </c>
      <c r="DW168" s="1422">
        <v>1198394</v>
      </c>
      <c r="DX168" s="1420">
        <v>686374.19</v>
      </c>
      <c r="DY168" s="1420">
        <v>2804200.12</v>
      </c>
      <c r="DZ168" s="1420">
        <v>3739725.7</v>
      </c>
      <c r="EA168" s="1420">
        <v>1705759.55</v>
      </c>
      <c r="EB168" s="1422">
        <v>916575</v>
      </c>
      <c r="EC168" s="1420">
        <v>5708353.6699999999</v>
      </c>
      <c r="ED168" s="1420">
        <v>5342674.8899999997</v>
      </c>
      <c r="EE168" s="1420">
        <v>2014174.67</v>
      </c>
      <c r="EF168" s="1422">
        <v>873535</v>
      </c>
      <c r="EG168" s="1422">
        <v>0</v>
      </c>
      <c r="EH168" s="1422">
        <v>0</v>
      </c>
      <c r="EI168" s="1422">
        <v>0</v>
      </c>
      <c r="EJ168" s="1422">
        <v>0</v>
      </c>
      <c r="EK168" s="1422">
        <v>0</v>
      </c>
      <c r="EL168" s="1422">
        <v>0</v>
      </c>
      <c r="EM168" s="1420">
        <v>2014174.67</v>
      </c>
      <c r="EN168" s="1422">
        <v>873535</v>
      </c>
      <c r="EO168" s="1420">
        <v>61468.79</v>
      </c>
      <c r="EP168" s="1422">
        <v>0</v>
      </c>
      <c r="EQ168" s="1420">
        <v>759397.5</v>
      </c>
      <c r="ER168" s="1422">
        <v>759453</v>
      </c>
      <c r="ES168" s="1420">
        <v>252.85</v>
      </c>
      <c r="ET168" s="1422">
        <v>0</v>
      </c>
      <c r="EU168" s="1420">
        <v>26689748.629999999</v>
      </c>
      <c r="EV168" s="1420">
        <v>24678208.530000001</v>
      </c>
      <c r="EW168" s="1420">
        <v>759251.01</v>
      </c>
      <c r="EX168" s="1422">
        <v>295886</v>
      </c>
      <c r="EY168" s="1420">
        <v>759397.5</v>
      </c>
      <c r="EZ168" s="1422">
        <v>759453</v>
      </c>
      <c r="FA168" s="1420">
        <v>25171100.120000001</v>
      </c>
      <c r="FB168" s="1420">
        <v>23622869.530000001</v>
      </c>
      <c r="FC168" s="1420">
        <v>559304.26</v>
      </c>
      <c r="FD168" s="1439"/>
      <c r="FE168" s="1420">
        <v>24611795.859999999</v>
      </c>
      <c r="FF168" s="1439"/>
      <c r="FG168" s="1422">
        <v>11638</v>
      </c>
      <c r="FH168" s="1439"/>
      <c r="FI168" s="1420">
        <v>101.89</v>
      </c>
      <c r="FJ168" s="1439"/>
      <c r="FK168" s="1422">
        <v>50561</v>
      </c>
      <c r="FL168" s="1439"/>
      <c r="FM168" s="1420">
        <v>132.62</v>
      </c>
      <c r="FN168" s="1439"/>
      <c r="FO168" s="1422">
        <v>54170</v>
      </c>
      <c r="FP168" s="1439"/>
      <c r="FQ168" s="1420">
        <v>4564304.32</v>
      </c>
      <c r="FR168" s="1439"/>
      <c r="FS168" s="1420">
        <v>963706.92</v>
      </c>
      <c r="FT168" s="1439"/>
      <c r="FU168" s="1422">
        <v>0</v>
      </c>
      <c r="FV168" s="1439"/>
      <c r="FW168" s="1420">
        <v>3600597.4</v>
      </c>
      <c r="FX168" s="1439"/>
      <c r="FY168" s="1422">
        <v>0</v>
      </c>
      <c r="FZ168" s="1439"/>
      <c r="GA168" s="1422">
        <v>0</v>
      </c>
      <c r="GB168" s="1439"/>
    </row>
    <row r="169" spans="1:184" ht="12.75" customHeight="1" thickBot="1">
      <c r="A169" s="1418" t="s">
        <v>388</v>
      </c>
      <c r="B169" s="1418" t="s">
        <v>389</v>
      </c>
      <c r="C169" s="1420">
        <v>604.77</v>
      </c>
      <c r="D169" s="1439"/>
      <c r="E169" s="1420">
        <v>412.73</v>
      </c>
      <c r="F169" s="1439"/>
      <c r="G169" s="1421">
        <v>-0.46</v>
      </c>
      <c r="H169" s="1439"/>
      <c r="I169" s="1420">
        <v>452.6</v>
      </c>
      <c r="J169" s="1439"/>
      <c r="K169" s="1420">
        <v>536.17999999999995</v>
      </c>
      <c r="L169" s="1439"/>
      <c r="M169" s="1422">
        <v>54520774</v>
      </c>
      <c r="N169" s="1439"/>
      <c r="O169" s="1422">
        <v>25</v>
      </c>
      <c r="P169" s="1439"/>
      <c r="Q169" s="1422">
        <v>25</v>
      </c>
      <c r="R169" s="1439"/>
      <c r="S169" s="1422">
        <v>0</v>
      </c>
      <c r="T169" s="1439"/>
      <c r="U169" s="1422">
        <v>0</v>
      </c>
      <c r="V169" s="1439"/>
      <c r="W169" s="1422">
        <v>8</v>
      </c>
      <c r="X169" s="1439"/>
      <c r="Y169" s="1422">
        <v>33</v>
      </c>
      <c r="Z169" s="1439"/>
      <c r="AA169" s="1422">
        <v>2250000</v>
      </c>
      <c r="AB169" s="1439"/>
      <c r="AC169" s="1420">
        <v>1607121.23</v>
      </c>
      <c r="AD169" s="1422">
        <v>1763550</v>
      </c>
      <c r="AE169" s="1420">
        <v>314008.94</v>
      </c>
      <c r="AF169" s="1422">
        <v>237240</v>
      </c>
      <c r="AG169" s="1422">
        <v>0</v>
      </c>
      <c r="AH169" s="1422">
        <v>0</v>
      </c>
      <c r="AI169" s="1422">
        <v>1901614</v>
      </c>
      <c r="AJ169" s="1422">
        <v>1403248</v>
      </c>
      <c r="AK169" s="1422">
        <v>51299</v>
      </c>
      <c r="AL169" s="1422">
        <v>50000</v>
      </c>
      <c r="AM169" s="1422">
        <v>0</v>
      </c>
      <c r="AN169" s="1422">
        <v>0</v>
      </c>
      <c r="AO169" s="1422">
        <v>258778</v>
      </c>
      <c r="AP169" s="1422">
        <v>268025</v>
      </c>
      <c r="AQ169" s="1422">
        <v>0</v>
      </c>
      <c r="AR169" s="1422">
        <v>0</v>
      </c>
      <c r="AS169" s="1422">
        <v>0</v>
      </c>
      <c r="AT169" s="1422">
        <v>0</v>
      </c>
      <c r="AU169" s="1422">
        <v>0</v>
      </c>
      <c r="AV169" s="1422">
        <v>0</v>
      </c>
      <c r="AW169" s="1422">
        <v>34882</v>
      </c>
      <c r="AX169" s="1422">
        <v>34900</v>
      </c>
      <c r="AY169" s="1420">
        <v>4167703.17</v>
      </c>
      <c r="AZ169" s="1422">
        <v>3756963</v>
      </c>
      <c r="BA169" s="1422">
        <v>0</v>
      </c>
      <c r="BB169" s="1422">
        <v>0</v>
      </c>
      <c r="BC169" s="1422">
        <v>22176</v>
      </c>
      <c r="BD169" s="1422">
        <v>19256</v>
      </c>
      <c r="BE169" s="1420">
        <v>179192.85</v>
      </c>
      <c r="BF169" s="1422">
        <v>180355</v>
      </c>
      <c r="BG169" s="1422">
        <v>1083</v>
      </c>
      <c r="BH169" s="1422">
        <v>1000</v>
      </c>
      <c r="BI169" s="1422">
        <v>13977</v>
      </c>
      <c r="BJ169" s="1422">
        <v>42625</v>
      </c>
      <c r="BK169" s="1422">
        <v>0</v>
      </c>
      <c r="BL169" s="1422">
        <v>0</v>
      </c>
      <c r="BM169" s="1422">
        <v>787152</v>
      </c>
      <c r="BN169" s="1422">
        <v>853562</v>
      </c>
      <c r="BO169" s="1420">
        <v>2196.5300000000002</v>
      </c>
      <c r="BP169" s="1422">
        <v>2200</v>
      </c>
      <c r="BQ169" s="1420">
        <v>7583.56</v>
      </c>
      <c r="BR169" s="1422">
        <v>7000</v>
      </c>
      <c r="BS169" s="1420">
        <v>2204.21</v>
      </c>
      <c r="BT169" s="1422">
        <v>2000</v>
      </c>
      <c r="BU169" s="1422">
        <v>0</v>
      </c>
      <c r="BV169" s="1422">
        <v>0</v>
      </c>
      <c r="BW169" s="1422">
        <v>122201</v>
      </c>
      <c r="BX169" s="1422">
        <v>218700</v>
      </c>
      <c r="BY169" s="1422">
        <v>0</v>
      </c>
      <c r="BZ169" s="1422">
        <v>0</v>
      </c>
      <c r="CA169" s="1422">
        <v>26109</v>
      </c>
      <c r="CB169" s="1422">
        <v>49095</v>
      </c>
      <c r="CC169" s="1420">
        <v>1163875.1499999999</v>
      </c>
      <c r="CD169" s="1422">
        <v>1375793</v>
      </c>
      <c r="CE169" s="1420">
        <v>3224879.68</v>
      </c>
      <c r="CF169" s="1420">
        <v>3432190.7</v>
      </c>
      <c r="CG169" s="1422">
        <v>0</v>
      </c>
      <c r="CH169" s="1422">
        <v>0</v>
      </c>
      <c r="CI169" s="1422">
        <v>0</v>
      </c>
      <c r="CJ169" s="1422">
        <v>0</v>
      </c>
      <c r="CK169" s="1422">
        <v>0</v>
      </c>
      <c r="CL169" s="1422">
        <v>0</v>
      </c>
      <c r="CM169" s="1422">
        <v>123</v>
      </c>
      <c r="CN169" s="1422">
        <v>0</v>
      </c>
      <c r="CO169" s="1420">
        <v>2115.36</v>
      </c>
      <c r="CP169" s="1422">
        <v>0</v>
      </c>
      <c r="CQ169" s="1422">
        <v>0</v>
      </c>
      <c r="CR169" s="1422">
        <v>0</v>
      </c>
      <c r="CS169" s="1420">
        <v>2238.36</v>
      </c>
      <c r="CT169" s="1422">
        <v>0</v>
      </c>
      <c r="CU169" s="1420">
        <v>8558696.3599999994</v>
      </c>
      <c r="CV169" s="1420">
        <v>8564946.6999999993</v>
      </c>
      <c r="CW169" s="1420">
        <v>3103950.49</v>
      </c>
      <c r="CX169" s="1422">
        <v>2609883</v>
      </c>
      <c r="CY169" s="1420">
        <v>774507.62</v>
      </c>
      <c r="CZ169" s="1420">
        <v>701768.4</v>
      </c>
      <c r="DA169" s="1420">
        <v>252849.41</v>
      </c>
      <c r="DB169" s="1422">
        <v>274936</v>
      </c>
      <c r="DC169" s="1422">
        <v>0</v>
      </c>
      <c r="DD169" s="1422">
        <v>0</v>
      </c>
      <c r="DE169" s="1420">
        <v>973253.15</v>
      </c>
      <c r="DF169" s="1422">
        <v>655346</v>
      </c>
      <c r="DG169" s="1420">
        <v>207793.97</v>
      </c>
      <c r="DH169" s="1422">
        <v>265536</v>
      </c>
      <c r="DI169" s="1420">
        <v>5312354.6399999997</v>
      </c>
      <c r="DJ169" s="1420">
        <v>4507469.4000000004</v>
      </c>
      <c r="DK169" s="1420">
        <v>332096.57</v>
      </c>
      <c r="DL169" s="1422">
        <v>296274</v>
      </c>
      <c r="DM169" s="1420">
        <v>115735.08</v>
      </c>
      <c r="DN169" s="1422">
        <v>62799</v>
      </c>
      <c r="DO169" s="1420">
        <v>529266.96</v>
      </c>
      <c r="DP169" s="1422">
        <v>578373</v>
      </c>
      <c r="DQ169" s="1420">
        <v>267604.92</v>
      </c>
      <c r="DR169" s="1422">
        <v>182120</v>
      </c>
      <c r="DS169" s="1422">
        <v>0</v>
      </c>
      <c r="DT169" s="1422">
        <v>0</v>
      </c>
      <c r="DU169" s="1420">
        <v>1244703.53</v>
      </c>
      <c r="DV169" s="1422">
        <v>1119566</v>
      </c>
      <c r="DW169" s="1420">
        <v>372698.03</v>
      </c>
      <c r="DX169" s="1422">
        <v>318585</v>
      </c>
      <c r="DY169" s="1420">
        <v>972394.09</v>
      </c>
      <c r="DZ169" s="1420">
        <v>411168.1</v>
      </c>
      <c r="EA169" s="1420">
        <v>83285.009999999995</v>
      </c>
      <c r="EB169" s="1422">
        <v>43725</v>
      </c>
      <c r="EC169" s="1420">
        <v>1428377.13</v>
      </c>
      <c r="ED169" s="1420">
        <v>773478.1</v>
      </c>
      <c r="EE169" s="1420">
        <v>302298.89</v>
      </c>
      <c r="EF169" s="1422">
        <v>279433</v>
      </c>
      <c r="EG169" s="1422">
        <v>0</v>
      </c>
      <c r="EH169" s="1422">
        <v>0</v>
      </c>
      <c r="EI169" s="1420">
        <v>23588.799999999999</v>
      </c>
      <c r="EJ169" s="1422">
        <v>0</v>
      </c>
      <c r="EK169" s="1422">
        <v>0</v>
      </c>
      <c r="EL169" s="1422">
        <v>0</v>
      </c>
      <c r="EM169" s="1420">
        <v>325887.69</v>
      </c>
      <c r="EN169" s="1422">
        <v>279433</v>
      </c>
      <c r="EO169" s="1420">
        <v>736413.37</v>
      </c>
      <c r="EP169" s="1422">
        <v>36000</v>
      </c>
      <c r="EQ169" s="1420">
        <v>14081.25</v>
      </c>
      <c r="ER169" s="1422">
        <v>270000</v>
      </c>
      <c r="ES169" s="1422">
        <v>0</v>
      </c>
      <c r="ET169" s="1422">
        <v>0</v>
      </c>
      <c r="EU169" s="1420">
        <v>9061817.6099999994</v>
      </c>
      <c r="EV169" s="1420">
        <v>6985946.5</v>
      </c>
      <c r="EW169" s="1420">
        <v>939831.32</v>
      </c>
      <c r="EX169" s="1420">
        <v>310405.09999999998</v>
      </c>
      <c r="EY169" s="1420">
        <v>14081.25</v>
      </c>
      <c r="EZ169" s="1422">
        <v>270000</v>
      </c>
      <c r="FA169" s="1420">
        <v>8107905.04</v>
      </c>
      <c r="FB169" s="1420">
        <v>6405541.4000000004</v>
      </c>
      <c r="FC169" s="1420">
        <v>439820.25</v>
      </c>
      <c r="FD169" s="1439"/>
      <c r="FE169" s="1420">
        <v>7668084.79</v>
      </c>
      <c r="FF169" s="1439"/>
      <c r="FG169" s="1422">
        <v>18578</v>
      </c>
      <c r="FH169" s="1439"/>
      <c r="FI169" s="1420">
        <v>51.7</v>
      </c>
      <c r="FJ169" s="1439"/>
      <c r="FK169" s="1422">
        <v>49849</v>
      </c>
      <c r="FL169" s="1439"/>
      <c r="FM169" s="1420">
        <v>54.98</v>
      </c>
      <c r="FN169" s="1439"/>
      <c r="FO169" s="1422">
        <v>52609</v>
      </c>
      <c r="FP169" s="1439"/>
      <c r="FQ169" s="1420">
        <v>4203273.3899999997</v>
      </c>
      <c r="FR169" s="1439"/>
      <c r="FS169" s="1420">
        <v>264684.73</v>
      </c>
      <c r="FT169" s="1439"/>
      <c r="FU169" s="1422">
        <v>0</v>
      </c>
      <c r="FV169" s="1439"/>
      <c r="FW169" s="1420">
        <v>3938588.66</v>
      </c>
      <c r="FX169" s="1439"/>
      <c r="FY169" s="1420">
        <v>242169.73</v>
      </c>
      <c r="FZ169" s="1439"/>
      <c r="GA169" s="1422">
        <v>0</v>
      </c>
      <c r="GB169" s="1439"/>
    </row>
    <row r="170" spans="1:184" ht="12.75" customHeight="1" thickBot="1">
      <c r="A170" s="1418" t="s">
        <v>390</v>
      </c>
      <c r="B170" s="1418" t="s">
        <v>391</v>
      </c>
      <c r="C170" s="1420">
        <v>217.19</v>
      </c>
      <c r="D170" s="1439"/>
      <c r="E170" s="1420">
        <v>926.29</v>
      </c>
      <c r="F170" s="1439"/>
      <c r="G170" s="1421">
        <v>-0.05</v>
      </c>
      <c r="H170" s="1439"/>
      <c r="I170" s="1420">
        <v>1006.41</v>
      </c>
      <c r="J170" s="1439"/>
      <c r="K170" s="1420">
        <v>1040.58</v>
      </c>
      <c r="L170" s="1439"/>
      <c r="M170" s="1422">
        <v>56839021</v>
      </c>
      <c r="N170" s="1439"/>
      <c r="O170" s="1422">
        <v>25</v>
      </c>
      <c r="P170" s="1439"/>
      <c r="Q170" s="1422">
        <v>25</v>
      </c>
      <c r="R170" s="1439"/>
      <c r="S170" s="1422">
        <v>0</v>
      </c>
      <c r="T170" s="1439"/>
      <c r="U170" s="1422">
        <v>0</v>
      </c>
      <c r="V170" s="1439"/>
      <c r="W170" s="1420">
        <v>13.6</v>
      </c>
      <c r="X170" s="1439"/>
      <c r="Y170" s="1420">
        <v>38.6</v>
      </c>
      <c r="Z170" s="1439"/>
      <c r="AA170" s="1422">
        <v>4905000</v>
      </c>
      <c r="AB170" s="1439"/>
      <c r="AC170" s="1420">
        <v>1860936.67</v>
      </c>
      <c r="AD170" s="1422">
        <v>1904830</v>
      </c>
      <c r="AE170" s="1420">
        <v>451760.1</v>
      </c>
      <c r="AF170" s="1422">
        <v>284840</v>
      </c>
      <c r="AG170" s="1420">
        <v>8019.27</v>
      </c>
      <c r="AH170" s="1422">
        <v>13000</v>
      </c>
      <c r="AI170" s="1422">
        <v>4924518</v>
      </c>
      <c r="AJ170" s="1422">
        <v>4830468</v>
      </c>
      <c r="AK170" s="1422">
        <v>147189</v>
      </c>
      <c r="AL170" s="1422">
        <v>150000</v>
      </c>
      <c r="AM170" s="1422">
        <v>0</v>
      </c>
      <c r="AN170" s="1422">
        <v>0</v>
      </c>
      <c r="AO170" s="1422">
        <v>7740</v>
      </c>
      <c r="AP170" s="1422">
        <v>83804</v>
      </c>
      <c r="AQ170" s="1422">
        <v>0</v>
      </c>
      <c r="AR170" s="1422">
        <v>0</v>
      </c>
      <c r="AS170" s="1422">
        <v>0</v>
      </c>
      <c r="AT170" s="1422">
        <v>0</v>
      </c>
      <c r="AU170" s="1422">
        <v>0</v>
      </c>
      <c r="AV170" s="1422">
        <v>0</v>
      </c>
      <c r="AW170" s="1422">
        <v>0</v>
      </c>
      <c r="AX170" s="1422">
        <v>0</v>
      </c>
      <c r="AY170" s="1420">
        <v>7400163.04</v>
      </c>
      <c r="AZ170" s="1422">
        <v>7266942</v>
      </c>
      <c r="BA170" s="1422">
        <v>0</v>
      </c>
      <c r="BB170" s="1422">
        <v>0</v>
      </c>
      <c r="BC170" s="1422">
        <v>43038</v>
      </c>
      <c r="BD170" s="1422">
        <v>42944</v>
      </c>
      <c r="BE170" s="1420">
        <v>4484.6499999999996</v>
      </c>
      <c r="BF170" s="1422">
        <v>4500</v>
      </c>
      <c r="BG170" s="1422">
        <v>100</v>
      </c>
      <c r="BH170" s="1422">
        <v>0</v>
      </c>
      <c r="BI170" s="1422">
        <v>0</v>
      </c>
      <c r="BJ170" s="1422">
        <v>4145</v>
      </c>
      <c r="BK170" s="1422">
        <v>55377</v>
      </c>
      <c r="BL170" s="1420">
        <v>86743.66</v>
      </c>
      <c r="BM170" s="1422">
        <v>311488</v>
      </c>
      <c r="BN170" s="1422">
        <v>358754</v>
      </c>
      <c r="BO170" s="1420">
        <v>4262.8900000000003</v>
      </c>
      <c r="BP170" s="1422">
        <v>0</v>
      </c>
      <c r="BQ170" s="1422">
        <v>0</v>
      </c>
      <c r="BR170" s="1422">
        <v>0</v>
      </c>
      <c r="BS170" s="1420">
        <v>4165.3599999999997</v>
      </c>
      <c r="BT170" s="1420">
        <v>4211.7700000000004</v>
      </c>
      <c r="BU170" s="1422">
        <v>0</v>
      </c>
      <c r="BV170" s="1422">
        <v>0</v>
      </c>
      <c r="BW170" s="1422">
        <v>87480</v>
      </c>
      <c r="BX170" s="1422">
        <v>0</v>
      </c>
      <c r="BY170" s="1422">
        <v>0</v>
      </c>
      <c r="BZ170" s="1422">
        <v>0</v>
      </c>
      <c r="CA170" s="1420">
        <v>703826.46</v>
      </c>
      <c r="CB170" s="1420">
        <v>234158.5</v>
      </c>
      <c r="CC170" s="1420">
        <v>1214222.3600000001</v>
      </c>
      <c r="CD170" s="1420">
        <v>735456.93</v>
      </c>
      <c r="CE170" s="1420">
        <v>1931322.19</v>
      </c>
      <c r="CF170" s="1420">
        <v>1844921.92</v>
      </c>
      <c r="CG170" s="1422">
        <v>0</v>
      </c>
      <c r="CH170" s="1422">
        <v>0</v>
      </c>
      <c r="CI170" s="1422">
        <v>0</v>
      </c>
      <c r="CJ170" s="1422">
        <v>0</v>
      </c>
      <c r="CK170" s="1422">
        <v>0</v>
      </c>
      <c r="CL170" s="1422">
        <v>0</v>
      </c>
      <c r="CM170" s="1422">
        <v>0</v>
      </c>
      <c r="CN170" s="1422">
        <v>0</v>
      </c>
      <c r="CO170" s="1422">
        <v>0</v>
      </c>
      <c r="CP170" s="1422">
        <v>0</v>
      </c>
      <c r="CQ170" s="1422">
        <v>0</v>
      </c>
      <c r="CR170" s="1422">
        <v>0</v>
      </c>
      <c r="CS170" s="1422">
        <v>0</v>
      </c>
      <c r="CT170" s="1422">
        <v>0</v>
      </c>
      <c r="CU170" s="1420">
        <v>10545707.59</v>
      </c>
      <c r="CV170" s="1420">
        <v>9847320.8499999996</v>
      </c>
      <c r="CW170" s="1420">
        <v>3802052.07</v>
      </c>
      <c r="CX170" s="1420">
        <v>3215498.13</v>
      </c>
      <c r="CY170" s="1420">
        <v>643439.69999999995</v>
      </c>
      <c r="CZ170" s="1420">
        <v>693700.65</v>
      </c>
      <c r="DA170" s="1420">
        <v>335291.39</v>
      </c>
      <c r="DB170" s="1420">
        <v>366135.95</v>
      </c>
      <c r="DC170" s="1422">
        <v>0</v>
      </c>
      <c r="DD170" s="1422">
        <v>0</v>
      </c>
      <c r="DE170" s="1420">
        <v>438148.39</v>
      </c>
      <c r="DF170" s="1420">
        <v>244584.14</v>
      </c>
      <c r="DG170" s="1420">
        <v>144068.71</v>
      </c>
      <c r="DH170" s="1420">
        <v>188135.94</v>
      </c>
      <c r="DI170" s="1420">
        <v>5363000.26</v>
      </c>
      <c r="DJ170" s="1420">
        <v>4708054.8099999996</v>
      </c>
      <c r="DK170" s="1420">
        <v>262559.09999999998</v>
      </c>
      <c r="DL170" s="1420">
        <v>236049.82</v>
      </c>
      <c r="DM170" s="1420">
        <v>218267.31</v>
      </c>
      <c r="DN170" s="1420">
        <v>275179.92</v>
      </c>
      <c r="DO170" s="1420">
        <v>918408.26</v>
      </c>
      <c r="DP170" s="1420">
        <v>849038.6</v>
      </c>
      <c r="DQ170" s="1420">
        <v>397602.34</v>
      </c>
      <c r="DR170" s="1420">
        <v>310065.40000000002</v>
      </c>
      <c r="DS170" s="1420">
        <v>17059.23</v>
      </c>
      <c r="DT170" s="1422">
        <v>4593</v>
      </c>
      <c r="DU170" s="1420">
        <v>1813896.24</v>
      </c>
      <c r="DV170" s="1420">
        <v>1674926.74</v>
      </c>
      <c r="DW170" s="1420">
        <v>308686.49</v>
      </c>
      <c r="DX170" s="1420">
        <v>313819.21000000002</v>
      </c>
      <c r="DY170" s="1420">
        <v>712327.12</v>
      </c>
      <c r="DZ170" s="1420">
        <v>810832.15</v>
      </c>
      <c r="EA170" s="1420">
        <v>566005.96</v>
      </c>
      <c r="EB170" s="1420">
        <v>551669.13</v>
      </c>
      <c r="EC170" s="1420">
        <v>1587019.57</v>
      </c>
      <c r="ED170" s="1420">
        <v>1676320.49</v>
      </c>
      <c r="EE170" s="1420">
        <v>588961.89</v>
      </c>
      <c r="EF170" s="1420">
        <v>600064.91</v>
      </c>
      <c r="EG170" s="1422">
        <v>0</v>
      </c>
      <c r="EH170" s="1422">
        <v>0</v>
      </c>
      <c r="EI170" s="1420">
        <v>242.83</v>
      </c>
      <c r="EJ170" s="1422">
        <v>3400</v>
      </c>
      <c r="EK170" s="1422">
        <v>0</v>
      </c>
      <c r="EL170" s="1422">
        <v>0</v>
      </c>
      <c r="EM170" s="1420">
        <v>589204.72</v>
      </c>
      <c r="EN170" s="1420">
        <v>603464.91</v>
      </c>
      <c r="EO170" s="1420">
        <v>1125017.8400000001</v>
      </c>
      <c r="EP170" s="1420">
        <v>899395.96</v>
      </c>
      <c r="EQ170" s="1420">
        <v>223435.83</v>
      </c>
      <c r="ER170" s="1420">
        <v>454295.02</v>
      </c>
      <c r="ES170" s="1422">
        <v>0</v>
      </c>
      <c r="ET170" s="1422">
        <v>0</v>
      </c>
      <c r="EU170" s="1420">
        <v>10701574.460000001</v>
      </c>
      <c r="EV170" s="1420">
        <v>10016457.93</v>
      </c>
      <c r="EW170" s="1420">
        <v>1304149.22</v>
      </c>
      <c r="EX170" s="1420">
        <v>1025934.09</v>
      </c>
      <c r="EY170" s="1420">
        <v>223435.83</v>
      </c>
      <c r="EZ170" s="1420">
        <v>454295.02</v>
      </c>
      <c r="FA170" s="1420">
        <v>9173989.4100000001</v>
      </c>
      <c r="FB170" s="1420">
        <v>8536228.8200000003</v>
      </c>
      <c r="FC170" s="1420">
        <v>469599.45</v>
      </c>
      <c r="FD170" s="1439"/>
      <c r="FE170" s="1420">
        <v>8704389.9600000009</v>
      </c>
      <c r="FF170" s="1439"/>
      <c r="FG170" s="1422">
        <v>9397</v>
      </c>
      <c r="FH170" s="1439"/>
      <c r="FI170" s="1420">
        <v>77.69</v>
      </c>
      <c r="FJ170" s="1439"/>
      <c r="FK170" s="1422">
        <v>39200</v>
      </c>
      <c r="FL170" s="1439"/>
      <c r="FM170" s="1420">
        <v>85.69</v>
      </c>
      <c r="FN170" s="1439"/>
      <c r="FO170" s="1422">
        <v>42705</v>
      </c>
      <c r="FP170" s="1439"/>
      <c r="FQ170" s="1420">
        <v>1268689.73</v>
      </c>
      <c r="FR170" s="1439"/>
      <c r="FS170" s="1420">
        <v>32010.41</v>
      </c>
      <c r="FT170" s="1439"/>
      <c r="FU170" s="1422">
        <v>0</v>
      </c>
      <c r="FV170" s="1439"/>
      <c r="FW170" s="1420">
        <v>1236679.32</v>
      </c>
      <c r="FX170" s="1439"/>
      <c r="FY170" s="1420">
        <v>137075.46</v>
      </c>
      <c r="FZ170" s="1439"/>
      <c r="GA170" s="1422">
        <v>0</v>
      </c>
      <c r="GB170" s="1439"/>
    </row>
    <row r="171" spans="1:184" ht="12.75" customHeight="1" thickBot="1">
      <c r="A171" s="1418" t="s">
        <v>392</v>
      </c>
      <c r="B171" s="1418" t="s">
        <v>393</v>
      </c>
      <c r="C171" s="1420">
        <v>198.68</v>
      </c>
      <c r="D171" s="1439"/>
      <c r="E171" s="1420">
        <v>391.57</v>
      </c>
      <c r="F171" s="1439"/>
      <c r="G171" s="1421">
        <v>-0.08</v>
      </c>
      <c r="H171" s="1439"/>
      <c r="I171" s="1420">
        <v>409.06</v>
      </c>
      <c r="J171" s="1439"/>
      <c r="K171" s="1420">
        <v>435.83</v>
      </c>
      <c r="L171" s="1439"/>
      <c r="M171" s="1422">
        <v>29416425</v>
      </c>
      <c r="N171" s="1439"/>
      <c r="O171" s="1422">
        <v>25</v>
      </c>
      <c r="P171" s="1439"/>
      <c r="Q171" s="1422">
        <v>25</v>
      </c>
      <c r="R171" s="1439"/>
      <c r="S171" s="1422">
        <v>0</v>
      </c>
      <c r="T171" s="1439"/>
      <c r="U171" s="1422">
        <v>0</v>
      </c>
      <c r="V171" s="1439"/>
      <c r="W171" s="1422">
        <v>10</v>
      </c>
      <c r="X171" s="1439"/>
      <c r="Y171" s="1422">
        <v>35</v>
      </c>
      <c r="Z171" s="1439"/>
      <c r="AA171" s="1420">
        <v>2627187.9500000002</v>
      </c>
      <c r="AB171" s="1439"/>
      <c r="AC171" s="1420">
        <v>922334.92</v>
      </c>
      <c r="AD171" s="1422">
        <v>1120000</v>
      </c>
      <c r="AE171" s="1420">
        <v>231346.09</v>
      </c>
      <c r="AF171" s="1422">
        <v>86500</v>
      </c>
      <c r="AG171" s="1420">
        <v>3265.38</v>
      </c>
      <c r="AH171" s="1422">
        <v>0</v>
      </c>
      <c r="AI171" s="1422">
        <v>1919572</v>
      </c>
      <c r="AJ171" s="1422">
        <v>1781488</v>
      </c>
      <c r="AK171" s="1422">
        <v>28000</v>
      </c>
      <c r="AL171" s="1422">
        <v>0</v>
      </c>
      <c r="AM171" s="1422">
        <v>0</v>
      </c>
      <c r="AN171" s="1422">
        <v>0</v>
      </c>
      <c r="AO171" s="1422">
        <v>20117</v>
      </c>
      <c r="AP171" s="1422">
        <v>75356</v>
      </c>
      <c r="AQ171" s="1422">
        <v>0</v>
      </c>
      <c r="AR171" s="1422">
        <v>0</v>
      </c>
      <c r="AS171" s="1422">
        <v>0</v>
      </c>
      <c r="AT171" s="1422">
        <v>0</v>
      </c>
      <c r="AU171" s="1422">
        <v>0</v>
      </c>
      <c r="AV171" s="1422">
        <v>0</v>
      </c>
      <c r="AW171" s="1422">
        <v>0</v>
      </c>
      <c r="AX171" s="1422">
        <v>0</v>
      </c>
      <c r="AY171" s="1420">
        <v>3124635.39</v>
      </c>
      <c r="AZ171" s="1422">
        <v>3063344</v>
      </c>
      <c r="BA171" s="1422">
        <v>0</v>
      </c>
      <c r="BB171" s="1422">
        <v>0</v>
      </c>
      <c r="BC171" s="1422">
        <v>18026</v>
      </c>
      <c r="BD171" s="1422">
        <v>17431</v>
      </c>
      <c r="BE171" s="1420">
        <v>3774.07</v>
      </c>
      <c r="BF171" s="1422">
        <v>0</v>
      </c>
      <c r="BG171" s="1422">
        <v>0</v>
      </c>
      <c r="BH171" s="1422">
        <v>0</v>
      </c>
      <c r="BI171" s="1422">
        <v>0</v>
      </c>
      <c r="BJ171" s="1422">
        <v>0</v>
      </c>
      <c r="BK171" s="1422">
        <v>0</v>
      </c>
      <c r="BL171" s="1422">
        <v>0</v>
      </c>
      <c r="BM171" s="1422">
        <v>124992</v>
      </c>
      <c r="BN171" s="1422">
        <v>131560</v>
      </c>
      <c r="BO171" s="1420">
        <v>1785.88</v>
      </c>
      <c r="BP171" s="1422">
        <v>0</v>
      </c>
      <c r="BQ171" s="1422">
        <v>0</v>
      </c>
      <c r="BR171" s="1422">
        <v>0</v>
      </c>
      <c r="BS171" s="1420">
        <v>1615.49</v>
      </c>
      <c r="BT171" s="1422">
        <v>0</v>
      </c>
      <c r="BU171" s="1422">
        <v>0</v>
      </c>
      <c r="BV171" s="1422">
        <v>0</v>
      </c>
      <c r="BW171" s="1422">
        <v>0</v>
      </c>
      <c r="BX171" s="1422">
        <v>0</v>
      </c>
      <c r="BY171" s="1422">
        <v>0</v>
      </c>
      <c r="BZ171" s="1422">
        <v>0</v>
      </c>
      <c r="CA171" s="1420">
        <v>200980.5</v>
      </c>
      <c r="CB171" s="1422">
        <v>26413</v>
      </c>
      <c r="CC171" s="1420">
        <v>351173.94</v>
      </c>
      <c r="CD171" s="1422">
        <v>175404</v>
      </c>
      <c r="CE171" s="1420">
        <v>994405.4</v>
      </c>
      <c r="CF171" s="1422">
        <v>539908</v>
      </c>
      <c r="CG171" s="1420">
        <v>7319.19</v>
      </c>
      <c r="CH171" s="1422">
        <v>0</v>
      </c>
      <c r="CI171" s="1422">
        <v>0</v>
      </c>
      <c r="CJ171" s="1422">
        <v>0</v>
      </c>
      <c r="CK171" s="1422">
        <v>0</v>
      </c>
      <c r="CL171" s="1422">
        <v>0</v>
      </c>
      <c r="CM171" s="1422">
        <v>0</v>
      </c>
      <c r="CN171" s="1422">
        <v>0</v>
      </c>
      <c r="CO171" s="1422">
        <v>0</v>
      </c>
      <c r="CP171" s="1422">
        <v>0</v>
      </c>
      <c r="CQ171" s="1422">
        <v>0</v>
      </c>
      <c r="CR171" s="1422">
        <v>0</v>
      </c>
      <c r="CS171" s="1420">
        <v>7319.19</v>
      </c>
      <c r="CT171" s="1422">
        <v>0</v>
      </c>
      <c r="CU171" s="1420">
        <v>4477533.92</v>
      </c>
      <c r="CV171" s="1422">
        <v>3778656</v>
      </c>
      <c r="CW171" s="1420">
        <v>1639453.23</v>
      </c>
      <c r="CX171" s="1422">
        <v>1433322</v>
      </c>
      <c r="CY171" s="1420">
        <v>180674.37</v>
      </c>
      <c r="CZ171" s="1422">
        <v>180104</v>
      </c>
      <c r="DA171" s="1420">
        <v>179809.88</v>
      </c>
      <c r="DB171" s="1422">
        <v>185345</v>
      </c>
      <c r="DC171" s="1422">
        <v>0</v>
      </c>
      <c r="DD171" s="1422">
        <v>0</v>
      </c>
      <c r="DE171" s="1420">
        <v>181148.54</v>
      </c>
      <c r="DF171" s="1422">
        <v>192374</v>
      </c>
      <c r="DG171" s="1420">
        <v>28281.62</v>
      </c>
      <c r="DH171" s="1422">
        <v>27918</v>
      </c>
      <c r="DI171" s="1420">
        <v>2209367.64</v>
      </c>
      <c r="DJ171" s="1422">
        <v>2019063</v>
      </c>
      <c r="DK171" s="1420">
        <v>122729.53</v>
      </c>
      <c r="DL171" s="1422">
        <v>129542</v>
      </c>
      <c r="DM171" s="1420">
        <v>54370.51</v>
      </c>
      <c r="DN171" s="1422">
        <v>54763</v>
      </c>
      <c r="DO171" s="1420">
        <v>326100.08</v>
      </c>
      <c r="DP171" s="1422">
        <v>405774</v>
      </c>
      <c r="DQ171" s="1420">
        <v>148140.17000000001</v>
      </c>
      <c r="DR171" s="1422">
        <v>270834</v>
      </c>
      <c r="DS171" s="1422">
        <v>7320</v>
      </c>
      <c r="DT171" s="1422">
        <v>0</v>
      </c>
      <c r="DU171" s="1420">
        <v>658660.29</v>
      </c>
      <c r="DV171" s="1422">
        <v>860913</v>
      </c>
      <c r="DW171" s="1420">
        <v>100276.5</v>
      </c>
      <c r="DX171" s="1422">
        <v>121650</v>
      </c>
      <c r="DY171" s="1420">
        <v>195249.8</v>
      </c>
      <c r="DZ171" s="1422">
        <v>231406</v>
      </c>
      <c r="EA171" s="1420">
        <v>127557.5</v>
      </c>
      <c r="EB171" s="1422">
        <v>134550</v>
      </c>
      <c r="EC171" s="1420">
        <v>423083.8</v>
      </c>
      <c r="ED171" s="1422">
        <v>487606</v>
      </c>
      <c r="EE171" s="1420">
        <v>210385.3</v>
      </c>
      <c r="EF171" s="1422">
        <v>209439</v>
      </c>
      <c r="EG171" s="1420">
        <v>19415.22</v>
      </c>
      <c r="EH171" s="1422">
        <v>0</v>
      </c>
      <c r="EI171" s="1420">
        <v>437.3</v>
      </c>
      <c r="EJ171" s="1422">
        <v>2300</v>
      </c>
      <c r="EK171" s="1422">
        <v>0</v>
      </c>
      <c r="EL171" s="1422">
        <v>0</v>
      </c>
      <c r="EM171" s="1420">
        <v>230237.82</v>
      </c>
      <c r="EN171" s="1422">
        <v>211739</v>
      </c>
      <c r="EO171" s="1420">
        <v>585743.25</v>
      </c>
      <c r="EP171" s="1422">
        <v>0</v>
      </c>
      <c r="EQ171" s="1420">
        <v>150908.75</v>
      </c>
      <c r="ER171" s="1422">
        <v>196701</v>
      </c>
      <c r="ES171" s="1422">
        <v>0</v>
      </c>
      <c r="ET171" s="1422">
        <v>0</v>
      </c>
      <c r="EU171" s="1420">
        <v>4258001.55</v>
      </c>
      <c r="EV171" s="1422">
        <v>3776022</v>
      </c>
      <c r="EW171" s="1420">
        <v>591051.68000000005</v>
      </c>
      <c r="EX171" s="1422">
        <v>101480</v>
      </c>
      <c r="EY171" s="1420">
        <v>150908.75</v>
      </c>
      <c r="EZ171" s="1422">
        <v>196701</v>
      </c>
      <c r="FA171" s="1420">
        <v>3516041.12</v>
      </c>
      <c r="FB171" s="1422">
        <v>3477841</v>
      </c>
      <c r="FC171" s="1420">
        <v>163808.99</v>
      </c>
      <c r="FD171" s="1439"/>
      <c r="FE171" s="1420">
        <v>3352232.13</v>
      </c>
      <c r="FF171" s="1439"/>
      <c r="FG171" s="1422">
        <v>8561</v>
      </c>
      <c r="FH171" s="1439"/>
      <c r="FI171" s="1420">
        <v>32.880000000000003</v>
      </c>
      <c r="FJ171" s="1439"/>
      <c r="FK171" s="1422">
        <v>39788</v>
      </c>
      <c r="FL171" s="1439"/>
      <c r="FM171" s="1420">
        <v>36.020000000000003</v>
      </c>
      <c r="FN171" s="1439"/>
      <c r="FO171" s="1422">
        <v>42317</v>
      </c>
      <c r="FP171" s="1439"/>
      <c r="FQ171" s="1420">
        <v>716813.86</v>
      </c>
      <c r="FR171" s="1439"/>
      <c r="FS171" s="1420">
        <v>15720.21</v>
      </c>
      <c r="FT171" s="1439"/>
      <c r="FU171" s="1422">
        <v>0</v>
      </c>
      <c r="FV171" s="1439"/>
      <c r="FW171" s="1420">
        <v>701093.65</v>
      </c>
      <c r="FX171" s="1439"/>
      <c r="FY171" s="1422">
        <v>0</v>
      </c>
      <c r="FZ171" s="1439"/>
      <c r="GA171" s="1422">
        <v>0</v>
      </c>
      <c r="GB171" s="1439"/>
    </row>
    <row r="172" spans="1:184" ht="12.75" customHeight="1" thickBot="1">
      <c r="A172" s="1418" t="s">
        <v>394</v>
      </c>
      <c r="B172" s="1418" t="s">
        <v>220</v>
      </c>
      <c r="C172" s="1420">
        <v>379.27</v>
      </c>
      <c r="D172" s="1439"/>
      <c r="E172" s="1420">
        <v>708.52</v>
      </c>
      <c r="F172" s="1439"/>
      <c r="G172" s="1421">
        <v>-0.16</v>
      </c>
      <c r="H172" s="1439"/>
      <c r="I172" s="1420">
        <v>749.15</v>
      </c>
      <c r="J172" s="1439"/>
      <c r="K172" s="1420">
        <v>525.58000000000004</v>
      </c>
      <c r="L172" s="1439"/>
      <c r="M172" s="1422">
        <v>19531994</v>
      </c>
      <c r="N172" s="1439"/>
      <c r="O172" s="1420">
        <v>32.1</v>
      </c>
      <c r="P172" s="1439"/>
      <c r="Q172" s="1422">
        <v>25</v>
      </c>
      <c r="R172" s="1439"/>
      <c r="S172" s="1420">
        <v>7.1</v>
      </c>
      <c r="T172" s="1439"/>
      <c r="U172" s="1422">
        <v>0</v>
      </c>
      <c r="V172" s="1439"/>
      <c r="W172" s="1420">
        <v>7.9</v>
      </c>
      <c r="X172" s="1439"/>
      <c r="Y172" s="1422">
        <v>40</v>
      </c>
      <c r="Z172" s="1439"/>
      <c r="AA172" s="1420">
        <v>3826933.32</v>
      </c>
      <c r="AB172" s="1439"/>
      <c r="AC172" s="1420">
        <v>2332283.86</v>
      </c>
      <c r="AD172" s="1422">
        <v>2056000</v>
      </c>
      <c r="AE172" s="1420">
        <v>483969.34</v>
      </c>
      <c r="AF172" s="1422">
        <v>167881</v>
      </c>
      <c r="AG172" s="1422">
        <v>0</v>
      </c>
      <c r="AH172" s="1422">
        <v>0</v>
      </c>
      <c r="AI172" s="1422">
        <v>3553386</v>
      </c>
      <c r="AJ172" s="1422">
        <v>3176970</v>
      </c>
      <c r="AK172" s="1422">
        <v>56798</v>
      </c>
      <c r="AL172" s="1422">
        <v>0</v>
      </c>
      <c r="AM172" s="1422">
        <v>0</v>
      </c>
      <c r="AN172" s="1422">
        <v>0</v>
      </c>
      <c r="AO172" s="1422">
        <v>52189</v>
      </c>
      <c r="AP172" s="1422">
        <v>205548</v>
      </c>
      <c r="AQ172" s="1422">
        <v>1760222</v>
      </c>
      <c r="AR172" s="1422">
        <v>880111</v>
      </c>
      <c r="AS172" s="1422">
        <v>0</v>
      </c>
      <c r="AT172" s="1422">
        <v>0</v>
      </c>
      <c r="AU172" s="1422">
        <v>15074</v>
      </c>
      <c r="AV172" s="1422">
        <v>12059</v>
      </c>
      <c r="AW172" s="1422">
        <v>0</v>
      </c>
      <c r="AX172" s="1422">
        <v>0</v>
      </c>
      <c r="AY172" s="1420">
        <v>8253922.2000000002</v>
      </c>
      <c r="AZ172" s="1422">
        <v>6498569</v>
      </c>
      <c r="BA172" s="1422">
        <v>0</v>
      </c>
      <c r="BB172" s="1422">
        <v>0</v>
      </c>
      <c r="BC172" s="1422">
        <v>33825</v>
      </c>
      <c r="BD172" s="1422">
        <v>31824</v>
      </c>
      <c r="BE172" s="1420">
        <v>21477.62</v>
      </c>
      <c r="BF172" s="1422">
        <v>9400</v>
      </c>
      <c r="BG172" s="1422">
        <v>1065</v>
      </c>
      <c r="BH172" s="1422">
        <v>0</v>
      </c>
      <c r="BI172" s="1422">
        <v>35104</v>
      </c>
      <c r="BJ172" s="1420">
        <v>22548.799999999999</v>
      </c>
      <c r="BK172" s="1422">
        <v>2344</v>
      </c>
      <c r="BL172" s="1422">
        <v>2392</v>
      </c>
      <c r="BM172" s="1422">
        <v>238576</v>
      </c>
      <c r="BN172" s="1422">
        <v>244904</v>
      </c>
      <c r="BO172" s="1420">
        <v>3350.34</v>
      </c>
      <c r="BP172" s="1422">
        <v>0</v>
      </c>
      <c r="BQ172" s="1420">
        <v>28650.57</v>
      </c>
      <c r="BR172" s="1422">
        <v>10292</v>
      </c>
      <c r="BS172" s="1420">
        <v>2981.99</v>
      </c>
      <c r="BT172" s="1422">
        <v>3500</v>
      </c>
      <c r="BU172" s="1422">
        <v>0</v>
      </c>
      <c r="BV172" s="1422">
        <v>0</v>
      </c>
      <c r="BW172" s="1422">
        <v>0</v>
      </c>
      <c r="BX172" s="1422">
        <v>0</v>
      </c>
      <c r="BY172" s="1422">
        <v>0</v>
      </c>
      <c r="BZ172" s="1422">
        <v>0</v>
      </c>
      <c r="CA172" s="1422">
        <v>51736</v>
      </c>
      <c r="CB172" s="1422">
        <v>644944</v>
      </c>
      <c r="CC172" s="1420">
        <v>419110.52</v>
      </c>
      <c r="CD172" s="1420">
        <v>969804.80000000005</v>
      </c>
      <c r="CE172" s="1420">
        <v>1141136.3600000001</v>
      </c>
      <c r="CF172" s="1420">
        <v>790480.41</v>
      </c>
      <c r="CG172" s="1422">
        <v>0</v>
      </c>
      <c r="CH172" s="1420">
        <v>4753.6099999999997</v>
      </c>
      <c r="CI172" s="1420">
        <v>119851.9</v>
      </c>
      <c r="CJ172" s="1422">
        <v>0</v>
      </c>
      <c r="CK172" s="1422">
        <v>0</v>
      </c>
      <c r="CL172" s="1422">
        <v>0</v>
      </c>
      <c r="CM172" s="1422">
        <v>0</v>
      </c>
      <c r="CN172" s="1422">
        <v>0</v>
      </c>
      <c r="CO172" s="1422">
        <v>0</v>
      </c>
      <c r="CP172" s="1422">
        <v>0</v>
      </c>
      <c r="CQ172" s="1422">
        <v>0</v>
      </c>
      <c r="CR172" s="1422">
        <v>0</v>
      </c>
      <c r="CS172" s="1420">
        <v>119851.9</v>
      </c>
      <c r="CT172" s="1420">
        <v>4753.6099999999997</v>
      </c>
      <c r="CU172" s="1420">
        <v>9934020.9800000004</v>
      </c>
      <c r="CV172" s="1420">
        <v>8263607.8200000003</v>
      </c>
      <c r="CW172" s="1420">
        <v>3401752.39</v>
      </c>
      <c r="CX172" s="1420">
        <v>2759959.73</v>
      </c>
      <c r="CY172" s="1420">
        <v>399054.58</v>
      </c>
      <c r="CZ172" s="1420">
        <v>407676.55</v>
      </c>
      <c r="DA172" s="1420">
        <v>388795.39</v>
      </c>
      <c r="DB172" s="1420">
        <v>224042.1</v>
      </c>
      <c r="DC172" s="1422">
        <v>0</v>
      </c>
      <c r="DD172" s="1422">
        <v>0</v>
      </c>
      <c r="DE172" s="1420">
        <v>197112.44</v>
      </c>
      <c r="DF172" s="1420">
        <v>135892.63</v>
      </c>
      <c r="DG172" s="1420">
        <v>262257.71000000002</v>
      </c>
      <c r="DH172" s="1420">
        <v>224044.45</v>
      </c>
      <c r="DI172" s="1420">
        <v>4648972.51</v>
      </c>
      <c r="DJ172" s="1420">
        <v>3751615.46</v>
      </c>
      <c r="DK172" s="1420">
        <v>179522.33</v>
      </c>
      <c r="DL172" s="1420">
        <v>170136.97</v>
      </c>
      <c r="DM172" s="1420">
        <v>232150.61</v>
      </c>
      <c r="DN172" s="1420">
        <v>463315.17</v>
      </c>
      <c r="DO172" s="1420">
        <v>948082.23</v>
      </c>
      <c r="DP172" s="1420">
        <v>725286.25</v>
      </c>
      <c r="DQ172" s="1420">
        <v>253582.58</v>
      </c>
      <c r="DR172" s="1420">
        <v>359157.75</v>
      </c>
      <c r="DS172" s="1420">
        <v>13161.84</v>
      </c>
      <c r="DT172" s="1422">
        <v>6000</v>
      </c>
      <c r="DU172" s="1420">
        <v>1626499.59</v>
      </c>
      <c r="DV172" s="1420">
        <v>1723896.14</v>
      </c>
      <c r="DW172" s="1420">
        <v>389236.13</v>
      </c>
      <c r="DX172" s="1420">
        <v>329680.96999999997</v>
      </c>
      <c r="DY172" s="1420">
        <v>434261.16</v>
      </c>
      <c r="DZ172" s="1420">
        <v>301347.53999999998</v>
      </c>
      <c r="EA172" s="1420">
        <v>407871.42</v>
      </c>
      <c r="EB172" s="1420">
        <v>285917.43</v>
      </c>
      <c r="EC172" s="1420">
        <v>1231368.71</v>
      </c>
      <c r="ED172" s="1420">
        <v>916945.94</v>
      </c>
      <c r="EE172" s="1420">
        <v>433479.6</v>
      </c>
      <c r="EF172" s="1420">
        <v>413736.4</v>
      </c>
      <c r="EG172" s="1422">
        <v>0</v>
      </c>
      <c r="EH172" s="1422">
        <v>0</v>
      </c>
      <c r="EI172" s="1420">
        <v>365.51</v>
      </c>
      <c r="EJ172" s="1422">
        <v>0</v>
      </c>
      <c r="EK172" s="1422">
        <v>0</v>
      </c>
      <c r="EL172" s="1422">
        <v>0</v>
      </c>
      <c r="EM172" s="1420">
        <v>433845.11</v>
      </c>
      <c r="EN172" s="1420">
        <v>413736.4</v>
      </c>
      <c r="EO172" s="1420">
        <v>82897.66</v>
      </c>
      <c r="EP172" s="1420">
        <v>1057196.6599999999</v>
      </c>
      <c r="EQ172" s="1420">
        <v>277101.25</v>
      </c>
      <c r="ER172" s="1420">
        <v>177374.66</v>
      </c>
      <c r="ES172" s="1420">
        <v>329.72</v>
      </c>
      <c r="ET172" s="1422">
        <v>0</v>
      </c>
      <c r="EU172" s="1420">
        <v>8301014.5499999998</v>
      </c>
      <c r="EV172" s="1420">
        <v>8040765.2599999998</v>
      </c>
      <c r="EW172" s="1420">
        <v>308948.53999999998</v>
      </c>
      <c r="EX172" s="1420">
        <v>1482801.61</v>
      </c>
      <c r="EY172" s="1420">
        <v>277101.25</v>
      </c>
      <c r="EZ172" s="1420">
        <v>177374.66</v>
      </c>
      <c r="FA172" s="1420">
        <v>7714964.7599999998</v>
      </c>
      <c r="FB172" s="1420">
        <v>6380588.9900000002</v>
      </c>
      <c r="FC172" s="1420">
        <v>435152.62</v>
      </c>
      <c r="FD172" s="1439"/>
      <c r="FE172" s="1420">
        <v>7279812.1399999997</v>
      </c>
      <c r="FF172" s="1439"/>
      <c r="FG172" s="1422">
        <v>10274</v>
      </c>
      <c r="FH172" s="1439"/>
      <c r="FI172" s="1420">
        <v>60.76</v>
      </c>
      <c r="FJ172" s="1439"/>
      <c r="FK172" s="1422">
        <v>51561</v>
      </c>
      <c r="FL172" s="1439"/>
      <c r="FM172" s="1420">
        <v>62.78</v>
      </c>
      <c r="FN172" s="1439"/>
      <c r="FO172" s="1422">
        <v>55788</v>
      </c>
      <c r="FP172" s="1439"/>
      <c r="FQ172" s="1420">
        <v>2205548.84</v>
      </c>
      <c r="FR172" s="1439"/>
      <c r="FS172" s="1420">
        <v>25280.43</v>
      </c>
      <c r="FT172" s="1439"/>
      <c r="FU172" s="1422">
        <v>0</v>
      </c>
      <c r="FV172" s="1439"/>
      <c r="FW172" s="1420">
        <v>2180268.41</v>
      </c>
      <c r="FX172" s="1439"/>
      <c r="FY172" s="1422">
        <v>0</v>
      </c>
      <c r="FZ172" s="1439"/>
      <c r="GA172" s="1422">
        <v>0</v>
      </c>
      <c r="GB172" s="1439"/>
    </row>
    <row r="173" spans="1:184" ht="12.75" customHeight="1" thickBot="1">
      <c r="A173" s="1418" t="s">
        <v>221</v>
      </c>
      <c r="B173" s="1418" t="s">
        <v>222</v>
      </c>
      <c r="C173" s="1420">
        <v>372.88</v>
      </c>
      <c r="D173" s="1439"/>
      <c r="E173" s="1420">
        <v>1261.45</v>
      </c>
      <c r="F173" s="1439"/>
      <c r="G173" s="1421">
        <v>-0.04</v>
      </c>
      <c r="H173" s="1439"/>
      <c r="I173" s="1420">
        <v>1370.26</v>
      </c>
      <c r="J173" s="1439"/>
      <c r="K173" s="1420">
        <v>1124.04</v>
      </c>
      <c r="L173" s="1439"/>
      <c r="M173" s="1422">
        <v>38479565</v>
      </c>
      <c r="N173" s="1439"/>
      <c r="O173" s="1420">
        <v>36.4</v>
      </c>
      <c r="P173" s="1439"/>
      <c r="Q173" s="1422">
        <v>25</v>
      </c>
      <c r="R173" s="1439"/>
      <c r="S173" s="1420">
        <v>11.4</v>
      </c>
      <c r="T173" s="1439"/>
      <c r="U173" s="1422">
        <v>0</v>
      </c>
      <c r="V173" s="1439"/>
      <c r="W173" s="1420">
        <v>3.5</v>
      </c>
      <c r="X173" s="1439"/>
      <c r="Y173" s="1420">
        <v>39.9</v>
      </c>
      <c r="Z173" s="1439"/>
      <c r="AA173" s="1420">
        <v>7644536.4100000001</v>
      </c>
      <c r="AB173" s="1439"/>
      <c r="AC173" s="1420">
        <v>3222861.01</v>
      </c>
      <c r="AD173" s="1422">
        <v>3519944</v>
      </c>
      <c r="AE173" s="1420">
        <v>570424.71</v>
      </c>
      <c r="AF173" s="1422">
        <v>73000</v>
      </c>
      <c r="AG173" s="1422">
        <v>0</v>
      </c>
      <c r="AH173" s="1422">
        <v>0</v>
      </c>
      <c r="AI173" s="1422">
        <v>6542492</v>
      </c>
      <c r="AJ173" s="1422">
        <v>6238569</v>
      </c>
      <c r="AK173" s="1422">
        <v>59933</v>
      </c>
      <c r="AL173" s="1422">
        <v>0</v>
      </c>
      <c r="AM173" s="1422">
        <v>0</v>
      </c>
      <c r="AN173" s="1422">
        <v>0</v>
      </c>
      <c r="AO173" s="1422">
        <v>129374</v>
      </c>
      <c r="AP173" s="1422">
        <v>217866</v>
      </c>
      <c r="AQ173" s="1422">
        <v>1806900</v>
      </c>
      <c r="AR173" s="1422">
        <v>903450</v>
      </c>
      <c r="AS173" s="1422">
        <v>0</v>
      </c>
      <c r="AT173" s="1422">
        <v>0</v>
      </c>
      <c r="AU173" s="1422">
        <v>7695</v>
      </c>
      <c r="AV173" s="1422">
        <v>6156</v>
      </c>
      <c r="AW173" s="1422">
        <v>0</v>
      </c>
      <c r="AX173" s="1422">
        <v>0</v>
      </c>
      <c r="AY173" s="1420">
        <v>12339679.720000001</v>
      </c>
      <c r="AZ173" s="1422">
        <v>10958985</v>
      </c>
      <c r="BA173" s="1422">
        <v>0</v>
      </c>
      <c r="BB173" s="1422">
        <v>0</v>
      </c>
      <c r="BC173" s="1422">
        <v>59720</v>
      </c>
      <c r="BD173" s="1422">
        <v>58187</v>
      </c>
      <c r="BE173" s="1420">
        <v>91016.37</v>
      </c>
      <c r="BF173" s="1422">
        <v>16100</v>
      </c>
      <c r="BG173" s="1422">
        <v>300</v>
      </c>
      <c r="BH173" s="1422">
        <v>0</v>
      </c>
      <c r="BI173" s="1422">
        <v>17755</v>
      </c>
      <c r="BJ173" s="1422">
        <v>24829</v>
      </c>
      <c r="BK173" s="1422">
        <v>4981</v>
      </c>
      <c r="BL173" s="1422">
        <v>0</v>
      </c>
      <c r="BM173" s="1422">
        <v>1030688</v>
      </c>
      <c r="BN173" s="1422">
        <v>1009976</v>
      </c>
      <c r="BO173" s="1420">
        <v>63593.46</v>
      </c>
      <c r="BP173" s="1422">
        <v>195000</v>
      </c>
      <c r="BQ173" s="1420">
        <v>93367.77</v>
      </c>
      <c r="BR173" s="1422">
        <v>0</v>
      </c>
      <c r="BS173" s="1420">
        <v>5404.37</v>
      </c>
      <c r="BT173" s="1422">
        <v>5500</v>
      </c>
      <c r="BU173" s="1422">
        <v>0</v>
      </c>
      <c r="BV173" s="1422">
        <v>0</v>
      </c>
      <c r="BW173" s="1422">
        <v>0</v>
      </c>
      <c r="BX173" s="1422">
        <v>0</v>
      </c>
      <c r="BY173" s="1422">
        <v>0</v>
      </c>
      <c r="BZ173" s="1422">
        <v>0</v>
      </c>
      <c r="CA173" s="1422">
        <v>96358</v>
      </c>
      <c r="CB173" s="1422">
        <v>85749</v>
      </c>
      <c r="CC173" s="1420">
        <v>1463183.97</v>
      </c>
      <c r="CD173" s="1422">
        <v>1395341</v>
      </c>
      <c r="CE173" s="1420">
        <v>2163200.4900000002</v>
      </c>
      <c r="CF173" s="1420">
        <v>2361411.6</v>
      </c>
      <c r="CG173" s="1420">
        <v>15463.42</v>
      </c>
      <c r="CH173" s="1422">
        <v>0</v>
      </c>
      <c r="CI173" s="1420">
        <v>685486.83</v>
      </c>
      <c r="CJ173" s="1422">
        <v>0</v>
      </c>
      <c r="CK173" s="1422">
        <v>0</v>
      </c>
      <c r="CL173" s="1422">
        <v>0</v>
      </c>
      <c r="CM173" s="1422">
        <v>0</v>
      </c>
      <c r="CN173" s="1422">
        <v>0</v>
      </c>
      <c r="CO173" s="1420">
        <v>14432.41</v>
      </c>
      <c r="CP173" s="1422">
        <v>0</v>
      </c>
      <c r="CQ173" s="1422">
        <v>0</v>
      </c>
      <c r="CR173" s="1422">
        <v>0</v>
      </c>
      <c r="CS173" s="1420">
        <v>715382.66</v>
      </c>
      <c r="CT173" s="1422">
        <v>0</v>
      </c>
      <c r="CU173" s="1420">
        <v>16681446.84</v>
      </c>
      <c r="CV173" s="1420">
        <v>14715737.6</v>
      </c>
      <c r="CW173" s="1420">
        <v>5741838.1500000004</v>
      </c>
      <c r="CX173" s="1420">
        <v>5833346.96</v>
      </c>
      <c r="CY173" s="1420">
        <v>960805.38</v>
      </c>
      <c r="CZ173" s="1420">
        <v>1122703.98</v>
      </c>
      <c r="DA173" s="1420">
        <v>454026.44</v>
      </c>
      <c r="DB173" s="1420">
        <v>492960.84</v>
      </c>
      <c r="DC173" s="1422">
        <v>0</v>
      </c>
      <c r="DD173" s="1422">
        <v>0</v>
      </c>
      <c r="DE173" s="1420">
        <v>197230.04</v>
      </c>
      <c r="DF173" s="1420">
        <v>360429.64</v>
      </c>
      <c r="DG173" s="1420">
        <v>412667.48</v>
      </c>
      <c r="DH173" s="1420">
        <v>501828.72</v>
      </c>
      <c r="DI173" s="1420">
        <v>7766567.4900000002</v>
      </c>
      <c r="DJ173" s="1420">
        <v>8311270.1399999997</v>
      </c>
      <c r="DK173" s="1420">
        <v>448610.5</v>
      </c>
      <c r="DL173" s="1420">
        <v>386842.49</v>
      </c>
      <c r="DM173" s="1420">
        <v>370393.98</v>
      </c>
      <c r="DN173" s="1420">
        <v>364031.5</v>
      </c>
      <c r="DO173" s="1420">
        <v>1322614.54</v>
      </c>
      <c r="DP173" s="1420">
        <v>1366547.34</v>
      </c>
      <c r="DQ173" s="1420">
        <v>626645.29</v>
      </c>
      <c r="DR173" s="1420">
        <v>709415.65</v>
      </c>
      <c r="DS173" s="1420">
        <v>17224.349999999999</v>
      </c>
      <c r="DT173" s="1422">
        <v>15000</v>
      </c>
      <c r="DU173" s="1420">
        <v>2785488.66</v>
      </c>
      <c r="DV173" s="1420">
        <v>2841836.98</v>
      </c>
      <c r="DW173" s="1420">
        <v>633721.88</v>
      </c>
      <c r="DX173" s="1420">
        <v>841314.02</v>
      </c>
      <c r="DY173" s="1420">
        <v>1360789.74</v>
      </c>
      <c r="DZ173" s="1420">
        <v>1485483.31</v>
      </c>
      <c r="EA173" s="1420">
        <v>639843.05000000005</v>
      </c>
      <c r="EB173" s="1420">
        <v>680231.15</v>
      </c>
      <c r="EC173" s="1420">
        <v>2634354.67</v>
      </c>
      <c r="ED173" s="1420">
        <v>3007028.48</v>
      </c>
      <c r="EE173" s="1420">
        <v>616525.92000000004</v>
      </c>
      <c r="EF173" s="1422">
        <v>790400</v>
      </c>
      <c r="EG173" s="1422">
        <v>0</v>
      </c>
      <c r="EH173" s="1422">
        <v>0</v>
      </c>
      <c r="EI173" s="1422">
        <v>988</v>
      </c>
      <c r="EJ173" s="1420">
        <v>2676.1</v>
      </c>
      <c r="EK173" s="1422">
        <v>0</v>
      </c>
      <c r="EL173" s="1422">
        <v>0</v>
      </c>
      <c r="EM173" s="1420">
        <v>617513.92000000004</v>
      </c>
      <c r="EN173" s="1420">
        <v>793076.1</v>
      </c>
      <c r="EO173" s="1420">
        <v>241115.55</v>
      </c>
      <c r="EP173" s="1422">
        <v>235600</v>
      </c>
      <c r="EQ173" s="1420">
        <v>491972.5</v>
      </c>
      <c r="ER173" s="1422">
        <v>460269</v>
      </c>
      <c r="ES173" s="1422">
        <v>31776</v>
      </c>
      <c r="ET173" s="1422">
        <v>0</v>
      </c>
      <c r="EU173" s="1420">
        <v>14568788.789999999</v>
      </c>
      <c r="EV173" s="1420">
        <v>15649080.699999999</v>
      </c>
      <c r="EW173" s="1420">
        <v>813361.99</v>
      </c>
      <c r="EX173" s="1420">
        <v>456532.89</v>
      </c>
      <c r="EY173" s="1420">
        <v>491972.5</v>
      </c>
      <c r="EZ173" s="1422">
        <v>460269</v>
      </c>
      <c r="FA173" s="1420">
        <v>13263454.300000001</v>
      </c>
      <c r="FB173" s="1420">
        <v>14732278.810000001</v>
      </c>
      <c r="FC173" s="1420">
        <v>414756.63</v>
      </c>
      <c r="FD173" s="1439"/>
      <c r="FE173" s="1420">
        <v>12848697.67</v>
      </c>
      <c r="FF173" s="1439"/>
      <c r="FG173" s="1422">
        <v>10185</v>
      </c>
      <c r="FH173" s="1439"/>
      <c r="FI173" s="1420">
        <v>118.45</v>
      </c>
      <c r="FJ173" s="1439"/>
      <c r="FK173" s="1422">
        <v>43451</v>
      </c>
      <c r="FL173" s="1439"/>
      <c r="FM173" s="1420">
        <v>130.05000000000001</v>
      </c>
      <c r="FN173" s="1439"/>
      <c r="FO173" s="1422">
        <v>45934</v>
      </c>
      <c r="FP173" s="1439"/>
      <c r="FQ173" s="1420">
        <v>3159683.21</v>
      </c>
      <c r="FR173" s="1439"/>
      <c r="FS173" s="1420">
        <v>255554.74</v>
      </c>
      <c r="FT173" s="1439"/>
      <c r="FU173" s="1422">
        <v>0</v>
      </c>
      <c r="FV173" s="1439"/>
      <c r="FW173" s="1420">
        <v>2904128.47</v>
      </c>
      <c r="FX173" s="1439"/>
      <c r="FY173" s="1420">
        <v>15412.49</v>
      </c>
      <c r="FZ173" s="1439"/>
      <c r="GA173" s="1422">
        <v>0</v>
      </c>
      <c r="GB173" s="1439"/>
    </row>
    <row r="174" spans="1:184" ht="12.75" customHeight="1" thickBot="1">
      <c r="A174" s="1418" t="s">
        <v>223</v>
      </c>
      <c r="B174" s="1418" t="s">
        <v>224</v>
      </c>
      <c r="C174" s="1420">
        <v>101.61</v>
      </c>
      <c r="D174" s="1439"/>
      <c r="E174" s="1420">
        <v>562.23</v>
      </c>
      <c r="F174" s="1439"/>
      <c r="G174" s="1421">
        <v>-0.06</v>
      </c>
      <c r="H174" s="1439"/>
      <c r="I174" s="1420">
        <v>595.63</v>
      </c>
      <c r="J174" s="1439"/>
      <c r="K174" s="1420">
        <v>602.4</v>
      </c>
      <c r="L174" s="1439"/>
      <c r="M174" s="1422">
        <v>34382725</v>
      </c>
      <c r="N174" s="1439"/>
      <c r="O174" s="1422">
        <v>25</v>
      </c>
      <c r="P174" s="1439"/>
      <c r="Q174" s="1422">
        <v>25</v>
      </c>
      <c r="R174" s="1439"/>
      <c r="S174" s="1422">
        <v>0</v>
      </c>
      <c r="T174" s="1439"/>
      <c r="U174" s="1422">
        <v>0</v>
      </c>
      <c r="V174" s="1439"/>
      <c r="W174" s="1420">
        <v>8.5</v>
      </c>
      <c r="X174" s="1439"/>
      <c r="Y174" s="1420">
        <v>33.5</v>
      </c>
      <c r="Z174" s="1439"/>
      <c r="AA174" s="1420">
        <v>1734676.16</v>
      </c>
      <c r="AB174" s="1439"/>
      <c r="AC174" s="1420">
        <v>1106461.27</v>
      </c>
      <c r="AD174" s="1422">
        <v>1094230</v>
      </c>
      <c r="AE174" s="1420">
        <v>188331.84</v>
      </c>
      <c r="AF174" s="1422">
        <v>53000</v>
      </c>
      <c r="AG174" s="1422">
        <v>0</v>
      </c>
      <c r="AH174" s="1422">
        <v>0</v>
      </c>
      <c r="AI174" s="1422">
        <v>2779603</v>
      </c>
      <c r="AJ174" s="1422">
        <v>2837552</v>
      </c>
      <c r="AK174" s="1422">
        <v>18628</v>
      </c>
      <c r="AL174" s="1422">
        <v>18000</v>
      </c>
      <c r="AM174" s="1422">
        <v>0</v>
      </c>
      <c r="AN174" s="1422">
        <v>0</v>
      </c>
      <c r="AO174" s="1422">
        <v>27435</v>
      </c>
      <c r="AP174" s="1422">
        <v>6298</v>
      </c>
      <c r="AQ174" s="1422">
        <v>0</v>
      </c>
      <c r="AR174" s="1422">
        <v>0</v>
      </c>
      <c r="AS174" s="1422">
        <v>0</v>
      </c>
      <c r="AT174" s="1422">
        <v>0</v>
      </c>
      <c r="AU174" s="1422">
        <v>13225</v>
      </c>
      <c r="AV174" s="1422">
        <v>10580</v>
      </c>
      <c r="AW174" s="1420">
        <v>333.7</v>
      </c>
      <c r="AX174" s="1422">
        <v>0</v>
      </c>
      <c r="AY174" s="1420">
        <v>4134017.81</v>
      </c>
      <c r="AZ174" s="1422">
        <v>4019660</v>
      </c>
      <c r="BA174" s="1422">
        <v>0</v>
      </c>
      <c r="BB174" s="1422">
        <v>0</v>
      </c>
      <c r="BC174" s="1422">
        <v>24915</v>
      </c>
      <c r="BD174" s="1420">
        <v>40313.919999999998</v>
      </c>
      <c r="BE174" s="1420">
        <v>17094.52</v>
      </c>
      <c r="BF174" s="1422">
        <v>1800</v>
      </c>
      <c r="BG174" s="1422">
        <v>150</v>
      </c>
      <c r="BH174" s="1422">
        <v>0</v>
      </c>
      <c r="BI174" s="1422">
        <v>25475</v>
      </c>
      <c r="BJ174" s="1420">
        <v>13152.68</v>
      </c>
      <c r="BK174" s="1422">
        <v>0</v>
      </c>
      <c r="BL174" s="1422">
        <v>0</v>
      </c>
      <c r="BM174" s="1422">
        <v>448384</v>
      </c>
      <c r="BN174" s="1420">
        <v>582926.75</v>
      </c>
      <c r="BO174" s="1420">
        <v>2467.83</v>
      </c>
      <c r="BP174" s="1422">
        <v>2400</v>
      </c>
      <c r="BQ174" s="1422">
        <v>0</v>
      </c>
      <c r="BR174" s="1422">
        <v>0</v>
      </c>
      <c r="BS174" s="1420">
        <v>1978.16</v>
      </c>
      <c r="BT174" s="1422">
        <v>2000</v>
      </c>
      <c r="BU174" s="1422">
        <v>0</v>
      </c>
      <c r="BV174" s="1422">
        <v>0</v>
      </c>
      <c r="BW174" s="1422">
        <v>0</v>
      </c>
      <c r="BX174" s="1422">
        <v>0</v>
      </c>
      <c r="BY174" s="1422">
        <v>0</v>
      </c>
      <c r="BZ174" s="1422">
        <v>0</v>
      </c>
      <c r="CA174" s="1422">
        <v>38830</v>
      </c>
      <c r="CB174" s="1422">
        <v>37634</v>
      </c>
      <c r="CC174" s="1420">
        <v>559294.51</v>
      </c>
      <c r="CD174" s="1420">
        <v>680227.35</v>
      </c>
      <c r="CE174" s="1420">
        <v>1368505.9</v>
      </c>
      <c r="CF174" s="1420">
        <v>1442094.15</v>
      </c>
      <c r="CG174" s="1420">
        <v>5917.05</v>
      </c>
      <c r="CH174" s="1422">
        <v>0</v>
      </c>
      <c r="CI174" s="1422">
        <v>0</v>
      </c>
      <c r="CJ174" s="1422">
        <v>0</v>
      </c>
      <c r="CK174" s="1420">
        <v>17672.07</v>
      </c>
      <c r="CL174" s="1422">
        <v>0</v>
      </c>
      <c r="CM174" s="1422">
        <v>0</v>
      </c>
      <c r="CN174" s="1422">
        <v>0</v>
      </c>
      <c r="CO174" s="1420">
        <v>14844.22</v>
      </c>
      <c r="CP174" s="1422">
        <v>0</v>
      </c>
      <c r="CQ174" s="1422">
        <v>0</v>
      </c>
      <c r="CR174" s="1422">
        <v>0</v>
      </c>
      <c r="CS174" s="1420">
        <v>38433.339999999997</v>
      </c>
      <c r="CT174" s="1422">
        <v>0</v>
      </c>
      <c r="CU174" s="1420">
        <v>6100251.5599999996</v>
      </c>
      <c r="CV174" s="1420">
        <v>6141981.5</v>
      </c>
      <c r="CW174" s="1420">
        <v>2042443.94</v>
      </c>
      <c r="CX174" s="1420">
        <v>1984485.7</v>
      </c>
      <c r="CY174" s="1420">
        <v>491980.59</v>
      </c>
      <c r="CZ174" s="1420">
        <v>431643.87</v>
      </c>
      <c r="DA174" s="1420">
        <v>263369.15000000002</v>
      </c>
      <c r="DB174" s="1422">
        <v>157840</v>
      </c>
      <c r="DC174" s="1422">
        <v>0</v>
      </c>
      <c r="DD174" s="1422">
        <v>0</v>
      </c>
      <c r="DE174" s="1420">
        <v>315809.09000000003</v>
      </c>
      <c r="DF174" s="1420">
        <v>493771.48</v>
      </c>
      <c r="DG174" s="1420">
        <v>94520.09</v>
      </c>
      <c r="DH174" s="1420">
        <v>62234.41</v>
      </c>
      <c r="DI174" s="1420">
        <v>3208122.86</v>
      </c>
      <c r="DJ174" s="1420">
        <v>3129975.46</v>
      </c>
      <c r="DK174" s="1420">
        <v>261363.62</v>
      </c>
      <c r="DL174" s="1422">
        <v>241819</v>
      </c>
      <c r="DM174" s="1420">
        <v>84864.92</v>
      </c>
      <c r="DN174" s="1422">
        <v>86928</v>
      </c>
      <c r="DO174" s="1420">
        <v>456846.74</v>
      </c>
      <c r="DP174" s="1422">
        <v>549638</v>
      </c>
      <c r="DQ174" s="1420">
        <v>240804.03</v>
      </c>
      <c r="DR174" s="1422">
        <v>248047</v>
      </c>
      <c r="DS174" s="1420">
        <v>56849.34</v>
      </c>
      <c r="DT174" s="1422">
        <v>21076</v>
      </c>
      <c r="DU174" s="1420">
        <v>1100728.6499999999</v>
      </c>
      <c r="DV174" s="1422">
        <v>1147508</v>
      </c>
      <c r="DW174" s="1420">
        <v>234334.54</v>
      </c>
      <c r="DX174" s="1420">
        <v>240536.77</v>
      </c>
      <c r="DY174" s="1420">
        <v>717379.88</v>
      </c>
      <c r="DZ174" s="1420">
        <v>773862.83</v>
      </c>
      <c r="EA174" s="1420">
        <v>244829.31</v>
      </c>
      <c r="EB174" s="1422">
        <v>217789</v>
      </c>
      <c r="EC174" s="1420">
        <v>1196543.73</v>
      </c>
      <c r="ED174" s="1420">
        <v>1232188.6000000001</v>
      </c>
      <c r="EE174" s="1420">
        <v>295871.28000000003</v>
      </c>
      <c r="EF174" s="1422">
        <v>312028</v>
      </c>
      <c r="EG174" s="1422">
        <v>0</v>
      </c>
      <c r="EH174" s="1422">
        <v>0</v>
      </c>
      <c r="EI174" s="1420">
        <v>1577.7</v>
      </c>
      <c r="EJ174" s="1422">
        <v>3000</v>
      </c>
      <c r="EK174" s="1422">
        <v>0</v>
      </c>
      <c r="EL174" s="1422">
        <v>0</v>
      </c>
      <c r="EM174" s="1420">
        <v>297448.98</v>
      </c>
      <c r="EN174" s="1422">
        <v>315028</v>
      </c>
      <c r="EO174" s="1420">
        <v>18464.3</v>
      </c>
      <c r="EP174" s="1420">
        <v>119712.17</v>
      </c>
      <c r="EQ174" s="1420">
        <v>152778.76</v>
      </c>
      <c r="ER174" s="1420">
        <v>103659.48</v>
      </c>
      <c r="ES174" s="1420">
        <v>7.42</v>
      </c>
      <c r="ET174" s="1422">
        <v>0</v>
      </c>
      <c r="EU174" s="1420">
        <v>5974094.7000000002</v>
      </c>
      <c r="EV174" s="1420">
        <v>6048071.71</v>
      </c>
      <c r="EW174" s="1420">
        <v>148306.75</v>
      </c>
      <c r="EX174" s="1420">
        <v>215762.17</v>
      </c>
      <c r="EY174" s="1420">
        <v>152778.76</v>
      </c>
      <c r="EZ174" s="1420">
        <v>103659.48</v>
      </c>
      <c r="FA174" s="1420">
        <v>5673009.1900000004</v>
      </c>
      <c r="FB174" s="1420">
        <v>5728650.0599999996</v>
      </c>
      <c r="FC174" s="1420">
        <v>145792.92000000001</v>
      </c>
      <c r="FD174" s="1439"/>
      <c r="FE174" s="1420">
        <v>5527216.2699999996</v>
      </c>
      <c r="FF174" s="1439"/>
      <c r="FG174" s="1422">
        <v>9830</v>
      </c>
      <c r="FH174" s="1439"/>
      <c r="FI174" s="1420">
        <v>49.56</v>
      </c>
      <c r="FJ174" s="1439"/>
      <c r="FK174" s="1422">
        <v>40557</v>
      </c>
      <c r="FL174" s="1439"/>
      <c r="FM174" s="1420">
        <v>54.28</v>
      </c>
      <c r="FN174" s="1439"/>
      <c r="FO174" s="1422">
        <v>42578</v>
      </c>
      <c r="FP174" s="1439"/>
      <c r="FQ174" s="1420">
        <v>995526.38</v>
      </c>
      <c r="FR174" s="1439"/>
      <c r="FS174" s="1420">
        <v>119217.35</v>
      </c>
      <c r="FT174" s="1439"/>
      <c r="FU174" s="1420">
        <v>142904.88</v>
      </c>
      <c r="FV174" s="1439"/>
      <c r="FW174" s="1420">
        <v>733404.15</v>
      </c>
      <c r="FX174" s="1439"/>
      <c r="FY174" s="1420">
        <v>105917.05</v>
      </c>
      <c r="FZ174" s="1439"/>
      <c r="GA174" s="1422">
        <v>0</v>
      </c>
      <c r="GB174" s="1439"/>
    </row>
    <row r="175" spans="1:184" ht="12.75" customHeight="1" thickBot="1">
      <c r="A175" s="1418" t="s">
        <v>225</v>
      </c>
      <c r="B175" s="1418" t="s">
        <v>226</v>
      </c>
      <c r="C175" s="1420">
        <v>120.06</v>
      </c>
      <c r="D175" s="1439"/>
      <c r="E175" s="1420">
        <v>1400.3</v>
      </c>
      <c r="F175" s="1439"/>
      <c r="G175" s="1421">
        <v>-0.11</v>
      </c>
      <c r="H175" s="1439"/>
      <c r="I175" s="1420">
        <v>1506.05</v>
      </c>
      <c r="J175" s="1439"/>
      <c r="K175" s="1420">
        <v>1574.27</v>
      </c>
      <c r="L175" s="1439"/>
      <c r="M175" s="1422">
        <v>84939037</v>
      </c>
      <c r="N175" s="1439"/>
      <c r="O175" s="1422">
        <v>25</v>
      </c>
      <c r="P175" s="1439"/>
      <c r="Q175" s="1422">
        <v>25</v>
      </c>
      <c r="R175" s="1439"/>
      <c r="S175" s="1422">
        <v>0</v>
      </c>
      <c r="T175" s="1439"/>
      <c r="U175" s="1422">
        <v>0</v>
      </c>
      <c r="V175" s="1439"/>
      <c r="W175" s="1420">
        <v>10.8</v>
      </c>
      <c r="X175" s="1439"/>
      <c r="Y175" s="1420">
        <v>35.799999999999997</v>
      </c>
      <c r="Z175" s="1439"/>
      <c r="AA175" s="1420">
        <v>7350300.4800000004</v>
      </c>
      <c r="AB175" s="1439"/>
      <c r="AC175" s="1420">
        <v>2835930.43</v>
      </c>
      <c r="AD175" s="1422">
        <v>2759863</v>
      </c>
      <c r="AE175" s="1420">
        <v>509595.72</v>
      </c>
      <c r="AF175" s="1422">
        <v>217861</v>
      </c>
      <c r="AG175" s="1422">
        <v>0</v>
      </c>
      <c r="AH175" s="1422">
        <v>0</v>
      </c>
      <c r="AI175" s="1422">
        <v>7500823</v>
      </c>
      <c r="AJ175" s="1422">
        <v>7216850</v>
      </c>
      <c r="AK175" s="1422">
        <v>31983</v>
      </c>
      <c r="AL175" s="1422">
        <v>1500</v>
      </c>
      <c r="AM175" s="1422">
        <v>0</v>
      </c>
      <c r="AN175" s="1422">
        <v>0</v>
      </c>
      <c r="AO175" s="1422">
        <v>56134</v>
      </c>
      <c r="AP175" s="1422">
        <v>173230</v>
      </c>
      <c r="AQ175" s="1422">
        <v>0</v>
      </c>
      <c r="AR175" s="1422">
        <v>0</v>
      </c>
      <c r="AS175" s="1422">
        <v>0</v>
      </c>
      <c r="AT175" s="1422">
        <v>0</v>
      </c>
      <c r="AU175" s="1422">
        <v>39178</v>
      </c>
      <c r="AV175" s="1422">
        <v>31343</v>
      </c>
      <c r="AW175" s="1422">
        <v>0</v>
      </c>
      <c r="AX175" s="1422">
        <v>0</v>
      </c>
      <c r="AY175" s="1420">
        <v>10973644.15</v>
      </c>
      <c r="AZ175" s="1422">
        <v>10400647</v>
      </c>
      <c r="BA175" s="1422">
        <v>0</v>
      </c>
      <c r="BB175" s="1422">
        <v>0</v>
      </c>
      <c r="BC175" s="1422">
        <v>65112</v>
      </c>
      <c r="BD175" s="1422">
        <v>64328</v>
      </c>
      <c r="BE175" s="1420">
        <v>4443.1400000000003</v>
      </c>
      <c r="BF175" s="1422">
        <v>2400</v>
      </c>
      <c r="BG175" s="1422">
        <v>250</v>
      </c>
      <c r="BH175" s="1422">
        <v>0</v>
      </c>
      <c r="BI175" s="1422">
        <v>60945</v>
      </c>
      <c r="BJ175" s="1422">
        <v>71543</v>
      </c>
      <c r="BK175" s="1422">
        <v>4395</v>
      </c>
      <c r="BL175" s="1422">
        <v>4485</v>
      </c>
      <c r="BM175" s="1422">
        <v>735399</v>
      </c>
      <c r="BN175" s="1422">
        <v>920927</v>
      </c>
      <c r="BO175" s="1420">
        <v>8373.26</v>
      </c>
      <c r="BP175" s="1422">
        <v>6000</v>
      </c>
      <c r="BQ175" s="1422">
        <v>0</v>
      </c>
      <c r="BR175" s="1422">
        <v>0</v>
      </c>
      <c r="BS175" s="1420">
        <v>6375.13</v>
      </c>
      <c r="BT175" s="1422">
        <v>6375</v>
      </c>
      <c r="BU175" s="1422">
        <v>0</v>
      </c>
      <c r="BV175" s="1422">
        <v>0</v>
      </c>
      <c r="BW175" s="1422">
        <v>388800</v>
      </c>
      <c r="BX175" s="1422">
        <v>388800</v>
      </c>
      <c r="BY175" s="1422">
        <v>0</v>
      </c>
      <c r="BZ175" s="1422">
        <v>0</v>
      </c>
      <c r="CA175" s="1420">
        <v>704689.61</v>
      </c>
      <c r="CB175" s="1420">
        <v>71137.399999999994</v>
      </c>
      <c r="CC175" s="1420">
        <v>1978782.14</v>
      </c>
      <c r="CD175" s="1420">
        <v>1535995.4</v>
      </c>
      <c r="CE175" s="1420">
        <v>4617503.13</v>
      </c>
      <c r="CF175" s="1420">
        <v>2885842.97</v>
      </c>
      <c r="CG175" s="1422">
        <v>0</v>
      </c>
      <c r="CH175" s="1422">
        <v>0</v>
      </c>
      <c r="CI175" s="1422">
        <v>0</v>
      </c>
      <c r="CJ175" s="1422">
        <v>0</v>
      </c>
      <c r="CK175" s="1422">
        <v>0</v>
      </c>
      <c r="CL175" s="1422">
        <v>9500</v>
      </c>
      <c r="CM175" s="1422">
        <v>0</v>
      </c>
      <c r="CN175" s="1422">
        <v>0</v>
      </c>
      <c r="CO175" s="1422">
        <v>0</v>
      </c>
      <c r="CP175" s="1422">
        <v>0</v>
      </c>
      <c r="CQ175" s="1422">
        <v>0</v>
      </c>
      <c r="CR175" s="1422">
        <v>0</v>
      </c>
      <c r="CS175" s="1422">
        <v>0</v>
      </c>
      <c r="CT175" s="1422">
        <v>9500</v>
      </c>
      <c r="CU175" s="1420">
        <v>17569929.420000002</v>
      </c>
      <c r="CV175" s="1420">
        <v>14831985.369999999</v>
      </c>
      <c r="CW175" s="1420">
        <v>5458243.5099999998</v>
      </c>
      <c r="CX175" s="1420">
        <v>5550050.7199999997</v>
      </c>
      <c r="CY175" s="1420">
        <v>1194623.19</v>
      </c>
      <c r="CZ175" s="1420">
        <v>1298725.18</v>
      </c>
      <c r="DA175" s="1420">
        <v>445574.89</v>
      </c>
      <c r="DB175" s="1420">
        <v>364024.49</v>
      </c>
      <c r="DC175" s="1422">
        <v>0</v>
      </c>
      <c r="DD175" s="1422">
        <v>0</v>
      </c>
      <c r="DE175" s="1420">
        <v>707769.66</v>
      </c>
      <c r="DF175" s="1420">
        <v>804916.96</v>
      </c>
      <c r="DG175" s="1420">
        <v>419762.89</v>
      </c>
      <c r="DH175" s="1420">
        <v>389602.04</v>
      </c>
      <c r="DI175" s="1420">
        <v>8225974.1399999997</v>
      </c>
      <c r="DJ175" s="1420">
        <v>8407319.3900000006</v>
      </c>
      <c r="DK175" s="1420">
        <v>304122.86</v>
      </c>
      <c r="DL175" s="1420">
        <v>240663.12</v>
      </c>
      <c r="DM175" s="1420">
        <v>219797.65</v>
      </c>
      <c r="DN175" s="1420">
        <v>130752.56</v>
      </c>
      <c r="DO175" s="1420">
        <v>1506732.62</v>
      </c>
      <c r="DP175" s="1420">
        <v>1764320.8</v>
      </c>
      <c r="DQ175" s="1420">
        <v>432610.22</v>
      </c>
      <c r="DR175" s="1420">
        <v>520021.25</v>
      </c>
      <c r="DS175" s="1420">
        <v>47864.27</v>
      </c>
      <c r="DT175" s="1422">
        <v>24500</v>
      </c>
      <c r="DU175" s="1420">
        <v>2511127.62</v>
      </c>
      <c r="DV175" s="1420">
        <v>2680257.73</v>
      </c>
      <c r="DW175" s="1420">
        <v>696486.41</v>
      </c>
      <c r="DX175" s="1420">
        <v>747365.81</v>
      </c>
      <c r="DY175" s="1420">
        <v>1346395.33</v>
      </c>
      <c r="DZ175" s="1420">
        <v>1183267.6499999999</v>
      </c>
      <c r="EA175" s="1420">
        <v>678138.12</v>
      </c>
      <c r="EB175" s="1420">
        <v>668683.57999999996</v>
      </c>
      <c r="EC175" s="1420">
        <v>2721019.86</v>
      </c>
      <c r="ED175" s="1420">
        <v>2599317.04</v>
      </c>
      <c r="EE175" s="1420">
        <v>816127.7</v>
      </c>
      <c r="EF175" s="1420">
        <v>755206.93</v>
      </c>
      <c r="EG175" s="1422">
        <v>0</v>
      </c>
      <c r="EH175" s="1422">
        <v>0</v>
      </c>
      <c r="EI175" s="1420">
        <v>1983.31</v>
      </c>
      <c r="EJ175" s="1422">
        <v>2000</v>
      </c>
      <c r="EK175" s="1422">
        <v>0</v>
      </c>
      <c r="EL175" s="1422">
        <v>0</v>
      </c>
      <c r="EM175" s="1420">
        <v>818111.01</v>
      </c>
      <c r="EN175" s="1420">
        <v>757206.93</v>
      </c>
      <c r="EO175" s="1420">
        <v>2178560.39</v>
      </c>
      <c r="EP175" s="1420">
        <v>78028.89</v>
      </c>
      <c r="EQ175" s="1420">
        <v>569724.84</v>
      </c>
      <c r="ER175" s="1422">
        <v>571326</v>
      </c>
      <c r="ES175" s="1422">
        <v>0</v>
      </c>
      <c r="ET175" s="1422">
        <v>0</v>
      </c>
      <c r="EU175" s="1420">
        <v>17024517.859999999</v>
      </c>
      <c r="EV175" s="1420">
        <v>15093455.98</v>
      </c>
      <c r="EW175" s="1420">
        <v>2580432.9300000002</v>
      </c>
      <c r="EX175" s="1420">
        <v>387949.83</v>
      </c>
      <c r="EY175" s="1420">
        <v>569724.84</v>
      </c>
      <c r="EZ175" s="1422">
        <v>571326</v>
      </c>
      <c r="FA175" s="1420">
        <v>13874360.09</v>
      </c>
      <c r="FB175" s="1420">
        <v>14134180.15</v>
      </c>
      <c r="FC175" s="1420">
        <v>706264.77</v>
      </c>
      <c r="FD175" s="1439"/>
      <c r="FE175" s="1420">
        <v>13168095.32</v>
      </c>
      <c r="FF175" s="1439"/>
      <c r="FG175" s="1422">
        <v>9403</v>
      </c>
      <c r="FH175" s="1439"/>
      <c r="FI175" s="1420">
        <v>114.98</v>
      </c>
      <c r="FJ175" s="1439"/>
      <c r="FK175" s="1422">
        <v>41290</v>
      </c>
      <c r="FL175" s="1439"/>
      <c r="FM175" s="1420">
        <v>124.74</v>
      </c>
      <c r="FN175" s="1439"/>
      <c r="FO175" s="1422">
        <v>43459</v>
      </c>
      <c r="FP175" s="1439"/>
      <c r="FQ175" s="1420">
        <v>2132911.94</v>
      </c>
      <c r="FR175" s="1439"/>
      <c r="FS175" s="1420">
        <v>111818.27</v>
      </c>
      <c r="FT175" s="1439"/>
      <c r="FU175" s="1422">
        <v>0</v>
      </c>
      <c r="FV175" s="1439"/>
      <c r="FW175" s="1420">
        <v>2021093.67</v>
      </c>
      <c r="FX175" s="1439"/>
      <c r="FY175" s="1422">
        <v>75113</v>
      </c>
      <c r="FZ175" s="1439"/>
      <c r="GA175" s="1422">
        <v>0</v>
      </c>
      <c r="GB175" s="1439"/>
    </row>
    <row r="176" spans="1:184" ht="12.75" customHeight="1" thickBot="1">
      <c r="A176" s="1418" t="s">
        <v>227</v>
      </c>
      <c r="B176" s="1418" t="s">
        <v>228</v>
      </c>
      <c r="C176" s="1420">
        <v>149.72999999999999</v>
      </c>
      <c r="D176" s="1439"/>
      <c r="E176" s="1420">
        <v>684.62</v>
      </c>
      <c r="F176" s="1439"/>
      <c r="G176" s="1421">
        <v>-0.11</v>
      </c>
      <c r="H176" s="1439"/>
      <c r="I176" s="1420">
        <v>723.81</v>
      </c>
      <c r="J176" s="1439"/>
      <c r="K176" s="1420">
        <v>742.83</v>
      </c>
      <c r="L176" s="1439"/>
      <c r="M176" s="1422">
        <v>31314901</v>
      </c>
      <c r="N176" s="1439"/>
      <c r="O176" s="1422">
        <v>25</v>
      </c>
      <c r="P176" s="1439"/>
      <c r="Q176" s="1422">
        <v>25</v>
      </c>
      <c r="R176" s="1439"/>
      <c r="S176" s="1422">
        <v>0</v>
      </c>
      <c r="T176" s="1439"/>
      <c r="U176" s="1422">
        <v>0</v>
      </c>
      <c r="V176" s="1439"/>
      <c r="W176" s="1420">
        <v>6.2</v>
      </c>
      <c r="X176" s="1439"/>
      <c r="Y176" s="1420">
        <v>31.2</v>
      </c>
      <c r="Z176" s="1439"/>
      <c r="AA176" s="1422">
        <v>836727</v>
      </c>
      <c r="AB176" s="1439"/>
      <c r="AC176" s="1420">
        <v>885170.05</v>
      </c>
      <c r="AD176" s="1422">
        <v>519672</v>
      </c>
      <c r="AE176" s="1420">
        <v>294290.05</v>
      </c>
      <c r="AF176" s="1422">
        <v>134891</v>
      </c>
      <c r="AG176" s="1422">
        <v>0</v>
      </c>
      <c r="AH176" s="1422">
        <v>0</v>
      </c>
      <c r="AI176" s="1422">
        <v>3721974</v>
      </c>
      <c r="AJ176" s="1422">
        <v>3693952</v>
      </c>
      <c r="AK176" s="1422">
        <v>10471</v>
      </c>
      <c r="AL176" s="1422">
        <v>0</v>
      </c>
      <c r="AM176" s="1422">
        <v>0</v>
      </c>
      <c r="AN176" s="1422">
        <v>0</v>
      </c>
      <c r="AO176" s="1422">
        <v>55141</v>
      </c>
      <c r="AP176" s="1422">
        <v>49797</v>
      </c>
      <c r="AQ176" s="1422">
        <v>0</v>
      </c>
      <c r="AR176" s="1422">
        <v>0</v>
      </c>
      <c r="AS176" s="1422">
        <v>0</v>
      </c>
      <c r="AT176" s="1422">
        <v>0</v>
      </c>
      <c r="AU176" s="1422">
        <v>39389</v>
      </c>
      <c r="AV176" s="1422">
        <v>31511</v>
      </c>
      <c r="AW176" s="1422">
        <v>0</v>
      </c>
      <c r="AX176" s="1422">
        <v>0</v>
      </c>
      <c r="AY176" s="1420">
        <v>5006435.0999999996</v>
      </c>
      <c r="AZ176" s="1422">
        <v>4429823</v>
      </c>
      <c r="BA176" s="1422">
        <v>0</v>
      </c>
      <c r="BB176" s="1422">
        <v>0</v>
      </c>
      <c r="BC176" s="1422">
        <v>30723</v>
      </c>
      <c r="BD176" s="1422">
        <v>30794</v>
      </c>
      <c r="BE176" s="1420">
        <v>15319.15</v>
      </c>
      <c r="BF176" s="1422">
        <v>6727</v>
      </c>
      <c r="BG176" s="1422">
        <v>1954</v>
      </c>
      <c r="BH176" s="1422">
        <v>0</v>
      </c>
      <c r="BI176" s="1422">
        <v>6095</v>
      </c>
      <c r="BJ176" s="1422">
        <v>10528</v>
      </c>
      <c r="BK176" s="1422">
        <v>5274</v>
      </c>
      <c r="BL176" s="1422">
        <v>0</v>
      </c>
      <c r="BM176" s="1422">
        <v>558496</v>
      </c>
      <c r="BN176" s="1422">
        <v>537372</v>
      </c>
      <c r="BO176" s="1420">
        <v>19937.12</v>
      </c>
      <c r="BP176" s="1422">
        <v>0</v>
      </c>
      <c r="BQ176" s="1422">
        <v>0</v>
      </c>
      <c r="BR176" s="1422">
        <v>0</v>
      </c>
      <c r="BS176" s="1420">
        <v>2714.49</v>
      </c>
      <c r="BT176" s="1422">
        <v>3000</v>
      </c>
      <c r="BU176" s="1422">
        <v>0</v>
      </c>
      <c r="BV176" s="1422">
        <v>0</v>
      </c>
      <c r="BW176" s="1422">
        <v>284796</v>
      </c>
      <c r="BX176" s="1422">
        <v>291600</v>
      </c>
      <c r="BY176" s="1422">
        <v>0</v>
      </c>
      <c r="BZ176" s="1422">
        <v>0</v>
      </c>
      <c r="CA176" s="1422">
        <v>56760</v>
      </c>
      <c r="CB176" s="1422">
        <v>54119</v>
      </c>
      <c r="CC176" s="1420">
        <v>982068.76</v>
      </c>
      <c r="CD176" s="1422">
        <v>934140</v>
      </c>
      <c r="CE176" s="1420">
        <v>1042586.86</v>
      </c>
      <c r="CF176" s="1420">
        <v>975825.43</v>
      </c>
      <c r="CG176" s="1422">
        <v>0</v>
      </c>
      <c r="CH176" s="1422">
        <v>0</v>
      </c>
      <c r="CI176" s="1422">
        <v>0</v>
      </c>
      <c r="CJ176" s="1422">
        <v>0</v>
      </c>
      <c r="CK176" s="1422">
        <v>0</v>
      </c>
      <c r="CL176" s="1422">
        <v>0</v>
      </c>
      <c r="CM176" s="1422">
        <v>0</v>
      </c>
      <c r="CN176" s="1422">
        <v>0</v>
      </c>
      <c r="CO176" s="1422">
        <v>0</v>
      </c>
      <c r="CP176" s="1422">
        <v>0</v>
      </c>
      <c r="CQ176" s="1422">
        <v>0</v>
      </c>
      <c r="CR176" s="1422">
        <v>0</v>
      </c>
      <c r="CS176" s="1422">
        <v>0</v>
      </c>
      <c r="CT176" s="1422">
        <v>0</v>
      </c>
      <c r="CU176" s="1420">
        <v>7031090.7199999997</v>
      </c>
      <c r="CV176" s="1420">
        <v>6339788.4299999997</v>
      </c>
      <c r="CW176" s="1420">
        <v>3098833.45</v>
      </c>
      <c r="CX176" s="1420">
        <v>2898714.45</v>
      </c>
      <c r="CY176" s="1420">
        <v>570544.57999999996</v>
      </c>
      <c r="CZ176" s="1420">
        <v>608874.79</v>
      </c>
      <c r="DA176" s="1420">
        <v>226246.87</v>
      </c>
      <c r="DB176" s="1420">
        <v>213378.93</v>
      </c>
      <c r="DC176" s="1422">
        <v>0</v>
      </c>
      <c r="DD176" s="1422">
        <v>0</v>
      </c>
      <c r="DE176" s="1420">
        <v>141108.60999999999</v>
      </c>
      <c r="DF176" s="1420">
        <v>140607.29</v>
      </c>
      <c r="DG176" s="1420">
        <v>54107.01</v>
      </c>
      <c r="DH176" s="1420">
        <v>70054.48</v>
      </c>
      <c r="DI176" s="1420">
        <v>4090840.52</v>
      </c>
      <c r="DJ176" s="1420">
        <v>3931629.94</v>
      </c>
      <c r="DK176" s="1420">
        <v>220692.27</v>
      </c>
      <c r="DL176" s="1420">
        <v>210068.66</v>
      </c>
      <c r="DM176" s="1420">
        <v>89056.72</v>
      </c>
      <c r="DN176" s="1420">
        <v>67821.149999999994</v>
      </c>
      <c r="DO176" s="1420">
        <v>711517.36</v>
      </c>
      <c r="DP176" s="1420">
        <v>636903.18999999994</v>
      </c>
      <c r="DQ176" s="1420">
        <v>303278.14</v>
      </c>
      <c r="DR176" s="1420">
        <v>140075.89000000001</v>
      </c>
      <c r="DS176" s="1420">
        <v>14768.16</v>
      </c>
      <c r="DT176" s="1422">
        <v>14426</v>
      </c>
      <c r="DU176" s="1420">
        <v>1339312.6499999999</v>
      </c>
      <c r="DV176" s="1420">
        <v>1069294.8899999999</v>
      </c>
      <c r="DW176" s="1420">
        <v>218584.51</v>
      </c>
      <c r="DX176" s="1420">
        <v>220831.5</v>
      </c>
      <c r="DY176" s="1420">
        <v>653257.09</v>
      </c>
      <c r="DZ176" s="1420">
        <v>668514.43999999994</v>
      </c>
      <c r="EA176" s="1420">
        <v>311200.11</v>
      </c>
      <c r="EB176" s="1420">
        <v>296810.08</v>
      </c>
      <c r="EC176" s="1420">
        <v>1183041.71</v>
      </c>
      <c r="ED176" s="1420">
        <v>1186156.02</v>
      </c>
      <c r="EE176" s="1420">
        <v>415551.52</v>
      </c>
      <c r="EF176" s="1420">
        <v>374652.7</v>
      </c>
      <c r="EG176" s="1420">
        <v>26309.57</v>
      </c>
      <c r="EH176" s="1422">
        <v>0</v>
      </c>
      <c r="EI176" s="1420">
        <v>49.65</v>
      </c>
      <c r="EJ176" s="1422">
        <v>300</v>
      </c>
      <c r="EK176" s="1422">
        <v>0</v>
      </c>
      <c r="EL176" s="1422">
        <v>0</v>
      </c>
      <c r="EM176" s="1420">
        <v>441910.74</v>
      </c>
      <c r="EN176" s="1420">
        <v>374952.7</v>
      </c>
      <c r="EO176" s="1420">
        <v>45295.49</v>
      </c>
      <c r="EP176" s="1422">
        <v>0</v>
      </c>
      <c r="EQ176" s="1420">
        <v>81949.56</v>
      </c>
      <c r="ER176" s="1420">
        <v>81463.070000000007</v>
      </c>
      <c r="ES176" s="1420">
        <v>6584.73</v>
      </c>
      <c r="ET176" s="1422">
        <v>0</v>
      </c>
      <c r="EU176" s="1420">
        <v>7188935.4000000004</v>
      </c>
      <c r="EV176" s="1420">
        <v>6643496.6200000001</v>
      </c>
      <c r="EW176" s="1420">
        <v>299522.07</v>
      </c>
      <c r="EX176" s="1420">
        <v>37631.339999999997</v>
      </c>
      <c r="EY176" s="1420">
        <v>81949.56</v>
      </c>
      <c r="EZ176" s="1420">
        <v>81463.070000000007</v>
      </c>
      <c r="FA176" s="1420">
        <v>6807463.7699999996</v>
      </c>
      <c r="FB176" s="1420">
        <v>6524402.21</v>
      </c>
      <c r="FC176" s="1420">
        <v>457987.43</v>
      </c>
      <c r="FD176" s="1439"/>
      <c r="FE176" s="1420">
        <v>6349476.3399999999</v>
      </c>
      <c r="FF176" s="1439"/>
      <c r="FG176" s="1422">
        <v>9274</v>
      </c>
      <c r="FH176" s="1439"/>
      <c r="FI176" s="1420">
        <v>58.94</v>
      </c>
      <c r="FJ176" s="1439"/>
      <c r="FK176" s="1422">
        <v>40541</v>
      </c>
      <c r="FL176" s="1439"/>
      <c r="FM176" s="1420">
        <v>64.569999999999993</v>
      </c>
      <c r="FN176" s="1439"/>
      <c r="FO176" s="1422">
        <v>42520</v>
      </c>
      <c r="FP176" s="1439"/>
      <c r="FQ176" s="1420">
        <v>2347308.35</v>
      </c>
      <c r="FR176" s="1439"/>
      <c r="FS176" s="1420">
        <v>18106.38</v>
      </c>
      <c r="FT176" s="1439"/>
      <c r="FU176" s="1422">
        <v>0</v>
      </c>
      <c r="FV176" s="1439"/>
      <c r="FW176" s="1420">
        <v>2329201.9700000002</v>
      </c>
      <c r="FX176" s="1439"/>
      <c r="FY176" s="1422">
        <v>0</v>
      </c>
      <c r="FZ176" s="1439"/>
      <c r="GA176" s="1422">
        <v>0</v>
      </c>
      <c r="GB176" s="1439"/>
    </row>
    <row r="177" spans="1:184" ht="12.75" customHeight="1" thickBot="1">
      <c r="A177" s="1418" t="s">
        <v>229</v>
      </c>
      <c r="B177" s="1418" t="s">
        <v>230</v>
      </c>
      <c r="C177" s="1420">
        <v>434.16</v>
      </c>
      <c r="D177" s="1439"/>
      <c r="E177" s="1420">
        <v>1831.79</v>
      </c>
      <c r="F177" s="1439"/>
      <c r="G177" s="1421">
        <v>-0.05</v>
      </c>
      <c r="H177" s="1439"/>
      <c r="I177" s="1420">
        <v>1882.57</v>
      </c>
      <c r="J177" s="1439"/>
      <c r="K177" s="1420">
        <v>1945.46</v>
      </c>
      <c r="L177" s="1439"/>
      <c r="M177" s="1422">
        <v>133614191</v>
      </c>
      <c r="N177" s="1439"/>
      <c r="O177" s="1422">
        <v>25</v>
      </c>
      <c r="P177" s="1439"/>
      <c r="Q177" s="1422">
        <v>25</v>
      </c>
      <c r="R177" s="1439"/>
      <c r="S177" s="1422">
        <v>0</v>
      </c>
      <c r="T177" s="1439"/>
      <c r="U177" s="1422">
        <v>0</v>
      </c>
      <c r="V177" s="1439"/>
      <c r="W177" s="1420">
        <v>10.9</v>
      </c>
      <c r="X177" s="1439"/>
      <c r="Y177" s="1420">
        <v>35.9</v>
      </c>
      <c r="Z177" s="1439"/>
      <c r="AA177" s="1420">
        <v>18910816.879999999</v>
      </c>
      <c r="AB177" s="1439"/>
      <c r="AC177" s="1420">
        <v>4216514.03</v>
      </c>
      <c r="AD177" s="1422">
        <v>4215807</v>
      </c>
      <c r="AE177" s="1420">
        <v>1105511.77</v>
      </c>
      <c r="AF177" s="1422">
        <v>374526</v>
      </c>
      <c r="AG177" s="1420">
        <v>7380.53</v>
      </c>
      <c r="AH177" s="1422">
        <v>7381</v>
      </c>
      <c r="AI177" s="1422">
        <v>8356377</v>
      </c>
      <c r="AJ177" s="1422">
        <v>8060580</v>
      </c>
      <c r="AK177" s="1422">
        <v>170848</v>
      </c>
      <c r="AL177" s="1422">
        <v>170000</v>
      </c>
      <c r="AM177" s="1422">
        <v>0</v>
      </c>
      <c r="AN177" s="1422">
        <v>0</v>
      </c>
      <c r="AO177" s="1422">
        <v>32795</v>
      </c>
      <c r="AP177" s="1422">
        <v>192276</v>
      </c>
      <c r="AQ177" s="1422">
        <v>0</v>
      </c>
      <c r="AR177" s="1422">
        <v>0</v>
      </c>
      <c r="AS177" s="1422">
        <v>13113</v>
      </c>
      <c r="AT177" s="1422">
        <v>0</v>
      </c>
      <c r="AU177" s="1422">
        <v>7759</v>
      </c>
      <c r="AV177" s="1422">
        <v>6207</v>
      </c>
      <c r="AW177" s="1420">
        <v>371.32</v>
      </c>
      <c r="AX177" s="1422">
        <v>0</v>
      </c>
      <c r="AY177" s="1420">
        <v>13910669.65</v>
      </c>
      <c r="AZ177" s="1422">
        <v>13026777</v>
      </c>
      <c r="BA177" s="1422">
        <v>0</v>
      </c>
      <c r="BB177" s="1422">
        <v>0</v>
      </c>
      <c r="BC177" s="1422">
        <v>80464</v>
      </c>
      <c r="BD177" s="1422">
        <v>79796</v>
      </c>
      <c r="BE177" s="1420">
        <v>6735.48</v>
      </c>
      <c r="BF177" s="1422">
        <v>2500</v>
      </c>
      <c r="BG177" s="1422">
        <v>450</v>
      </c>
      <c r="BH177" s="1422">
        <v>0</v>
      </c>
      <c r="BI177" s="1422">
        <v>122906</v>
      </c>
      <c r="BJ177" s="1422">
        <v>126713</v>
      </c>
      <c r="BK177" s="1422">
        <v>5567</v>
      </c>
      <c r="BL177" s="1422">
        <v>5567</v>
      </c>
      <c r="BM177" s="1422">
        <v>595200</v>
      </c>
      <c r="BN177" s="1422">
        <v>623392</v>
      </c>
      <c r="BO177" s="1420">
        <v>82183.520000000004</v>
      </c>
      <c r="BP177" s="1422">
        <v>55000</v>
      </c>
      <c r="BQ177" s="1420">
        <v>40341.879999999997</v>
      </c>
      <c r="BR177" s="1420">
        <v>47970.69</v>
      </c>
      <c r="BS177" s="1420">
        <v>7259.74</v>
      </c>
      <c r="BT177" s="1422">
        <v>7200</v>
      </c>
      <c r="BU177" s="1422">
        <v>0</v>
      </c>
      <c r="BV177" s="1422">
        <v>0</v>
      </c>
      <c r="BW177" s="1422">
        <v>0</v>
      </c>
      <c r="BX177" s="1422">
        <v>0</v>
      </c>
      <c r="BY177" s="1422">
        <v>0</v>
      </c>
      <c r="BZ177" s="1422">
        <v>0</v>
      </c>
      <c r="CA177" s="1420">
        <v>3993654.88</v>
      </c>
      <c r="CB177" s="1422">
        <v>2390023</v>
      </c>
      <c r="CC177" s="1420">
        <v>4934762.5</v>
      </c>
      <c r="CD177" s="1420">
        <v>3338161.69</v>
      </c>
      <c r="CE177" s="1420">
        <v>4139602.39</v>
      </c>
      <c r="CF177" s="1420">
        <v>4881825.24</v>
      </c>
      <c r="CG177" s="1422">
        <v>1004500</v>
      </c>
      <c r="CH177" s="1422">
        <v>0</v>
      </c>
      <c r="CI177" s="1422">
        <v>0</v>
      </c>
      <c r="CJ177" s="1422">
        <v>0</v>
      </c>
      <c r="CK177" s="1422">
        <v>10246</v>
      </c>
      <c r="CL177" s="1422">
        <v>0</v>
      </c>
      <c r="CM177" s="1422">
        <v>36135</v>
      </c>
      <c r="CN177" s="1422">
        <v>0</v>
      </c>
      <c r="CO177" s="1422">
        <v>1000000</v>
      </c>
      <c r="CP177" s="1422">
        <v>0</v>
      </c>
      <c r="CQ177" s="1422">
        <v>0</v>
      </c>
      <c r="CR177" s="1422">
        <v>0</v>
      </c>
      <c r="CS177" s="1422">
        <v>2050881</v>
      </c>
      <c r="CT177" s="1422">
        <v>0</v>
      </c>
      <c r="CU177" s="1420">
        <v>25035915.539999999</v>
      </c>
      <c r="CV177" s="1420">
        <v>21246763.93</v>
      </c>
      <c r="CW177" s="1420">
        <v>7124046.2199999997</v>
      </c>
      <c r="CX177" s="1420">
        <v>6307190.8300000001</v>
      </c>
      <c r="CY177" s="1420">
        <v>1010820.21</v>
      </c>
      <c r="CZ177" s="1420">
        <v>1133502.3500000001</v>
      </c>
      <c r="DA177" s="1420">
        <v>671776.95</v>
      </c>
      <c r="DB177" s="1420">
        <v>692008.72</v>
      </c>
      <c r="DC177" s="1422">
        <v>0</v>
      </c>
      <c r="DD177" s="1422">
        <v>0</v>
      </c>
      <c r="DE177" s="1420">
        <v>662855.42000000004</v>
      </c>
      <c r="DF177" s="1420">
        <v>635359.88</v>
      </c>
      <c r="DG177" s="1420">
        <v>428248.87</v>
      </c>
      <c r="DH177" s="1420">
        <v>424202.82</v>
      </c>
      <c r="DI177" s="1420">
        <v>9897747.6699999999</v>
      </c>
      <c r="DJ177" s="1420">
        <v>9192264.5999999996</v>
      </c>
      <c r="DK177" s="1420">
        <v>340115.43</v>
      </c>
      <c r="DL177" s="1420">
        <v>309270.90999999997</v>
      </c>
      <c r="DM177" s="1420">
        <v>206684.53</v>
      </c>
      <c r="DN177" s="1420">
        <v>205391.68</v>
      </c>
      <c r="DO177" s="1420">
        <v>1641778.61</v>
      </c>
      <c r="DP177" s="1420">
        <v>1279376.52</v>
      </c>
      <c r="DQ177" s="1420">
        <v>1020635.67</v>
      </c>
      <c r="DR177" s="1420">
        <v>1009091.95</v>
      </c>
      <c r="DS177" s="1420">
        <v>51858.57</v>
      </c>
      <c r="DT177" s="1422">
        <v>29000</v>
      </c>
      <c r="DU177" s="1420">
        <v>3261072.81</v>
      </c>
      <c r="DV177" s="1420">
        <v>2832131.06</v>
      </c>
      <c r="DW177" s="1420">
        <v>780994.88</v>
      </c>
      <c r="DX177" s="1420">
        <v>810151.36</v>
      </c>
      <c r="DY177" s="1420">
        <v>1551108.13</v>
      </c>
      <c r="DZ177" s="1420">
        <v>1436122.26</v>
      </c>
      <c r="EA177" s="1420">
        <v>700587.23</v>
      </c>
      <c r="EB177" s="1420">
        <v>708028.11</v>
      </c>
      <c r="EC177" s="1420">
        <v>3032690.24</v>
      </c>
      <c r="ED177" s="1420">
        <v>2954301.73</v>
      </c>
      <c r="EE177" s="1420">
        <v>1007914.62</v>
      </c>
      <c r="EF177" s="1420">
        <v>1005150.23</v>
      </c>
      <c r="EG177" s="1422">
        <v>0</v>
      </c>
      <c r="EH177" s="1422">
        <v>0</v>
      </c>
      <c r="EI177" s="1420">
        <v>126891.39</v>
      </c>
      <c r="EJ177" s="1420">
        <v>145108.60999999999</v>
      </c>
      <c r="EK177" s="1422">
        <v>0</v>
      </c>
      <c r="EL177" s="1422">
        <v>0</v>
      </c>
      <c r="EM177" s="1420">
        <v>1134806.01</v>
      </c>
      <c r="EN177" s="1420">
        <v>1150258.8400000001</v>
      </c>
      <c r="EO177" s="1420">
        <v>11785679.369999999</v>
      </c>
      <c r="EP177" s="1420">
        <v>7460237.5899999999</v>
      </c>
      <c r="EQ177" s="1420">
        <v>1266242.74</v>
      </c>
      <c r="ER177" s="1422">
        <v>1354127</v>
      </c>
      <c r="ES177" s="1420">
        <v>22020.47</v>
      </c>
      <c r="ET177" s="1422">
        <v>0</v>
      </c>
      <c r="EU177" s="1420">
        <v>30400259.309999999</v>
      </c>
      <c r="EV177" s="1420">
        <v>24943320.82</v>
      </c>
      <c r="EW177" s="1420">
        <v>12515047.970000001</v>
      </c>
      <c r="EX177" s="1420">
        <v>7770999.3700000001</v>
      </c>
      <c r="EY177" s="1420">
        <v>1266242.74</v>
      </c>
      <c r="EZ177" s="1422">
        <v>1354127</v>
      </c>
      <c r="FA177" s="1420">
        <v>16618968.6</v>
      </c>
      <c r="FB177" s="1420">
        <v>15818194.449999999</v>
      </c>
      <c r="FC177" s="1420">
        <v>886536.93</v>
      </c>
      <c r="FD177" s="1439"/>
      <c r="FE177" s="1420">
        <v>15732431.67</v>
      </c>
      <c r="FF177" s="1439"/>
      <c r="FG177" s="1422">
        <v>8588</v>
      </c>
      <c r="FH177" s="1439"/>
      <c r="FI177" s="1420">
        <v>134.75</v>
      </c>
      <c r="FJ177" s="1439"/>
      <c r="FK177" s="1422">
        <v>43479</v>
      </c>
      <c r="FL177" s="1439"/>
      <c r="FM177" s="1420">
        <v>144.94999999999999</v>
      </c>
      <c r="FN177" s="1439"/>
      <c r="FO177" s="1422">
        <v>45179</v>
      </c>
      <c r="FP177" s="1439"/>
      <c r="FQ177" s="1420">
        <v>2696783.61</v>
      </c>
      <c r="FR177" s="1439"/>
      <c r="FS177" s="1420">
        <v>112109.98</v>
      </c>
      <c r="FT177" s="1439"/>
      <c r="FU177" s="1422">
        <v>0</v>
      </c>
      <c r="FV177" s="1439"/>
      <c r="FW177" s="1420">
        <v>2584673.63</v>
      </c>
      <c r="FX177" s="1439"/>
      <c r="FY177" s="1420">
        <v>10453680.65</v>
      </c>
      <c r="FZ177" s="1439"/>
      <c r="GA177" s="1422">
        <v>0</v>
      </c>
      <c r="GB177" s="1439"/>
    </row>
    <row r="178" spans="1:184" ht="12.75" customHeight="1" thickBot="1">
      <c r="A178" s="1418" t="s">
        <v>231</v>
      </c>
      <c r="B178" s="1418" t="s">
        <v>232</v>
      </c>
      <c r="C178" s="1420">
        <v>353.37</v>
      </c>
      <c r="D178" s="1439"/>
      <c r="E178" s="1420">
        <v>660.6</v>
      </c>
      <c r="F178" s="1439"/>
      <c r="G178" s="1421">
        <v>-0.03</v>
      </c>
      <c r="H178" s="1439"/>
      <c r="I178" s="1420">
        <v>702.37</v>
      </c>
      <c r="J178" s="1439"/>
      <c r="K178" s="1420">
        <v>676.3</v>
      </c>
      <c r="L178" s="1439"/>
      <c r="M178" s="1422">
        <v>42370392</v>
      </c>
      <c r="N178" s="1439"/>
      <c r="O178" s="1422">
        <v>25</v>
      </c>
      <c r="P178" s="1439"/>
      <c r="Q178" s="1422">
        <v>25</v>
      </c>
      <c r="R178" s="1439"/>
      <c r="S178" s="1422">
        <v>0</v>
      </c>
      <c r="T178" s="1439"/>
      <c r="U178" s="1422">
        <v>0</v>
      </c>
      <c r="V178" s="1439"/>
      <c r="W178" s="1420">
        <v>6.3</v>
      </c>
      <c r="X178" s="1439"/>
      <c r="Y178" s="1420">
        <v>31.3</v>
      </c>
      <c r="Z178" s="1439"/>
      <c r="AA178" s="1422">
        <v>1975000</v>
      </c>
      <c r="AB178" s="1439"/>
      <c r="AC178" s="1420">
        <v>1181740.96</v>
      </c>
      <c r="AD178" s="1422">
        <v>1173615</v>
      </c>
      <c r="AE178" s="1420">
        <v>340519.04</v>
      </c>
      <c r="AF178" s="1422">
        <v>313726</v>
      </c>
      <c r="AG178" s="1420">
        <v>2077.7600000000002</v>
      </c>
      <c r="AH178" s="1422">
        <v>2078</v>
      </c>
      <c r="AI178" s="1422">
        <v>2729982</v>
      </c>
      <c r="AJ178" s="1422">
        <v>2933418</v>
      </c>
      <c r="AK178" s="1422">
        <v>60221</v>
      </c>
      <c r="AL178" s="1422">
        <v>52174</v>
      </c>
      <c r="AM178" s="1422">
        <v>164654</v>
      </c>
      <c r="AN178" s="1422">
        <v>0</v>
      </c>
      <c r="AO178" s="1422">
        <v>0</v>
      </c>
      <c r="AP178" s="1422">
        <v>0</v>
      </c>
      <c r="AQ178" s="1422">
        <v>0</v>
      </c>
      <c r="AR178" s="1422">
        <v>0</v>
      </c>
      <c r="AS178" s="1422">
        <v>285639</v>
      </c>
      <c r="AT178" s="1422">
        <v>275033</v>
      </c>
      <c r="AU178" s="1422">
        <v>19439</v>
      </c>
      <c r="AV178" s="1422">
        <v>15551</v>
      </c>
      <c r="AW178" s="1422">
        <v>0</v>
      </c>
      <c r="AX178" s="1422">
        <v>0</v>
      </c>
      <c r="AY178" s="1420">
        <v>4784272.76</v>
      </c>
      <c r="AZ178" s="1422">
        <v>4765595</v>
      </c>
      <c r="BA178" s="1422">
        <v>0</v>
      </c>
      <c r="BB178" s="1422">
        <v>0</v>
      </c>
      <c r="BC178" s="1422">
        <v>27972</v>
      </c>
      <c r="BD178" s="1422">
        <v>29958</v>
      </c>
      <c r="BE178" s="1420">
        <v>417412.98</v>
      </c>
      <c r="BF178" s="1422">
        <v>385056</v>
      </c>
      <c r="BG178" s="1422">
        <v>300</v>
      </c>
      <c r="BH178" s="1422">
        <v>0</v>
      </c>
      <c r="BI178" s="1422">
        <v>1585</v>
      </c>
      <c r="BJ178" s="1422">
        <v>0</v>
      </c>
      <c r="BK178" s="1422">
        <v>0</v>
      </c>
      <c r="BL178" s="1422">
        <v>0</v>
      </c>
      <c r="BM178" s="1422">
        <v>507904</v>
      </c>
      <c r="BN178" s="1422">
        <v>526240</v>
      </c>
      <c r="BO178" s="1420">
        <v>29330.9</v>
      </c>
      <c r="BP178" s="1422">
        <v>0</v>
      </c>
      <c r="BQ178" s="1420">
        <v>7041.76</v>
      </c>
      <c r="BR178" s="1422">
        <v>4000</v>
      </c>
      <c r="BS178" s="1420">
        <v>2931.51</v>
      </c>
      <c r="BT178" s="1422">
        <v>3000</v>
      </c>
      <c r="BU178" s="1422">
        <v>0</v>
      </c>
      <c r="BV178" s="1422">
        <v>0</v>
      </c>
      <c r="BW178" s="1422">
        <v>0</v>
      </c>
      <c r="BX178" s="1422">
        <v>0</v>
      </c>
      <c r="BY178" s="1422">
        <v>0</v>
      </c>
      <c r="BZ178" s="1422">
        <v>0</v>
      </c>
      <c r="CA178" s="1420">
        <v>221277.44</v>
      </c>
      <c r="CB178" s="1422">
        <v>226930</v>
      </c>
      <c r="CC178" s="1420">
        <v>1215755.5900000001</v>
      </c>
      <c r="CD178" s="1422">
        <v>1175184</v>
      </c>
      <c r="CE178" s="1420">
        <v>1529608.01</v>
      </c>
      <c r="CF178" s="1420">
        <v>1150404.96</v>
      </c>
      <c r="CG178" s="1422">
        <v>0</v>
      </c>
      <c r="CH178" s="1422">
        <v>0</v>
      </c>
      <c r="CI178" s="1422">
        <v>0</v>
      </c>
      <c r="CJ178" s="1422">
        <v>0</v>
      </c>
      <c r="CK178" s="1422">
        <v>0</v>
      </c>
      <c r="CL178" s="1422">
        <v>0</v>
      </c>
      <c r="CM178" s="1422">
        <v>0</v>
      </c>
      <c r="CN178" s="1422">
        <v>0</v>
      </c>
      <c r="CO178" s="1420">
        <v>1167.2</v>
      </c>
      <c r="CP178" s="1422">
        <v>0</v>
      </c>
      <c r="CQ178" s="1422">
        <v>0</v>
      </c>
      <c r="CR178" s="1422">
        <v>0</v>
      </c>
      <c r="CS178" s="1420">
        <v>1167.2</v>
      </c>
      <c r="CT178" s="1422">
        <v>0</v>
      </c>
      <c r="CU178" s="1420">
        <v>7530803.5599999996</v>
      </c>
      <c r="CV178" s="1420">
        <v>7091183.96</v>
      </c>
      <c r="CW178" s="1420">
        <v>2981457.55</v>
      </c>
      <c r="CX178" s="1420">
        <v>2805241.25</v>
      </c>
      <c r="CY178" s="1420">
        <v>341388.96</v>
      </c>
      <c r="CZ178" s="1420">
        <v>338334.23</v>
      </c>
      <c r="DA178" s="1420">
        <v>388185.85</v>
      </c>
      <c r="DB178" s="1420">
        <v>377217.4</v>
      </c>
      <c r="DC178" s="1422">
        <v>0</v>
      </c>
      <c r="DD178" s="1422">
        <v>0</v>
      </c>
      <c r="DE178" s="1420">
        <v>46393.73</v>
      </c>
      <c r="DF178" s="1422">
        <v>34251</v>
      </c>
      <c r="DG178" s="1420">
        <v>45485.69</v>
      </c>
      <c r="DH178" s="1420">
        <v>54109.5</v>
      </c>
      <c r="DI178" s="1420">
        <v>3802911.78</v>
      </c>
      <c r="DJ178" s="1420">
        <v>3609153.38</v>
      </c>
      <c r="DK178" s="1420">
        <v>128185.16</v>
      </c>
      <c r="DL178" s="1420">
        <v>128735.93</v>
      </c>
      <c r="DM178" s="1420">
        <v>151832.82</v>
      </c>
      <c r="DN178" s="1420">
        <v>129170.05</v>
      </c>
      <c r="DO178" s="1420">
        <v>642019.09</v>
      </c>
      <c r="DP178" s="1420">
        <v>822536.34</v>
      </c>
      <c r="DQ178" s="1420">
        <v>449053.85</v>
      </c>
      <c r="DR178" s="1420">
        <v>613260.04</v>
      </c>
      <c r="DS178" s="1420">
        <v>12755.87</v>
      </c>
      <c r="DT178" s="1422">
        <v>12760</v>
      </c>
      <c r="DU178" s="1420">
        <v>1383846.79</v>
      </c>
      <c r="DV178" s="1420">
        <v>1706462.36</v>
      </c>
      <c r="DW178" s="1420">
        <v>299546.95</v>
      </c>
      <c r="DX178" s="1420">
        <v>295397.08</v>
      </c>
      <c r="DY178" s="1420">
        <v>736761.68</v>
      </c>
      <c r="DZ178" s="1420">
        <v>779550.12</v>
      </c>
      <c r="EA178" s="1420">
        <v>252663.47</v>
      </c>
      <c r="EB178" s="1420">
        <v>241623.66</v>
      </c>
      <c r="EC178" s="1420">
        <v>1288972.1000000001</v>
      </c>
      <c r="ED178" s="1420">
        <v>1316570.8600000001</v>
      </c>
      <c r="EE178" s="1420">
        <v>428584.19</v>
      </c>
      <c r="EF178" s="1420">
        <v>452732.2</v>
      </c>
      <c r="EG178" s="1420">
        <v>60431.59</v>
      </c>
      <c r="EH178" s="1420">
        <v>60432.35</v>
      </c>
      <c r="EI178" s="1420">
        <v>608.41999999999996</v>
      </c>
      <c r="EJ178" s="1420">
        <v>1925.31</v>
      </c>
      <c r="EK178" s="1422">
        <v>0</v>
      </c>
      <c r="EL178" s="1422">
        <v>0</v>
      </c>
      <c r="EM178" s="1420">
        <v>489624.2</v>
      </c>
      <c r="EN178" s="1420">
        <v>515089.86</v>
      </c>
      <c r="EO178" s="1420">
        <v>282397.43</v>
      </c>
      <c r="EP178" s="1420">
        <v>35243.620000000003</v>
      </c>
      <c r="EQ178" s="1420">
        <v>120857.5</v>
      </c>
      <c r="ER178" s="1422">
        <v>120295</v>
      </c>
      <c r="ES178" s="1422">
        <v>0</v>
      </c>
      <c r="ET178" s="1422">
        <v>0</v>
      </c>
      <c r="EU178" s="1420">
        <v>7368609.7999999998</v>
      </c>
      <c r="EV178" s="1420">
        <v>7302815.0800000001</v>
      </c>
      <c r="EW178" s="1422">
        <v>535620</v>
      </c>
      <c r="EX178" s="1420">
        <v>386066.62</v>
      </c>
      <c r="EY178" s="1420">
        <v>120857.5</v>
      </c>
      <c r="EZ178" s="1422">
        <v>120295</v>
      </c>
      <c r="FA178" s="1420">
        <v>6712132.2999999998</v>
      </c>
      <c r="FB178" s="1420">
        <v>6796453.46</v>
      </c>
      <c r="FC178" s="1420">
        <v>280421.87</v>
      </c>
      <c r="FD178" s="1439"/>
      <c r="FE178" s="1420">
        <v>6431710.4299999997</v>
      </c>
      <c r="FF178" s="1439"/>
      <c r="FG178" s="1422">
        <v>9736</v>
      </c>
      <c r="FH178" s="1439"/>
      <c r="FI178" s="1420">
        <v>57.72</v>
      </c>
      <c r="FJ178" s="1439"/>
      <c r="FK178" s="1422">
        <v>41670</v>
      </c>
      <c r="FL178" s="1439"/>
      <c r="FM178" s="1420">
        <v>62.48</v>
      </c>
      <c r="FN178" s="1439"/>
      <c r="FO178" s="1422">
        <v>43197</v>
      </c>
      <c r="FP178" s="1439"/>
      <c r="FQ178" s="1420">
        <v>1924322.18</v>
      </c>
      <c r="FR178" s="1439"/>
      <c r="FS178" s="1420">
        <v>15716.78</v>
      </c>
      <c r="FT178" s="1439"/>
      <c r="FU178" s="1422">
        <v>0</v>
      </c>
      <c r="FV178" s="1439"/>
      <c r="FW178" s="1420">
        <v>1908605.4</v>
      </c>
      <c r="FX178" s="1439"/>
      <c r="FY178" s="1420">
        <v>585985.86</v>
      </c>
      <c r="FZ178" s="1439"/>
      <c r="GA178" s="1422">
        <v>0</v>
      </c>
      <c r="GB178" s="1439"/>
    </row>
    <row r="179" spans="1:184" ht="12.75" customHeight="1" thickBot="1">
      <c r="A179" s="1418" t="s">
        <v>233</v>
      </c>
      <c r="B179" s="1418" t="s">
        <v>234</v>
      </c>
      <c r="C179" s="1439"/>
      <c r="D179" s="1439"/>
      <c r="E179" s="1420">
        <v>1063.3900000000001</v>
      </c>
      <c r="F179" s="1439"/>
      <c r="G179" s="1421">
        <v>-0.02</v>
      </c>
      <c r="H179" s="1439"/>
      <c r="I179" s="1420">
        <v>1133.06</v>
      </c>
      <c r="J179" s="1439"/>
      <c r="K179" s="1439"/>
      <c r="L179" s="1439"/>
      <c r="M179" s="1422">
        <v>56450860</v>
      </c>
      <c r="N179" s="1439"/>
      <c r="O179" s="1422">
        <v>25</v>
      </c>
      <c r="P179" s="1439"/>
      <c r="Q179" s="1422">
        <v>25</v>
      </c>
      <c r="R179" s="1439"/>
      <c r="S179" s="1422">
        <v>0</v>
      </c>
      <c r="T179" s="1439"/>
      <c r="U179" s="1422">
        <v>0</v>
      </c>
      <c r="V179" s="1439"/>
      <c r="W179" s="1422">
        <v>19</v>
      </c>
      <c r="X179" s="1439"/>
      <c r="Y179" s="1422">
        <v>44</v>
      </c>
      <c r="Z179" s="1439"/>
      <c r="AA179" s="1420">
        <v>9699775.0299999993</v>
      </c>
      <c r="AB179" s="1439"/>
      <c r="AC179" s="1420">
        <v>1977374.09</v>
      </c>
      <c r="AD179" s="1422">
        <v>1834500</v>
      </c>
      <c r="AE179" s="1420">
        <v>564700.39</v>
      </c>
      <c r="AF179" s="1422">
        <v>293000</v>
      </c>
      <c r="AG179" s="1420">
        <v>2319.19</v>
      </c>
      <c r="AH179" s="1422">
        <v>2000</v>
      </c>
      <c r="AI179" s="1422">
        <v>5541487</v>
      </c>
      <c r="AJ179" s="1422">
        <v>5518834</v>
      </c>
      <c r="AK179" s="1422">
        <v>60882</v>
      </c>
      <c r="AL179" s="1422">
        <v>0</v>
      </c>
      <c r="AM179" s="1422">
        <v>0</v>
      </c>
      <c r="AN179" s="1422">
        <v>0</v>
      </c>
      <c r="AO179" s="1422">
        <v>0</v>
      </c>
      <c r="AP179" s="1422">
        <v>37693</v>
      </c>
      <c r="AQ179" s="1422">
        <v>1806900</v>
      </c>
      <c r="AR179" s="1422">
        <v>903450</v>
      </c>
      <c r="AS179" s="1422">
        <v>419012</v>
      </c>
      <c r="AT179" s="1422">
        <v>327104</v>
      </c>
      <c r="AU179" s="1422">
        <v>55773</v>
      </c>
      <c r="AV179" s="1422">
        <v>44618</v>
      </c>
      <c r="AW179" s="1422">
        <v>50</v>
      </c>
      <c r="AX179" s="1422">
        <v>0</v>
      </c>
      <c r="AY179" s="1420">
        <v>10428497.67</v>
      </c>
      <c r="AZ179" s="1422">
        <v>8961199</v>
      </c>
      <c r="BA179" s="1422">
        <v>0</v>
      </c>
      <c r="BB179" s="1422">
        <v>0</v>
      </c>
      <c r="BC179" s="1422">
        <v>47525</v>
      </c>
      <c r="BD179" s="1422">
        <v>48177</v>
      </c>
      <c r="BE179" s="1420">
        <v>388829.12</v>
      </c>
      <c r="BF179" s="1422">
        <v>306400</v>
      </c>
      <c r="BG179" s="1422">
        <v>0</v>
      </c>
      <c r="BH179" s="1422">
        <v>0</v>
      </c>
      <c r="BI179" s="1422">
        <v>35267</v>
      </c>
      <c r="BJ179" s="1422">
        <v>22880</v>
      </c>
      <c r="BK179" s="1422">
        <v>58600</v>
      </c>
      <c r="BL179" s="1422">
        <v>55000</v>
      </c>
      <c r="BM179" s="1422">
        <v>832288</v>
      </c>
      <c r="BN179" s="1422">
        <v>841984</v>
      </c>
      <c r="BO179" s="1420">
        <v>24286.13</v>
      </c>
      <c r="BP179" s="1422">
        <v>18067</v>
      </c>
      <c r="BQ179" s="1420">
        <v>5417.12</v>
      </c>
      <c r="BR179" s="1422">
        <v>0</v>
      </c>
      <c r="BS179" s="1420">
        <v>5125.38</v>
      </c>
      <c r="BT179" s="1422">
        <v>5000</v>
      </c>
      <c r="BU179" s="1422">
        <v>0</v>
      </c>
      <c r="BV179" s="1422">
        <v>0</v>
      </c>
      <c r="BW179" s="1422">
        <v>0</v>
      </c>
      <c r="BX179" s="1422">
        <v>0</v>
      </c>
      <c r="BY179" s="1422">
        <v>0</v>
      </c>
      <c r="BZ179" s="1422">
        <v>0</v>
      </c>
      <c r="CA179" s="1420">
        <v>118908.54</v>
      </c>
      <c r="CB179" s="1422">
        <v>3394228</v>
      </c>
      <c r="CC179" s="1420">
        <v>1516246.29</v>
      </c>
      <c r="CD179" s="1422">
        <v>4691736</v>
      </c>
      <c r="CE179" s="1420">
        <v>2082209.93</v>
      </c>
      <c r="CF179" s="1420">
        <v>1958181.94</v>
      </c>
      <c r="CG179" s="1420">
        <v>3512077.21</v>
      </c>
      <c r="CH179" s="1422">
        <v>0</v>
      </c>
      <c r="CI179" s="1422">
        <v>220</v>
      </c>
      <c r="CJ179" s="1422">
        <v>0</v>
      </c>
      <c r="CK179" s="1422">
        <v>14847</v>
      </c>
      <c r="CL179" s="1422">
        <v>0</v>
      </c>
      <c r="CM179" s="1422">
        <v>0</v>
      </c>
      <c r="CN179" s="1422">
        <v>0</v>
      </c>
      <c r="CO179" s="1420">
        <v>19337.84</v>
      </c>
      <c r="CP179" s="1422">
        <v>0</v>
      </c>
      <c r="CQ179" s="1422">
        <v>0</v>
      </c>
      <c r="CR179" s="1422">
        <v>0</v>
      </c>
      <c r="CS179" s="1420">
        <v>3546482.05</v>
      </c>
      <c r="CT179" s="1422">
        <v>0</v>
      </c>
      <c r="CU179" s="1420">
        <v>17573435.940000001</v>
      </c>
      <c r="CV179" s="1420">
        <v>15611116.939999999</v>
      </c>
      <c r="CW179" s="1420">
        <v>3959385.1</v>
      </c>
      <c r="CX179" s="1420">
        <v>3928462.64</v>
      </c>
      <c r="CY179" s="1420">
        <v>518835.47</v>
      </c>
      <c r="CZ179" s="1420">
        <v>519761.63</v>
      </c>
      <c r="DA179" s="1420">
        <v>365007.22</v>
      </c>
      <c r="DB179" s="1420">
        <v>448944.85</v>
      </c>
      <c r="DC179" s="1422">
        <v>0</v>
      </c>
      <c r="DD179" s="1422">
        <v>0</v>
      </c>
      <c r="DE179" s="1420">
        <v>474832.46</v>
      </c>
      <c r="DF179" s="1420">
        <v>449449.79</v>
      </c>
      <c r="DG179" s="1420">
        <v>379156.53</v>
      </c>
      <c r="DH179" s="1420">
        <v>411213.99</v>
      </c>
      <c r="DI179" s="1420">
        <v>5697216.7800000003</v>
      </c>
      <c r="DJ179" s="1420">
        <v>5757832.9000000004</v>
      </c>
      <c r="DK179" s="1420">
        <v>312777.65000000002</v>
      </c>
      <c r="DL179" s="1420">
        <v>319169.81</v>
      </c>
      <c r="DM179" s="1420">
        <v>234376.44</v>
      </c>
      <c r="DN179" s="1420">
        <v>249416.61</v>
      </c>
      <c r="DO179" s="1420">
        <v>727640.02</v>
      </c>
      <c r="DP179" s="1420">
        <v>897825.9</v>
      </c>
      <c r="DQ179" s="1420">
        <v>707662.31</v>
      </c>
      <c r="DR179" s="1420">
        <v>776270.2</v>
      </c>
      <c r="DS179" s="1420">
        <v>40541.5</v>
      </c>
      <c r="DT179" s="1422">
        <v>9500</v>
      </c>
      <c r="DU179" s="1420">
        <v>2022997.92</v>
      </c>
      <c r="DV179" s="1420">
        <v>2252182.52</v>
      </c>
      <c r="DW179" s="1420">
        <v>470750.09</v>
      </c>
      <c r="DX179" s="1420">
        <v>498392.44</v>
      </c>
      <c r="DY179" s="1420">
        <v>862528.82</v>
      </c>
      <c r="DZ179" s="1420">
        <v>1160156.5900000001</v>
      </c>
      <c r="EA179" s="1422">
        <v>388626</v>
      </c>
      <c r="EB179" s="1420">
        <v>450381.34</v>
      </c>
      <c r="EC179" s="1420">
        <v>1721904.91</v>
      </c>
      <c r="ED179" s="1420">
        <v>2108930.37</v>
      </c>
      <c r="EE179" s="1420">
        <v>809306.52</v>
      </c>
      <c r="EF179" s="1420">
        <v>973186.51</v>
      </c>
      <c r="EG179" s="1420">
        <v>29674.41</v>
      </c>
      <c r="EH179" s="1422">
        <v>0</v>
      </c>
      <c r="EI179" s="1422">
        <v>0</v>
      </c>
      <c r="EJ179" s="1422">
        <v>5000</v>
      </c>
      <c r="EK179" s="1422">
        <v>0</v>
      </c>
      <c r="EL179" s="1422">
        <v>0</v>
      </c>
      <c r="EM179" s="1420">
        <v>838980.93</v>
      </c>
      <c r="EN179" s="1420">
        <v>978186.51</v>
      </c>
      <c r="EO179" s="1420">
        <v>95906.81</v>
      </c>
      <c r="EP179" s="1422">
        <v>5575800</v>
      </c>
      <c r="EQ179" s="1422">
        <v>1025222</v>
      </c>
      <c r="ER179" s="1420">
        <v>749468.76</v>
      </c>
      <c r="ES179" s="1420">
        <v>75974.48</v>
      </c>
      <c r="ET179" s="1422">
        <v>0</v>
      </c>
      <c r="EU179" s="1420">
        <v>11478203.83</v>
      </c>
      <c r="EV179" s="1420">
        <v>17422401.059999999</v>
      </c>
      <c r="EW179" s="1420">
        <v>489140.41</v>
      </c>
      <c r="EX179" s="1420">
        <v>6020484.8499999996</v>
      </c>
      <c r="EY179" s="1422">
        <v>1025222</v>
      </c>
      <c r="EZ179" s="1420">
        <v>749468.76</v>
      </c>
      <c r="FA179" s="1420">
        <v>9963841.4199999999</v>
      </c>
      <c r="FB179" s="1420">
        <v>10652447.449999999</v>
      </c>
      <c r="FC179" s="1420">
        <v>550518.99</v>
      </c>
      <c r="FD179" s="1439"/>
      <c r="FE179" s="1420">
        <v>9413322.4299999997</v>
      </c>
      <c r="FF179" s="1439"/>
      <c r="FG179" s="1422">
        <v>8852</v>
      </c>
      <c r="FH179" s="1439"/>
      <c r="FI179" s="1420">
        <v>95.85</v>
      </c>
      <c r="FJ179" s="1439"/>
      <c r="FK179" s="1422">
        <v>37060</v>
      </c>
      <c r="FL179" s="1439"/>
      <c r="FM179" s="1420">
        <v>105.74</v>
      </c>
      <c r="FN179" s="1439"/>
      <c r="FO179" s="1422">
        <v>38560</v>
      </c>
      <c r="FP179" s="1439"/>
      <c r="FQ179" s="1420">
        <v>4050333.7</v>
      </c>
      <c r="FR179" s="1439"/>
      <c r="FS179" s="1420">
        <v>325267.09999999998</v>
      </c>
      <c r="FT179" s="1439"/>
      <c r="FU179" s="1422">
        <v>0</v>
      </c>
      <c r="FV179" s="1439"/>
      <c r="FW179" s="1420">
        <v>3725066.6</v>
      </c>
      <c r="FX179" s="1439"/>
      <c r="FY179" s="1420">
        <v>5136264.0199999996</v>
      </c>
      <c r="FZ179" s="1439"/>
      <c r="GA179" s="1422">
        <v>0</v>
      </c>
      <c r="GB179" s="1439"/>
    </row>
    <row r="180" spans="1:184" ht="12.75" customHeight="1" thickBot="1">
      <c r="A180" s="1418" t="s">
        <v>235</v>
      </c>
      <c r="B180" s="1418" t="s">
        <v>236</v>
      </c>
      <c r="C180" s="1420">
        <v>99.7</v>
      </c>
      <c r="D180" s="1439"/>
      <c r="E180" s="1420">
        <v>921.85</v>
      </c>
      <c r="F180" s="1439"/>
      <c r="G180" s="1421">
        <v>-0.11</v>
      </c>
      <c r="H180" s="1439"/>
      <c r="I180" s="1420">
        <v>971.89</v>
      </c>
      <c r="J180" s="1439"/>
      <c r="K180" s="1420">
        <v>990.47</v>
      </c>
      <c r="L180" s="1439"/>
      <c r="M180" s="1422">
        <v>55624735</v>
      </c>
      <c r="N180" s="1439"/>
      <c r="O180" s="1422">
        <v>25</v>
      </c>
      <c r="P180" s="1439"/>
      <c r="Q180" s="1422">
        <v>25</v>
      </c>
      <c r="R180" s="1439"/>
      <c r="S180" s="1422">
        <v>0</v>
      </c>
      <c r="T180" s="1439"/>
      <c r="U180" s="1422">
        <v>0</v>
      </c>
      <c r="V180" s="1439"/>
      <c r="W180" s="1420">
        <v>18.399999999999999</v>
      </c>
      <c r="X180" s="1439"/>
      <c r="Y180" s="1420">
        <v>43.4</v>
      </c>
      <c r="Z180" s="1439"/>
      <c r="AA180" s="1420">
        <v>11017149.33</v>
      </c>
      <c r="AB180" s="1439"/>
      <c r="AC180" s="1420">
        <v>2272682.33</v>
      </c>
      <c r="AD180" s="1422">
        <v>2542000</v>
      </c>
      <c r="AE180" s="1420">
        <v>400971.46</v>
      </c>
      <c r="AF180" s="1422">
        <v>158178</v>
      </c>
      <c r="AG180" s="1420">
        <v>406.89</v>
      </c>
      <c r="AH180" s="1422">
        <v>0</v>
      </c>
      <c r="AI180" s="1422">
        <v>4639519</v>
      </c>
      <c r="AJ180" s="1422">
        <v>4605081</v>
      </c>
      <c r="AK180" s="1422">
        <v>24026</v>
      </c>
      <c r="AL180" s="1422">
        <v>0</v>
      </c>
      <c r="AM180" s="1422">
        <v>0</v>
      </c>
      <c r="AN180" s="1422">
        <v>0</v>
      </c>
      <c r="AO180" s="1422">
        <v>67427</v>
      </c>
      <c r="AP180" s="1422">
        <v>57446</v>
      </c>
      <c r="AQ180" s="1422">
        <v>0</v>
      </c>
      <c r="AR180" s="1422">
        <v>0</v>
      </c>
      <c r="AS180" s="1422">
        <v>0</v>
      </c>
      <c r="AT180" s="1422">
        <v>0</v>
      </c>
      <c r="AU180" s="1422">
        <v>63687</v>
      </c>
      <c r="AV180" s="1422">
        <v>50950</v>
      </c>
      <c r="AW180" s="1422">
        <v>0</v>
      </c>
      <c r="AX180" s="1422">
        <v>0</v>
      </c>
      <c r="AY180" s="1420">
        <v>7468719.6799999997</v>
      </c>
      <c r="AZ180" s="1422">
        <v>7413655</v>
      </c>
      <c r="BA180" s="1422">
        <v>0</v>
      </c>
      <c r="BB180" s="1422">
        <v>0</v>
      </c>
      <c r="BC180" s="1422">
        <v>40966</v>
      </c>
      <c r="BD180" s="1422">
        <v>41184</v>
      </c>
      <c r="BE180" s="1420">
        <v>2443.46</v>
      </c>
      <c r="BF180" s="1422">
        <v>1400</v>
      </c>
      <c r="BG180" s="1422">
        <v>200</v>
      </c>
      <c r="BH180" s="1422">
        <v>0</v>
      </c>
      <c r="BI180" s="1422">
        <v>55257</v>
      </c>
      <c r="BJ180" s="1422">
        <v>58100</v>
      </c>
      <c r="BK180" s="1422">
        <v>2051</v>
      </c>
      <c r="BL180" s="1422">
        <v>2000</v>
      </c>
      <c r="BM180" s="1422">
        <v>298592</v>
      </c>
      <c r="BN180" s="1422">
        <v>294492</v>
      </c>
      <c r="BO180" s="1420">
        <v>70480.789999999994</v>
      </c>
      <c r="BP180" s="1422">
        <v>0</v>
      </c>
      <c r="BQ180" s="1420">
        <v>42791.76</v>
      </c>
      <c r="BR180" s="1422">
        <v>54166</v>
      </c>
      <c r="BS180" s="1420">
        <v>4079.64</v>
      </c>
      <c r="BT180" s="1422">
        <v>4000</v>
      </c>
      <c r="BU180" s="1422">
        <v>0</v>
      </c>
      <c r="BV180" s="1422">
        <v>0</v>
      </c>
      <c r="BW180" s="1422">
        <v>193914</v>
      </c>
      <c r="BX180" s="1422">
        <v>194400</v>
      </c>
      <c r="BY180" s="1422">
        <v>0</v>
      </c>
      <c r="BZ180" s="1422">
        <v>0</v>
      </c>
      <c r="CA180" s="1420">
        <v>2172843.6800000002</v>
      </c>
      <c r="CB180" s="1422">
        <v>387323</v>
      </c>
      <c r="CC180" s="1420">
        <v>2883619.33</v>
      </c>
      <c r="CD180" s="1422">
        <v>1037065</v>
      </c>
      <c r="CE180" s="1420">
        <v>2403951.52</v>
      </c>
      <c r="CF180" s="1420">
        <v>1812165.17</v>
      </c>
      <c r="CG180" s="1422">
        <v>0</v>
      </c>
      <c r="CH180" s="1422">
        <v>0</v>
      </c>
      <c r="CI180" s="1422">
        <v>0</v>
      </c>
      <c r="CJ180" s="1422">
        <v>0</v>
      </c>
      <c r="CK180" s="1422">
        <v>0</v>
      </c>
      <c r="CL180" s="1422">
        <v>0</v>
      </c>
      <c r="CM180" s="1420">
        <v>16510.28</v>
      </c>
      <c r="CN180" s="1422">
        <v>0</v>
      </c>
      <c r="CO180" s="1420">
        <v>6779.55</v>
      </c>
      <c r="CP180" s="1422">
        <v>0</v>
      </c>
      <c r="CQ180" s="1422">
        <v>0</v>
      </c>
      <c r="CR180" s="1422">
        <v>0</v>
      </c>
      <c r="CS180" s="1420">
        <v>23289.83</v>
      </c>
      <c r="CT180" s="1422">
        <v>0</v>
      </c>
      <c r="CU180" s="1420">
        <v>12779580.359999999</v>
      </c>
      <c r="CV180" s="1420">
        <v>10262885.17</v>
      </c>
      <c r="CW180" s="1420">
        <v>4516160.82</v>
      </c>
      <c r="CX180" s="1420">
        <v>3840699.42</v>
      </c>
      <c r="CY180" s="1420">
        <v>729545.58</v>
      </c>
      <c r="CZ180" s="1420">
        <v>627193.05000000005</v>
      </c>
      <c r="DA180" s="1420">
        <v>247464.78</v>
      </c>
      <c r="DB180" s="1420">
        <v>246700.05</v>
      </c>
      <c r="DC180" s="1422">
        <v>0</v>
      </c>
      <c r="DD180" s="1422">
        <v>0</v>
      </c>
      <c r="DE180" s="1420">
        <v>292447.78000000003</v>
      </c>
      <c r="DF180" s="1420">
        <v>278289.19</v>
      </c>
      <c r="DG180" s="1420">
        <v>273477.5</v>
      </c>
      <c r="DH180" s="1420">
        <v>278979.28999999998</v>
      </c>
      <c r="DI180" s="1420">
        <v>6059096.46</v>
      </c>
      <c r="DJ180" s="1422">
        <v>5271861</v>
      </c>
      <c r="DK180" s="1420">
        <v>230103.1</v>
      </c>
      <c r="DL180" s="1420">
        <v>251368.44</v>
      </c>
      <c r="DM180" s="1420">
        <v>150965.59</v>
      </c>
      <c r="DN180" s="1420">
        <v>183350.22</v>
      </c>
      <c r="DO180" s="1420">
        <v>1050180.94</v>
      </c>
      <c r="DP180" s="1420">
        <v>943152.16</v>
      </c>
      <c r="DQ180" s="1420">
        <v>428262.76</v>
      </c>
      <c r="DR180" s="1420">
        <v>320435.55</v>
      </c>
      <c r="DS180" s="1420">
        <v>59543.24</v>
      </c>
      <c r="DT180" s="1422">
        <v>25000</v>
      </c>
      <c r="DU180" s="1420">
        <v>1919055.63</v>
      </c>
      <c r="DV180" s="1420">
        <v>1723306.37</v>
      </c>
      <c r="DW180" s="1420">
        <v>344625.6</v>
      </c>
      <c r="DX180" s="1420">
        <v>484162.55</v>
      </c>
      <c r="DY180" s="1420">
        <v>801439.96</v>
      </c>
      <c r="DZ180" s="1420">
        <v>616744.41</v>
      </c>
      <c r="EA180" s="1420">
        <v>345014.03</v>
      </c>
      <c r="EB180" s="1420">
        <v>361981.44</v>
      </c>
      <c r="EC180" s="1420">
        <v>1491079.59</v>
      </c>
      <c r="ED180" s="1420">
        <v>1462888.4</v>
      </c>
      <c r="EE180" s="1420">
        <v>621747.87</v>
      </c>
      <c r="EF180" s="1420">
        <v>503198.26</v>
      </c>
      <c r="EG180" s="1422">
        <v>0</v>
      </c>
      <c r="EH180" s="1422">
        <v>0</v>
      </c>
      <c r="EI180" s="1422">
        <v>0</v>
      </c>
      <c r="EJ180" s="1422">
        <v>1497</v>
      </c>
      <c r="EK180" s="1422">
        <v>0</v>
      </c>
      <c r="EL180" s="1422">
        <v>0</v>
      </c>
      <c r="EM180" s="1420">
        <v>621747.87</v>
      </c>
      <c r="EN180" s="1420">
        <v>504695.26</v>
      </c>
      <c r="EO180" s="1420">
        <v>3950228.58</v>
      </c>
      <c r="EP180" s="1422">
        <v>1620937</v>
      </c>
      <c r="EQ180" s="1422">
        <v>701430</v>
      </c>
      <c r="ER180" s="1422">
        <v>741800</v>
      </c>
      <c r="ES180" s="1420">
        <v>3349.9</v>
      </c>
      <c r="ET180" s="1422">
        <v>0</v>
      </c>
      <c r="EU180" s="1420">
        <v>14745988.029999999</v>
      </c>
      <c r="EV180" s="1420">
        <v>11325488.029999999</v>
      </c>
      <c r="EW180" s="1420">
        <v>4555543.21</v>
      </c>
      <c r="EX180" s="1420">
        <v>1726274.26</v>
      </c>
      <c r="EY180" s="1422">
        <v>701430</v>
      </c>
      <c r="EZ180" s="1422">
        <v>741800</v>
      </c>
      <c r="FA180" s="1420">
        <v>9489014.8200000003</v>
      </c>
      <c r="FB180" s="1420">
        <v>8857413.7699999996</v>
      </c>
      <c r="FC180" s="1420">
        <v>402446.7</v>
      </c>
      <c r="FD180" s="1439"/>
      <c r="FE180" s="1420">
        <v>9086568.1199999992</v>
      </c>
      <c r="FF180" s="1439"/>
      <c r="FG180" s="1422">
        <v>9856</v>
      </c>
      <c r="FH180" s="1439"/>
      <c r="FI180" s="1420">
        <v>78.91</v>
      </c>
      <c r="FJ180" s="1439"/>
      <c r="FK180" s="1422">
        <v>41013</v>
      </c>
      <c r="FL180" s="1439"/>
      <c r="FM180" s="1420">
        <v>84.8</v>
      </c>
      <c r="FN180" s="1439"/>
      <c r="FO180" s="1422">
        <v>42948</v>
      </c>
      <c r="FP180" s="1439"/>
      <c r="FQ180" s="1420">
        <v>3210708.2</v>
      </c>
      <c r="FR180" s="1439"/>
      <c r="FS180" s="1420">
        <v>44163.72</v>
      </c>
      <c r="FT180" s="1439"/>
      <c r="FU180" s="1422">
        <v>0</v>
      </c>
      <c r="FV180" s="1439"/>
      <c r="FW180" s="1420">
        <v>3166544.48</v>
      </c>
      <c r="FX180" s="1439"/>
      <c r="FY180" s="1420">
        <v>2259993.6800000002</v>
      </c>
      <c r="FZ180" s="1439"/>
      <c r="GA180" s="1422">
        <v>0</v>
      </c>
      <c r="GB180" s="1439"/>
    </row>
    <row r="181" spans="1:184" ht="12.75" customHeight="1" thickBot="1">
      <c r="A181" s="1418" t="s">
        <v>237</v>
      </c>
      <c r="B181" s="1418" t="s">
        <v>238</v>
      </c>
      <c r="C181" s="1420">
        <v>235.1</v>
      </c>
      <c r="D181" s="1439"/>
      <c r="E181" s="1420">
        <v>1269.28</v>
      </c>
      <c r="F181" s="1439"/>
      <c r="G181" s="1421">
        <v>-0.05</v>
      </c>
      <c r="H181" s="1439"/>
      <c r="I181" s="1420">
        <v>1357.12</v>
      </c>
      <c r="J181" s="1439"/>
      <c r="K181" s="1420">
        <v>1356.87</v>
      </c>
      <c r="L181" s="1439"/>
      <c r="M181" s="1422">
        <v>73600141</v>
      </c>
      <c r="N181" s="1439"/>
      <c r="O181" s="1422">
        <v>25</v>
      </c>
      <c r="P181" s="1439"/>
      <c r="Q181" s="1422">
        <v>25</v>
      </c>
      <c r="R181" s="1439"/>
      <c r="S181" s="1422">
        <v>0</v>
      </c>
      <c r="T181" s="1439"/>
      <c r="U181" s="1422">
        <v>0</v>
      </c>
      <c r="V181" s="1439"/>
      <c r="W181" s="1420">
        <v>15.3</v>
      </c>
      <c r="X181" s="1439"/>
      <c r="Y181" s="1420">
        <v>40.299999999999997</v>
      </c>
      <c r="Z181" s="1439"/>
      <c r="AA181" s="1422">
        <v>10610000</v>
      </c>
      <c r="AB181" s="1439"/>
      <c r="AC181" s="1420">
        <v>2818472.58</v>
      </c>
      <c r="AD181" s="1420">
        <v>3067292.2</v>
      </c>
      <c r="AE181" s="1420">
        <v>473162.82</v>
      </c>
      <c r="AF181" s="1420">
        <v>423047.92</v>
      </c>
      <c r="AG181" s="1420">
        <v>874.83</v>
      </c>
      <c r="AH181" s="1422">
        <v>1150</v>
      </c>
      <c r="AI181" s="1422">
        <v>6292300</v>
      </c>
      <c r="AJ181" s="1422">
        <v>6423447</v>
      </c>
      <c r="AK181" s="1422">
        <v>9043</v>
      </c>
      <c r="AL181" s="1422">
        <v>0</v>
      </c>
      <c r="AM181" s="1422">
        <v>0</v>
      </c>
      <c r="AN181" s="1422">
        <v>0</v>
      </c>
      <c r="AO181" s="1422">
        <v>49118</v>
      </c>
      <c r="AP181" s="1422">
        <v>0</v>
      </c>
      <c r="AQ181" s="1422">
        <v>0</v>
      </c>
      <c r="AR181" s="1422">
        <v>0</v>
      </c>
      <c r="AS181" s="1422">
        <v>0</v>
      </c>
      <c r="AT181" s="1422">
        <v>0</v>
      </c>
      <c r="AU181" s="1422">
        <v>68069</v>
      </c>
      <c r="AV181" s="1422">
        <v>54455</v>
      </c>
      <c r="AW181" s="1422">
        <v>0</v>
      </c>
      <c r="AX181" s="1422">
        <v>0</v>
      </c>
      <c r="AY181" s="1420">
        <v>9711040.2300000004</v>
      </c>
      <c r="AZ181" s="1420">
        <v>9969392.1199999992</v>
      </c>
      <c r="BA181" s="1422">
        <v>0</v>
      </c>
      <c r="BB181" s="1422">
        <v>0</v>
      </c>
      <c r="BC181" s="1422">
        <v>56120</v>
      </c>
      <c r="BD181" s="1422">
        <v>57778</v>
      </c>
      <c r="BE181" s="1420">
        <v>5207.58</v>
      </c>
      <c r="BF181" s="1422">
        <v>8000</v>
      </c>
      <c r="BG181" s="1422">
        <v>1150</v>
      </c>
      <c r="BH181" s="1422">
        <v>1100</v>
      </c>
      <c r="BI181" s="1422">
        <v>53347</v>
      </c>
      <c r="BJ181" s="1422">
        <v>45554</v>
      </c>
      <c r="BK181" s="1422">
        <v>5567</v>
      </c>
      <c r="BL181" s="1422">
        <v>0</v>
      </c>
      <c r="BM181" s="1422">
        <v>352656</v>
      </c>
      <c r="BN181" s="1422">
        <v>403788</v>
      </c>
      <c r="BO181" s="1420">
        <v>38230.199999999997</v>
      </c>
      <c r="BP181" s="1422">
        <v>5000</v>
      </c>
      <c r="BQ181" s="1420">
        <v>76646.039999999994</v>
      </c>
      <c r="BR181" s="1420">
        <v>52812.5</v>
      </c>
      <c r="BS181" s="1420">
        <v>5039.09</v>
      </c>
      <c r="BT181" s="1422">
        <v>5000</v>
      </c>
      <c r="BU181" s="1422">
        <v>0</v>
      </c>
      <c r="BV181" s="1422">
        <v>0</v>
      </c>
      <c r="BW181" s="1422">
        <v>0</v>
      </c>
      <c r="BX181" s="1422">
        <v>0</v>
      </c>
      <c r="BY181" s="1422">
        <v>0</v>
      </c>
      <c r="BZ181" s="1422">
        <v>0</v>
      </c>
      <c r="CA181" s="1420">
        <v>150319.47</v>
      </c>
      <c r="CB181" s="1420">
        <v>1250809.3999999999</v>
      </c>
      <c r="CC181" s="1420">
        <v>744282.38</v>
      </c>
      <c r="CD181" s="1420">
        <v>1829841.9</v>
      </c>
      <c r="CE181" s="1420">
        <v>2020164.22</v>
      </c>
      <c r="CF181" s="1420">
        <v>2360967.79</v>
      </c>
      <c r="CG181" s="1420">
        <v>3878.39</v>
      </c>
      <c r="CH181" s="1422">
        <v>656600</v>
      </c>
      <c r="CI181" s="1422">
        <v>0</v>
      </c>
      <c r="CJ181" s="1422">
        <v>0</v>
      </c>
      <c r="CK181" s="1420">
        <v>6587.49</v>
      </c>
      <c r="CL181" s="1422">
        <v>0</v>
      </c>
      <c r="CM181" s="1420">
        <v>15561.5</v>
      </c>
      <c r="CN181" s="1422">
        <v>0</v>
      </c>
      <c r="CO181" s="1422">
        <v>0</v>
      </c>
      <c r="CP181" s="1422">
        <v>0</v>
      </c>
      <c r="CQ181" s="1422">
        <v>0</v>
      </c>
      <c r="CR181" s="1422">
        <v>2001</v>
      </c>
      <c r="CS181" s="1420">
        <v>26027.38</v>
      </c>
      <c r="CT181" s="1422">
        <v>658601</v>
      </c>
      <c r="CU181" s="1420">
        <v>12501514.210000001</v>
      </c>
      <c r="CV181" s="1420">
        <v>14818802.810000001</v>
      </c>
      <c r="CW181" s="1420">
        <v>4340864.1100000003</v>
      </c>
      <c r="CX181" s="1420">
        <v>4440938.07</v>
      </c>
      <c r="CY181" s="1420">
        <v>697644.26</v>
      </c>
      <c r="CZ181" s="1420">
        <v>824085.41</v>
      </c>
      <c r="DA181" s="1420">
        <v>348350.89</v>
      </c>
      <c r="DB181" s="1420">
        <v>387870.44</v>
      </c>
      <c r="DC181" s="1422">
        <v>0</v>
      </c>
      <c r="DD181" s="1422">
        <v>0</v>
      </c>
      <c r="DE181" s="1420">
        <v>353477.57</v>
      </c>
      <c r="DF181" s="1420">
        <v>332024.45</v>
      </c>
      <c r="DG181" s="1420">
        <v>486411.47</v>
      </c>
      <c r="DH181" s="1420">
        <v>498992.4</v>
      </c>
      <c r="DI181" s="1420">
        <v>6226748.2999999998</v>
      </c>
      <c r="DJ181" s="1420">
        <v>6483910.7699999996</v>
      </c>
      <c r="DK181" s="1420">
        <v>276193.44</v>
      </c>
      <c r="DL181" s="1420">
        <v>272742.87</v>
      </c>
      <c r="DM181" s="1420">
        <v>370462.36</v>
      </c>
      <c r="DN181" s="1420">
        <v>337825.18</v>
      </c>
      <c r="DO181" s="1420">
        <v>1205502.51</v>
      </c>
      <c r="DP181" s="1420">
        <v>1245097.44</v>
      </c>
      <c r="DQ181" s="1420">
        <v>808184.55</v>
      </c>
      <c r="DR181" s="1420">
        <v>509844.04</v>
      </c>
      <c r="DS181" s="1420">
        <v>71324.039999999994</v>
      </c>
      <c r="DT181" s="1422">
        <v>58985</v>
      </c>
      <c r="DU181" s="1420">
        <v>2731666.9</v>
      </c>
      <c r="DV181" s="1420">
        <v>2424494.5299999998</v>
      </c>
      <c r="DW181" s="1420">
        <v>449889.79</v>
      </c>
      <c r="DX181" s="1420">
        <v>536128.42000000004</v>
      </c>
      <c r="DY181" s="1420">
        <v>611018.22</v>
      </c>
      <c r="DZ181" s="1420">
        <v>792538.57</v>
      </c>
      <c r="EA181" s="1420">
        <v>491811.84000000003</v>
      </c>
      <c r="EB181" s="1420">
        <v>511923.06</v>
      </c>
      <c r="EC181" s="1420">
        <v>1552719.85</v>
      </c>
      <c r="ED181" s="1420">
        <v>1840590.05</v>
      </c>
      <c r="EE181" s="1420">
        <v>735394.37</v>
      </c>
      <c r="EF181" s="1420">
        <v>741142.66</v>
      </c>
      <c r="EG181" s="1422">
        <v>0</v>
      </c>
      <c r="EH181" s="1422">
        <v>0</v>
      </c>
      <c r="EI181" s="1422">
        <v>0</v>
      </c>
      <c r="EJ181" s="1420">
        <v>2818.06</v>
      </c>
      <c r="EK181" s="1422">
        <v>0</v>
      </c>
      <c r="EL181" s="1422">
        <v>0</v>
      </c>
      <c r="EM181" s="1420">
        <v>735394.37</v>
      </c>
      <c r="EN181" s="1420">
        <v>743960.72</v>
      </c>
      <c r="EO181" s="1420">
        <v>562060.26</v>
      </c>
      <c r="EP181" s="1420">
        <v>2789680.23</v>
      </c>
      <c r="EQ181" s="1420">
        <v>771484.02</v>
      </c>
      <c r="ER181" s="1420">
        <v>747468.29</v>
      </c>
      <c r="ES181" s="1420">
        <v>14759.41</v>
      </c>
      <c r="ET181" s="1422">
        <v>0</v>
      </c>
      <c r="EU181" s="1420">
        <v>12594833.109999999</v>
      </c>
      <c r="EV181" s="1420">
        <v>15030104.59</v>
      </c>
      <c r="EW181" s="1420">
        <v>1029053.46</v>
      </c>
      <c r="EX181" s="1420">
        <v>2891346.81</v>
      </c>
      <c r="EY181" s="1420">
        <v>771484.02</v>
      </c>
      <c r="EZ181" s="1420">
        <v>747468.29</v>
      </c>
      <c r="FA181" s="1420">
        <v>10794295.630000001</v>
      </c>
      <c r="FB181" s="1420">
        <v>11391289.49</v>
      </c>
      <c r="FC181" s="1420">
        <v>367174.91</v>
      </c>
      <c r="FD181" s="1439"/>
      <c r="FE181" s="1420">
        <v>10427120.720000001</v>
      </c>
      <c r="FF181" s="1439"/>
      <c r="FG181" s="1422">
        <v>8214</v>
      </c>
      <c r="FH181" s="1439"/>
      <c r="FI181" s="1420">
        <v>94.86</v>
      </c>
      <c r="FJ181" s="1439"/>
      <c r="FK181" s="1422">
        <v>44464</v>
      </c>
      <c r="FL181" s="1439"/>
      <c r="FM181" s="1420">
        <v>102.11</v>
      </c>
      <c r="FN181" s="1439"/>
      <c r="FO181" s="1422">
        <v>46176</v>
      </c>
      <c r="FP181" s="1439"/>
      <c r="FQ181" s="1420">
        <v>1568395.01</v>
      </c>
      <c r="FR181" s="1439"/>
      <c r="FS181" s="1420">
        <v>93754.71</v>
      </c>
      <c r="FT181" s="1439"/>
      <c r="FU181" s="1422">
        <v>0</v>
      </c>
      <c r="FV181" s="1439"/>
      <c r="FW181" s="1420">
        <v>1474640.3</v>
      </c>
      <c r="FX181" s="1439"/>
      <c r="FY181" s="1420">
        <v>443110.31</v>
      </c>
      <c r="FZ181" s="1439"/>
      <c r="GA181" s="1422">
        <v>0</v>
      </c>
      <c r="GB181" s="1439"/>
    </row>
    <row r="182" spans="1:184" ht="12.75" customHeight="1" thickBot="1">
      <c r="A182" s="1418" t="s">
        <v>239</v>
      </c>
      <c r="B182" s="1418" t="s">
        <v>240</v>
      </c>
      <c r="C182" s="1420">
        <v>298.23</v>
      </c>
      <c r="D182" s="1439"/>
      <c r="E182" s="1420">
        <v>577.80999999999995</v>
      </c>
      <c r="F182" s="1439"/>
      <c r="G182" s="1421">
        <v>-0.13</v>
      </c>
      <c r="H182" s="1439"/>
      <c r="I182" s="1420">
        <v>618.69000000000005</v>
      </c>
      <c r="J182" s="1439"/>
      <c r="K182" s="1420">
        <v>621.47</v>
      </c>
      <c r="L182" s="1439"/>
      <c r="M182" s="1422">
        <v>32440435</v>
      </c>
      <c r="N182" s="1439"/>
      <c r="O182" s="1422">
        <v>25</v>
      </c>
      <c r="P182" s="1439"/>
      <c r="Q182" s="1422">
        <v>25</v>
      </c>
      <c r="R182" s="1439"/>
      <c r="S182" s="1422">
        <v>0</v>
      </c>
      <c r="T182" s="1439"/>
      <c r="U182" s="1422">
        <v>0</v>
      </c>
      <c r="V182" s="1439"/>
      <c r="W182" s="1420">
        <v>19.5</v>
      </c>
      <c r="X182" s="1439"/>
      <c r="Y182" s="1420">
        <v>44.5</v>
      </c>
      <c r="Z182" s="1439"/>
      <c r="AA182" s="1422">
        <v>4665000</v>
      </c>
      <c r="AB182" s="1439"/>
      <c r="AC182" s="1420">
        <v>1410020.29</v>
      </c>
      <c r="AD182" s="1422">
        <v>1488904</v>
      </c>
      <c r="AE182" s="1420">
        <v>180650.81</v>
      </c>
      <c r="AF182" s="1422">
        <v>66502</v>
      </c>
      <c r="AG182" s="1420">
        <v>251.39</v>
      </c>
      <c r="AH182" s="1422">
        <v>200</v>
      </c>
      <c r="AI182" s="1422">
        <v>2770848</v>
      </c>
      <c r="AJ182" s="1422">
        <v>2762800</v>
      </c>
      <c r="AK182" s="1422">
        <v>0</v>
      </c>
      <c r="AL182" s="1422">
        <v>0</v>
      </c>
      <c r="AM182" s="1422">
        <v>7288</v>
      </c>
      <c r="AN182" s="1422">
        <v>7288</v>
      </c>
      <c r="AO182" s="1422">
        <v>0</v>
      </c>
      <c r="AP182" s="1422">
        <v>8755</v>
      </c>
      <c r="AQ182" s="1422">
        <v>0</v>
      </c>
      <c r="AR182" s="1422">
        <v>0</v>
      </c>
      <c r="AS182" s="1422">
        <v>0</v>
      </c>
      <c r="AT182" s="1422">
        <v>0</v>
      </c>
      <c r="AU182" s="1422">
        <v>44956</v>
      </c>
      <c r="AV182" s="1422">
        <v>35964</v>
      </c>
      <c r="AW182" s="1422">
        <v>0</v>
      </c>
      <c r="AX182" s="1422">
        <v>0</v>
      </c>
      <c r="AY182" s="1420">
        <v>4414014.49</v>
      </c>
      <c r="AZ182" s="1422">
        <v>4370413</v>
      </c>
      <c r="BA182" s="1422">
        <v>0</v>
      </c>
      <c r="BB182" s="1422">
        <v>0</v>
      </c>
      <c r="BC182" s="1422">
        <v>25704</v>
      </c>
      <c r="BD182" s="1422">
        <v>26217</v>
      </c>
      <c r="BE182" s="1420">
        <v>1540.83</v>
      </c>
      <c r="BF182" s="1422">
        <v>800</v>
      </c>
      <c r="BG182" s="1422">
        <v>100</v>
      </c>
      <c r="BH182" s="1422">
        <v>0</v>
      </c>
      <c r="BI182" s="1422">
        <v>0</v>
      </c>
      <c r="BJ182" s="1422">
        <v>8094</v>
      </c>
      <c r="BK182" s="1422">
        <v>0</v>
      </c>
      <c r="BL182" s="1422">
        <v>879</v>
      </c>
      <c r="BM182" s="1422">
        <v>386877</v>
      </c>
      <c r="BN182" s="1420">
        <v>458740.3</v>
      </c>
      <c r="BO182" s="1420">
        <v>2545.94</v>
      </c>
      <c r="BP182" s="1422">
        <v>0</v>
      </c>
      <c r="BQ182" s="1420">
        <v>14896.04</v>
      </c>
      <c r="BR182" s="1420">
        <v>23562.66</v>
      </c>
      <c r="BS182" s="1420">
        <v>2336.5100000000002</v>
      </c>
      <c r="BT182" s="1422">
        <v>2500</v>
      </c>
      <c r="BU182" s="1422">
        <v>0</v>
      </c>
      <c r="BV182" s="1422">
        <v>0</v>
      </c>
      <c r="BW182" s="1422">
        <v>0</v>
      </c>
      <c r="BX182" s="1422">
        <v>0</v>
      </c>
      <c r="BY182" s="1422">
        <v>0</v>
      </c>
      <c r="BZ182" s="1422">
        <v>0</v>
      </c>
      <c r="CA182" s="1422">
        <v>680631</v>
      </c>
      <c r="CB182" s="1422">
        <v>56320</v>
      </c>
      <c r="CC182" s="1420">
        <v>1114631.32</v>
      </c>
      <c r="CD182" s="1420">
        <v>577112.96</v>
      </c>
      <c r="CE182" s="1420">
        <v>1445503.5</v>
      </c>
      <c r="CF182" s="1420">
        <v>1136458.24</v>
      </c>
      <c r="CG182" s="1420">
        <v>7392.99</v>
      </c>
      <c r="CH182" s="1422">
        <v>0</v>
      </c>
      <c r="CI182" s="1422">
        <v>0</v>
      </c>
      <c r="CJ182" s="1422">
        <v>0</v>
      </c>
      <c r="CK182" s="1422">
        <v>0</v>
      </c>
      <c r="CL182" s="1422">
        <v>0</v>
      </c>
      <c r="CM182" s="1422">
        <v>2068</v>
      </c>
      <c r="CN182" s="1422">
        <v>0</v>
      </c>
      <c r="CO182" s="1420">
        <v>1032.53</v>
      </c>
      <c r="CP182" s="1422">
        <v>0</v>
      </c>
      <c r="CQ182" s="1420">
        <v>10401.120000000001</v>
      </c>
      <c r="CR182" s="1422">
        <v>20000</v>
      </c>
      <c r="CS182" s="1420">
        <v>20894.64</v>
      </c>
      <c r="CT182" s="1422">
        <v>20000</v>
      </c>
      <c r="CU182" s="1420">
        <v>6995043.9500000002</v>
      </c>
      <c r="CV182" s="1420">
        <v>6103984.2000000002</v>
      </c>
      <c r="CW182" s="1420">
        <v>2338422.67</v>
      </c>
      <c r="CX182" s="1420">
        <v>2329921.96</v>
      </c>
      <c r="CY182" s="1420">
        <v>406865.42</v>
      </c>
      <c r="CZ182" s="1420">
        <v>414883.42</v>
      </c>
      <c r="DA182" s="1420">
        <v>229999.93</v>
      </c>
      <c r="DB182" s="1420">
        <v>237257.21</v>
      </c>
      <c r="DC182" s="1422">
        <v>0</v>
      </c>
      <c r="DD182" s="1422">
        <v>0</v>
      </c>
      <c r="DE182" s="1420">
        <v>253546.19</v>
      </c>
      <c r="DF182" s="1420">
        <v>201514.93</v>
      </c>
      <c r="DG182" s="1420">
        <v>63943.1</v>
      </c>
      <c r="DH182" s="1420">
        <v>76857.399999999994</v>
      </c>
      <c r="DI182" s="1420">
        <v>3292777.31</v>
      </c>
      <c r="DJ182" s="1420">
        <v>3260434.92</v>
      </c>
      <c r="DK182" s="1420">
        <v>161701.5</v>
      </c>
      <c r="DL182" s="1420">
        <v>166455.01999999999</v>
      </c>
      <c r="DM182" s="1420">
        <v>117956.65</v>
      </c>
      <c r="DN182" s="1420">
        <v>127215.9</v>
      </c>
      <c r="DO182" s="1420">
        <v>704800.83</v>
      </c>
      <c r="DP182" s="1420">
        <v>690923.62</v>
      </c>
      <c r="DQ182" s="1420">
        <v>321457.59000000003</v>
      </c>
      <c r="DR182" s="1420">
        <v>288989.93</v>
      </c>
      <c r="DS182" s="1420">
        <v>45680.62</v>
      </c>
      <c r="DT182" s="1420">
        <v>20426.14</v>
      </c>
      <c r="DU182" s="1420">
        <v>1351597.19</v>
      </c>
      <c r="DV182" s="1420">
        <v>1294010.6100000001</v>
      </c>
      <c r="DW182" s="1420">
        <v>184197.27</v>
      </c>
      <c r="DX182" s="1420">
        <v>174382.13</v>
      </c>
      <c r="DY182" s="1420">
        <v>581458.17000000004</v>
      </c>
      <c r="DZ182" s="1420">
        <v>696088.65</v>
      </c>
      <c r="EA182" s="1420">
        <v>268704.33</v>
      </c>
      <c r="EB182" s="1420">
        <v>258961.38</v>
      </c>
      <c r="EC182" s="1420">
        <v>1034359.77</v>
      </c>
      <c r="ED182" s="1420">
        <v>1129432.1599999999</v>
      </c>
      <c r="EE182" s="1420">
        <v>296021.84000000003</v>
      </c>
      <c r="EF182" s="1420">
        <v>314735.37</v>
      </c>
      <c r="EG182" s="1422">
        <v>0</v>
      </c>
      <c r="EH182" s="1422">
        <v>0</v>
      </c>
      <c r="EI182" s="1420">
        <v>5862.38</v>
      </c>
      <c r="EJ182" s="1420">
        <v>3862.38</v>
      </c>
      <c r="EK182" s="1422">
        <v>0</v>
      </c>
      <c r="EL182" s="1422">
        <v>0</v>
      </c>
      <c r="EM182" s="1420">
        <v>301884.21999999997</v>
      </c>
      <c r="EN182" s="1420">
        <v>318597.75</v>
      </c>
      <c r="EO182" s="1420">
        <v>908198.48</v>
      </c>
      <c r="EP182" s="1422">
        <v>35000</v>
      </c>
      <c r="EQ182" s="1422">
        <v>156296</v>
      </c>
      <c r="ER182" s="1420">
        <v>183434.5</v>
      </c>
      <c r="ES182" s="1422">
        <v>0</v>
      </c>
      <c r="ET182" s="1422">
        <v>0</v>
      </c>
      <c r="EU182" s="1420">
        <v>7045112.9699999997</v>
      </c>
      <c r="EV182" s="1420">
        <v>6220909.9400000004</v>
      </c>
      <c r="EW182" s="1420">
        <v>1110284.95</v>
      </c>
      <c r="EX182" s="1420">
        <v>152704.69</v>
      </c>
      <c r="EY182" s="1422">
        <v>156296</v>
      </c>
      <c r="EZ182" s="1420">
        <v>183434.5</v>
      </c>
      <c r="FA182" s="1420">
        <v>5778532.0199999996</v>
      </c>
      <c r="FB182" s="1420">
        <v>5884770.75</v>
      </c>
      <c r="FC182" s="1420">
        <v>152494.70000000001</v>
      </c>
      <c r="FD182" s="1439"/>
      <c r="FE182" s="1420">
        <v>5626037.3200000003</v>
      </c>
      <c r="FF182" s="1439"/>
      <c r="FG182" s="1422">
        <v>9736</v>
      </c>
      <c r="FH182" s="1439"/>
      <c r="FI182" s="1422">
        <v>51</v>
      </c>
      <c r="FJ182" s="1439"/>
      <c r="FK182" s="1422">
        <v>42368</v>
      </c>
      <c r="FL182" s="1439"/>
      <c r="FM182" s="1420">
        <v>56.02</v>
      </c>
      <c r="FN182" s="1439"/>
      <c r="FO182" s="1422">
        <v>44078</v>
      </c>
      <c r="FP182" s="1439"/>
      <c r="FQ182" s="1420">
        <v>926072.41</v>
      </c>
      <c r="FR182" s="1439"/>
      <c r="FS182" s="1420">
        <v>7355.3</v>
      </c>
      <c r="FT182" s="1439"/>
      <c r="FU182" s="1422">
        <v>0</v>
      </c>
      <c r="FV182" s="1439"/>
      <c r="FW182" s="1420">
        <v>918717.11</v>
      </c>
      <c r="FX182" s="1439"/>
      <c r="FY182" s="1420">
        <v>2508.61</v>
      </c>
      <c r="FZ182" s="1439"/>
      <c r="GA182" s="1422">
        <v>0</v>
      </c>
      <c r="GB182" s="1439"/>
    </row>
    <row r="183" spans="1:184" ht="12.75" customHeight="1" thickBot="1">
      <c r="A183" s="1418" t="s">
        <v>241</v>
      </c>
      <c r="B183" s="1418" t="s">
        <v>242</v>
      </c>
      <c r="C183" s="1420">
        <v>70.09</v>
      </c>
      <c r="D183" s="1439"/>
      <c r="E183" s="1420">
        <v>1561.14</v>
      </c>
      <c r="F183" s="1439"/>
      <c r="G183" s="1421">
        <v>0.15</v>
      </c>
      <c r="H183" s="1439"/>
      <c r="I183" s="1420">
        <v>1618.31</v>
      </c>
      <c r="J183" s="1439"/>
      <c r="K183" s="1420">
        <v>1615.34</v>
      </c>
      <c r="L183" s="1439"/>
      <c r="M183" s="1422">
        <v>71124757</v>
      </c>
      <c r="N183" s="1439"/>
      <c r="O183" s="1422">
        <v>25</v>
      </c>
      <c r="P183" s="1439"/>
      <c r="Q183" s="1422">
        <v>25</v>
      </c>
      <c r="R183" s="1439"/>
      <c r="S183" s="1422">
        <v>0</v>
      </c>
      <c r="T183" s="1439"/>
      <c r="U183" s="1422">
        <v>0</v>
      </c>
      <c r="V183" s="1439"/>
      <c r="W183" s="1420">
        <v>20.2</v>
      </c>
      <c r="X183" s="1439"/>
      <c r="Y183" s="1420">
        <v>45.2</v>
      </c>
      <c r="Z183" s="1439"/>
      <c r="AA183" s="1420">
        <v>13656908.619999999</v>
      </c>
      <c r="AB183" s="1439"/>
      <c r="AC183" s="1420">
        <v>2999156.5</v>
      </c>
      <c r="AD183" s="1422">
        <v>3375356</v>
      </c>
      <c r="AE183" s="1420">
        <v>720028.48</v>
      </c>
      <c r="AF183" s="1422">
        <v>278500</v>
      </c>
      <c r="AG183" s="1420">
        <v>825.29</v>
      </c>
      <c r="AH183" s="1422">
        <v>0</v>
      </c>
      <c r="AI183" s="1422">
        <v>8049119</v>
      </c>
      <c r="AJ183" s="1422">
        <v>8185784</v>
      </c>
      <c r="AK183" s="1422">
        <v>13897</v>
      </c>
      <c r="AL183" s="1422">
        <v>0</v>
      </c>
      <c r="AM183" s="1422">
        <v>25340</v>
      </c>
      <c r="AN183" s="1422">
        <v>0</v>
      </c>
      <c r="AO183" s="1422">
        <v>0</v>
      </c>
      <c r="AP183" s="1422">
        <v>0</v>
      </c>
      <c r="AQ183" s="1422">
        <v>0</v>
      </c>
      <c r="AR183" s="1422">
        <v>0</v>
      </c>
      <c r="AS183" s="1422">
        <v>0</v>
      </c>
      <c r="AT183" s="1422">
        <v>0</v>
      </c>
      <c r="AU183" s="1422">
        <v>56518</v>
      </c>
      <c r="AV183" s="1422">
        <v>45214</v>
      </c>
      <c r="AW183" s="1422">
        <v>0</v>
      </c>
      <c r="AX183" s="1422">
        <v>0</v>
      </c>
      <c r="AY183" s="1420">
        <v>11864884.27</v>
      </c>
      <c r="AZ183" s="1422">
        <v>11884854</v>
      </c>
      <c r="BA183" s="1422">
        <v>0</v>
      </c>
      <c r="BB183" s="1422">
        <v>0</v>
      </c>
      <c r="BC183" s="1422">
        <v>66810</v>
      </c>
      <c r="BD183" s="1422">
        <v>68525</v>
      </c>
      <c r="BE183" s="1420">
        <v>17873.25</v>
      </c>
      <c r="BF183" s="1422">
        <v>7600</v>
      </c>
      <c r="BG183" s="1422">
        <v>900</v>
      </c>
      <c r="BH183" s="1422">
        <v>0</v>
      </c>
      <c r="BI183" s="1422">
        <v>42255</v>
      </c>
      <c r="BJ183" s="1422">
        <v>40207</v>
      </c>
      <c r="BK183" s="1422">
        <v>10841</v>
      </c>
      <c r="BL183" s="1422">
        <v>10841</v>
      </c>
      <c r="BM183" s="1422">
        <v>342240</v>
      </c>
      <c r="BN183" s="1422">
        <v>339490</v>
      </c>
      <c r="BO183" s="1420">
        <v>6617.48</v>
      </c>
      <c r="BP183" s="1420">
        <v>16640.8</v>
      </c>
      <c r="BQ183" s="1420">
        <v>28166.76</v>
      </c>
      <c r="BR183" s="1422">
        <v>88833</v>
      </c>
      <c r="BS183" s="1420">
        <v>5133.24</v>
      </c>
      <c r="BT183" s="1422">
        <v>5000</v>
      </c>
      <c r="BU183" s="1422">
        <v>0</v>
      </c>
      <c r="BV183" s="1422">
        <v>0</v>
      </c>
      <c r="BW183" s="1422">
        <v>0</v>
      </c>
      <c r="BX183" s="1422">
        <v>0</v>
      </c>
      <c r="BY183" s="1422">
        <v>0</v>
      </c>
      <c r="BZ183" s="1422">
        <v>0</v>
      </c>
      <c r="CA183" s="1422">
        <v>258832</v>
      </c>
      <c r="CB183" s="1422">
        <v>251846</v>
      </c>
      <c r="CC183" s="1420">
        <v>779668.73</v>
      </c>
      <c r="CD183" s="1420">
        <v>828982.8</v>
      </c>
      <c r="CE183" s="1420">
        <v>1744555.72</v>
      </c>
      <c r="CF183" s="1420">
        <v>2427901.5099999998</v>
      </c>
      <c r="CG183" s="1420">
        <v>1523765.53</v>
      </c>
      <c r="CH183" s="1422">
        <v>0</v>
      </c>
      <c r="CI183" s="1422">
        <v>0</v>
      </c>
      <c r="CJ183" s="1422">
        <v>0</v>
      </c>
      <c r="CK183" s="1422">
        <v>0</v>
      </c>
      <c r="CL183" s="1422">
        <v>0</v>
      </c>
      <c r="CM183" s="1422">
        <v>3500</v>
      </c>
      <c r="CN183" s="1422">
        <v>0</v>
      </c>
      <c r="CO183" s="1422">
        <v>0</v>
      </c>
      <c r="CP183" s="1422">
        <v>0</v>
      </c>
      <c r="CQ183" s="1422">
        <v>0</v>
      </c>
      <c r="CR183" s="1422">
        <v>0</v>
      </c>
      <c r="CS183" s="1420">
        <v>1527265.53</v>
      </c>
      <c r="CT183" s="1422">
        <v>0</v>
      </c>
      <c r="CU183" s="1420">
        <v>15916374.25</v>
      </c>
      <c r="CV183" s="1420">
        <v>15141738.310000001</v>
      </c>
      <c r="CW183" s="1420">
        <v>5427683.0800000001</v>
      </c>
      <c r="CX183" s="1420">
        <v>5639307.1500000004</v>
      </c>
      <c r="CY183" s="1420">
        <v>787830.58</v>
      </c>
      <c r="CZ183" s="1420">
        <v>874677.57</v>
      </c>
      <c r="DA183" s="1420">
        <v>397188.31</v>
      </c>
      <c r="DB183" s="1420">
        <v>467322.14</v>
      </c>
      <c r="DC183" s="1422">
        <v>0</v>
      </c>
      <c r="DD183" s="1422">
        <v>0</v>
      </c>
      <c r="DE183" s="1420">
        <v>431035.21</v>
      </c>
      <c r="DF183" s="1420">
        <v>486041.8</v>
      </c>
      <c r="DG183" s="1420">
        <v>906301.78</v>
      </c>
      <c r="DH183" s="1420">
        <v>898581.09</v>
      </c>
      <c r="DI183" s="1420">
        <v>7950038.96</v>
      </c>
      <c r="DJ183" s="1420">
        <v>8365929.75</v>
      </c>
      <c r="DK183" s="1420">
        <v>269787.36</v>
      </c>
      <c r="DL183" s="1420">
        <v>264460.74</v>
      </c>
      <c r="DM183" s="1420">
        <v>134358.5</v>
      </c>
      <c r="DN183" s="1420">
        <v>132628.47</v>
      </c>
      <c r="DO183" s="1420">
        <v>1156186.96</v>
      </c>
      <c r="DP183" s="1420">
        <v>1177550.04</v>
      </c>
      <c r="DQ183" s="1420">
        <v>401733.31</v>
      </c>
      <c r="DR183" s="1420">
        <v>484650.35</v>
      </c>
      <c r="DS183" s="1420">
        <v>12292.64</v>
      </c>
      <c r="DT183" s="1422">
        <v>20000</v>
      </c>
      <c r="DU183" s="1420">
        <v>1974358.77</v>
      </c>
      <c r="DV183" s="1420">
        <v>2079289.6</v>
      </c>
      <c r="DW183" s="1420">
        <v>538244.68000000005</v>
      </c>
      <c r="DX183" s="1420">
        <v>508036.4</v>
      </c>
      <c r="DY183" s="1420">
        <v>811665.2</v>
      </c>
      <c r="DZ183" s="1420">
        <v>962041.73</v>
      </c>
      <c r="EA183" s="1420">
        <v>595007.18000000005</v>
      </c>
      <c r="EB183" s="1420">
        <v>611550.13</v>
      </c>
      <c r="EC183" s="1420">
        <v>1944917.06</v>
      </c>
      <c r="ED183" s="1420">
        <v>2081628.26</v>
      </c>
      <c r="EE183" s="1420">
        <v>624512.5</v>
      </c>
      <c r="EF183" s="1422">
        <v>648070</v>
      </c>
      <c r="EG183" s="1422">
        <v>0</v>
      </c>
      <c r="EH183" s="1422">
        <v>0</v>
      </c>
      <c r="EI183" s="1422">
        <v>0</v>
      </c>
      <c r="EJ183" s="1420">
        <v>1303.3800000000001</v>
      </c>
      <c r="EK183" s="1422">
        <v>0</v>
      </c>
      <c r="EL183" s="1422">
        <v>0</v>
      </c>
      <c r="EM183" s="1420">
        <v>624512.5</v>
      </c>
      <c r="EN183" s="1420">
        <v>649373.38</v>
      </c>
      <c r="EO183" s="1420">
        <v>735773.55</v>
      </c>
      <c r="EP183" s="1420">
        <v>2890584.41</v>
      </c>
      <c r="EQ183" s="1420">
        <v>539581.16</v>
      </c>
      <c r="ER183" s="1422">
        <v>790559</v>
      </c>
      <c r="ES183" s="1422">
        <v>0</v>
      </c>
      <c r="ET183" s="1422">
        <v>0</v>
      </c>
      <c r="EU183" s="1422">
        <v>13769182</v>
      </c>
      <c r="EV183" s="1420">
        <v>16857364.399999999</v>
      </c>
      <c r="EW183" s="1420">
        <v>831675.5</v>
      </c>
      <c r="EX183" s="1420">
        <v>3061360.77</v>
      </c>
      <c r="EY183" s="1420">
        <v>539581.16</v>
      </c>
      <c r="EZ183" s="1422">
        <v>790559</v>
      </c>
      <c r="FA183" s="1420">
        <v>12397925.34</v>
      </c>
      <c r="FB183" s="1420">
        <v>13005444.630000001</v>
      </c>
      <c r="FC183" s="1420">
        <v>602099.53</v>
      </c>
      <c r="FD183" s="1439"/>
      <c r="FE183" s="1420">
        <v>11795825.810000001</v>
      </c>
      <c r="FF183" s="1439"/>
      <c r="FG183" s="1422">
        <v>7555</v>
      </c>
      <c r="FH183" s="1439"/>
      <c r="FI183" s="1420">
        <v>120.21</v>
      </c>
      <c r="FJ183" s="1439"/>
      <c r="FK183" s="1422">
        <v>43742</v>
      </c>
      <c r="FL183" s="1439"/>
      <c r="FM183" s="1420">
        <v>127.39</v>
      </c>
      <c r="FN183" s="1439"/>
      <c r="FO183" s="1422">
        <v>45441</v>
      </c>
      <c r="FP183" s="1439"/>
      <c r="FQ183" s="1420">
        <v>2565902.88</v>
      </c>
      <c r="FR183" s="1439"/>
      <c r="FS183" s="1420">
        <v>53472.37</v>
      </c>
      <c r="FT183" s="1439"/>
      <c r="FU183" s="1422">
        <v>0</v>
      </c>
      <c r="FV183" s="1439"/>
      <c r="FW183" s="1420">
        <v>2512430.5099999998</v>
      </c>
      <c r="FX183" s="1439"/>
      <c r="FY183" s="1420">
        <v>2452390.0099999998</v>
      </c>
      <c r="FZ183" s="1439"/>
      <c r="GA183" s="1422">
        <v>0</v>
      </c>
      <c r="GB183" s="1439"/>
    </row>
    <row r="184" spans="1:184" ht="12.75" customHeight="1" thickBot="1">
      <c r="A184" s="1418" t="s">
        <v>243</v>
      </c>
      <c r="B184" s="1418" t="s">
        <v>244</v>
      </c>
      <c r="C184" s="1420">
        <v>99.5</v>
      </c>
      <c r="D184" s="1439"/>
      <c r="E184" s="1420">
        <v>4961.1099999999997</v>
      </c>
      <c r="F184" s="1439"/>
      <c r="G184" s="1421">
        <v>0.03</v>
      </c>
      <c r="H184" s="1439"/>
      <c r="I184" s="1420">
        <v>5122.08</v>
      </c>
      <c r="J184" s="1439"/>
      <c r="K184" s="1420">
        <v>5139.32</v>
      </c>
      <c r="L184" s="1439"/>
      <c r="M184" s="1422">
        <v>764348382</v>
      </c>
      <c r="N184" s="1439"/>
      <c r="O184" s="1420">
        <v>26.8</v>
      </c>
      <c r="P184" s="1439"/>
      <c r="Q184" s="1422">
        <v>25</v>
      </c>
      <c r="R184" s="1439"/>
      <c r="S184" s="1420">
        <v>1.8</v>
      </c>
      <c r="T184" s="1439"/>
      <c r="U184" s="1420">
        <v>1.4</v>
      </c>
      <c r="V184" s="1439"/>
      <c r="W184" s="1420">
        <v>12.6</v>
      </c>
      <c r="X184" s="1439"/>
      <c r="Y184" s="1420">
        <v>40.799999999999997</v>
      </c>
      <c r="Z184" s="1439"/>
      <c r="AA184" s="1420">
        <v>52528775.469999999</v>
      </c>
      <c r="AB184" s="1439"/>
      <c r="AC184" s="1420">
        <v>29913377.449999999</v>
      </c>
      <c r="AD184" s="1422">
        <v>33284177</v>
      </c>
      <c r="AE184" s="1420">
        <v>3416003.43</v>
      </c>
      <c r="AF184" s="1422">
        <v>1879528</v>
      </c>
      <c r="AG184" s="1420">
        <v>3231.26</v>
      </c>
      <c r="AH184" s="1422">
        <v>2652</v>
      </c>
      <c r="AI184" s="1422">
        <v>12648080</v>
      </c>
      <c r="AJ184" s="1422">
        <v>12810809</v>
      </c>
      <c r="AK184" s="1422">
        <v>57909</v>
      </c>
      <c r="AL184" s="1422">
        <v>0</v>
      </c>
      <c r="AM184" s="1422">
        <v>157269</v>
      </c>
      <c r="AN184" s="1422">
        <v>0</v>
      </c>
      <c r="AO184" s="1422">
        <v>0</v>
      </c>
      <c r="AP184" s="1422">
        <v>0</v>
      </c>
      <c r="AQ184" s="1422">
        <v>0</v>
      </c>
      <c r="AR184" s="1422">
        <v>0</v>
      </c>
      <c r="AS184" s="1422">
        <v>0</v>
      </c>
      <c r="AT184" s="1422">
        <v>0</v>
      </c>
      <c r="AU184" s="1422">
        <v>0</v>
      </c>
      <c r="AV184" s="1422">
        <v>0</v>
      </c>
      <c r="AW184" s="1422">
        <v>0</v>
      </c>
      <c r="AX184" s="1422">
        <v>0</v>
      </c>
      <c r="AY184" s="1420">
        <v>46195870.140000001</v>
      </c>
      <c r="AZ184" s="1422">
        <v>47977166</v>
      </c>
      <c r="BA184" s="1420">
        <v>526151.94999999995</v>
      </c>
      <c r="BB184" s="1422">
        <v>513754</v>
      </c>
      <c r="BC184" s="1422">
        <v>212562</v>
      </c>
      <c r="BD184" s="1422">
        <v>217696</v>
      </c>
      <c r="BE184" s="1420">
        <v>29413.1</v>
      </c>
      <c r="BF184" s="1422">
        <v>2600</v>
      </c>
      <c r="BG184" s="1422">
        <v>15150</v>
      </c>
      <c r="BH184" s="1422">
        <v>0</v>
      </c>
      <c r="BI184" s="1422">
        <v>274456</v>
      </c>
      <c r="BJ184" s="1422">
        <v>265612</v>
      </c>
      <c r="BK184" s="1422">
        <v>150309</v>
      </c>
      <c r="BL184" s="1422">
        <v>153387</v>
      </c>
      <c r="BM184" s="1422">
        <v>1407648</v>
      </c>
      <c r="BN184" s="1422">
        <v>1467906</v>
      </c>
      <c r="BO184" s="1420">
        <v>336075.22</v>
      </c>
      <c r="BP184" s="1422">
        <v>312949</v>
      </c>
      <c r="BQ184" s="1420">
        <v>795887.59</v>
      </c>
      <c r="BR184" s="1422">
        <v>203938</v>
      </c>
      <c r="BS184" s="1420">
        <v>18262.87</v>
      </c>
      <c r="BT184" s="1422">
        <v>18250</v>
      </c>
      <c r="BU184" s="1422">
        <v>0</v>
      </c>
      <c r="BV184" s="1422">
        <v>0</v>
      </c>
      <c r="BW184" s="1422">
        <v>0</v>
      </c>
      <c r="BX184" s="1422">
        <v>0</v>
      </c>
      <c r="BY184" s="1422">
        <v>0</v>
      </c>
      <c r="BZ184" s="1422">
        <v>0</v>
      </c>
      <c r="CA184" s="1422">
        <v>31823</v>
      </c>
      <c r="CB184" s="1422">
        <v>0</v>
      </c>
      <c r="CC184" s="1420">
        <v>3797738.73</v>
      </c>
      <c r="CD184" s="1422">
        <v>3156092</v>
      </c>
      <c r="CE184" s="1420">
        <v>9498128.1699999999</v>
      </c>
      <c r="CF184" s="1420">
        <v>5702622.9199999999</v>
      </c>
      <c r="CG184" s="1422">
        <v>916300</v>
      </c>
      <c r="CH184" s="1422">
        <v>0</v>
      </c>
      <c r="CI184" s="1422">
        <v>0</v>
      </c>
      <c r="CJ184" s="1422">
        <v>0</v>
      </c>
      <c r="CK184" s="1422">
        <v>44000</v>
      </c>
      <c r="CL184" s="1422">
        <v>0</v>
      </c>
      <c r="CM184" s="1420">
        <v>11587.5</v>
      </c>
      <c r="CN184" s="1422">
        <v>0</v>
      </c>
      <c r="CO184" s="1420">
        <v>19333.29</v>
      </c>
      <c r="CP184" s="1422">
        <v>0</v>
      </c>
      <c r="CQ184" s="1422">
        <v>0</v>
      </c>
      <c r="CR184" s="1422">
        <v>0</v>
      </c>
      <c r="CS184" s="1420">
        <v>991220.79</v>
      </c>
      <c r="CT184" s="1422">
        <v>0</v>
      </c>
      <c r="CU184" s="1420">
        <v>60482957.829999998</v>
      </c>
      <c r="CV184" s="1420">
        <v>56835880.920000002</v>
      </c>
      <c r="CW184" s="1420">
        <v>19128059.280000001</v>
      </c>
      <c r="CX184" s="1420">
        <v>18417259.600000001</v>
      </c>
      <c r="CY184" s="1420">
        <v>3084399.22</v>
      </c>
      <c r="CZ184" s="1422">
        <v>3512081</v>
      </c>
      <c r="DA184" s="1420">
        <v>1800316.03</v>
      </c>
      <c r="DB184" s="1422">
        <v>1148458</v>
      </c>
      <c r="DC184" s="1420">
        <v>691917.56</v>
      </c>
      <c r="DD184" s="1422">
        <v>693293</v>
      </c>
      <c r="DE184" s="1420">
        <v>1480890.88</v>
      </c>
      <c r="DF184" s="1422">
        <v>1781764</v>
      </c>
      <c r="DG184" s="1420">
        <v>2903245.34</v>
      </c>
      <c r="DH184" s="1420">
        <v>2836743.87</v>
      </c>
      <c r="DI184" s="1420">
        <v>29088828.309999999</v>
      </c>
      <c r="DJ184" s="1420">
        <v>28389599.469999999</v>
      </c>
      <c r="DK184" s="1420">
        <v>562634.74</v>
      </c>
      <c r="DL184" s="1420">
        <v>721047.04000000004</v>
      </c>
      <c r="DM184" s="1420">
        <v>1547979.99</v>
      </c>
      <c r="DN184" s="1420">
        <v>2229403.56</v>
      </c>
      <c r="DO184" s="1420">
        <v>7310993.7699999996</v>
      </c>
      <c r="DP184" s="1420">
        <v>7130741.2800000003</v>
      </c>
      <c r="DQ184" s="1420">
        <v>1590221.57</v>
      </c>
      <c r="DR184" s="1422">
        <v>1976132</v>
      </c>
      <c r="DS184" s="1420">
        <v>184788.41</v>
      </c>
      <c r="DT184" s="1422">
        <v>192563</v>
      </c>
      <c r="DU184" s="1420">
        <v>11196618.48</v>
      </c>
      <c r="DV184" s="1420">
        <v>12249886.880000001</v>
      </c>
      <c r="DW184" s="1420">
        <v>2220707.27</v>
      </c>
      <c r="DX184" s="1422">
        <v>2690195</v>
      </c>
      <c r="DY184" s="1420">
        <v>4365815.3</v>
      </c>
      <c r="DZ184" s="1420">
        <v>4214923.75</v>
      </c>
      <c r="EA184" s="1420">
        <v>2396344.4900000002</v>
      </c>
      <c r="EB184" s="1420">
        <v>2599216.13</v>
      </c>
      <c r="EC184" s="1420">
        <v>8982867.0600000005</v>
      </c>
      <c r="ED184" s="1420">
        <v>9504334.8800000008</v>
      </c>
      <c r="EE184" s="1420">
        <v>2923189.82</v>
      </c>
      <c r="EF184" s="1422">
        <v>2825689</v>
      </c>
      <c r="EG184" s="1420">
        <v>17104.59</v>
      </c>
      <c r="EH184" s="1422">
        <v>0</v>
      </c>
      <c r="EI184" s="1420">
        <v>97425.36</v>
      </c>
      <c r="EJ184" s="1422">
        <v>87450</v>
      </c>
      <c r="EK184" s="1422">
        <v>0</v>
      </c>
      <c r="EL184" s="1422">
        <v>0</v>
      </c>
      <c r="EM184" s="1420">
        <v>3037719.77</v>
      </c>
      <c r="EN184" s="1422">
        <v>2913139</v>
      </c>
      <c r="EO184" s="1420">
        <v>10224310.67</v>
      </c>
      <c r="EP184" s="1422">
        <v>4834133</v>
      </c>
      <c r="EQ184" s="1420">
        <v>4890085.26</v>
      </c>
      <c r="ER184" s="1422">
        <v>4856352</v>
      </c>
      <c r="ES184" s="1420">
        <v>28439.46</v>
      </c>
      <c r="ET184" s="1422">
        <v>0</v>
      </c>
      <c r="EU184" s="1420">
        <v>67448869.010000005</v>
      </c>
      <c r="EV184" s="1420">
        <v>62747445.229999997</v>
      </c>
      <c r="EW184" s="1420">
        <v>11436149.16</v>
      </c>
      <c r="EX184" s="1420">
        <v>6566626.9500000002</v>
      </c>
      <c r="EY184" s="1420">
        <v>4890085.26</v>
      </c>
      <c r="EZ184" s="1422">
        <v>4856352</v>
      </c>
      <c r="FA184" s="1420">
        <v>51122634.590000004</v>
      </c>
      <c r="FB184" s="1420">
        <v>51324466.280000001</v>
      </c>
      <c r="FC184" s="1420">
        <v>2283087.62</v>
      </c>
      <c r="FD184" s="1439"/>
      <c r="FE184" s="1420">
        <v>48839546.969999999</v>
      </c>
      <c r="FF184" s="1439"/>
      <c r="FG184" s="1422">
        <v>9844</v>
      </c>
      <c r="FH184" s="1439"/>
      <c r="FI184" s="1420">
        <v>389.77</v>
      </c>
      <c r="FJ184" s="1439"/>
      <c r="FK184" s="1422">
        <v>45289</v>
      </c>
      <c r="FL184" s="1439"/>
      <c r="FM184" s="1420">
        <v>426.53</v>
      </c>
      <c r="FN184" s="1439"/>
      <c r="FO184" s="1422">
        <v>47616</v>
      </c>
      <c r="FP184" s="1439"/>
      <c r="FQ184" s="1420">
        <v>8733620.6500000004</v>
      </c>
      <c r="FR184" s="1439"/>
      <c r="FS184" s="1420">
        <v>98408.89</v>
      </c>
      <c r="FT184" s="1439"/>
      <c r="FU184" s="1422">
        <v>0</v>
      </c>
      <c r="FV184" s="1439"/>
      <c r="FW184" s="1420">
        <v>8635211.7599999998</v>
      </c>
      <c r="FX184" s="1439"/>
      <c r="FY184" s="1420">
        <v>6500277.8499999996</v>
      </c>
      <c r="FZ184" s="1439"/>
      <c r="GA184" s="1420">
        <v>365261.6</v>
      </c>
      <c r="GB184" s="1439"/>
    </row>
    <row r="185" spans="1:184" ht="12.75" customHeight="1" thickBot="1">
      <c r="A185" s="1418" t="s">
        <v>245</v>
      </c>
      <c r="B185" s="1418" t="s">
        <v>246</v>
      </c>
      <c r="C185" s="1420">
        <v>274.92</v>
      </c>
      <c r="D185" s="1439"/>
      <c r="E185" s="1420">
        <v>558.27</v>
      </c>
      <c r="F185" s="1439"/>
      <c r="G185" s="1421">
        <v>-7.0000000000000007E-2</v>
      </c>
      <c r="H185" s="1439"/>
      <c r="I185" s="1420">
        <v>590.53</v>
      </c>
      <c r="J185" s="1439"/>
      <c r="K185" s="1420">
        <v>602.77</v>
      </c>
      <c r="L185" s="1439"/>
      <c r="M185" s="1422">
        <v>41408581</v>
      </c>
      <c r="N185" s="1439"/>
      <c r="O185" s="1422">
        <v>25</v>
      </c>
      <c r="P185" s="1439"/>
      <c r="Q185" s="1422">
        <v>25</v>
      </c>
      <c r="R185" s="1439"/>
      <c r="S185" s="1422">
        <v>0</v>
      </c>
      <c r="T185" s="1439"/>
      <c r="U185" s="1422">
        <v>0</v>
      </c>
      <c r="V185" s="1439"/>
      <c r="W185" s="1422">
        <v>5</v>
      </c>
      <c r="X185" s="1439"/>
      <c r="Y185" s="1422">
        <v>30</v>
      </c>
      <c r="Z185" s="1439"/>
      <c r="AA185" s="1422">
        <v>1165000</v>
      </c>
      <c r="AB185" s="1439"/>
      <c r="AC185" s="1420">
        <v>1165939.6499999999</v>
      </c>
      <c r="AD185" s="1422">
        <v>1265848</v>
      </c>
      <c r="AE185" s="1420">
        <v>344516.5</v>
      </c>
      <c r="AF185" s="1422">
        <v>126775</v>
      </c>
      <c r="AG185" s="1420">
        <v>3812.41</v>
      </c>
      <c r="AH185" s="1422">
        <v>3000</v>
      </c>
      <c r="AI185" s="1422">
        <v>2592229</v>
      </c>
      <c r="AJ185" s="1422">
        <v>2595072</v>
      </c>
      <c r="AK185" s="1422">
        <v>59629</v>
      </c>
      <c r="AL185" s="1422">
        <v>0</v>
      </c>
      <c r="AM185" s="1422">
        <v>0</v>
      </c>
      <c r="AN185" s="1422">
        <v>0</v>
      </c>
      <c r="AO185" s="1422">
        <v>29995</v>
      </c>
      <c r="AP185" s="1422">
        <v>33638</v>
      </c>
      <c r="AQ185" s="1422">
        <v>0</v>
      </c>
      <c r="AR185" s="1422">
        <v>0</v>
      </c>
      <c r="AS185" s="1422">
        <v>0</v>
      </c>
      <c r="AT185" s="1422">
        <v>0</v>
      </c>
      <c r="AU185" s="1422">
        <v>0</v>
      </c>
      <c r="AV185" s="1422">
        <v>0</v>
      </c>
      <c r="AW185" s="1422">
        <v>0</v>
      </c>
      <c r="AX185" s="1422">
        <v>0</v>
      </c>
      <c r="AY185" s="1420">
        <v>4196121.5599999996</v>
      </c>
      <c r="AZ185" s="1422">
        <v>4024333</v>
      </c>
      <c r="BA185" s="1422">
        <v>240000</v>
      </c>
      <c r="BB185" s="1422">
        <v>150000</v>
      </c>
      <c r="BC185" s="1422">
        <v>24931</v>
      </c>
      <c r="BD185" s="1422">
        <v>25081</v>
      </c>
      <c r="BE185" s="1420">
        <v>3018.78</v>
      </c>
      <c r="BF185" s="1422">
        <v>1200</v>
      </c>
      <c r="BG185" s="1422">
        <v>50</v>
      </c>
      <c r="BH185" s="1422">
        <v>50</v>
      </c>
      <c r="BI185" s="1422">
        <v>8654</v>
      </c>
      <c r="BJ185" s="1422">
        <v>9948</v>
      </c>
      <c r="BK185" s="1422">
        <v>0</v>
      </c>
      <c r="BL185" s="1422">
        <v>0</v>
      </c>
      <c r="BM185" s="1422">
        <v>189472</v>
      </c>
      <c r="BN185" s="1422">
        <v>190256</v>
      </c>
      <c r="BO185" s="1420">
        <v>2469.35</v>
      </c>
      <c r="BP185" s="1422">
        <v>0</v>
      </c>
      <c r="BQ185" s="1422">
        <v>1625</v>
      </c>
      <c r="BR185" s="1422">
        <v>1625</v>
      </c>
      <c r="BS185" s="1420">
        <v>2263.89</v>
      </c>
      <c r="BT185" s="1422">
        <v>2300</v>
      </c>
      <c r="BU185" s="1422">
        <v>0</v>
      </c>
      <c r="BV185" s="1422">
        <v>0</v>
      </c>
      <c r="BW185" s="1422">
        <v>97200</v>
      </c>
      <c r="BX185" s="1422">
        <v>124400</v>
      </c>
      <c r="BY185" s="1422">
        <v>0</v>
      </c>
      <c r="BZ185" s="1422">
        <v>0</v>
      </c>
      <c r="CA185" s="1422">
        <v>19141</v>
      </c>
      <c r="CB185" s="1422">
        <v>18055</v>
      </c>
      <c r="CC185" s="1420">
        <v>588825.02</v>
      </c>
      <c r="CD185" s="1422">
        <v>522915</v>
      </c>
      <c r="CE185" s="1420">
        <v>821387.29</v>
      </c>
      <c r="CF185" s="1420">
        <v>656476.56000000006</v>
      </c>
      <c r="CG185" s="1420">
        <v>37377.26</v>
      </c>
      <c r="CH185" s="1422">
        <v>0</v>
      </c>
      <c r="CI185" s="1422">
        <v>0</v>
      </c>
      <c r="CJ185" s="1422">
        <v>0</v>
      </c>
      <c r="CK185" s="1420">
        <v>4822.68</v>
      </c>
      <c r="CL185" s="1422">
        <v>0</v>
      </c>
      <c r="CM185" s="1422">
        <v>0</v>
      </c>
      <c r="CN185" s="1422">
        <v>0</v>
      </c>
      <c r="CO185" s="1420">
        <v>23180.23</v>
      </c>
      <c r="CP185" s="1422">
        <v>0</v>
      </c>
      <c r="CQ185" s="1422">
        <v>0</v>
      </c>
      <c r="CR185" s="1422">
        <v>0</v>
      </c>
      <c r="CS185" s="1420">
        <v>65380.17</v>
      </c>
      <c r="CT185" s="1422">
        <v>0</v>
      </c>
      <c r="CU185" s="1420">
        <v>5671714.04</v>
      </c>
      <c r="CV185" s="1420">
        <v>5203724.5599999996</v>
      </c>
      <c r="CW185" s="1420">
        <v>1998013.4</v>
      </c>
      <c r="CX185" s="1420">
        <v>1767241.7</v>
      </c>
      <c r="CY185" s="1420">
        <v>312836.56</v>
      </c>
      <c r="CZ185" s="1420">
        <v>357006.15</v>
      </c>
      <c r="DA185" s="1420">
        <v>219414.38</v>
      </c>
      <c r="DB185" s="1420">
        <v>251296.35</v>
      </c>
      <c r="DC185" s="1420">
        <v>226486.46</v>
      </c>
      <c r="DD185" s="1422">
        <v>150000</v>
      </c>
      <c r="DE185" s="1420">
        <v>199435.55</v>
      </c>
      <c r="DF185" s="1420">
        <v>259415.94</v>
      </c>
      <c r="DG185" s="1420">
        <v>264992.17</v>
      </c>
      <c r="DH185" s="1420">
        <v>215810.42</v>
      </c>
      <c r="DI185" s="1420">
        <v>3221178.52</v>
      </c>
      <c r="DJ185" s="1420">
        <v>3000770.5600000001</v>
      </c>
      <c r="DK185" s="1420">
        <v>152247.6</v>
      </c>
      <c r="DL185" s="1420">
        <v>133890.76999999999</v>
      </c>
      <c r="DM185" s="1420">
        <v>115227.95</v>
      </c>
      <c r="DN185" s="1420">
        <v>113460.42</v>
      </c>
      <c r="DO185" s="1420">
        <v>615868.22</v>
      </c>
      <c r="DP185" s="1420">
        <v>540919.62</v>
      </c>
      <c r="DQ185" s="1420">
        <v>233227.32</v>
      </c>
      <c r="DR185" s="1420">
        <v>220114.66</v>
      </c>
      <c r="DS185" s="1420">
        <v>18397.79</v>
      </c>
      <c r="DT185" s="1420">
        <v>7567.04</v>
      </c>
      <c r="DU185" s="1420">
        <v>1134968.8799999999</v>
      </c>
      <c r="DV185" s="1420">
        <v>1015952.51</v>
      </c>
      <c r="DW185" s="1420">
        <v>199239.64</v>
      </c>
      <c r="DX185" s="1420">
        <v>211380.4</v>
      </c>
      <c r="DY185" s="1420">
        <v>245168.21</v>
      </c>
      <c r="DZ185" s="1420">
        <v>310133.5</v>
      </c>
      <c r="EA185" s="1420">
        <v>240825.15</v>
      </c>
      <c r="EB185" s="1420">
        <v>218618.32</v>
      </c>
      <c r="EC185" s="1422">
        <v>685233</v>
      </c>
      <c r="ED185" s="1420">
        <v>740132.22</v>
      </c>
      <c r="EE185" s="1420">
        <v>364885.87</v>
      </c>
      <c r="EF185" s="1420">
        <v>338775.09</v>
      </c>
      <c r="EG185" s="1420">
        <v>34146.42</v>
      </c>
      <c r="EH185" s="1422">
        <v>0</v>
      </c>
      <c r="EI185" s="1422">
        <v>0</v>
      </c>
      <c r="EJ185" s="1420">
        <v>22929.279999999999</v>
      </c>
      <c r="EK185" s="1422">
        <v>0</v>
      </c>
      <c r="EL185" s="1422">
        <v>0</v>
      </c>
      <c r="EM185" s="1420">
        <v>399032.29</v>
      </c>
      <c r="EN185" s="1420">
        <v>361704.37</v>
      </c>
      <c r="EO185" s="1420">
        <v>126944.71</v>
      </c>
      <c r="EP185" s="1422">
        <v>0</v>
      </c>
      <c r="EQ185" s="1420">
        <v>44789.58</v>
      </c>
      <c r="ER185" s="1422">
        <v>88473</v>
      </c>
      <c r="ES185" s="1422">
        <v>0</v>
      </c>
      <c r="ET185" s="1422">
        <v>0</v>
      </c>
      <c r="EU185" s="1420">
        <v>5612146.9800000004</v>
      </c>
      <c r="EV185" s="1420">
        <v>5207032.66</v>
      </c>
      <c r="EW185" s="1420">
        <v>194098.33</v>
      </c>
      <c r="EX185" s="1422">
        <v>4500</v>
      </c>
      <c r="EY185" s="1420">
        <v>44789.58</v>
      </c>
      <c r="EZ185" s="1422">
        <v>88473</v>
      </c>
      <c r="FA185" s="1420">
        <v>5373259.0700000003</v>
      </c>
      <c r="FB185" s="1420">
        <v>5114059.66</v>
      </c>
      <c r="FC185" s="1420">
        <v>614926.47</v>
      </c>
      <c r="FD185" s="1439"/>
      <c r="FE185" s="1420">
        <v>4758332.5999999996</v>
      </c>
      <c r="FF185" s="1439"/>
      <c r="FG185" s="1422">
        <v>8523</v>
      </c>
      <c r="FH185" s="1439"/>
      <c r="FI185" s="1420">
        <v>45.67</v>
      </c>
      <c r="FJ185" s="1439"/>
      <c r="FK185" s="1422">
        <v>39788</v>
      </c>
      <c r="FL185" s="1439"/>
      <c r="FM185" s="1420">
        <v>48.87</v>
      </c>
      <c r="FN185" s="1439"/>
      <c r="FO185" s="1422">
        <v>41929</v>
      </c>
      <c r="FP185" s="1439"/>
      <c r="FQ185" s="1420">
        <v>2356188.2599999998</v>
      </c>
      <c r="FR185" s="1439"/>
      <c r="FS185" s="1420">
        <v>146602.1</v>
      </c>
      <c r="FT185" s="1439"/>
      <c r="FU185" s="1422">
        <v>0</v>
      </c>
      <c r="FV185" s="1439"/>
      <c r="FW185" s="1420">
        <v>2209586.16</v>
      </c>
      <c r="FX185" s="1439"/>
      <c r="FY185" s="1420">
        <v>22174.83</v>
      </c>
      <c r="FZ185" s="1439"/>
      <c r="GA185" s="1422">
        <v>0</v>
      </c>
      <c r="GB185" s="1439"/>
    </row>
    <row r="186" spans="1:184" ht="12.75" customHeight="1" thickBot="1">
      <c r="A186" s="1418" t="s">
        <v>247</v>
      </c>
      <c r="B186" s="1418" t="s">
        <v>248</v>
      </c>
      <c r="C186" s="1420">
        <v>375.11</v>
      </c>
      <c r="D186" s="1439"/>
      <c r="E186" s="1420">
        <v>620.04999999999995</v>
      </c>
      <c r="F186" s="1439"/>
      <c r="G186" s="1421">
        <v>-0.03</v>
      </c>
      <c r="H186" s="1439"/>
      <c r="I186" s="1420">
        <v>644.12</v>
      </c>
      <c r="J186" s="1439"/>
      <c r="K186" s="1420">
        <v>641.57000000000005</v>
      </c>
      <c r="L186" s="1439"/>
      <c r="M186" s="1422">
        <v>63948816</v>
      </c>
      <c r="N186" s="1439"/>
      <c r="O186" s="1420">
        <v>26.43</v>
      </c>
      <c r="P186" s="1439"/>
      <c r="Q186" s="1422">
        <v>25</v>
      </c>
      <c r="R186" s="1439"/>
      <c r="S186" s="1420">
        <v>1.43</v>
      </c>
      <c r="T186" s="1439"/>
      <c r="U186" s="1422">
        <v>0</v>
      </c>
      <c r="V186" s="1439"/>
      <c r="W186" s="1420">
        <v>3.6</v>
      </c>
      <c r="X186" s="1439"/>
      <c r="Y186" s="1420">
        <v>30.03</v>
      </c>
      <c r="Z186" s="1439"/>
      <c r="AA186" s="1420">
        <v>730863.5</v>
      </c>
      <c r="AB186" s="1439"/>
      <c r="AC186" s="1420">
        <v>1791091.39</v>
      </c>
      <c r="AD186" s="1422">
        <v>1474513</v>
      </c>
      <c r="AE186" s="1420">
        <v>355226.17</v>
      </c>
      <c r="AF186" s="1422">
        <v>194905</v>
      </c>
      <c r="AG186" s="1420">
        <v>4063.63</v>
      </c>
      <c r="AH186" s="1422">
        <v>0</v>
      </c>
      <c r="AI186" s="1422">
        <v>2251603</v>
      </c>
      <c r="AJ186" s="1422">
        <v>2384207</v>
      </c>
      <c r="AK186" s="1422">
        <v>112532</v>
      </c>
      <c r="AL186" s="1422">
        <v>107672</v>
      </c>
      <c r="AM186" s="1422">
        <v>20553</v>
      </c>
      <c r="AN186" s="1422">
        <v>0</v>
      </c>
      <c r="AO186" s="1422">
        <v>15117</v>
      </c>
      <c r="AP186" s="1422">
        <v>0</v>
      </c>
      <c r="AQ186" s="1422">
        <v>0</v>
      </c>
      <c r="AR186" s="1422">
        <v>0</v>
      </c>
      <c r="AS186" s="1422">
        <v>0</v>
      </c>
      <c r="AT186" s="1422">
        <v>0</v>
      </c>
      <c r="AU186" s="1422">
        <v>0</v>
      </c>
      <c r="AV186" s="1422">
        <v>0</v>
      </c>
      <c r="AW186" s="1420">
        <v>2964.13</v>
      </c>
      <c r="AX186" s="1422">
        <v>0</v>
      </c>
      <c r="AY186" s="1420">
        <v>4553150.32</v>
      </c>
      <c r="AZ186" s="1422">
        <v>4161297</v>
      </c>
      <c r="BA186" s="1422">
        <v>0</v>
      </c>
      <c r="BB186" s="1422">
        <v>0</v>
      </c>
      <c r="BC186" s="1422">
        <v>26535</v>
      </c>
      <c r="BD186" s="1422">
        <v>27279</v>
      </c>
      <c r="BE186" s="1420">
        <v>7448.63</v>
      </c>
      <c r="BF186" s="1422">
        <v>7400</v>
      </c>
      <c r="BG186" s="1422">
        <v>924</v>
      </c>
      <c r="BH186" s="1422">
        <v>0</v>
      </c>
      <c r="BI186" s="1422">
        <v>10401</v>
      </c>
      <c r="BJ186" s="1422">
        <v>3192</v>
      </c>
      <c r="BK186" s="1422">
        <v>0</v>
      </c>
      <c r="BL186" s="1422">
        <v>0</v>
      </c>
      <c r="BM186" s="1422">
        <v>213280</v>
      </c>
      <c r="BN186" s="1422">
        <v>310348</v>
      </c>
      <c r="BO186" s="1420">
        <v>59667.74</v>
      </c>
      <c r="BP186" s="1422">
        <v>50000</v>
      </c>
      <c r="BQ186" s="1422">
        <v>0</v>
      </c>
      <c r="BR186" s="1422">
        <v>0</v>
      </c>
      <c r="BS186" s="1420">
        <v>2554.27</v>
      </c>
      <c r="BT186" s="1422">
        <v>2500</v>
      </c>
      <c r="BU186" s="1422">
        <v>0</v>
      </c>
      <c r="BV186" s="1422">
        <v>0</v>
      </c>
      <c r="BW186" s="1422">
        <v>118940</v>
      </c>
      <c r="BX186" s="1422">
        <v>116640</v>
      </c>
      <c r="BY186" s="1422">
        <v>0</v>
      </c>
      <c r="BZ186" s="1422">
        <v>0</v>
      </c>
      <c r="CA186" s="1422">
        <v>13599</v>
      </c>
      <c r="CB186" s="1422">
        <v>8524</v>
      </c>
      <c r="CC186" s="1420">
        <v>453349.64</v>
      </c>
      <c r="CD186" s="1422">
        <v>525883</v>
      </c>
      <c r="CE186" s="1420">
        <v>908802.11</v>
      </c>
      <c r="CF186" s="1420">
        <v>772305.01</v>
      </c>
      <c r="CG186" s="1420">
        <v>215884.75</v>
      </c>
      <c r="CH186" s="1422">
        <v>0</v>
      </c>
      <c r="CI186" s="1422">
        <v>0</v>
      </c>
      <c r="CJ186" s="1422">
        <v>0</v>
      </c>
      <c r="CK186" s="1422">
        <v>0</v>
      </c>
      <c r="CL186" s="1422">
        <v>0</v>
      </c>
      <c r="CM186" s="1420">
        <v>26685.5</v>
      </c>
      <c r="CN186" s="1422">
        <v>0</v>
      </c>
      <c r="CO186" s="1420">
        <v>20346.080000000002</v>
      </c>
      <c r="CP186" s="1422">
        <v>0</v>
      </c>
      <c r="CQ186" s="1422">
        <v>0</v>
      </c>
      <c r="CR186" s="1422">
        <v>0</v>
      </c>
      <c r="CS186" s="1420">
        <v>262916.33</v>
      </c>
      <c r="CT186" s="1422">
        <v>0</v>
      </c>
      <c r="CU186" s="1420">
        <v>6178218.4000000004</v>
      </c>
      <c r="CV186" s="1420">
        <v>5459485.0099999998</v>
      </c>
      <c r="CW186" s="1420">
        <v>2594098.64</v>
      </c>
      <c r="CX186" s="1422">
        <v>2436442</v>
      </c>
      <c r="CY186" s="1420">
        <v>376956.96</v>
      </c>
      <c r="CZ186" s="1420">
        <v>386718.06</v>
      </c>
      <c r="DA186" s="1420">
        <v>147275.10999999999</v>
      </c>
      <c r="DB186" s="1422">
        <v>178767</v>
      </c>
      <c r="DC186" s="1422">
        <v>0</v>
      </c>
      <c r="DD186" s="1422">
        <v>0</v>
      </c>
      <c r="DE186" s="1420">
        <v>289412.43</v>
      </c>
      <c r="DF186" s="1422">
        <v>281346</v>
      </c>
      <c r="DG186" s="1420">
        <v>73351.679999999993</v>
      </c>
      <c r="DH186" s="1422">
        <v>77278</v>
      </c>
      <c r="DI186" s="1420">
        <v>3481094.82</v>
      </c>
      <c r="DJ186" s="1420">
        <v>3360551.06</v>
      </c>
      <c r="DK186" s="1420">
        <v>143467.67000000001</v>
      </c>
      <c r="DL186" s="1422">
        <v>143287</v>
      </c>
      <c r="DM186" s="1420">
        <v>159391.82999999999</v>
      </c>
      <c r="DN186" s="1422">
        <v>161871</v>
      </c>
      <c r="DO186" s="1420">
        <v>535704.72</v>
      </c>
      <c r="DP186" s="1422">
        <v>438823</v>
      </c>
      <c r="DQ186" s="1420">
        <v>232774.07</v>
      </c>
      <c r="DR186" s="1422">
        <v>207510</v>
      </c>
      <c r="DS186" s="1420">
        <v>10530.07</v>
      </c>
      <c r="DT186" s="1422">
        <v>10000</v>
      </c>
      <c r="DU186" s="1420">
        <v>1081868.3600000001</v>
      </c>
      <c r="DV186" s="1422">
        <v>961491</v>
      </c>
      <c r="DW186" s="1420">
        <v>344758.73</v>
      </c>
      <c r="DX186" s="1422">
        <v>290055</v>
      </c>
      <c r="DY186" s="1420">
        <v>300253.14</v>
      </c>
      <c r="DZ186" s="1422">
        <v>299858</v>
      </c>
      <c r="EA186" s="1420">
        <v>279929.53000000003</v>
      </c>
      <c r="EB186" s="1422">
        <v>272243</v>
      </c>
      <c r="EC186" s="1420">
        <v>924941.4</v>
      </c>
      <c r="ED186" s="1422">
        <v>862156</v>
      </c>
      <c r="EE186" s="1420">
        <v>368934.5</v>
      </c>
      <c r="EF186" s="1422">
        <v>331188</v>
      </c>
      <c r="EG186" s="1420">
        <v>58919.35</v>
      </c>
      <c r="EH186" s="1422">
        <v>600</v>
      </c>
      <c r="EI186" s="1420">
        <v>6341.75</v>
      </c>
      <c r="EJ186" s="1422">
        <v>7000</v>
      </c>
      <c r="EK186" s="1422">
        <v>0</v>
      </c>
      <c r="EL186" s="1422">
        <v>0</v>
      </c>
      <c r="EM186" s="1420">
        <v>434195.6</v>
      </c>
      <c r="EN186" s="1422">
        <v>338788</v>
      </c>
      <c r="EO186" s="1420">
        <v>65653.919999999998</v>
      </c>
      <c r="EP186" s="1422">
        <v>43100</v>
      </c>
      <c r="EQ186" s="1420">
        <v>155409.03</v>
      </c>
      <c r="ER186" s="1422">
        <v>91655</v>
      </c>
      <c r="ES186" s="1422">
        <v>25316</v>
      </c>
      <c r="ET186" s="1422">
        <v>0</v>
      </c>
      <c r="EU186" s="1420">
        <v>6168479.1299999999</v>
      </c>
      <c r="EV186" s="1420">
        <v>5657741.0599999996</v>
      </c>
      <c r="EW186" s="1420">
        <v>121763.37</v>
      </c>
      <c r="EX186" s="1422">
        <v>137754</v>
      </c>
      <c r="EY186" s="1420">
        <v>155409.03</v>
      </c>
      <c r="EZ186" s="1422">
        <v>91655</v>
      </c>
      <c r="FA186" s="1420">
        <v>5891306.7300000004</v>
      </c>
      <c r="FB186" s="1420">
        <v>5428332.0599999996</v>
      </c>
      <c r="FC186" s="1420">
        <v>463595.29</v>
      </c>
      <c r="FD186" s="1439"/>
      <c r="FE186" s="1420">
        <v>5427711.4400000004</v>
      </c>
      <c r="FF186" s="1439"/>
      <c r="FG186" s="1422">
        <v>8753</v>
      </c>
      <c r="FH186" s="1439"/>
      <c r="FI186" s="1420">
        <v>52.5</v>
      </c>
      <c r="FJ186" s="1439"/>
      <c r="FK186" s="1422">
        <v>39290</v>
      </c>
      <c r="FL186" s="1439"/>
      <c r="FM186" s="1420">
        <v>55.8</v>
      </c>
      <c r="FN186" s="1439"/>
      <c r="FO186" s="1422">
        <v>41144</v>
      </c>
      <c r="FP186" s="1439"/>
      <c r="FQ186" s="1420">
        <v>1889997.35</v>
      </c>
      <c r="FR186" s="1439"/>
      <c r="FS186" s="1420">
        <v>14666.65</v>
      </c>
      <c r="FT186" s="1439"/>
      <c r="FU186" s="1422">
        <v>0</v>
      </c>
      <c r="FV186" s="1439"/>
      <c r="FW186" s="1420">
        <v>1875330.7</v>
      </c>
      <c r="FX186" s="1439"/>
      <c r="FY186" s="1422">
        <v>0</v>
      </c>
      <c r="FZ186" s="1439"/>
      <c r="GA186" s="1422">
        <v>0</v>
      </c>
      <c r="GB186" s="1439"/>
    </row>
    <row r="187" spans="1:184" ht="12.75" customHeight="1" thickBot="1">
      <c r="A187" s="1418" t="s">
        <v>249</v>
      </c>
      <c r="B187" s="1418" t="s">
        <v>250</v>
      </c>
      <c r="C187" s="1420">
        <v>97.35</v>
      </c>
      <c r="D187" s="1439"/>
      <c r="E187" s="1420">
        <v>22994.71</v>
      </c>
      <c r="F187" s="1439"/>
      <c r="G187" s="1421">
        <v>-0.04</v>
      </c>
      <c r="H187" s="1439"/>
      <c r="I187" s="1420">
        <v>23788.44</v>
      </c>
      <c r="J187" s="1439"/>
      <c r="K187" s="1420">
        <v>22774.59</v>
      </c>
      <c r="L187" s="1439"/>
      <c r="M187" s="1422">
        <v>3176216510</v>
      </c>
      <c r="N187" s="1439"/>
      <c r="O187" s="1422">
        <v>32</v>
      </c>
      <c r="P187" s="1439"/>
      <c r="Q187" s="1422">
        <v>25</v>
      </c>
      <c r="R187" s="1439"/>
      <c r="S187" s="1422">
        <v>7</v>
      </c>
      <c r="T187" s="1439"/>
      <c r="U187" s="1422">
        <v>2</v>
      </c>
      <c r="V187" s="1439"/>
      <c r="W187" s="1420">
        <v>12.4</v>
      </c>
      <c r="X187" s="1439"/>
      <c r="Y187" s="1420">
        <v>46.4</v>
      </c>
      <c r="Z187" s="1439"/>
      <c r="AA187" s="1420">
        <v>203182402.15000001</v>
      </c>
      <c r="AB187" s="1439"/>
      <c r="AC187" s="1420">
        <v>139616052.41</v>
      </c>
      <c r="AD187" s="1420">
        <v>146639807.69</v>
      </c>
      <c r="AE187" s="1420">
        <v>15071921.68</v>
      </c>
      <c r="AF187" s="1422">
        <v>10003057</v>
      </c>
      <c r="AG187" s="1420">
        <v>21614.02</v>
      </c>
      <c r="AH187" s="1422">
        <v>15000</v>
      </c>
      <c r="AI187" s="1422">
        <v>58441252</v>
      </c>
      <c r="AJ187" s="1422">
        <v>61907286</v>
      </c>
      <c r="AK187" s="1422">
        <v>2765444</v>
      </c>
      <c r="AL187" s="1422">
        <v>500000</v>
      </c>
      <c r="AM187" s="1422">
        <v>89426</v>
      </c>
      <c r="AN187" s="1422">
        <v>0</v>
      </c>
      <c r="AO187" s="1422">
        <v>0</v>
      </c>
      <c r="AP187" s="1422">
        <v>35267</v>
      </c>
      <c r="AQ187" s="1422">
        <v>0</v>
      </c>
      <c r="AR187" s="1422">
        <v>0</v>
      </c>
      <c r="AS187" s="1422">
        <v>0</v>
      </c>
      <c r="AT187" s="1422">
        <v>0</v>
      </c>
      <c r="AU187" s="1422">
        <v>0</v>
      </c>
      <c r="AV187" s="1422">
        <v>0</v>
      </c>
      <c r="AW187" s="1422">
        <v>0</v>
      </c>
      <c r="AX187" s="1422">
        <v>0</v>
      </c>
      <c r="AY187" s="1420">
        <v>216005710.11000001</v>
      </c>
      <c r="AZ187" s="1420">
        <v>219100417.69</v>
      </c>
      <c r="BA187" s="1420">
        <v>976293.62</v>
      </c>
      <c r="BB187" s="1420">
        <v>902683.3</v>
      </c>
      <c r="BC187" s="1422">
        <v>941957</v>
      </c>
      <c r="BD187" s="1422">
        <v>964701</v>
      </c>
      <c r="BE187" s="1422">
        <v>0</v>
      </c>
      <c r="BF187" s="1422">
        <v>0</v>
      </c>
      <c r="BG187" s="1422">
        <v>4620</v>
      </c>
      <c r="BH187" s="1422">
        <v>0</v>
      </c>
      <c r="BI187" s="1422">
        <v>2634287</v>
      </c>
      <c r="BJ187" s="1422">
        <v>2564221</v>
      </c>
      <c r="BK187" s="1422">
        <v>572815</v>
      </c>
      <c r="BL187" s="1422">
        <v>598000</v>
      </c>
      <c r="BM187" s="1422">
        <v>11243933</v>
      </c>
      <c r="BN187" s="1422">
        <v>14315697</v>
      </c>
      <c r="BO187" s="1420">
        <v>3487080.92</v>
      </c>
      <c r="BP187" s="1422">
        <v>3490000</v>
      </c>
      <c r="BQ187" s="1420">
        <v>1571238.25</v>
      </c>
      <c r="BR187" s="1422">
        <v>1598000</v>
      </c>
      <c r="BS187" s="1420">
        <v>75215.27</v>
      </c>
      <c r="BT187" s="1422">
        <v>72207</v>
      </c>
      <c r="BU187" s="1422">
        <v>0</v>
      </c>
      <c r="BV187" s="1422">
        <v>0</v>
      </c>
      <c r="BW187" s="1422">
        <v>5260561</v>
      </c>
      <c r="BX187" s="1422">
        <v>5321700</v>
      </c>
      <c r="BY187" s="1420">
        <v>54336504.710000001</v>
      </c>
      <c r="BZ187" s="1420">
        <v>52341577.399999999</v>
      </c>
      <c r="CA187" s="1422">
        <v>37976</v>
      </c>
      <c r="CB187" s="1422">
        <v>30381</v>
      </c>
      <c r="CC187" s="1420">
        <v>81142481.769999996</v>
      </c>
      <c r="CD187" s="1420">
        <v>82199167.700000003</v>
      </c>
      <c r="CE187" s="1420">
        <v>56665217.240000002</v>
      </c>
      <c r="CF187" s="1420">
        <v>54316952.359999999</v>
      </c>
      <c r="CG187" s="1422">
        <v>0</v>
      </c>
      <c r="CH187" s="1422">
        <v>0</v>
      </c>
      <c r="CI187" s="1422">
        <v>0</v>
      </c>
      <c r="CJ187" s="1422">
        <v>0</v>
      </c>
      <c r="CK187" s="1420">
        <v>777113.15</v>
      </c>
      <c r="CL187" s="1420">
        <v>916429.78</v>
      </c>
      <c r="CM187" s="1422">
        <v>0</v>
      </c>
      <c r="CN187" s="1422">
        <v>0</v>
      </c>
      <c r="CO187" s="1422">
        <v>0</v>
      </c>
      <c r="CP187" s="1422">
        <v>0</v>
      </c>
      <c r="CQ187" s="1422">
        <v>0</v>
      </c>
      <c r="CR187" s="1422">
        <v>0</v>
      </c>
      <c r="CS187" s="1420">
        <v>777113.15</v>
      </c>
      <c r="CT187" s="1420">
        <v>916429.78</v>
      </c>
      <c r="CU187" s="1420">
        <v>354590522.26999998</v>
      </c>
      <c r="CV187" s="1420">
        <v>356532967.52999997</v>
      </c>
      <c r="CW187" s="1420">
        <v>120133853.52</v>
      </c>
      <c r="CX187" s="1420">
        <v>119687591.18000001</v>
      </c>
      <c r="CY187" s="1420">
        <v>25073471.219999999</v>
      </c>
      <c r="CZ187" s="1420">
        <v>25751890.399999999</v>
      </c>
      <c r="DA187" s="1420">
        <v>7270421.3899999997</v>
      </c>
      <c r="DB187" s="1420">
        <v>6877880.3799999999</v>
      </c>
      <c r="DC187" s="1420">
        <v>1263238.99</v>
      </c>
      <c r="DD187" s="1420">
        <v>1259633.4099999999</v>
      </c>
      <c r="DE187" s="1420">
        <v>13630897.029999999</v>
      </c>
      <c r="DF187" s="1420">
        <v>9199686.5399999991</v>
      </c>
      <c r="DG187" s="1422">
        <v>12433393</v>
      </c>
      <c r="DH187" s="1420">
        <v>13837881.75</v>
      </c>
      <c r="DI187" s="1420">
        <v>179805275.15000001</v>
      </c>
      <c r="DJ187" s="1420">
        <v>176614563.66</v>
      </c>
      <c r="DK187" s="1420">
        <v>4730476.5199999996</v>
      </c>
      <c r="DL187" s="1420">
        <v>4141580.69</v>
      </c>
      <c r="DM187" s="1420">
        <v>9937873.2300000004</v>
      </c>
      <c r="DN187" s="1420">
        <v>8338342.5800000001</v>
      </c>
      <c r="DO187" s="1420">
        <v>28733713.07</v>
      </c>
      <c r="DP187" s="1420">
        <v>26149086.07</v>
      </c>
      <c r="DQ187" s="1420">
        <v>17984656.57</v>
      </c>
      <c r="DR187" s="1420">
        <v>17873787.920000002</v>
      </c>
      <c r="DS187" s="1420">
        <v>1238360.17</v>
      </c>
      <c r="DT187" s="1420">
        <v>2355689.7799999998</v>
      </c>
      <c r="DU187" s="1420">
        <v>62625079.560000002</v>
      </c>
      <c r="DV187" s="1420">
        <v>58858487.039999999</v>
      </c>
      <c r="DW187" s="1458">
        <v>14674462.300000001</v>
      </c>
      <c r="DX187" s="1420">
        <v>15189558.32</v>
      </c>
      <c r="DY187" s="1420">
        <v>34871708.109999999</v>
      </c>
      <c r="DZ187" s="1420">
        <v>37779828.57</v>
      </c>
      <c r="EA187" s="1420">
        <v>16574701.65</v>
      </c>
      <c r="EB187" s="1420">
        <v>15606827.210000001</v>
      </c>
      <c r="EC187" s="1420">
        <v>66120872.060000002</v>
      </c>
      <c r="ED187" s="1420">
        <v>68576214.099999994</v>
      </c>
      <c r="EE187" s="1420">
        <v>11742948.220000001</v>
      </c>
      <c r="EF187" s="1422">
        <v>12696645</v>
      </c>
      <c r="EG187" s="1420">
        <v>1267448.58</v>
      </c>
      <c r="EH187" s="1422">
        <v>1460200</v>
      </c>
      <c r="EI187" s="1420">
        <v>271809.45</v>
      </c>
      <c r="EJ187" s="1420">
        <v>308011.3</v>
      </c>
      <c r="EK187" s="1422">
        <v>0</v>
      </c>
      <c r="EL187" s="1422">
        <v>0</v>
      </c>
      <c r="EM187" s="1420">
        <v>13282206.25</v>
      </c>
      <c r="EN187" s="1420">
        <v>14464856.300000001</v>
      </c>
      <c r="EO187" s="1420">
        <v>21212184.199999999</v>
      </c>
      <c r="EP187" s="1420">
        <v>21313046.960000001</v>
      </c>
      <c r="EQ187" s="1420">
        <v>13356632.48</v>
      </c>
      <c r="ER187" s="1420">
        <v>12361628.76</v>
      </c>
      <c r="ES187" s="1420">
        <v>10330357.279999999</v>
      </c>
      <c r="ET187" s="1420">
        <v>9996935.8800000008</v>
      </c>
      <c r="EU187" s="1420">
        <v>366732606.98000002</v>
      </c>
      <c r="EV187" s="1420">
        <v>362185732.69999999</v>
      </c>
      <c r="EW187" s="1420">
        <v>32117768.239999998</v>
      </c>
      <c r="EX187" s="1420">
        <v>26219065.940000001</v>
      </c>
      <c r="EY187" s="1420">
        <v>13356632.48</v>
      </c>
      <c r="EZ187" s="1420">
        <v>12361628.76</v>
      </c>
      <c r="FA187" s="1420">
        <v>321258206.25999999</v>
      </c>
      <c r="FB187" s="1422">
        <v>323605038</v>
      </c>
      <c r="FC187" s="1420">
        <v>25744502.25</v>
      </c>
      <c r="FD187" s="1439"/>
      <c r="FE187" s="1420">
        <v>295513704.00999999</v>
      </c>
      <c r="FF187" s="1439"/>
      <c r="FG187" s="1420">
        <v>12851.3777304</v>
      </c>
      <c r="FH187" s="1422">
        <v>0</v>
      </c>
      <c r="FI187" s="1420">
        <v>1936.39</v>
      </c>
      <c r="FJ187" s="1422">
        <v>0</v>
      </c>
      <c r="FK187" s="1420">
        <v>53069.311894799997</v>
      </c>
      <c r="FL187" s="1422">
        <v>0</v>
      </c>
      <c r="FM187" s="1420">
        <v>2136.59</v>
      </c>
      <c r="FN187" s="1422">
        <v>0</v>
      </c>
      <c r="FO187" s="1420">
        <v>55649.693244800001</v>
      </c>
      <c r="FP187" s="1422">
        <v>0</v>
      </c>
      <c r="FQ187" s="1420">
        <v>20598999.190000001</v>
      </c>
      <c r="FR187" s="1439"/>
      <c r="FS187" s="1422">
        <v>0</v>
      </c>
      <c r="FT187" s="1439"/>
      <c r="FU187" s="1422">
        <v>0</v>
      </c>
      <c r="FV187" s="1439"/>
      <c r="FW187" s="1420">
        <v>20598999.190000001</v>
      </c>
      <c r="FX187" s="1439"/>
      <c r="FY187" s="1420">
        <v>9146506.8599999994</v>
      </c>
      <c r="FZ187" s="1439"/>
      <c r="GA187" s="1420">
        <v>487731.62</v>
      </c>
      <c r="GB187" s="1439"/>
    </row>
    <row r="188" spans="1:184" ht="12.75" customHeight="1" thickBot="1">
      <c r="A188" s="1418" t="s">
        <v>251</v>
      </c>
      <c r="B188" s="1418" t="s">
        <v>252</v>
      </c>
      <c r="C188" s="1420">
        <v>28.65</v>
      </c>
      <c r="D188" s="1439"/>
      <c r="E188" s="1420">
        <v>8301.74</v>
      </c>
      <c r="F188" s="1439"/>
      <c r="G188" s="1421">
        <v>0</v>
      </c>
      <c r="H188" s="1439"/>
      <c r="I188" s="1420">
        <v>8729.74</v>
      </c>
      <c r="J188" s="1439"/>
      <c r="K188" s="1420">
        <v>8814.5</v>
      </c>
      <c r="L188" s="1439"/>
      <c r="M188" s="1422">
        <v>719817762</v>
      </c>
      <c r="N188" s="1439"/>
      <c r="O188" s="1420">
        <v>28.7</v>
      </c>
      <c r="P188" s="1439"/>
      <c r="Q188" s="1422">
        <v>25</v>
      </c>
      <c r="R188" s="1439"/>
      <c r="S188" s="1420">
        <v>3.7</v>
      </c>
      <c r="T188" s="1439"/>
      <c r="U188" s="1420">
        <v>2.9</v>
      </c>
      <c r="V188" s="1439"/>
      <c r="W188" s="1420">
        <v>9.3000000000000007</v>
      </c>
      <c r="X188" s="1439"/>
      <c r="Y188" s="1420">
        <v>40.9</v>
      </c>
      <c r="Z188" s="1439"/>
      <c r="AA188" s="1420">
        <v>31783870.59</v>
      </c>
      <c r="AB188" s="1439"/>
      <c r="AC188" s="1420">
        <v>26161544.420000002</v>
      </c>
      <c r="AD188" s="1420">
        <v>29097213.629999999</v>
      </c>
      <c r="AE188" s="1420">
        <v>6699488.4800000004</v>
      </c>
      <c r="AF188" s="1422">
        <v>2157264</v>
      </c>
      <c r="AG188" s="1420">
        <v>10954.26</v>
      </c>
      <c r="AH188" s="1422">
        <v>10800</v>
      </c>
      <c r="AI188" s="1422">
        <v>35784992</v>
      </c>
      <c r="AJ188" s="1422">
        <v>34983681</v>
      </c>
      <c r="AK188" s="1422">
        <v>335882</v>
      </c>
      <c r="AL188" s="1422">
        <v>335882</v>
      </c>
      <c r="AM188" s="1422">
        <v>0</v>
      </c>
      <c r="AN188" s="1422">
        <v>0</v>
      </c>
      <c r="AO188" s="1422">
        <v>0</v>
      </c>
      <c r="AP188" s="1422">
        <v>766771</v>
      </c>
      <c r="AQ188" s="1422">
        <v>0</v>
      </c>
      <c r="AR188" s="1422">
        <v>0</v>
      </c>
      <c r="AS188" s="1422">
        <v>0</v>
      </c>
      <c r="AT188" s="1422">
        <v>0</v>
      </c>
      <c r="AU188" s="1422">
        <v>0</v>
      </c>
      <c r="AV188" s="1422">
        <v>0</v>
      </c>
      <c r="AW188" s="1420">
        <v>7134.18</v>
      </c>
      <c r="AX188" s="1422">
        <v>7200</v>
      </c>
      <c r="AY188" s="1420">
        <v>68999995.340000004</v>
      </c>
      <c r="AZ188" s="1420">
        <v>67358811.629999995</v>
      </c>
      <c r="BA188" s="1422">
        <v>0</v>
      </c>
      <c r="BB188" s="1422">
        <v>0</v>
      </c>
      <c r="BC188" s="1422">
        <v>364568</v>
      </c>
      <c r="BD188" s="1422">
        <v>362980</v>
      </c>
      <c r="BE188" s="1420">
        <v>160402.10999999999</v>
      </c>
      <c r="BF188" s="1422">
        <v>147109</v>
      </c>
      <c r="BG188" s="1422">
        <v>11211</v>
      </c>
      <c r="BH188" s="1422">
        <v>11000</v>
      </c>
      <c r="BI188" s="1422">
        <v>618510</v>
      </c>
      <c r="BJ188" s="1422">
        <v>618510</v>
      </c>
      <c r="BK188" s="1422">
        <v>108410</v>
      </c>
      <c r="BL188" s="1422">
        <v>108410</v>
      </c>
      <c r="BM188" s="1422">
        <v>2897632</v>
      </c>
      <c r="BN188" s="1422">
        <v>2996532</v>
      </c>
      <c r="BO188" s="1420">
        <v>1613033.59</v>
      </c>
      <c r="BP188" s="1422">
        <v>1574300</v>
      </c>
      <c r="BQ188" s="1420">
        <v>6850.94</v>
      </c>
      <c r="BR188" s="1422">
        <v>0</v>
      </c>
      <c r="BS188" s="1420">
        <v>27674.03</v>
      </c>
      <c r="BT188" s="1422">
        <v>27650</v>
      </c>
      <c r="BU188" s="1422">
        <v>0</v>
      </c>
      <c r="BV188" s="1422">
        <v>0</v>
      </c>
      <c r="BW188" s="1420">
        <v>2778312.92</v>
      </c>
      <c r="BX188" s="1422">
        <v>2678160</v>
      </c>
      <c r="BY188" s="1420">
        <v>9792892.5700000003</v>
      </c>
      <c r="BZ188" s="1422">
        <v>9760000</v>
      </c>
      <c r="CA188" s="1420">
        <v>3053855.97</v>
      </c>
      <c r="CB188" s="1422">
        <v>294279</v>
      </c>
      <c r="CC188" s="1420">
        <v>21433353.129999999</v>
      </c>
      <c r="CD188" s="1422">
        <v>18578930</v>
      </c>
      <c r="CE188" s="1420">
        <v>22200098.940000001</v>
      </c>
      <c r="CF188" s="1422">
        <v>15446306</v>
      </c>
      <c r="CG188" s="1422">
        <v>0</v>
      </c>
      <c r="CH188" s="1422">
        <v>0</v>
      </c>
      <c r="CI188" s="1422">
        <v>0</v>
      </c>
      <c r="CJ188" s="1422">
        <v>0</v>
      </c>
      <c r="CK188" s="1422">
        <v>0</v>
      </c>
      <c r="CL188" s="1422">
        <v>110000</v>
      </c>
      <c r="CM188" s="1422">
        <v>722</v>
      </c>
      <c r="CN188" s="1422">
        <v>1000</v>
      </c>
      <c r="CO188" s="1420">
        <v>92725.66</v>
      </c>
      <c r="CP188" s="1422">
        <v>100000</v>
      </c>
      <c r="CQ188" s="1422">
        <v>0</v>
      </c>
      <c r="CR188" s="1422">
        <v>0</v>
      </c>
      <c r="CS188" s="1420">
        <v>93447.66</v>
      </c>
      <c r="CT188" s="1422">
        <v>211000</v>
      </c>
      <c r="CU188" s="1420">
        <v>112726895.06999999</v>
      </c>
      <c r="CV188" s="1420">
        <v>101595047.63</v>
      </c>
      <c r="CW188" s="1420">
        <v>33190348.859999999</v>
      </c>
      <c r="CX188" s="1420">
        <v>31513019.440000001</v>
      </c>
      <c r="CY188" s="1420">
        <v>9028268.8200000003</v>
      </c>
      <c r="CZ188" s="1420">
        <v>9005908.4700000007</v>
      </c>
      <c r="DA188" s="1420">
        <v>1446423.44</v>
      </c>
      <c r="DB188" s="1422">
        <v>1566514</v>
      </c>
      <c r="DC188" s="1422">
        <v>0</v>
      </c>
      <c r="DD188" s="1422">
        <v>0</v>
      </c>
      <c r="DE188" s="1420">
        <v>4579957.18</v>
      </c>
      <c r="DF188" s="1420">
        <v>4094116.25</v>
      </c>
      <c r="DG188" s="1420">
        <v>4876266.7699999996</v>
      </c>
      <c r="DH188" s="1420">
        <v>5023698.6900000004</v>
      </c>
      <c r="DI188" s="1420">
        <v>53121265.07</v>
      </c>
      <c r="DJ188" s="1420">
        <v>51203256.850000001</v>
      </c>
      <c r="DK188" s="1420">
        <v>1461982.02</v>
      </c>
      <c r="DL188" s="1422">
        <v>1372195</v>
      </c>
      <c r="DM188" s="1420">
        <v>4103883.07</v>
      </c>
      <c r="DN188" s="1420">
        <v>5138150.4800000004</v>
      </c>
      <c r="DO188" s="1420">
        <v>8004552.3399999999</v>
      </c>
      <c r="DP188" s="1420">
        <v>8750905.0700000003</v>
      </c>
      <c r="DQ188" s="1420">
        <v>5024473.8499999996</v>
      </c>
      <c r="DR188" s="1420">
        <v>4651116.93</v>
      </c>
      <c r="DS188" s="1422">
        <v>0</v>
      </c>
      <c r="DT188" s="1422">
        <v>110000</v>
      </c>
      <c r="DU188" s="1420">
        <v>18594891.280000001</v>
      </c>
      <c r="DV188" s="1420">
        <v>20022367.48</v>
      </c>
      <c r="DW188" s="1420">
        <v>7955019.8799999999</v>
      </c>
      <c r="DX188" s="1420">
        <v>8753761.5199999996</v>
      </c>
      <c r="DY188" s="1420">
        <v>9139221.8900000006</v>
      </c>
      <c r="DZ188" s="1420">
        <v>8177645.1799999997</v>
      </c>
      <c r="EA188" s="1420">
        <v>5163520.6399999997</v>
      </c>
      <c r="EB188" s="1422">
        <v>5250815</v>
      </c>
      <c r="EC188" s="1420">
        <v>22257762.41</v>
      </c>
      <c r="ED188" s="1420">
        <v>22182221.699999999</v>
      </c>
      <c r="EE188" s="1420">
        <v>5281697.53</v>
      </c>
      <c r="EF188" s="1422">
        <v>5266502</v>
      </c>
      <c r="EG188" s="1422">
        <v>0</v>
      </c>
      <c r="EH188" s="1422">
        <v>0</v>
      </c>
      <c r="EI188" s="1420">
        <v>19924.39</v>
      </c>
      <c r="EJ188" s="1422">
        <v>98012</v>
      </c>
      <c r="EK188" s="1422">
        <v>0</v>
      </c>
      <c r="EL188" s="1422">
        <v>0</v>
      </c>
      <c r="EM188" s="1420">
        <v>5301621.92</v>
      </c>
      <c r="EN188" s="1422">
        <v>5364514</v>
      </c>
      <c r="EO188" s="1420">
        <v>8379726.6299999999</v>
      </c>
      <c r="EP188" s="1420">
        <v>773563.55</v>
      </c>
      <c r="EQ188" s="1420">
        <v>1886777.66</v>
      </c>
      <c r="ER188" s="1422">
        <v>1748364</v>
      </c>
      <c r="ES188" s="1420">
        <v>1430200.01</v>
      </c>
      <c r="ET188" s="1422">
        <v>1200000</v>
      </c>
      <c r="EU188" s="1420">
        <v>110972244.98</v>
      </c>
      <c r="EV188" s="1420">
        <v>102494287.58</v>
      </c>
      <c r="EW188" s="1420">
        <v>10371679.140000001</v>
      </c>
      <c r="EX188" s="1420">
        <v>2209590.21</v>
      </c>
      <c r="EY188" s="1420">
        <v>1886777.66</v>
      </c>
      <c r="EZ188" s="1422">
        <v>1748364</v>
      </c>
      <c r="FA188" s="1420">
        <v>98713788.180000007</v>
      </c>
      <c r="FB188" s="1420">
        <v>98536333.370000005</v>
      </c>
      <c r="FC188" s="1420">
        <v>6414113.9100000001</v>
      </c>
      <c r="FD188" s="1439"/>
      <c r="FE188" s="1420">
        <v>92299674.269999996</v>
      </c>
      <c r="FF188" s="1439"/>
      <c r="FG188" s="1422">
        <v>11118</v>
      </c>
      <c r="FH188" s="1439"/>
      <c r="FI188" s="1420">
        <v>670.72</v>
      </c>
      <c r="FJ188" s="1439"/>
      <c r="FK188" s="1422">
        <v>49104</v>
      </c>
      <c r="FL188" s="1439"/>
      <c r="FM188" s="1420">
        <v>737.88</v>
      </c>
      <c r="FN188" s="1439"/>
      <c r="FO188" s="1422">
        <v>51388</v>
      </c>
      <c r="FP188" s="1439"/>
      <c r="FQ188" s="1420">
        <v>13557456.82</v>
      </c>
      <c r="FR188" s="1439"/>
      <c r="FS188" s="1420">
        <v>877692.11</v>
      </c>
      <c r="FT188" s="1439"/>
      <c r="FU188" s="1422">
        <v>0</v>
      </c>
      <c r="FV188" s="1439"/>
      <c r="FW188" s="1420">
        <v>12679764.710000001</v>
      </c>
      <c r="FX188" s="1439"/>
      <c r="FY188" s="1420">
        <v>1800715.24</v>
      </c>
      <c r="FZ188" s="1439"/>
      <c r="GA188" s="1420">
        <v>859033.39</v>
      </c>
      <c r="GB188" s="1439"/>
    </row>
    <row r="189" spans="1:184" ht="12.75" customHeight="1" thickBot="1">
      <c r="A189" s="1418" t="s">
        <v>253</v>
      </c>
      <c r="B189" s="1418" t="s">
        <v>254</v>
      </c>
      <c r="C189" s="1420">
        <v>729.83</v>
      </c>
      <c r="D189" s="1439"/>
      <c r="E189" s="1420">
        <v>15651.58</v>
      </c>
      <c r="F189" s="1439"/>
      <c r="G189" s="1421">
        <v>-0.06</v>
      </c>
      <c r="H189" s="1439"/>
      <c r="I189" s="1422">
        <v>16618</v>
      </c>
      <c r="J189" s="1439"/>
      <c r="K189" s="1420">
        <v>16740.45</v>
      </c>
      <c r="L189" s="1439"/>
      <c r="M189" s="1422">
        <v>2352330997</v>
      </c>
      <c r="N189" s="1439"/>
      <c r="O189" s="1422">
        <v>25</v>
      </c>
      <c r="P189" s="1439"/>
      <c r="Q189" s="1422">
        <v>25</v>
      </c>
      <c r="R189" s="1439"/>
      <c r="S189" s="1422">
        <v>0</v>
      </c>
      <c r="T189" s="1439"/>
      <c r="U189" s="1420">
        <v>0.9</v>
      </c>
      <c r="V189" s="1439"/>
      <c r="W189" s="1420">
        <v>14.8</v>
      </c>
      <c r="X189" s="1439"/>
      <c r="Y189" s="1420">
        <v>40.700000000000003</v>
      </c>
      <c r="Z189" s="1439"/>
      <c r="AA189" s="1420">
        <v>149919256.30000001</v>
      </c>
      <c r="AB189" s="1439"/>
      <c r="AC189" s="1420">
        <v>90455039.609999999</v>
      </c>
      <c r="AD189" s="1420">
        <v>105142937.94</v>
      </c>
      <c r="AE189" s="1420">
        <v>6315658.8899999997</v>
      </c>
      <c r="AF189" s="1420">
        <v>2822013.02</v>
      </c>
      <c r="AG189" s="1420">
        <v>83349.55</v>
      </c>
      <c r="AH189" s="1422">
        <v>13000</v>
      </c>
      <c r="AI189" s="1422">
        <v>44313364</v>
      </c>
      <c r="AJ189" s="1422">
        <v>43018176</v>
      </c>
      <c r="AK189" s="1422">
        <v>940437</v>
      </c>
      <c r="AL189" s="1422">
        <v>0</v>
      </c>
      <c r="AM189" s="1422">
        <v>0</v>
      </c>
      <c r="AN189" s="1422">
        <v>0</v>
      </c>
      <c r="AO189" s="1422">
        <v>528488</v>
      </c>
      <c r="AP189" s="1422">
        <v>1004083</v>
      </c>
      <c r="AQ189" s="1422">
        <v>0</v>
      </c>
      <c r="AR189" s="1422">
        <v>0</v>
      </c>
      <c r="AS189" s="1422">
        <v>0</v>
      </c>
      <c r="AT189" s="1422">
        <v>0</v>
      </c>
      <c r="AU189" s="1422">
        <v>0</v>
      </c>
      <c r="AV189" s="1422">
        <v>0</v>
      </c>
      <c r="AW189" s="1422">
        <v>0</v>
      </c>
      <c r="AX189" s="1422">
        <v>0</v>
      </c>
      <c r="AY189" s="1420">
        <v>142636337.05000001</v>
      </c>
      <c r="AZ189" s="1420">
        <v>152000209.96000001</v>
      </c>
      <c r="BA189" s="1420">
        <v>917128.97</v>
      </c>
      <c r="BB189" s="1420">
        <v>891655.24</v>
      </c>
      <c r="BC189" s="1422">
        <v>692385</v>
      </c>
      <c r="BD189" s="1422">
        <v>695608</v>
      </c>
      <c r="BE189" s="1420">
        <v>99762.19</v>
      </c>
      <c r="BF189" s="1422">
        <v>93800</v>
      </c>
      <c r="BG189" s="1422">
        <v>15900</v>
      </c>
      <c r="BH189" s="1422">
        <v>0</v>
      </c>
      <c r="BI189" s="1422">
        <v>412313</v>
      </c>
      <c r="BJ189" s="1422">
        <v>425816</v>
      </c>
      <c r="BK189" s="1422">
        <v>98155</v>
      </c>
      <c r="BL189" s="1422">
        <v>95000</v>
      </c>
      <c r="BM189" s="1422">
        <v>4325120</v>
      </c>
      <c r="BN189" s="1422">
        <v>4566144</v>
      </c>
      <c r="BO189" s="1420">
        <v>2698756.67</v>
      </c>
      <c r="BP189" s="1422">
        <v>2541257</v>
      </c>
      <c r="BQ189" s="1420">
        <v>171929.66</v>
      </c>
      <c r="BR189" s="1420">
        <v>136472.10999999999</v>
      </c>
      <c r="BS189" s="1420">
        <v>56119.23</v>
      </c>
      <c r="BT189" s="1422">
        <v>59000</v>
      </c>
      <c r="BU189" s="1422">
        <v>0</v>
      </c>
      <c r="BV189" s="1422">
        <v>0</v>
      </c>
      <c r="BW189" s="1422">
        <v>3368596</v>
      </c>
      <c r="BX189" s="1422">
        <v>3438850</v>
      </c>
      <c r="BY189" s="1420">
        <v>19981259.5</v>
      </c>
      <c r="BZ189" s="1422">
        <v>22696000</v>
      </c>
      <c r="CA189" s="1420">
        <v>7110566.9699999997</v>
      </c>
      <c r="CB189" s="1422">
        <v>3192013</v>
      </c>
      <c r="CC189" s="1420">
        <v>39947992.189999998</v>
      </c>
      <c r="CD189" s="1420">
        <v>38831615.350000001</v>
      </c>
      <c r="CE189" s="1420">
        <v>27933437.52</v>
      </c>
      <c r="CF189" s="1420">
        <v>26568627.170000002</v>
      </c>
      <c r="CG189" s="1420">
        <v>689204.09</v>
      </c>
      <c r="CH189" s="1422">
        <v>1021134</v>
      </c>
      <c r="CI189" s="1422">
        <v>0</v>
      </c>
      <c r="CJ189" s="1422">
        <v>0</v>
      </c>
      <c r="CK189" s="1420">
        <v>237262.34</v>
      </c>
      <c r="CL189" s="1422">
        <v>190000</v>
      </c>
      <c r="CM189" s="1420">
        <v>11722.3</v>
      </c>
      <c r="CN189" s="1422">
        <v>7000</v>
      </c>
      <c r="CO189" s="1420">
        <v>371021.48</v>
      </c>
      <c r="CP189" s="1422">
        <v>0</v>
      </c>
      <c r="CQ189" s="1422">
        <v>0</v>
      </c>
      <c r="CR189" s="1422">
        <v>0</v>
      </c>
      <c r="CS189" s="1420">
        <v>1309210.21</v>
      </c>
      <c r="CT189" s="1422">
        <v>1218134</v>
      </c>
      <c r="CU189" s="1420">
        <v>211826976.97</v>
      </c>
      <c r="CV189" s="1420">
        <v>218618586.47999999</v>
      </c>
      <c r="CW189" s="1420">
        <v>69304326.780000001</v>
      </c>
      <c r="CX189" s="1420">
        <v>63202553.310000002</v>
      </c>
      <c r="CY189" s="1420">
        <v>19786449.920000002</v>
      </c>
      <c r="CZ189" s="1420">
        <v>19519577.77</v>
      </c>
      <c r="DA189" s="1420">
        <v>5014095.2</v>
      </c>
      <c r="DB189" s="1420">
        <v>5358030.6500000004</v>
      </c>
      <c r="DC189" s="1420">
        <v>1174498.25</v>
      </c>
      <c r="DD189" s="1420">
        <v>1108961.5</v>
      </c>
      <c r="DE189" s="1420">
        <v>6489670.1600000001</v>
      </c>
      <c r="DF189" s="1420">
        <v>8800015.6899999995</v>
      </c>
      <c r="DG189" s="1420">
        <v>7119584.4400000004</v>
      </c>
      <c r="DH189" s="1420">
        <v>6503557.7999999998</v>
      </c>
      <c r="DI189" s="1420">
        <v>108888624.75</v>
      </c>
      <c r="DJ189" s="1420">
        <v>104492696.72</v>
      </c>
      <c r="DK189" s="1420">
        <v>2966788.05</v>
      </c>
      <c r="DL189" s="1420">
        <v>2887329.55</v>
      </c>
      <c r="DM189" s="1420">
        <v>6301897.0999999996</v>
      </c>
      <c r="DN189" s="1420">
        <v>7445013.2199999997</v>
      </c>
      <c r="DO189" s="1420">
        <v>15149433.689999999</v>
      </c>
      <c r="DP189" s="1420">
        <v>17075661.359999999</v>
      </c>
      <c r="DQ189" s="1420">
        <v>13593236.59</v>
      </c>
      <c r="DR189" s="1420">
        <v>12780678.880000001</v>
      </c>
      <c r="DS189" s="1422">
        <v>1464253</v>
      </c>
      <c r="DT189" s="1420">
        <v>1302403.76</v>
      </c>
      <c r="DU189" s="1420">
        <v>39475608.43</v>
      </c>
      <c r="DV189" s="1420">
        <v>41491086.770000003</v>
      </c>
      <c r="DW189" s="1420">
        <v>11400165.26</v>
      </c>
      <c r="DX189" s="1420">
        <v>12351483.710000001</v>
      </c>
      <c r="DY189" s="1420">
        <v>13153096.16</v>
      </c>
      <c r="DZ189" s="1420">
        <v>16797245.329999998</v>
      </c>
      <c r="EA189" s="1420">
        <v>11539041.130000001</v>
      </c>
      <c r="EB189" s="1422">
        <v>11752338</v>
      </c>
      <c r="EC189" s="1420">
        <v>36092302.549999997</v>
      </c>
      <c r="ED189" s="1420">
        <v>40901067.039999999</v>
      </c>
      <c r="EE189" s="1420">
        <v>8595241.6199999992</v>
      </c>
      <c r="EF189" s="1420">
        <v>7345877.4100000001</v>
      </c>
      <c r="EG189" s="1422">
        <v>0</v>
      </c>
      <c r="EH189" s="1422">
        <v>0</v>
      </c>
      <c r="EI189" s="1420">
        <v>39806.660000000003</v>
      </c>
      <c r="EJ189" s="1420">
        <v>120157.23</v>
      </c>
      <c r="EK189" s="1422">
        <v>0</v>
      </c>
      <c r="EL189" s="1422">
        <v>0</v>
      </c>
      <c r="EM189" s="1420">
        <v>8635048.2799999993</v>
      </c>
      <c r="EN189" s="1420">
        <v>7466034.6399999997</v>
      </c>
      <c r="EO189" s="1420">
        <v>51817943.850000001</v>
      </c>
      <c r="EP189" s="1420">
        <v>10194611.02</v>
      </c>
      <c r="EQ189" s="1420">
        <v>9670028.9800000004</v>
      </c>
      <c r="ER189" s="1420">
        <v>9533308.7599999998</v>
      </c>
      <c r="ES189" s="1420">
        <v>3454725.05</v>
      </c>
      <c r="ET189" s="1422">
        <v>3500000</v>
      </c>
      <c r="EU189" s="1420">
        <v>258034281.88999999</v>
      </c>
      <c r="EV189" s="1420">
        <v>217578804.94999999</v>
      </c>
      <c r="EW189" s="1420">
        <v>56352847.469999999</v>
      </c>
      <c r="EX189" s="1420">
        <v>14754307.359999999</v>
      </c>
      <c r="EY189" s="1420">
        <v>9670028.9800000004</v>
      </c>
      <c r="EZ189" s="1420">
        <v>9533308.7599999998</v>
      </c>
      <c r="FA189" s="1420">
        <v>192011405.44</v>
      </c>
      <c r="FB189" s="1420">
        <v>193291188.83000001</v>
      </c>
      <c r="FC189" s="1420">
        <v>13716080.41</v>
      </c>
      <c r="FD189" s="1439"/>
      <c r="FE189" s="1420">
        <v>178295325.03</v>
      </c>
      <c r="FF189" s="1439"/>
      <c r="FG189" s="1422">
        <v>11391</v>
      </c>
      <c r="FH189" s="1439"/>
      <c r="FI189" s="1420">
        <v>1447.02</v>
      </c>
      <c r="FJ189" s="1439"/>
      <c r="FK189" s="1422">
        <v>44930</v>
      </c>
      <c r="FL189" s="1439"/>
      <c r="FM189" s="1420">
        <v>1551.55</v>
      </c>
      <c r="FN189" s="1439"/>
      <c r="FO189" s="1422">
        <v>48186</v>
      </c>
      <c r="FP189" s="1439"/>
      <c r="FQ189" s="1420">
        <v>4087686.85</v>
      </c>
      <c r="FR189" s="1439"/>
      <c r="FS189" s="1420">
        <v>1596366.21</v>
      </c>
      <c r="FT189" s="1439"/>
      <c r="FU189" s="1422">
        <v>0</v>
      </c>
      <c r="FV189" s="1439"/>
      <c r="FW189" s="1420">
        <v>2491320.64</v>
      </c>
      <c r="FX189" s="1439"/>
      <c r="FY189" s="1420">
        <v>32969154.600000001</v>
      </c>
      <c r="FZ189" s="1439"/>
      <c r="GA189" s="1420">
        <v>611849.39</v>
      </c>
      <c r="GB189" s="1439"/>
    </row>
    <row r="190" spans="1:184" ht="12.75" customHeight="1" thickBot="1">
      <c r="A190" s="1418" t="s">
        <v>255</v>
      </c>
      <c r="B190" s="1418" t="s">
        <v>256</v>
      </c>
      <c r="C190" s="1420">
        <v>201.67</v>
      </c>
      <c r="D190" s="1439"/>
      <c r="E190" s="1420">
        <v>497.94</v>
      </c>
      <c r="F190" s="1439"/>
      <c r="G190" s="1421">
        <v>0.03</v>
      </c>
      <c r="H190" s="1439"/>
      <c r="I190" s="1420">
        <v>520.89</v>
      </c>
      <c r="J190" s="1439"/>
      <c r="K190" s="1420">
        <v>470.45</v>
      </c>
      <c r="L190" s="1439"/>
      <c r="M190" s="1422">
        <v>25409564</v>
      </c>
      <c r="N190" s="1439"/>
      <c r="O190" s="1420">
        <v>25.2</v>
      </c>
      <c r="P190" s="1439"/>
      <c r="Q190" s="1422">
        <v>25</v>
      </c>
      <c r="R190" s="1439"/>
      <c r="S190" s="1420">
        <v>0.2</v>
      </c>
      <c r="T190" s="1439"/>
      <c r="U190" s="1422">
        <v>3</v>
      </c>
      <c r="V190" s="1439"/>
      <c r="W190" s="1420">
        <v>2.5</v>
      </c>
      <c r="X190" s="1439"/>
      <c r="Y190" s="1420">
        <v>30.7</v>
      </c>
      <c r="Z190" s="1439"/>
      <c r="AA190" s="1420">
        <v>236378.4</v>
      </c>
      <c r="AB190" s="1439"/>
      <c r="AC190" s="1420">
        <v>653626.15</v>
      </c>
      <c r="AD190" s="1422">
        <v>556000</v>
      </c>
      <c r="AE190" s="1420">
        <v>208244.84</v>
      </c>
      <c r="AF190" s="1422">
        <v>127750</v>
      </c>
      <c r="AG190" s="1422">
        <v>0</v>
      </c>
      <c r="AH190" s="1422">
        <v>0</v>
      </c>
      <c r="AI190" s="1422">
        <v>2473056</v>
      </c>
      <c r="AJ190" s="1422">
        <v>2573943</v>
      </c>
      <c r="AK190" s="1422">
        <v>26321</v>
      </c>
      <c r="AL190" s="1422">
        <v>20000</v>
      </c>
      <c r="AM190" s="1422">
        <v>144818</v>
      </c>
      <c r="AN190" s="1422">
        <v>75000</v>
      </c>
      <c r="AO190" s="1422">
        <v>0</v>
      </c>
      <c r="AP190" s="1422">
        <v>0</v>
      </c>
      <c r="AQ190" s="1422">
        <v>146505</v>
      </c>
      <c r="AR190" s="1422">
        <v>73253</v>
      </c>
      <c r="AS190" s="1422">
        <v>12022</v>
      </c>
      <c r="AT190" s="1422">
        <v>0</v>
      </c>
      <c r="AU190" s="1422">
        <v>20789</v>
      </c>
      <c r="AV190" s="1422">
        <v>16631</v>
      </c>
      <c r="AW190" s="1422">
        <v>0</v>
      </c>
      <c r="AX190" s="1422">
        <v>0</v>
      </c>
      <c r="AY190" s="1420">
        <v>3685381.99</v>
      </c>
      <c r="AZ190" s="1422">
        <v>3442577</v>
      </c>
      <c r="BA190" s="1422">
        <v>0</v>
      </c>
      <c r="BB190" s="1422">
        <v>0</v>
      </c>
      <c r="BC190" s="1422">
        <v>20538</v>
      </c>
      <c r="BD190" s="1422">
        <v>22049</v>
      </c>
      <c r="BE190" s="1420">
        <v>2468.65</v>
      </c>
      <c r="BF190" s="1422">
        <v>4600</v>
      </c>
      <c r="BG190" s="1422">
        <v>150</v>
      </c>
      <c r="BH190" s="1422">
        <v>0</v>
      </c>
      <c r="BI190" s="1422">
        <v>1947</v>
      </c>
      <c r="BJ190" s="1422">
        <v>1500</v>
      </c>
      <c r="BK190" s="1422">
        <v>0</v>
      </c>
      <c r="BL190" s="1422">
        <v>0</v>
      </c>
      <c r="BM190" s="1422">
        <v>358595</v>
      </c>
      <c r="BN190" s="1422">
        <v>383548</v>
      </c>
      <c r="BO190" s="1420">
        <v>1927.3</v>
      </c>
      <c r="BP190" s="1422">
        <v>1404</v>
      </c>
      <c r="BQ190" s="1422">
        <v>0</v>
      </c>
      <c r="BR190" s="1422">
        <v>0</v>
      </c>
      <c r="BS190" s="1420">
        <v>2096.04</v>
      </c>
      <c r="BT190" s="1422">
        <v>2000</v>
      </c>
      <c r="BU190" s="1422">
        <v>0</v>
      </c>
      <c r="BV190" s="1422">
        <v>0</v>
      </c>
      <c r="BW190" s="1422">
        <v>0</v>
      </c>
      <c r="BX190" s="1422">
        <v>0</v>
      </c>
      <c r="BY190" s="1422">
        <v>0</v>
      </c>
      <c r="BZ190" s="1422">
        <v>0</v>
      </c>
      <c r="CA190" s="1420">
        <v>165058.10999999999</v>
      </c>
      <c r="CB190" s="1422">
        <v>13121</v>
      </c>
      <c r="CC190" s="1420">
        <v>552780.1</v>
      </c>
      <c r="CD190" s="1422">
        <v>428222</v>
      </c>
      <c r="CE190" s="1420">
        <v>1079912.6299999999</v>
      </c>
      <c r="CF190" s="1422">
        <v>696103</v>
      </c>
      <c r="CG190" s="1420">
        <v>76378.399999999994</v>
      </c>
      <c r="CH190" s="1422">
        <v>0</v>
      </c>
      <c r="CI190" s="1422">
        <v>0</v>
      </c>
      <c r="CJ190" s="1420">
        <v>67057.66</v>
      </c>
      <c r="CK190" s="1422">
        <v>0</v>
      </c>
      <c r="CL190" s="1422">
        <v>0</v>
      </c>
      <c r="CM190" s="1422">
        <v>125</v>
      </c>
      <c r="CN190" s="1422">
        <v>0</v>
      </c>
      <c r="CO190" s="1422">
        <v>0</v>
      </c>
      <c r="CP190" s="1422">
        <v>0</v>
      </c>
      <c r="CQ190" s="1422">
        <v>0</v>
      </c>
      <c r="CR190" s="1422">
        <v>0</v>
      </c>
      <c r="CS190" s="1420">
        <v>76503.399999999994</v>
      </c>
      <c r="CT190" s="1420">
        <v>67057.66</v>
      </c>
      <c r="CU190" s="1420">
        <v>5394578.1200000001</v>
      </c>
      <c r="CV190" s="1420">
        <v>4633959.66</v>
      </c>
      <c r="CW190" s="1420">
        <v>1710631.07</v>
      </c>
      <c r="CX190" s="1422">
        <v>1635999</v>
      </c>
      <c r="CY190" s="1420">
        <v>351059.98</v>
      </c>
      <c r="CZ190" s="1422">
        <v>351015</v>
      </c>
      <c r="DA190" s="1420">
        <v>194754.37</v>
      </c>
      <c r="DB190" s="1422">
        <v>194339</v>
      </c>
      <c r="DC190" s="1422">
        <v>0</v>
      </c>
      <c r="DD190" s="1422">
        <v>0</v>
      </c>
      <c r="DE190" s="1420">
        <v>237925.22</v>
      </c>
      <c r="DF190" s="1420">
        <v>177680.69</v>
      </c>
      <c r="DG190" s="1420">
        <v>207447.98</v>
      </c>
      <c r="DH190" s="1420">
        <v>219088.61</v>
      </c>
      <c r="DI190" s="1420">
        <v>2701818.62</v>
      </c>
      <c r="DJ190" s="1420">
        <v>2578122.2999999998</v>
      </c>
      <c r="DK190" s="1420">
        <v>153889.99</v>
      </c>
      <c r="DL190" s="1422">
        <v>172026</v>
      </c>
      <c r="DM190" s="1420">
        <v>140231.15</v>
      </c>
      <c r="DN190" s="1422">
        <v>130003</v>
      </c>
      <c r="DO190" s="1420">
        <v>478151.39</v>
      </c>
      <c r="DP190" s="1422">
        <v>356423</v>
      </c>
      <c r="DQ190" s="1420">
        <v>233458.39</v>
      </c>
      <c r="DR190" s="1422">
        <v>353296</v>
      </c>
      <c r="DS190" s="1420">
        <v>16948.39</v>
      </c>
      <c r="DT190" s="1422">
        <v>6000</v>
      </c>
      <c r="DU190" s="1420">
        <v>1022679.31</v>
      </c>
      <c r="DV190" s="1422">
        <v>1017748</v>
      </c>
      <c r="DW190" s="1420">
        <v>235685.15</v>
      </c>
      <c r="DX190" s="1422">
        <v>262923</v>
      </c>
      <c r="DY190" s="1420">
        <v>150247.94</v>
      </c>
      <c r="DZ190" s="1420">
        <v>264933.64</v>
      </c>
      <c r="EA190" s="1420">
        <v>181466.43</v>
      </c>
      <c r="EB190" s="1422">
        <v>214940</v>
      </c>
      <c r="EC190" s="1420">
        <v>567399.52</v>
      </c>
      <c r="ED190" s="1420">
        <v>742796.64</v>
      </c>
      <c r="EE190" s="1420">
        <v>334160.14</v>
      </c>
      <c r="EF190" s="1422">
        <v>336702</v>
      </c>
      <c r="EG190" s="1422">
        <v>0</v>
      </c>
      <c r="EH190" s="1422">
        <v>0</v>
      </c>
      <c r="EI190" s="1420">
        <v>1293.74</v>
      </c>
      <c r="EJ190" s="1422">
        <v>5000</v>
      </c>
      <c r="EK190" s="1422">
        <v>0</v>
      </c>
      <c r="EL190" s="1422">
        <v>0</v>
      </c>
      <c r="EM190" s="1420">
        <v>335453.88</v>
      </c>
      <c r="EN190" s="1422">
        <v>341702</v>
      </c>
      <c r="EO190" s="1420">
        <v>321339.98</v>
      </c>
      <c r="EP190" s="1422">
        <v>2500</v>
      </c>
      <c r="EQ190" s="1422">
        <v>29298</v>
      </c>
      <c r="ER190" s="1422">
        <v>28338</v>
      </c>
      <c r="ES190" s="1422">
        <v>0</v>
      </c>
      <c r="ET190" s="1422">
        <v>190</v>
      </c>
      <c r="EU190" s="1420">
        <v>4977989.3099999996</v>
      </c>
      <c r="EV190" s="1420">
        <v>4711396.9400000004</v>
      </c>
      <c r="EW190" s="1420">
        <v>452231.56</v>
      </c>
      <c r="EX190" s="1422">
        <v>169984</v>
      </c>
      <c r="EY190" s="1422">
        <v>29298</v>
      </c>
      <c r="EZ190" s="1422">
        <v>28338</v>
      </c>
      <c r="FA190" s="1420">
        <v>4496459.75</v>
      </c>
      <c r="FB190" s="1420">
        <v>4513074.9400000004</v>
      </c>
      <c r="FC190" s="1420">
        <v>186622.87</v>
      </c>
      <c r="FD190" s="1439"/>
      <c r="FE190" s="1420">
        <v>4309836.88</v>
      </c>
      <c r="FF190" s="1439"/>
      <c r="FG190" s="1422">
        <v>8655</v>
      </c>
      <c r="FH190" s="1439"/>
      <c r="FI190" s="1420">
        <v>39.200000000000003</v>
      </c>
      <c r="FJ190" s="1439"/>
      <c r="FK190" s="1422">
        <v>41160</v>
      </c>
      <c r="FL190" s="1439"/>
      <c r="FM190" s="1420">
        <v>41.77</v>
      </c>
      <c r="FN190" s="1439"/>
      <c r="FO190" s="1422">
        <v>42975</v>
      </c>
      <c r="FP190" s="1439"/>
      <c r="FQ190" s="1420">
        <v>823966.84</v>
      </c>
      <c r="FR190" s="1439"/>
      <c r="FS190" s="1420">
        <v>169887.59</v>
      </c>
      <c r="FT190" s="1439"/>
      <c r="FU190" s="1422">
        <v>0</v>
      </c>
      <c r="FV190" s="1439"/>
      <c r="FW190" s="1420">
        <v>654079.25</v>
      </c>
      <c r="FX190" s="1439"/>
      <c r="FY190" s="1422">
        <v>150000</v>
      </c>
      <c r="FZ190" s="1439"/>
      <c r="GA190" s="1420">
        <v>150936.60999999999</v>
      </c>
      <c r="GB190" s="1439"/>
    </row>
    <row r="191" spans="1:184" ht="12.75" customHeight="1" thickBot="1">
      <c r="A191" s="1418" t="s">
        <v>257</v>
      </c>
      <c r="B191" s="1418" t="s">
        <v>258</v>
      </c>
      <c r="C191" s="1420">
        <v>199.28</v>
      </c>
      <c r="D191" s="1439"/>
      <c r="E191" s="1420">
        <v>1734.41</v>
      </c>
      <c r="F191" s="1439"/>
      <c r="G191" s="1421">
        <v>-0.03</v>
      </c>
      <c r="H191" s="1439"/>
      <c r="I191" s="1420">
        <v>1819.36</v>
      </c>
      <c r="J191" s="1439"/>
      <c r="K191" s="1420">
        <v>1831.14</v>
      </c>
      <c r="L191" s="1439"/>
      <c r="M191" s="1422">
        <v>118666424</v>
      </c>
      <c r="N191" s="1439"/>
      <c r="O191" s="1422">
        <v>25</v>
      </c>
      <c r="P191" s="1439"/>
      <c r="Q191" s="1422">
        <v>25</v>
      </c>
      <c r="R191" s="1439"/>
      <c r="S191" s="1422">
        <v>0</v>
      </c>
      <c r="T191" s="1439"/>
      <c r="U191" s="1422">
        <v>0</v>
      </c>
      <c r="V191" s="1439"/>
      <c r="W191" s="1420">
        <v>4.37</v>
      </c>
      <c r="X191" s="1439"/>
      <c r="Y191" s="1420">
        <v>29.37</v>
      </c>
      <c r="Z191" s="1439"/>
      <c r="AA191" s="1422">
        <v>3530000</v>
      </c>
      <c r="AB191" s="1439"/>
      <c r="AC191" s="1420">
        <v>3039787.65</v>
      </c>
      <c r="AD191" s="1422">
        <v>2940000</v>
      </c>
      <c r="AE191" s="1420">
        <v>887643.66</v>
      </c>
      <c r="AF191" s="1422">
        <v>391750</v>
      </c>
      <c r="AG191" s="1422">
        <v>0</v>
      </c>
      <c r="AH191" s="1422">
        <v>0</v>
      </c>
      <c r="AI191" s="1422">
        <v>8351773</v>
      </c>
      <c r="AJ191" s="1422">
        <v>8269530</v>
      </c>
      <c r="AK191" s="1422">
        <v>162448</v>
      </c>
      <c r="AL191" s="1422">
        <v>207666</v>
      </c>
      <c r="AM191" s="1422">
        <v>0</v>
      </c>
      <c r="AN191" s="1422">
        <v>0</v>
      </c>
      <c r="AO191" s="1422">
        <v>0</v>
      </c>
      <c r="AP191" s="1422">
        <v>40178</v>
      </c>
      <c r="AQ191" s="1422">
        <v>6104</v>
      </c>
      <c r="AR191" s="1422">
        <v>0</v>
      </c>
      <c r="AS191" s="1422">
        <v>501</v>
      </c>
      <c r="AT191" s="1422">
        <v>0</v>
      </c>
      <c r="AU191" s="1422">
        <v>0</v>
      </c>
      <c r="AV191" s="1422">
        <v>0</v>
      </c>
      <c r="AW191" s="1422">
        <v>0</v>
      </c>
      <c r="AX191" s="1422">
        <v>0</v>
      </c>
      <c r="AY191" s="1420">
        <v>12448257.310000001</v>
      </c>
      <c r="AZ191" s="1422">
        <v>11849124</v>
      </c>
      <c r="BA191" s="1422">
        <v>0</v>
      </c>
      <c r="BB191" s="1422">
        <v>0</v>
      </c>
      <c r="BC191" s="1422">
        <v>75781</v>
      </c>
      <c r="BD191" s="1422">
        <v>77096</v>
      </c>
      <c r="BE191" s="1420">
        <v>17087.599999999999</v>
      </c>
      <c r="BF191" s="1422">
        <v>2000</v>
      </c>
      <c r="BG191" s="1422">
        <v>900</v>
      </c>
      <c r="BH191" s="1422">
        <v>0</v>
      </c>
      <c r="BI191" s="1422">
        <v>33484</v>
      </c>
      <c r="BJ191" s="1422">
        <v>21595</v>
      </c>
      <c r="BK191" s="1422">
        <v>0</v>
      </c>
      <c r="BL191" s="1422">
        <v>0</v>
      </c>
      <c r="BM191" s="1422">
        <v>548028</v>
      </c>
      <c r="BN191" s="1422">
        <v>571780</v>
      </c>
      <c r="BO191" s="1420">
        <v>320827.59000000003</v>
      </c>
      <c r="BP191" s="1422">
        <v>185500</v>
      </c>
      <c r="BQ191" s="1422">
        <v>0</v>
      </c>
      <c r="BR191" s="1422">
        <v>0</v>
      </c>
      <c r="BS191" s="1420">
        <v>7190.42</v>
      </c>
      <c r="BT191" s="1422">
        <v>7190</v>
      </c>
      <c r="BU191" s="1422">
        <v>0</v>
      </c>
      <c r="BV191" s="1422">
        <v>0</v>
      </c>
      <c r="BW191" s="1422">
        <v>194400</v>
      </c>
      <c r="BX191" s="1422">
        <v>194400</v>
      </c>
      <c r="BY191" s="1422">
        <v>0</v>
      </c>
      <c r="BZ191" s="1422">
        <v>0</v>
      </c>
      <c r="CA191" s="1422">
        <v>74171</v>
      </c>
      <c r="CB191" s="1422">
        <v>63227</v>
      </c>
      <c r="CC191" s="1420">
        <v>1271869.6100000001</v>
      </c>
      <c r="CD191" s="1422">
        <v>1122788</v>
      </c>
      <c r="CE191" s="1420">
        <v>3921618.32</v>
      </c>
      <c r="CF191" s="1420">
        <v>2408120.54</v>
      </c>
      <c r="CG191" s="1422">
        <v>0</v>
      </c>
      <c r="CH191" s="1422">
        <v>0</v>
      </c>
      <c r="CI191" s="1422">
        <v>0</v>
      </c>
      <c r="CJ191" s="1422">
        <v>0</v>
      </c>
      <c r="CK191" s="1420">
        <v>6614.45</v>
      </c>
      <c r="CL191" s="1422">
        <v>0</v>
      </c>
      <c r="CM191" s="1422">
        <v>0</v>
      </c>
      <c r="CN191" s="1422">
        <v>0</v>
      </c>
      <c r="CO191" s="1420">
        <v>440046.91</v>
      </c>
      <c r="CP191" s="1422">
        <v>0</v>
      </c>
      <c r="CQ191" s="1422">
        <v>0</v>
      </c>
      <c r="CR191" s="1422">
        <v>0</v>
      </c>
      <c r="CS191" s="1420">
        <v>446661.36</v>
      </c>
      <c r="CT191" s="1422">
        <v>0</v>
      </c>
      <c r="CU191" s="1420">
        <v>18088406.600000001</v>
      </c>
      <c r="CV191" s="1420">
        <v>15380032.539999999</v>
      </c>
      <c r="CW191" s="1420">
        <v>6193810.6399999997</v>
      </c>
      <c r="CX191" s="1420">
        <v>6225462.9500000002</v>
      </c>
      <c r="CY191" s="1420">
        <v>1676125.99</v>
      </c>
      <c r="CZ191" s="1420">
        <v>1886065.45</v>
      </c>
      <c r="DA191" s="1420">
        <v>509655.95</v>
      </c>
      <c r="DB191" s="1420">
        <v>489344.71</v>
      </c>
      <c r="DC191" s="1422">
        <v>0</v>
      </c>
      <c r="DD191" s="1422">
        <v>0</v>
      </c>
      <c r="DE191" s="1420">
        <v>558772.01</v>
      </c>
      <c r="DF191" s="1420">
        <v>627199.12</v>
      </c>
      <c r="DG191" s="1420">
        <v>290990.93</v>
      </c>
      <c r="DH191" s="1420">
        <v>327168.94</v>
      </c>
      <c r="DI191" s="1420">
        <v>9229355.5199999996</v>
      </c>
      <c r="DJ191" s="1420">
        <v>9555241.1699999999</v>
      </c>
      <c r="DK191" s="1420">
        <v>237530.2</v>
      </c>
      <c r="DL191" s="1420">
        <v>252831.89</v>
      </c>
      <c r="DM191" s="1420">
        <v>119448.72</v>
      </c>
      <c r="DN191" s="1420">
        <v>135942.03</v>
      </c>
      <c r="DO191" s="1420">
        <v>1203924.9099999999</v>
      </c>
      <c r="DP191" s="1420">
        <v>1316055.3999999999</v>
      </c>
      <c r="DQ191" s="1420">
        <v>651824.64000000001</v>
      </c>
      <c r="DR191" s="1420">
        <v>619901.06000000006</v>
      </c>
      <c r="DS191" s="1420">
        <v>47834.37</v>
      </c>
      <c r="DT191" s="1420">
        <v>38463.730000000003</v>
      </c>
      <c r="DU191" s="1420">
        <v>2260562.84</v>
      </c>
      <c r="DV191" s="1420">
        <v>2363194.11</v>
      </c>
      <c r="DW191" s="1420">
        <v>622745.51</v>
      </c>
      <c r="DX191" s="1420">
        <v>560785.21</v>
      </c>
      <c r="DY191" s="1420">
        <v>1167399.8700000001</v>
      </c>
      <c r="DZ191" s="1420">
        <v>1115261.96</v>
      </c>
      <c r="EA191" s="1420">
        <v>760716.54</v>
      </c>
      <c r="EB191" s="1420">
        <v>770063.6</v>
      </c>
      <c r="EC191" s="1420">
        <v>2550861.92</v>
      </c>
      <c r="ED191" s="1420">
        <v>2446110.77</v>
      </c>
      <c r="EE191" s="1420">
        <v>962975.75</v>
      </c>
      <c r="EF191" s="1420">
        <v>1003614.29</v>
      </c>
      <c r="EG191" s="1420">
        <v>98125.99</v>
      </c>
      <c r="EH191" s="1422">
        <v>0</v>
      </c>
      <c r="EI191" s="1420">
        <v>18676.98</v>
      </c>
      <c r="EJ191" s="1420">
        <v>26218.59</v>
      </c>
      <c r="EK191" s="1422">
        <v>0</v>
      </c>
      <c r="EL191" s="1422">
        <v>0</v>
      </c>
      <c r="EM191" s="1420">
        <v>1079778.72</v>
      </c>
      <c r="EN191" s="1420">
        <v>1029832.88</v>
      </c>
      <c r="EO191" s="1420">
        <v>2598231.62</v>
      </c>
      <c r="EP191" s="1420">
        <v>981896.4</v>
      </c>
      <c r="EQ191" s="1420">
        <v>230548.04</v>
      </c>
      <c r="ER191" s="1422">
        <v>296338</v>
      </c>
      <c r="ES191" s="1420">
        <v>14531.44</v>
      </c>
      <c r="ET191" s="1422">
        <v>12148</v>
      </c>
      <c r="EU191" s="1420">
        <v>17963870.100000001</v>
      </c>
      <c r="EV191" s="1420">
        <v>16684761.33</v>
      </c>
      <c r="EW191" s="1420">
        <v>3102056.59</v>
      </c>
      <c r="EX191" s="1420">
        <v>1223046.8999999999</v>
      </c>
      <c r="EY191" s="1420">
        <v>230548.04</v>
      </c>
      <c r="EZ191" s="1422">
        <v>296338</v>
      </c>
      <c r="FA191" s="1420">
        <v>14631265.470000001</v>
      </c>
      <c r="FB191" s="1420">
        <v>15165376.43</v>
      </c>
      <c r="FC191" s="1420">
        <v>1080998.01</v>
      </c>
      <c r="FD191" s="1439"/>
      <c r="FE191" s="1420">
        <v>13550267.460000001</v>
      </c>
      <c r="FF191" s="1439"/>
      <c r="FG191" s="1422">
        <v>7812</v>
      </c>
      <c r="FH191" s="1439"/>
      <c r="FI191" s="1420">
        <v>123.9</v>
      </c>
      <c r="FJ191" s="1439"/>
      <c r="FK191" s="1422">
        <v>44017</v>
      </c>
      <c r="FL191" s="1439"/>
      <c r="FM191" s="1420">
        <v>132.9</v>
      </c>
      <c r="FN191" s="1439"/>
      <c r="FO191" s="1422">
        <v>45736</v>
      </c>
      <c r="FP191" s="1439"/>
      <c r="FQ191" s="1420">
        <v>3606624.41</v>
      </c>
      <c r="FR191" s="1439"/>
      <c r="FS191" s="1420">
        <v>125997.18</v>
      </c>
      <c r="FT191" s="1439"/>
      <c r="FU191" s="1422">
        <v>0</v>
      </c>
      <c r="FV191" s="1439"/>
      <c r="FW191" s="1420">
        <v>3480627.23</v>
      </c>
      <c r="FX191" s="1439"/>
      <c r="FY191" s="1420">
        <v>3991339.58</v>
      </c>
      <c r="FZ191" s="1439"/>
      <c r="GA191" s="1422">
        <v>0</v>
      </c>
      <c r="GB191" s="1439"/>
    </row>
    <row r="192" spans="1:184" ht="12.75" customHeight="1" thickBot="1">
      <c r="A192" s="1418" t="s">
        <v>259</v>
      </c>
      <c r="B192" s="1418" t="s">
        <v>260</v>
      </c>
      <c r="C192" s="1420">
        <v>345.41</v>
      </c>
      <c r="D192" s="1439"/>
      <c r="E192" s="1420">
        <v>2937.13</v>
      </c>
      <c r="F192" s="1439"/>
      <c r="G192" s="1421">
        <v>-0.17</v>
      </c>
      <c r="H192" s="1439"/>
      <c r="I192" s="1420">
        <v>3138.09</v>
      </c>
      <c r="J192" s="1439"/>
      <c r="K192" s="1420">
        <v>3271.4</v>
      </c>
      <c r="L192" s="1439"/>
      <c r="M192" s="1422">
        <v>164698965</v>
      </c>
      <c r="N192" s="1439"/>
      <c r="O192" s="1422">
        <v>25</v>
      </c>
      <c r="P192" s="1439"/>
      <c r="Q192" s="1422">
        <v>25</v>
      </c>
      <c r="R192" s="1439"/>
      <c r="S192" s="1422">
        <v>0</v>
      </c>
      <c r="T192" s="1439"/>
      <c r="U192" s="1422">
        <v>0</v>
      </c>
      <c r="V192" s="1439"/>
      <c r="W192" s="1420">
        <v>7.6</v>
      </c>
      <c r="X192" s="1439"/>
      <c r="Y192" s="1420">
        <v>32.6</v>
      </c>
      <c r="Z192" s="1439"/>
      <c r="AA192" s="1422">
        <v>15255000</v>
      </c>
      <c r="AB192" s="1439"/>
      <c r="AC192" s="1420">
        <v>5147203.3600000003</v>
      </c>
      <c r="AD192" s="1420">
        <v>5202867.3099999996</v>
      </c>
      <c r="AE192" s="1420">
        <v>1090230.06</v>
      </c>
      <c r="AF192" s="1420">
        <v>811286.78</v>
      </c>
      <c r="AG192" s="1422">
        <v>0</v>
      </c>
      <c r="AH192" s="1422">
        <v>0</v>
      </c>
      <c r="AI192" s="1422">
        <v>15699208</v>
      </c>
      <c r="AJ192" s="1422">
        <v>15286190</v>
      </c>
      <c r="AK192" s="1422">
        <v>140345</v>
      </c>
      <c r="AL192" s="1422">
        <v>0</v>
      </c>
      <c r="AM192" s="1422">
        <v>0</v>
      </c>
      <c r="AN192" s="1422">
        <v>0</v>
      </c>
      <c r="AO192" s="1422">
        <v>449105</v>
      </c>
      <c r="AP192" s="1422">
        <v>383693</v>
      </c>
      <c r="AQ192" s="1422">
        <v>0</v>
      </c>
      <c r="AR192" s="1422">
        <v>0</v>
      </c>
      <c r="AS192" s="1422">
        <v>0</v>
      </c>
      <c r="AT192" s="1422">
        <v>0</v>
      </c>
      <c r="AU192" s="1422">
        <v>71890</v>
      </c>
      <c r="AV192" s="1422">
        <v>57512</v>
      </c>
      <c r="AW192" s="1422">
        <v>56571</v>
      </c>
      <c r="AX192" s="1422">
        <v>56571</v>
      </c>
      <c r="AY192" s="1420">
        <v>22654552.420000002</v>
      </c>
      <c r="AZ192" s="1420">
        <v>21798120.09</v>
      </c>
      <c r="BA192" s="1420">
        <v>99575.53</v>
      </c>
      <c r="BB192" s="1422">
        <v>0</v>
      </c>
      <c r="BC192" s="1422">
        <v>135305</v>
      </c>
      <c r="BD192" s="1422">
        <v>133349</v>
      </c>
      <c r="BE192" s="1420">
        <v>38074.17</v>
      </c>
      <c r="BF192" s="1422">
        <v>14400</v>
      </c>
      <c r="BG192" s="1422">
        <v>1200</v>
      </c>
      <c r="BH192" s="1422">
        <v>1200</v>
      </c>
      <c r="BI192" s="1422">
        <v>160204</v>
      </c>
      <c r="BJ192" s="1422">
        <v>232203</v>
      </c>
      <c r="BK192" s="1422">
        <v>5274</v>
      </c>
      <c r="BL192" s="1422">
        <v>0</v>
      </c>
      <c r="BM192" s="1422">
        <v>2639712</v>
      </c>
      <c r="BN192" s="1422">
        <v>2609948</v>
      </c>
      <c r="BO192" s="1420">
        <v>374107.08</v>
      </c>
      <c r="BP192" s="1422">
        <v>483040</v>
      </c>
      <c r="BQ192" s="1420">
        <v>71235.33</v>
      </c>
      <c r="BR192" s="1422">
        <v>0</v>
      </c>
      <c r="BS192" s="1420">
        <v>15506.38</v>
      </c>
      <c r="BT192" s="1422">
        <v>0</v>
      </c>
      <c r="BU192" s="1422">
        <v>0</v>
      </c>
      <c r="BV192" s="1422">
        <v>0</v>
      </c>
      <c r="BW192" s="1420">
        <v>1119498.8</v>
      </c>
      <c r="BX192" s="1420">
        <v>1130348.78</v>
      </c>
      <c r="BY192" s="1422">
        <v>0</v>
      </c>
      <c r="BZ192" s="1422">
        <v>0</v>
      </c>
      <c r="CA192" s="1420">
        <v>3173103.4</v>
      </c>
      <c r="CB192" s="1422">
        <v>560922</v>
      </c>
      <c r="CC192" s="1420">
        <v>7832795.6900000004</v>
      </c>
      <c r="CD192" s="1420">
        <v>5165410.78</v>
      </c>
      <c r="CE192" s="1420">
        <v>9561397.2599999998</v>
      </c>
      <c r="CF192" s="1420">
        <v>8700972.1099999994</v>
      </c>
      <c r="CG192" s="1422">
        <v>0</v>
      </c>
      <c r="CH192" s="1422">
        <v>0</v>
      </c>
      <c r="CI192" s="1422">
        <v>0</v>
      </c>
      <c r="CJ192" s="1422">
        <v>0</v>
      </c>
      <c r="CK192" s="1420">
        <v>91608.73</v>
      </c>
      <c r="CL192" s="1420">
        <v>54932.09</v>
      </c>
      <c r="CM192" s="1420">
        <v>50.4</v>
      </c>
      <c r="CN192" s="1422">
        <v>0</v>
      </c>
      <c r="CO192" s="1420">
        <v>5350.11</v>
      </c>
      <c r="CP192" s="1422">
        <v>2000</v>
      </c>
      <c r="CQ192" s="1422">
        <v>0</v>
      </c>
      <c r="CR192" s="1422">
        <v>0</v>
      </c>
      <c r="CS192" s="1420">
        <v>97009.24</v>
      </c>
      <c r="CT192" s="1420">
        <v>56932.09</v>
      </c>
      <c r="CU192" s="1420">
        <v>40145754.609999999</v>
      </c>
      <c r="CV192" s="1420">
        <v>35721435.07</v>
      </c>
      <c r="CW192" s="1420">
        <v>12362947.439999999</v>
      </c>
      <c r="CX192" s="1420">
        <v>11981898.26</v>
      </c>
      <c r="CY192" s="1420">
        <v>3056627.78</v>
      </c>
      <c r="CZ192" s="1420">
        <v>3382256.78</v>
      </c>
      <c r="DA192" s="1420">
        <v>804939.6</v>
      </c>
      <c r="DB192" s="1420">
        <v>830663.03</v>
      </c>
      <c r="DC192" s="1420">
        <v>94277.36</v>
      </c>
      <c r="DD192" s="1422">
        <v>0</v>
      </c>
      <c r="DE192" s="1420">
        <v>2388292.87</v>
      </c>
      <c r="DF192" s="1420">
        <v>1926105.76</v>
      </c>
      <c r="DG192" s="1420">
        <v>1824377.7</v>
      </c>
      <c r="DH192" s="1420">
        <v>1634377.99</v>
      </c>
      <c r="DI192" s="1420">
        <v>20531462.75</v>
      </c>
      <c r="DJ192" s="1420">
        <v>19755301.82</v>
      </c>
      <c r="DK192" s="1420">
        <v>809216.47</v>
      </c>
      <c r="DL192" s="1420">
        <v>830110.92</v>
      </c>
      <c r="DM192" s="1420">
        <v>692355.67</v>
      </c>
      <c r="DN192" s="1420">
        <v>586396.30000000005</v>
      </c>
      <c r="DO192" s="1420">
        <v>2784429.68</v>
      </c>
      <c r="DP192" s="1420">
        <v>2560052.7200000002</v>
      </c>
      <c r="DQ192" s="1420">
        <v>1290999.8</v>
      </c>
      <c r="DR192" s="1420">
        <v>1180948.08</v>
      </c>
      <c r="DS192" s="1420">
        <v>129253.25</v>
      </c>
      <c r="DT192" s="1420">
        <v>73776.09</v>
      </c>
      <c r="DU192" s="1420">
        <v>5706254.8700000001</v>
      </c>
      <c r="DV192" s="1420">
        <v>5231284.1100000003</v>
      </c>
      <c r="DW192" s="1420">
        <v>1891698.13</v>
      </c>
      <c r="DX192" s="1420">
        <v>1726901.91</v>
      </c>
      <c r="DY192" s="1420">
        <v>3506376.36</v>
      </c>
      <c r="DZ192" s="1420">
        <v>3572615.8</v>
      </c>
      <c r="EA192" s="1420">
        <v>1930595.59</v>
      </c>
      <c r="EB192" s="1420">
        <v>1758792.38</v>
      </c>
      <c r="EC192" s="1420">
        <v>7328670.0800000001</v>
      </c>
      <c r="ED192" s="1420">
        <v>7058310.0899999999</v>
      </c>
      <c r="EE192" s="1420">
        <v>2416857.2999999998</v>
      </c>
      <c r="EF192" s="1420">
        <v>2090483.59</v>
      </c>
      <c r="EG192" s="1420">
        <v>20116.169999999998</v>
      </c>
      <c r="EH192" s="1422">
        <v>0</v>
      </c>
      <c r="EI192" s="1420">
        <v>8077.37</v>
      </c>
      <c r="EJ192" s="1422">
        <v>15600</v>
      </c>
      <c r="EK192" s="1422">
        <v>0</v>
      </c>
      <c r="EL192" s="1422">
        <v>0</v>
      </c>
      <c r="EM192" s="1420">
        <v>2445050.84</v>
      </c>
      <c r="EN192" s="1420">
        <v>2106083.59</v>
      </c>
      <c r="EO192" s="1422">
        <v>5491044</v>
      </c>
      <c r="EP192" s="1420">
        <v>1681627.13</v>
      </c>
      <c r="EQ192" s="1420">
        <v>1114113.8799999999</v>
      </c>
      <c r="ER192" s="1422">
        <v>1112395</v>
      </c>
      <c r="ES192" s="1422">
        <v>0</v>
      </c>
      <c r="ET192" s="1422">
        <v>0</v>
      </c>
      <c r="EU192" s="1420">
        <v>42616596.420000002</v>
      </c>
      <c r="EV192" s="1420">
        <v>36945001.740000002</v>
      </c>
      <c r="EW192" s="1420">
        <v>6005468.2800000003</v>
      </c>
      <c r="EX192" s="1420">
        <v>2062232.73</v>
      </c>
      <c r="EY192" s="1420">
        <v>1114113.8799999999</v>
      </c>
      <c r="EZ192" s="1422">
        <v>1112395</v>
      </c>
      <c r="FA192" s="1420">
        <v>35497014.259999998</v>
      </c>
      <c r="FB192" s="1420">
        <v>33770374.009999998</v>
      </c>
      <c r="FC192" s="1420">
        <v>2063070.68</v>
      </c>
      <c r="FD192" s="1439"/>
      <c r="FE192" s="1420">
        <v>33433943.579999998</v>
      </c>
      <c r="FF192" s="1439"/>
      <c r="FG192" s="1422">
        <v>11383</v>
      </c>
      <c r="FH192" s="1439"/>
      <c r="FI192" s="1420">
        <v>221.61</v>
      </c>
      <c r="FJ192" s="1439"/>
      <c r="FK192" s="1422">
        <v>50845</v>
      </c>
      <c r="FL192" s="1439"/>
      <c r="FM192" s="1420">
        <v>249.5</v>
      </c>
      <c r="FN192" s="1439"/>
      <c r="FO192" s="1422">
        <v>53488</v>
      </c>
      <c r="FP192" s="1439"/>
      <c r="FQ192" s="1422">
        <v>2572351</v>
      </c>
      <c r="FR192" s="1439"/>
      <c r="FS192" s="1420">
        <v>146159.5</v>
      </c>
      <c r="FT192" s="1439"/>
      <c r="FU192" s="1422">
        <v>0</v>
      </c>
      <c r="FV192" s="1439"/>
      <c r="FW192" s="1420">
        <v>2426191.5</v>
      </c>
      <c r="FX192" s="1439"/>
      <c r="FY192" s="1420">
        <v>2300221.4</v>
      </c>
      <c r="FZ192" s="1439"/>
      <c r="GA192" s="1422">
        <v>0</v>
      </c>
      <c r="GB192" s="1439"/>
    </row>
    <row r="193" spans="1:184" ht="12.75" customHeight="1" thickBot="1">
      <c r="A193" s="1418" t="s">
        <v>261</v>
      </c>
      <c r="B193" s="1418" t="s">
        <v>262</v>
      </c>
      <c r="C193" s="1420">
        <v>242.18</v>
      </c>
      <c r="D193" s="1439"/>
      <c r="E193" s="1420">
        <v>380.9</v>
      </c>
      <c r="F193" s="1439"/>
      <c r="G193" s="1421">
        <v>-0.3</v>
      </c>
      <c r="H193" s="1439"/>
      <c r="I193" s="1420">
        <v>414.73</v>
      </c>
      <c r="J193" s="1439"/>
      <c r="K193" s="1420">
        <v>424.77</v>
      </c>
      <c r="L193" s="1439"/>
      <c r="M193" s="1422">
        <v>50397589</v>
      </c>
      <c r="N193" s="1439"/>
      <c r="O193" s="1422">
        <v>37</v>
      </c>
      <c r="P193" s="1439"/>
      <c r="Q193" s="1422">
        <v>25</v>
      </c>
      <c r="R193" s="1439"/>
      <c r="S193" s="1422">
        <v>12</v>
      </c>
      <c r="T193" s="1439"/>
      <c r="U193" s="1422">
        <v>0</v>
      </c>
      <c r="V193" s="1439"/>
      <c r="W193" s="1420">
        <v>2.4</v>
      </c>
      <c r="X193" s="1439"/>
      <c r="Y193" s="1420">
        <v>39.4</v>
      </c>
      <c r="Z193" s="1439"/>
      <c r="AA193" s="1420">
        <v>662583.92000000004</v>
      </c>
      <c r="AB193" s="1439"/>
      <c r="AC193" s="1420">
        <v>2192884.5099999998</v>
      </c>
      <c r="AD193" s="1420">
        <v>1792238.64</v>
      </c>
      <c r="AE193" s="1420">
        <v>1027013.03</v>
      </c>
      <c r="AF193" s="1422">
        <v>43000</v>
      </c>
      <c r="AG193" s="1422">
        <v>0</v>
      </c>
      <c r="AH193" s="1422">
        <v>0</v>
      </c>
      <c r="AI193" s="1422">
        <v>1359874</v>
      </c>
      <c r="AJ193" s="1422">
        <v>1306473</v>
      </c>
      <c r="AK193" s="1422">
        <v>41745</v>
      </c>
      <c r="AL193" s="1422">
        <v>42000</v>
      </c>
      <c r="AM193" s="1422">
        <v>316</v>
      </c>
      <c r="AN193" s="1422">
        <v>0</v>
      </c>
      <c r="AO193" s="1422">
        <v>0</v>
      </c>
      <c r="AP193" s="1422">
        <v>33454</v>
      </c>
      <c r="AQ193" s="1422">
        <v>0</v>
      </c>
      <c r="AR193" s="1422">
        <v>0</v>
      </c>
      <c r="AS193" s="1422">
        <v>0</v>
      </c>
      <c r="AT193" s="1422">
        <v>0</v>
      </c>
      <c r="AU193" s="1422">
        <v>0</v>
      </c>
      <c r="AV193" s="1422">
        <v>0</v>
      </c>
      <c r="AW193" s="1422">
        <v>0</v>
      </c>
      <c r="AX193" s="1422">
        <v>0</v>
      </c>
      <c r="AY193" s="1420">
        <v>4621832.54</v>
      </c>
      <c r="AZ193" s="1420">
        <v>3217165.64</v>
      </c>
      <c r="BA193" s="1422">
        <v>0</v>
      </c>
      <c r="BB193" s="1422">
        <v>0</v>
      </c>
      <c r="BC193" s="1422">
        <v>17568</v>
      </c>
      <c r="BD193" s="1420">
        <v>20929.5</v>
      </c>
      <c r="BE193" s="1420">
        <v>118340.7</v>
      </c>
      <c r="BF193" s="1422">
        <v>0</v>
      </c>
      <c r="BG193" s="1422">
        <v>384717</v>
      </c>
      <c r="BH193" s="1422">
        <v>0</v>
      </c>
      <c r="BI193" s="1422">
        <v>27344</v>
      </c>
      <c r="BJ193" s="1420">
        <v>84510.85</v>
      </c>
      <c r="BK193" s="1422">
        <v>0</v>
      </c>
      <c r="BL193" s="1422">
        <v>0</v>
      </c>
      <c r="BM193" s="1422">
        <v>346208</v>
      </c>
      <c r="BN193" s="1420">
        <v>444114.44</v>
      </c>
      <c r="BO193" s="1420">
        <v>1438.71</v>
      </c>
      <c r="BP193" s="1422">
        <v>0</v>
      </c>
      <c r="BQ193" s="1420">
        <v>9750.32</v>
      </c>
      <c r="BR193" s="1422">
        <v>0</v>
      </c>
      <c r="BS193" s="1420">
        <v>1940.34</v>
      </c>
      <c r="BT193" s="1422">
        <v>0</v>
      </c>
      <c r="BU193" s="1422">
        <v>0</v>
      </c>
      <c r="BV193" s="1422">
        <v>0</v>
      </c>
      <c r="BW193" s="1422">
        <v>0</v>
      </c>
      <c r="BX193" s="1422">
        <v>0</v>
      </c>
      <c r="BY193" s="1422">
        <v>0</v>
      </c>
      <c r="BZ193" s="1422">
        <v>0</v>
      </c>
      <c r="CA193" s="1422">
        <v>9297</v>
      </c>
      <c r="CB193" s="1422">
        <v>6849</v>
      </c>
      <c r="CC193" s="1420">
        <v>916604.07</v>
      </c>
      <c r="CD193" s="1420">
        <v>556403.79</v>
      </c>
      <c r="CE193" s="1420">
        <v>1492251.39</v>
      </c>
      <c r="CF193" s="1420">
        <v>1081907.1100000001</v>
      </c>
      <c r="CG193" s="1422">
        <v>0</v>
      </c>
      <c r="CH193" s="1422">
        <v>0</v>
      </c>
      <c r="CI193" s="1422">
        <v>0</v>
      </c>
      <c r="CJ193" s="1422">
        <v>0</v>
      </c>
      <c r="CK193" s="1422">
        <v>0</v>
      </c>
      <c r="CL193" s="1422">
        <v>0</v>
      </c>
      <c r="CM193" s="1422">
        <v>0</v>
      </c>
      <c r="CN193" s="1422">
        <v>0</v>
      </c>
      <c r="CO193" s="1422">
        <v>0</v>
      </c>
      <c r="CP193" s="1422">
        <v>0</v>
      </c>
      <c r="CQ193" s="1422">
        <v>0</v>
      </c>
      <c r="CR193" s="1422">
        <v>0</v>
      </c>
      <c r="CS193" s="1422">
        <v>0</v>
      </c>
      <c r="CT193" s="1422">
        <v>0</v>
      </c>
      <c r="CU193" s="1422">
        <v>7030688</v>
      </c>
      <c r="CV193" s="1420">
        <v>4855476.54</v>
      </c>
      <c r="CW193" s="1420">
        <v>2350926.9900000002</v>
      </c>
      <c r="CX193" s="1420">
        <v>2030435.87</v>
      </c>
      <c r="CY193" s="1420">
        <v>225283.88</v>
      </c>
      <c r="CZ193" s="1420">
        <v>343356.48</v>
      </c>
      <c r="DA193" s="1420">
        <v>60643.81</v>
      </c>
      <c r="DB193" s="1420">
        <v>112520.35</v>
      </c>
      <c r="DC193" s="1422">
        <v>0</v>
      </c>
      <c r="DD193" s="1422">
        <v>0</v>
      </c>
      <c r="DE193" s="1420">
        <v>427580.31</v>
      </c>
      <c r="DF193" s="1420">
        <v>408652.56</v>
      </c>
      <c r="DG193" s="1420">
        <v>87283.05</v>
      </c>
      <c r="DH193" s="1420">
        <v>101131.73</v>
      </c>
      <c r="DI193" s="1420">
        <v>3151718.04</v>
      </c>
      <c r="DJ193" s="1420">
        <v>2996096.99</v>
      </c>
      <c r="DK193" s="1420">
        <v>704091.63</v>
      </c>
      <c r="DL193" s="1420">
        <v>452896.5</v>
      </c>
      <c r="DM193" s="1420">
        <v>2059.8200000000002</v>
      </c>
      <c r="DN193" s="1422">
        <v>44901</v>
      </c>
      <c r="DO193" s="1420">
        <v>665843.19999999995</v>
      </c>
      <c r="DP193" s="1420">
        <v>818027.51</v>
      </c>
      <c r="DQ193" s="1420">
        <v>137408.14000000001</v>
      </c>
      <c r="DR193" s="1420">
        <v>103036.99</v>
      </c>
      <c r="DS193" s="1422">
        <v>6310</v>
      </c>
      <c r="DT193" s="1422">
        <v>8500</v>
      </c>
      <c r="DU193" s="1420">
        <v>1515712.79</v>
      </c>
      <c r="DV193" s="1422">
        <v>1427362</v>
      </c>
      <c r="DW193" s="1420">
        <v>186461.35</v>
      </c>
      <c r="DX193" s="1420">
        <v>226458.96</v>
      </c>
      <c r="DY193" s="1420">
        <v>801368.15</v>
      </c>
      <c r="DZ193" s="1420">
        <v>559278.21</v>
      </c>
      <c r="EA193" s="1420">
        <v>87178.82</v>
      </c>
      <c r="EB193" s="1420">
        <v>87924.6</v>
      </c>
      <c r="EC193" s="1420">
        <v>1075008.32</v>
      </c>
      <c r="ED193" s="1420">
        <v>873661.77</v>
      </c>
      <c r="EE193" s="1420">
        <v>316573.3</v>
      </c>
      <c r="EF193" s="1420">
        <v>316515.44</v>
      </c>
      <c r="EG193" s="1422">
        <v>0</v>
      </c>
      <c r="EH193" s="1422">
        <v>0</v>
      </c>
      <c r="EI193" s="1420">
        <v>347.44</v>
      </c>
      <c r="EJ193" s="1422">
        <v>3000</v>
      </c>
      <c r="EK193" s="1422">
        <v>0</v>
      </c>
      <c r="EL193" s="1422">
        <v>0</v>
      </c>
      <c r="EM193" s="1420">
        <v>316920.74</v>
      </c>
      <c r="EN193" s="1420">
        <v>319515.44</v>
      </c>
      <c r="EO193" s="1420">
        <v>119219.74</v>
      </c>
      <c r="EP193" s="1422">
        <v>0</v>
      </c>
      <c r="EQ193" s="1420">
        <v>126127.85</v>
      </c>
      <c r="ER193" s="1422">
        <v>160750</v>
      </c>
      <c r="ES193" s="1422">
        <v>0</v>
      </c>
      <c r="ET193" s="1422">
        <v>0</v>
      </c>
      <c r="EU193" s="1420">
        <v>6304707.4800000004</v>
      </c>
      <c r="EV193" s="1420">
        <v>5777386.2000000002</v>
      </c>
      <c r="EW193" s="1420">
        <v>131693.48000000001</v>
      </c>
      <c r="EX193" s="1422">
        <v>40100</v>
      </c>
      <c r="EY193" s="1420">
        <v>126127.85</v>
      </c>
      <c r="EZ193" s="1422">
        <v>160750</v>
      </c>
      <c r="FA193" s="1420">
        <v>6046886.1500000004</v>
      </c>
      <c r="FB193" s="1420">
        <v>5576536.2000000002</v>
      </c>
      <c r="FC193" s="1420">
        <v>120557.75</v>
      </c>
      <c r="FD193" s="1439"/>
      <c r="FE193" s="1420">
        <v>5926328.4000000004</v>
      </c>
      <c r="FF193" s="1439"/>
      <c r="FG193" s="1422">
        <v>15558</v>
      </c>
      <c r="FH193" s="1439"/>
      <c r="FI193" s="1420">
        <v>32.07</v>
      </c>
      <c r="FJ193" s="1439"/>
      <c r="FK193" s="1422">
        <v>50031</v>
      </c>
      <c r="FL193" s="1439"/>
      <c r="FM193" s="1420">
        <v>35.119999999999997</v>
      </c>
      <c r="FN193" s="1439"/>
      <c r="FO193" s="1422">
        <v>57593</v>
      </c>
      <c r="FP193" s="1439"/>
      <c r="FQ193" s="1420">
        <v>2228467.19</v>
      </c>
      <c r="FR193" s="1439"/>
      <c r="FS193" s="1420">
        <v>2884.19</v>
      </c>
      <c r="FT193" s="1439"/>
      <c r="FU193" s="1422">
        <v>0</v>
      </c>
      <c r="FV193" s="1439"/>
      <c r="FW193" s="1422">
        <v>2225583</v>
      </c>
      <c r="FX193" s="1439"/>
      <c r="FY193" s="1422">
        <v>0</v>
      </c>
      <c r="FZ193" s="1439"/>
      <c r="GA193" s="1420">
        <v>178.65</v>
      </c>
      <c r="GB193" s="1439"/>
    </row>
    <row r="194" spans="1:184" ht="12.75" customHeight="1" thickBot="1">
      <c r="A194" s="1418" t="s">
        <v>263</v>
      </c>
      <c r="B194" s="1418" t="s">
        <v>264</v>
      </c>
      <c r="C194" s="1420">
        <v>155.03</v>
      </c>
      <c r="D194" s="1439"/>
      <c r="E194" s="1420">
        <v>624.22</v>
      </c>
      <c r="F194" s="1439"/>
      <c r="G194" s="1421">
        <v>0.18</v>
      </c>
      <c r="H194" s="1439"/>
      <c r="I194" s="1420">
        <v>667.89</v>
      </c>
      <c r="J194" s="1439"/>
      <c r="K194" s="1420">
        <v>647.54</v>
      </c>
      <c r="L194" s="1439"/>
      <c r="M194" s="1422">
        <v>32545581</v>
      </c>
      <c r="N194" s="1439"/>
      <c r="O194" s="1422">
        <v>25</v>
      </c>
      <c r="P194" s="1439"/>
      <c r="Q194" s="1422">
        <v>25</v>
      </c>
      <c r="R194" s="1439"/>
      <c r="S194" s="1422">
        <v>0</v>
      </c>
      <c r="T194" s="1439"/>
      <c r="U194" s="1422">
        <v>0</v>
      </c>
      <c r="V194" s="1439"/>
      <c r="W194" s="1420">
        <v>11.8</v>
      </c>
      <c r="X194" s="1439"/>
      <c r="Y194" s="1420">
        <v>36.799999999999997</v>
      </c>
      <c r="Z194" s="1439"/>
      <c r="AA194" s="1422">
        <v>5116175</v>
      </c>
      <c r="AB194" s="1439"/>
      <c r="AC194" s="1420">
        <v>871124.91</v>
      </c>
      <c r="AD194" s="1422">
        <v>772000</v>
      </c>
      <c r="AE194" s="1420">
        <v>277420.15999999997</v>
      </c>
      <c r="AF194" s="1422">
        <v>242835</v>
      </c>
      <c r="AG194" s="1420">
        <v>34094.04</v>
      </c>
      <c r="AH194" s="1422">
        <v>72007</v>
      </c>
      <c r="AI194" s="1422">
        <v>3136050</v>
      </c>
      <c r="AJ194" s="1422">
        <v>3326179</v>
      </c>
      <c r="AK194" s="1422">
        <v>16787</v>
      </c>
      <c r="AL194" s="1422">
        <v>0</v>
      </c>
      <c r="AM194" s="1422">
        <v>134261</v>
      </c>
      <c r="AN194" s="1422">
        <v>105000</v>
      </c>
      <c r="AO194" s="1422">
        <v>0</v>
      </c>
      <c r="AP194" s="1422">
        <v>0</v>
      </c>
      <c r="AQ194" s="1422">
        <v>0</v>
      </c>
      <c r="AR194" s="1422">
        <v>0</v>
      </c>
      <c r="AS194" s="1422">
        <v>0</v>
      </c>
      <c r="AT194" s="1422">
        <v>0</v>
      </c>
      <c r="AU194" s="1422">
        <v>3674</v>
      </c>
      <c r="AV194" s="1422">
        <v>2939</v>
      </c>
      <c r="AW194" s="1420">
        <v>8510.3799999999992</v>
      </c>
      <c r="AX194" s="1422">
        <v>85959</v>
      </c>
      <c r="AY194" s="1420">
        <v>4481921.49</v>
      </c>
      <c r="AZ194" s="1422">
        <v>4606919</v>
      </c>
      <c r="BA194" s="1422">
        <v>0</v>
      </c>
      <c r="BB194" s="1422">
        <v>0</v>
      </c>
      <c r="BC194" s="1422">
        <v>26782</v>
      </c>
      <c r="BD194" s="1422">
        <v>28443</v>
      </c>
      <c r="BE194" s="1420">
        <v>152714.07</v>
      </c>
      <c r="BF194" s="1422">
        <v>35341</v>
      </c>
      <c r="BG194" s="1422">
        <v>0</v>
      </c>
      <c r="BH194" s="1422">
        <v>0</v>
      </c>
      <c r="BI194" s="1422">
        <v>0</v>
      </c>
      <c r="BJ194" s="1422">
        <v>0</v>
      </c>
      <c r="BK194" s="1422">
        <v>0</v>
      </c>
      <c r="BL194" s="1422">
        <v>0</v>
      </c>
      <c r="BM194" s="1422">
        <v>572186</v>
      </c>
      <c r="BN194" s="1422">
        <v>608873</v>
      </c>
      <c r="BO194" s="1420">
        <v>2652.86</v>
      </c>
      <c r="BP194" s="1422">
        <v>2400</v>
      </c>
      <c r="BQ194" s="1422">
        <v>0</v>
      </c>
      <c r="BR194" s="1422">
        <v>525</v>
      </c>
      <c r="BS194" s="1420">
        <v>2812.71</v>
      </c>
      <c r="BT194" s="1422">
        <v>2500</v>
      </c>
      <c r="BU194" s="1422">
        <v>0</v>
      </c>
      <c r="BV194" s="1422">
        <v>0</v>
      </c>
      <c r="BW194" s="1420">
        <v>142792.38</v>
      </c>
      <c r="BX194" s="1422">
        <v>145800</v>
      </c>
      <c r="BY194" s="1422">
        <v>0</v>
      </c>
      <c r="BZ194" s="1422">
        <v>0</v>
      </c>
      <c r="CA194" s="1420">
        <v>57746.97</v>
      </c>
      <c r="CB194" s="1422">
        <v>46202</v>
      </c>
      <c r="CC194" s="1420">
        <v>957686.99</v>
      </c>
      <c r="CD194" s="1422">
        <v>870084</v>
      </c>
      <c r="CE194" s="1420">
        <v>834008.59</v>
      </c>
      <c r="CF194" s="1422">
        <v>1060310</v>
      </c>
      <c r="CG194" s="1420">
        <v>4243941.95</v>
      </c>
      <c r="CH194" s="1422">
        <v>0</v>
      </c>
      <c r="CI194" s="1422">
        <v>0</v>
      </c>
      <c r="CJ194" s="1422">
        <v>0</v>
      </c>
      <c r="CK194" s="1422">
        <v>0</v>
      </c>
      <c r="CL194" s="1422">
        <v>0</v>
      </c>
      <c r="CM194" s="1422">
        <v>0</v>
      </c>
      <c r="CN194" s="1422">
        <v>0</v>
      </c>
      <c r="CO194" s="1422">
        <v>0</v>
      </c>
      <c r="CP194" s="1422">
        <v>0</v>
      </c>
      <c r="CQ194" s="1422">
        <v>0</v>
      </c>
      <c r="CR194" s="1422">
        <v>0</v>
      </c>
      <c r="CS194" s="1420">
        <v>4243941.95</v>
      </c>
      <c r="CT194" s="1422">
        <v>0</v>
      </c>
      <c r="CU194" s="1420">
        <v>10517559.02</v>
      </c>
      <c r="CV194" s="1422">
        <v>6537313</v>
      </c>
      <c r="CW194" s="1420">
        <v>2529507.79</v>
      </c>
      <c r="CX194" s="1420">
        <v>2636148.34</v>
      </c>
      <c r="CY194" s="1420">
        <v>301819.87</v>
      </c>
      <c r="CZ194" s="1422">
        <v>153811</v>
      </c>
      <c r="DA194" s="1420">
        <v>181029.27</v>
      </c>
      <c r="DB194" s="1422">
        <v>181353</v>
      </c>
      <c r="DC194" s="1422">
        <v>0</v>
      </c>
      <c r="DD194" s="1422">
        <v>0</v>
      </c>
      <c r="DE194" s="1420">
        <v>169711.19</v>
      </c>
      <c r="DF194" s="1422">
        <v>176322</v>
      </c>
      <c r="DG194" s="1420">
        <v>170119.04000000001</v>
      </c>
      <c r="DH194" s="1422">
        <v>282953</v>
      </c>
      <c r="DI194" s="1420">
        <v>3352187.16</v>
      </c>
      <c r="DJ194" s="1420">
        <v>3430587.34</v>
      </c>
      <c r="DK194" s="1420">
        <v>511185.55</v>
      </c>
      <c r="DL194" s="1422">
        <v>179707</v>
      </c>
      <c r="DM194" s="1420">
        <v>126844.31</v>
      </c>
      <c r="DN194" s="1420">
        <v>157169.18</v>
      </c>
      <c r="DO194" s="1420">
        <v>627761.34</v>
      </c>
      <c r="DP194" s="1422">
        <v>612885</v>
      </c>
      <c r="DQ194" s="1420">
        <v>296176.08</v>
      </c>
      <c r="DR194" s="1422">
        <v>237712</v>
      </c>
      <c r="DS194" s="1420">
        <v>6762.73</v>
      </c>
      <c r="DT194" s="1422">
        <v>8400</v>
      </c>
      <c r="DU194" s="1420">
        <v>1568730.01</v>
      </c>
      <c r="DV194" s="1420">
        <v>1195873.18</v>
      </c>
      <c r="DW194" s="1420">
        <v>317973.83</v>
      </c>
      <c r="DX194" s="1422">
        <v>225378</v>
      </c>
      <c r="DY194" s="1420">
        <v>398729.05</v>
      </c>
      <c r="DZ194" s="1422">
        <v>416839</v>
      </c>
      <c r="EA194" s="1420">
        <v>324511.94</v>
      </c>
      <c r="EB194" s="1422">
        <v>346411</v>
      </c>
      <c r="EC194" s="1420">
        <v>1041214.82</v>
      </c>
      <c r="ED194" s="1422">
        <v>988628</v>
      </c>
      <c r="EE194" s="1420">
        <v>558792.48</v>
      </c>
      <c r="EF194" s="1422">
        <v>526252</v>
      </c>
      <c r="EG194" s="1422">
        <v>0</v>
      </c>
      <c r="EH194" s="1422">
        <v>0</v>
      </c>
      <c r="EI194" s="1422">
        <v>3097</v>
      </c>
      <c r="EJ194" s="1422">
        <v>3461</v>
      </c>
      <c r="EK194" s="1422">
        <v>0</v>
      </c>
      <c r="EL194" s="1422">
        <v>0</v>
      </c>
      <c r="EM194" s="1420">
        <v>561889.48</v>
      </c>
      <c r="EN194" s="1422">
        <v>529713</v>
      </c>
      <c r="EO194" s="1420">
        <v>83077.13</v>
      </c>
      <c r="EP194" s="1422">
        <v>4064750</v>
      </c>
      <c r="EQ194" s="1420">
        <v>47149.57</v>
      </c>
      <c r="ER194" s="1422">
        <v>130000</v>
      </c>
      <c r="ES194" s="1420">
        <v>10662.6</v>
      </c>
      <c r="ET194" s="1422">
        <v>0</v>
      </c>
      <c r="EU194" s="1420">
        <v>6664910.7699999996</v>
      </c>
      <c r="EV194" s="1420">
        <v>10339551.52</v>
      </c>
      <c r="EW194" s="1420">
        <v>122293.95</v>
      </c>
      <c r="EX194" s="1422">
        <v>4116165</v>
      </c>
      <c r="EY194" s="1420">
        <v>47149.57</v>
      </c>
      <c r="EZ194" s="1422">
        <v>130000</v>
      </c>
      <c r="FA194" s="1420">
        <v>6495467.25</v>
      </c>
      <c r="FB194" s="1420">
        <v>6093386.5199999996</v>
      </c>
      <c r="FC194" s="1420">
        <v>451983.91</v>
      </c>
      <c r="FD194" s="1439"/>
      <c r="FE194" s="1420">
        <v>6043483.3399999999</v>
      </c>
      <c r="FF194" s="1439"/>
      <c r="FG194" s="1422">
        <v>9681</v>
      </c>
      <c r="FH194" s="1439"/>
      <c r="FI194" s="1420">
        <v>52.23</v>
      </c>
      <c r="FJ194" s="1439"/>
      <c r="FK194" s="1422">
        <v>38434</v>
      </c>
      <c r="FL194" s="1439"/>
      <c r="FM194" s="1420">
        <v>60.91</v>
      </c>
      <c r="FN194" s="1439"/>
      <c r="FO194" s="1422">
        <v>39765</v>
      </c>
      <c r="FP194" s="1439"/>
      <c r="FQ194" s="1420">
        <v>2738844.61</v>
      </c>
      <c r="FR194" s="1439"/>
      <c r="FS194" s="1420">
        <v>693389.71</v>
      </c>
      <c r="FT194" s="1439"/>
      <c r="FU194" s="1420">
        <v>67061.759999999995</v>
      </c>
      <c r="FV194" s="1439"/>
      <c r="FW194" s="1420">
        <v>1978393.14</v>
      </c>
      <c r="FX194" s="1439"/>
      <c r="FY194" s="1420">
        <v>4154145.08</v>
      </c>
      <c r="FZ194" s="1439"/>
      <c r="GA194" s="1422">
        <v>0</v>
      </c>
      <c r="GB194" s="1439"/>
    </row>
    <row r="195" spans="1:184" ht="12.75" customHeight="1" thickBot="1">
      <c r="A195" s="1418" t="s">
        <v>265</v>
      </c>
      <c r="B195" s="1418" t="s">
        <v>266</v>
      </c>
      <c r="C195" s="1420">
        <v>86.79</v>
      </c>
      <c r="D195" s="1439"/>
      <c r="E195" s="1420">
        <v>1406.29</v>
      </c>
      <c r="F195" s="1439"/>
      <c r="G195" s="1421">
        <v>0.28999999999999998</v>
      </c>
      <c r="H195" s="1439"/>
      <c r="I195" s="1420">
        <v>1485.27</v>
      </c>
      <c r="J195" s="1439"/>
      <c r="K195" s="1420">
        <v>1419.99</v>
      </c>
      <c r="L195" s="1439"/>
      <c r="M195" s="1422">
        <v>65210430</v>
      </c>
      <c r="N195" s="1439"/>
      <c r="O195" s="1422">
        <v>25</v>
      </c>
      <c r="P195" s="1439"/>
      <c r="Q195" s="1422">
        <v>25</v>
      </c>
      <c r="R195" s="1439"/>
      <c r="S195" s="1422">
        <v>0</v>
      </c>
      <c r="T195" s="1439"/>
      <c r="U195" s="1422">
        <v>0</v>
      </c>
      <c r="V195" s="1439"/>
      <c r="W195" s="1420">
        <v>13.6</v>
      </c>
      <c r="X195" s="1439"/>
      <c r="Y195" s="1420">
        <v>38.6</v>
      </c>
      <c r="Z195" s="1439"/>
      <c r="AA195" s="1420">
        <v>11409732.970000001</v>
      </c>
      <c r="AB195" s="1439"/>
      <c r="AC195" s="1420">
        <v>2139051.8199999998</v>
      </c>
      <c r="AD195" s="1422">
        <v>2205000</v>
      </c>
      <c r="AE195" s="1420">
        <v>610589.87</v>
      </c>
      <c r="AF195" s="1420">
        <v>611548.47</v>
      </c>
      <c r="AG195" s="1420">
        <v>7510.74</v>
      </c>
      <c r="AH195" s="1422">
        <v>0</v>
      </c>
      <c r="AI195" s="1422">
        <v>7021443</v>
      </c>
      <c r="AJ195" s="1422">
        <v>7556167</v>
      </c>
      <c r="AK195" s="1422">
        <v>39940</v>
      </c>
      <c r="AL195" s="1422">
        <v>0</v>
      </c>
      <c r="AM195" s="1422">
        <v>473501</v>
      </c>
      <c r="AN195" s="1422">
        <v>153600</v>
      </c>
      <c r="AO195" s="1422">
        <v>0</v>
      </c>
      <c r="AP195" s="1422">
        <v>0</v>
      </c>
      <c r="AQ195" s="1422">
        <v>0</v>
      </c>
      <c r="AR195" s="1422">
        <v>0</v>
      </c>
      <c r="AS195" s="1422">
        <v>0</v>
      </c>
      <c r="AT195" s="1422">
        <v>0</v>
      </c>
      <c r="AU195" s="1422">
        <v>24372</v>
      </c>
      <c r="AV195" s="1422">
        <v>19498</v>
      </c>
      <c r="AW195" s="1422">
        <v>159178</v>
      </c>
      <c r="AX195" s="1422">
        <v>159178</v>
      </c>
      <c r="AY195" s="1420">
        <v>10475586.43</v>
      </c>
      <c r="AZ195" s="1420">
        <v>10704991.470000001</v>
      </c>
      <c r="BA195" s="1422">
        <v>0</v>
      </c>
      <c r="BB195" s="1422">
        <v>0</v>
      </c>
      <c r="BC195" s="1422">
        <v>58731</v>
      </c>
      <c r="BD195" s="1422">
        <v>63141</v>
      </c>
      <c r="BE195" s="1420">
        <v>4296.29</v>
      </c>
      <c r="BF195" s="1422">
        <v>3800</v>
      </c>
      <c r="BG195" s="1422">
        <v>1450</v>
      </c>
      <c r="BH195" s="1422">
        <v>0</v>
      </c>
      <c r="BI195" s="1422">
        <v>12839</v>
      </c>
      <c r="BJ195" s="1422">
        <v>11823</v>
      </c>
      <c r="BK195" s="1422">
        <v>4395</v>
      </c>
      <c r="BL195" s="1422">
        <v>16353</v>
      </c>
      <c r="BM195" s="1422">
        <v>251568</v>
      </c>
      <c r="BN195" s="1420">
        <v>344601.83</v>
      </c>
      <c r="BO195" s="1420">
        <v>5817.17</v>
      </c>
      <c r="BP195" s="1422">
        <v>0</v>
      </c>
      <c r="BQ195" s="1422">
        <v>123500</v>
      </c>
      <c r="BR195" s="1422">
        <v>99125</v>
      </c>
      <c r="BS195" s="1420">
        <v>4148.2700000000004</v>
      </c>
      <c r="BT195" s="1422">
        <v>4250</v>
      </c>
      <c r="BU195" s="1422">
        <v>0</v>
      </c>
      <c r="BV195" s="1422">
        <v>0</v>
      </c>
      <c r="BW195" s="1422">
        <v>0</v>
      </c>
      <c r="BX195" s="1422">
        <v>0</v>
      </c>
      <c r="BY195" s="1422">
        <v>0</v>
      </c>
      <c r="BZ195" s="1422">
        <v>0</v>
      </c>
      <c r="CA195" s="1420">
        <v>705534.16</v>
      </c>
      <c r="CB195" s="1422">
        <v>141022</v>
      </c>
      <c r="CC195" s="1420">
        <v>1172278.8899999999</v>
      </c>
      <c r="CD195" s="1420">
        <v>684115.83</v>
      </c>
      <c r="CE195" s="1420">
        <v>1589763.27</v>
      </c>
      <c r="CF195" s="1420">
        <v>1114212.51</v>
      </c>
      <c r="CG195" s="1420">
        <v>602669.66</v>
      </c>
      <c r="CH195" s="1422">
        <v>0</v>
      </c>
      <c r="CI195" s="1422">
        <v>0</v>
      </c>
      <c r="CJ195" s="1422">
        <v>0</v>
      </c>
      <c r="CK195" s="1422">
        <v>0</v>
      </c>
      <c r="CL195" s="1422">
        <v>0</v>
      </c>
      <c r="CM195" s="1422">
        <v>0</v>
      </c>
      <c r="CN195" s="1422">
        <v>0</v>
      </c>
      <c r="CO195" s="1420">
        <v>11037.08</v>
      </c>
      <c r="CP195" s="1422">
        <v>0</v>
      </c>
      <c r="CQ195" s="1422">
        <v>0</v>
      </c>
      <c r="CR195" s="1422">
        <v>0</v>
      </c>
      <c r="CS195" s="1420">
        <v>613706.74</v>
      </c>
      <c r="CT195" s="1422">
        <v>0</v>
      </c>
      <c r="CU195" s="1420">
        <v>13851335.33</v>
      </c>
      <c r="CV195" s="1420">
        <v>12503319.810000001</v>
      </c>
      <c r="CW195" s="1420">
        <v>4927476.67</v>
      </c>
      <c r="CX195" s="1420">
        <v>5207223.63</v>
      </c>
      <c r="CY195" s="1420">
        <v>670998.30000000005</v>
      </c>
      <c r="CZ195" s="1420">
        <v>788688.36</v>
      </c>
      <c r="DA195" s="1420">
        <v>246733.21</v>
      </c>
      <c r="DB195" s="1420">
        <v>264448.27</v>
      </c>
      <c r="DC195" s="1422">
        <v>0</v>
      </c>
      <c r="DD195" s="1422">
        <v>0</v>
      </c>
      <c r="DE195" s="1420">
        <v>223409.07</v>
      </c>
      <c r="DF195" s="1420">
        <v>206948.36</v>
      </c>
      <c r="DG195" s="1420">
        <v>311324.39</v>
      </c>
      <c r="DH195" s="1420">
        <v>304802.32</v>
      </c>
      <c r="DI195" s="1420">
        <v>6379941.6399999997</v>
      </c>
      <c r="DJ195" s="1420">
        <v>6772110.9400000004</v>
      </c>
      <c r="DK195" s="1420">
        <v>476107.55</v>
      </c>
      <c r="DL195" s="1420">
        <v>280859.08</v>
      </c>
      <c r="DM195" s="1420">
        <v>126417.56</v>
      </c>
      <c r="DN195" s="1422">
        <v>131742</v>
      </c>
      <c r="DO195" s="1420">
        <v>1200603.3400000001</v>
      </c>
      <c r="DP195" s="1422">
        <v>1287635</v>
      </c>
      <c r="DQ195" s="1420">
        <v>445591.54</v>
      </c>
      <c r="DR195" s="1422">
        <v>425856</v>
      </c>
      <c r="DS195" s="1420">
        <v>14346.34</v>
      </c>
      <c r="DT195" s="1422">
        <v>26275</v>
      </c>
      <c r="DU195" s="1420">
        <v>2263066.33</v>
      </c>
      <c r="DV195" s="1420">
        <v>2152367.08</v>
      </c>
      <c r="DW195" s="1420">
        <v>595909.34</v>
      </c>
      <c r="DX195" s="1420">
        <v>669785.06999999995</v>
      </c>
      <c r="DY195" s="1420">
        <v>1053272.98</v>
      </c>
      <c r="DZ195" s="1420">
        <v>831126.21</v>
      </c>
      <c r="EA195" s="1420">
        <v>569126.73</v>
      </c>
      <c r="EB195" s="1420">
        <v>567963.16</v>
      </c>
      <c r="EC195" s="1420">
        <v>2218309.0499999998</v>
      </c>
      <c r="ED195" s="1420">
        <v>2068874.44</v>
      </c>
      <c r="EE195" s="1420">
        <v>649301.23</v>
      </c>
      <c r="EF195" s="1420">
        <v>486014.76</v>
      </c>
      <c r="EG195" s="1420">
        <v>26075.86</v>
      </c>
      <c r="EH195" s="1422">
        <v>15924</v>
      </c>
      <c r="EI195" s="1422">
        <v>0</v>
      </c>
      <c r="EJ195" s="1420">
        <v>501.2</v>
      </c>
      <c r="EK195" s="1422">
        <v>0</v>
      </c>
      <c r="EL195" s="1422">
        <v>0</v>
      </c>
      <c r="EM195" s="1420">
        <v>675377.09</v>
      </c>
      <c r="EN195" s="1420">
        <v>502439.96</v>
      </c>
      <c r="EO195" s="1420">
        <v>506960.72</v>
      </c>
      <c r="EP195" s="1420">
        <v>25529.06</v>
      </c>
      <c r="EQ195" s="1420">
        <v>662028.85</v>
      </c>
      <c r="ER195" s="1422">
        <v>607224</v>
      </c>
      <c r="ES195" s="1420">
        <v>41.36</v>
      </c>
      <c r="ET195" s="1422">
        <v>1150</v>
      </c>
      <c r="EU195" s="1420">
        <v>12705725.039999999</v>
      </c>
      <c r="EV195" s="1420">
        <v>12129695.48</v>
      </c>
      <c r="EW195" s="1420">
        <v>1054538.3700000001</v>
      </c>
      <c r="EX195" s="1420">
        <v>242651.25</v>
      </c>
      <c r="EY195" s="1420">
        <v>662028.85</v>
      </c>
      <c r="EZ195" s="1422">
        <v>607224</v>
      </c>
      <c r="FA195" s="1420">
        <v>10989157.82</v>
      </c>
      <c r="FB195" s="1420">
        <v>11279820.23</v>
      </c>
      <c r="FC195" s="1420">
        <v>431810.47</v>
      </c>
      <c r="FD195" s="1439"/>
      <c r="FE195" s="1420">
        <v>10557347.35</v>
      </c>
      <c r="FF195" s="1439"/>
      <c r="FG195" s="1422">
        <v>7507</v>
      </c>
      <c r="FH195" s="1439"/>
      <c r="FI195" s="1420">
        <v>87.6</v>
      </c>
      <c r="FJ195" s="1439"/>
      <c r="FK195" s="1422">
        <v>45150</v>
      </c>
      <c r="FL195" s="1439"/>
      <c r="FM195" s="1420">
        <v>96.18</v>
      </c>
      <c r="FN195" s="1439"/>
      <c r="FO195" s="1422">
        <v>47522</v>
      </c>
      <c r="FP195" s="1439"/>
      <c r="FQ195" s="1420">
        <v>1698206.48</v>
      </c>
      <c r="FR195" s="1439"/>
      <c r="FS195" s="1420">
        <v>85878.080000000002</v>
      </c>
      <c r="FT195" s="1439"/>
      <c r="FU195" s="1422">
        <v>0</v>
      </c>
      <c r="FV195" s="1439"/>
      <c r="FW195" s="1420">
        <v>1612328.4</v>
      </c>
      <c r="FX195" s="1439"/>
      <c r="FY195" s="1420">
        <v>521650.92</v>
      </c>
      <c r="FZ195" s="1439"/>
      <c r="GA195" s="1422">
        <v>0</v>
      </c>
      <c r="GB195" s="1439"/>
    </row>
    <row r="196" spans="1:184" ht="12.75" customHeight="1" thickBot="1">
      <c r="A196" s="1418" t="s">
        <v>267</v>
      </c>
      <c r="B196" s="1418" t="s">
        <v>268</v>
      </c>
      <c r="C196" s="1420">
        <v>105.21</v>
      </c>
      <c r="D196" s="1439"/>
      <c r="E196" s="1420">
        <v>4398.46</v>
      </c>
      <c r="F196" s="1439"/>
      <c r="G196" s="1421">
        <v>0.05</v>
      </c>
      <c r="H196" s="1439"/>
      <c r="I196" s="1420">
        <v>4629.22</v>
      </c>
      <c r="J196" s="1439"/>
      <c r="K196" s="1420">
        <v>4576.79</v>
      </c>
      <c r="L196" s="1439"/>
      <c r="M196" s="1422">
        <v>367117777</v>
      </c>
      <c r="N196" s="1439"/>
      <c r="O196" s="1422">
        <v>25</v>
      </c>
      <c r="P196" s="1439"/>
      <c r="Q196" s="1422">
        <v>25</v>
      </c>
      <c r="R196" s="1439"/>
      <c r="S196" s="1422">
        <v>0</v>
      </c>
      <c r="T196" s="1439"/>
      <c r="U196" s="1422">
        <v>0</v>
      </c>
      <c r="V196" s="1439"/>
      <c r="W196" s="1420">
        <v>16.899999999999999</v>
      </c>
      <c r="X196" s="1439"/>
      <c r="Y196" s="1420">
        <v>41.9</v>
      </c>
      <c r="Z196" s="1439"/>
      <c r="AA196" s="1422">
        <v>62630000</v>
      </c>
      <c r="AB196" s="1439"/>
      <c r="AC196" s="1420">
        <v>14444681.83</v>
      </c>
      <c r="AD196" s="1422">
        <v>14878188</v>
      </c>
      <c r="AE196" s="1420">
        <v>3311432.53</v>
      </c>
      <c r="AF196" s="1422">
        <v>1190573</v>
      </c>
      <c r="AG196" s="1422">
        <v>0</v>
      </c>
      <c r="AH196" s="1422">
        <v>0</v>
      </c>
      <c r="AI196" s="1422">
        <v>18854290</v>
      </c>
      <c r="AJ196" s="1422">
        <v>19577242</v>
      </c>
      <c r="AK196" s="1422">
        <v>172834</v>
      </c>
      <c r="AL196" s="1422">
        <v>179132</v>
      </c>
      <c r="AM196" s="1422">
        <v>475992</v>
      </c>
      <c r="AN196" s="1422">
        <v>0</v>
      </c>
      <c r="AO196" s="1422">
        <v>0</v>
      </c>
      <c r="AP196" s="1422">
        <v>0</v>
      </c>
      <c r="AQ196" s="1422">
        <v>0</v>
      </c>
      <c r="AR196" s="1422">
        <v>0</v>
      </c>
      <c r="AS196" s="1422">
        <v>0</v>
      </c>
      <c r="AT196" s="1422">
        <v>0</v>
      </c>
      <c r="AU196" s="1422">
        <v>0</v>
      </c>
      <c r="AV196" s="1422">
        <v>0</v>
      </c>
      <c r="AW196" s="1422">
        <v>0</v>
      </c>
      <c r="AX196" s="1422">
        <v>0</v>
      </c>
      <c r="AY196" s="1420">
        <v>37259230.359999999</v>
      </c>
      <c r="AZ196" s="1422">
        <v>35825135</v>
      </c>
      <c r="BA196" s="1422">
        <v>0</v>
      </c>
      <c r="BB196" s="1422">
        <v>0</v>
      </c>
      <c r="BC196" s="1422">
        <v>189296</v>
      </c>
      <c r="BD196" s="1422">
        <v>197081</v>
      </c>
      <c r="BE196" s="1420">
        <v>7118.25</v>
      </c>
      <c r="BF196" s="1420">
        <v>5179.47</v>
      </c>
      <c r="BG196" s="1422">
        <v>7300</v>
      </c>
      <c r="BH196" s="1422">
        <v>7300</v>
      </c>
      <c r="BI196" s="1422">
        <v>152159</v>
      </c>
      <c r="BJ196" s="1422">
        <v>155230</v>
      </c>
      <c r="BK196" s="1422">
        <v>52740</v>
      </c>
      <c r="BL196" s="1422">
        <v>53820</v>
      </c>
      <c r="BM196" s="1422">
        <v>847664</v>
      </c>
      <c r="BN196" s="1422">
        <v>898656</v>
      </c>
      <c r="BO196" s="1420">
        <v>354318.01</v>
      </c>
      <c r="BP196" s="1422">
        <v>155000</v>
      </c>
      <c r="BQ196" s="1420">
        <v>111520.17</v>
      </c>
      <c r="BR196" s="1422">
        <v>142517</v>
      </c>
      <c r="BS196" s="1420">
        <v>14814.12</v>
      </c>
      <c r="BT196" s="1422">
        <v>9814</v>
      </c>
      <c r="BU196" s="1422">
        <v>0</v>
      </c>
      <c r="BV196" s="1422">
        <v>0</v>
      </c>
      <c r="BW196" s="1422">
        <v>85925</v>
      </c>
      <c r="BX196" s="1422">
        <v>79728</v>
      </c>
      <c r="BY196" s="1422">
        <v>0</v>
      </c>
      <c r="BZ196" s="1422">
        <v>0</v>
      </c>
      <c r="CA196" s="1420">
        <v>4321946.38</v>
      </c>
      <c r="CB196" s="1422">
        <v>267841</v>
      </c>
      <c r="CC196" s="1420">
        <v>6144800.9299999997</v>
      </c>
      <c r="CD196" s="1420">
        <v>1972166.47</v>
      </c>
      <c r="CE196" s="1420">
        <v>4514297.32</v>
      </c>
      <c r="CF196" s="1422">
        <v>4253426</v>
      </c>
      <c r="CG196" s="1420">
        <v>8295945.75</v>
      </c>
      <c r="CH196" s="1422">
        <v>0</v>
      </c>
      <c r="CI196" s="1422">
        <v>0</v>
      </c>
      <c r="CJ196" s="1422">
        <v>0</v>
      </c>
      <c r="CK196" s="1420">
        <v>26333.3</v>
      </c>
      <c r="CL196" s="1420">
        <v>25041.53</v>
      </c>
      <c r="CM196" s="1422">
        <v>17000</v>
      </c>
      <c r="CN196" s="1422">
        <v>0</v>
      </c>
      <c r="CO196" s="1420">
        <v>24927.43</v>
      </c>
      <c r="CP196" s="1422">
        <v>0</v>
      </c>
      <c r="CQ196" s="1422">
        <v>0</v>
      </c>
      <c r="CR196" s="1422">
        <v>0</v>
      </c>
      <c r="CS196" s="1420">
        <v>8364206.4800000004</v>
      </c>
      <c r="CT196" s="1420">
        <v>25041.53</v>
      </c>
      <c r="CU196" s="1420">
        <v>56282535.090000004</v>
      </c>
      <c r="CV196" s="1422">
        <v>42075769</v>
      </c>
      <c r="CW196" s="1420">
        <v>16314741.41</v>
      </c>
      <c r="CX196" s="1420">
        <v>15728646.25</v>
      </c>
      <c r="CY196" s="1420">
        <v>2845405.28</v>
      </c>
      <c r="CZ196" s="1420">
        <v>2871998.28</v>
      </c>
      <c r="DA196" s="1420">
        <v>1131731.1100000001</v>
      </c>
      <c r="DB196" s="1420">
        <v>1188110.25</v>
      </c>
      <c r="DC196" s="1422">
        <v>0</v>
      </c>
      <c r="DD196" s="1422">
        <v>0</v>
      </c>
      <c r="DE196" s="1420">
        <v>303525.38</v>
      </c>
      <c r="DF196" s="1420">
        <v>254193.09</v>
      </c>
      <c r="DG196" s="1420">
        <v>1110073.6499999999</v>
      </c>
      <c r="DH196" s="1420">
        <v>1116953.3500000001</v>
      </c>
      <c r="DI196" s="1420">
        <v>21705476.829999998</v>
      </c>
      <c r="DJ196" s="1420">
        <v>21159901.219999999</v>
      </c>
      <c r="DK196" s="1420">
        <v>758674.22</v>
      </c>
      <c r="DL196" s="1420">
        <v>1012324.94</v>
      </c>
      <c r="DM196" s="1420">
        <v>1338543.25</v>
      </c>
      <c r="DN196" s="1420">
        <v>1277273.17</v>
      </c>
      <c r="DO196" s="1420">
        <v>4077207.1</v>
      </c>
      <c r="DP196" s="1420">
        <v>4005308.85</v>
      </c>
      <c r="DQ196" s="1420">
        <v>1068783.97</v>
      </c>
      <c r="DR196" s="1420">
        <v>1169250.48</v>
      </c>
      <c r="DS196" s="1420">
        <v>91009.600000000006</v>
      </c>
      <c r="DT196" s="1420">
        <v>77036.53</v>
      </c>
      <c r="DU196" s="1420">
        <v>7334218.1399999997</v>
      </c>
      <c r="DV196" s="1420">
        <v>7541193.9699999997</v>
      </c>
      <c r="DW196" s="1420">
        <v>1799233.79</v>
      </c>
      <c r="DX196" s="1420">
        <v>1772183.86</v>
      </c>
      <c r="DY196" s="1420">
        <v>2466059.31</v>
      </c>
      <c r="DZ196" s="1420">
        <v>2550642.5099999998</v>
      </c>
      <c r="EA196" s="1420">
        <v>2082729.83</v>
      </c>
      <c r="EB196" s="1420">
        <v>2062308.81</v>
      </c>
      <c r="EC196" s="1420">
        <v>6348022.9299999997</v>
      </c>
      <c r="ED196" s="1420">
        <v>6385135.1799999997</v>
      </c>
      <c r="EE196" s="1420">
        <v>1804559.28</v>
      </c>
      <c r="EF196" s="1420">
        <v>1856098.75</v>
      </c>
      <c r="EG196" s="1420">
        <v>633.39</v>
      </c>
      <c r="EH196" s="1422">
        <v>0</v>
      </c>
      <c r="EI196" s="1420">
        <v>114748.58</v>
      </c>
      <c r="EJ196" s="1420">
        <v>101009.7</v>
      </c>
      <c r="EK196" s="1422">
        <v>0</v>
      </c>
      <c r="EL196" s="1422">
        <v>0</v>
      </c>
      <c r="EM196" s="1420">
        <v>1919941.25</v>
      </c>
      <c r="EN196" s="1420">
        <v>1957108.45</v>
      </c>
      <c r="EO196" s="1420">
        <v>14448432.189999999</v>
      </c>
      <c r="EP196" s="1420">
        <v>8032632.8899999997</v>
      </c>
      <c r="EQ196" s="1420">
        <v>4007790.46</v>
      </c>
      <c r="ER196" s="1422">
        <v>4609102</v>
      </c>
      <c r="ES196" s="1420">
        <v>23825.35</v>
      </c>
      <c r="ET196" s="1422">
        <v>0</v>
      </c>
      <c r="EU196" s="1420">
        <v>55787707.149999999</v>
      </c>
      <c r="EV196" s="1420">
        <v>49685073.710000001</v>
      </c>
      <c r="EW196" s="1420">
        <v>15990494.359999999</v>
      </c>
      <c r="EX196" s="1420">
        <v>9349503.3800000008</v>
      </c>
      <c r="EY196" s="1420">
        <v>4007790.46</v>
      </c>
      <c r="EZ196" s="1422">
        <v>4609102</v>
      </c>
      <c r="FA196" s="1420">
        <v>35789422.329999998</v>
      </c>
      <c r="FB196" s="1420">
        <v>35726468.329999998</v>
      </c>
      <c r="FC196" s="1420">
        <v>1748001.86</v>
      </c>
      <c r="FD196" s="1439"/>
      <c r="FE196" s="1420">
        <v>34041420.469999999</v>
      </c>
      <c r="FF196" s="1439"/>
      <c r="FG196" s="1422">
        <v>7739</v>
      </c>
      <c r="FH196" s="1439"/>
      <c r="FI196" s="1420">
        <v>275.58</v>
      </c>
      <c r="FJ196" s="1439"/>
      <c r="FK196" s="1422">
        <v>50413</v>
      </c>
      <c r="FL196" s="1439"/>
      <c r="FM196" s="1420">
        <v>300.24</v>
      </c>
      <c r="FN196" s="1439"/>
      <c r="FO196" s="1422">
        <v>53472</v>
      </c>
      <c r="FP196" s="1439"/>
      <c r="FQ196" s="1420">
        <v>2874760.17</v>
      </c>
      <c r="FR196" s="1439"/>
      <c r="FS196" s="1420">
        <v>67635.89</v>
      </c>
      <c r="FT196" s="1439"/>
      <c r="FU196" s="1422">
        <v>0</v>
      </c>
      <c r="FV196" s="1439"/>
      <c r="FW196" s="1420">
        <v>2807124.28</v>
      </c>
      <c r="FX196" s="1439"/>
      <c r="FY196" s="1420">
        <v>7747565.7300000004</v>
      </c>
      <c r="FZ196" s="1439"/>
      <c r="GA196" s="1422">
        <v>0</v>
      </c>
      <c r="GB196" s="1439"/>
    </row>
    <row r="197" spans="1:184" ht="12.75" customHeight="1" thickBot="1">
      <c r="A197" s="1418" t="s">
        <v>269</v>
      </c>
      <c r="B197" s="1418" t="s">
        <v>270</v>
      </c>
      <c r="C197" s="1420">
        <v>345.37</v>
      </c>
      <c r="D197" s="1439"/>
      <c r="E197" s="1420">
        <v>7554.08</v>
      </c>
      <c r="F197" s="1439"/>
      <c r="G197" s="1421">
        <v>0.2</v>
      </c>
      <c r="H197" s="1439"/>
      <c r="I197" s="1420">
        <v>7879.11</v>
      </c>
      <c r="J197" s="1439"/>
      <c r="K197" s="1420">
        <v>7626.32</v>
      </c>
      <c r="L197" s="1439"/>
      <c r="M197" s="1422">
        <v>617572433</v>
      </c>
      <c r="N197" s="1439"/>
      <c r="O197" s="1422">
        <v>25</v>
      </c>
      <c r="P197" s="1439"/>
      <c r="Q197" s="1422">
        <v>25</v>
      </c>
      <c r="R197" s="1439"/>
      <c r="S197" s="1422">
        <v>0</v>
      </c>
      <c r="T197" s="1439"/>
      <c r="U197" s="1422">
        <v>0</v>
      </c>
      <c r="V197" s="1439"/>
      <c r="W197" s="1420">
        <v>12.2</v>
      </c>
      <c r="X197" s="1439"/>
      <c r="Y197" s="1420">
        <v>37.200000000000003</v>
      </c>
      <c r="Z197" s="1439"/>
      <c r="AA197" s="1420">
        <v>55012304.829999998</v>
      </c>
      <c r="AB197" s="1439"/>
      <c r="AC197" s="1420">
        <v>21325282.960000001</v>
      </c>
      <c r="AD197" s="1422">
        <v>25894101</v>
      </c>
      <c r="AE197" s="1420">
        <v>2791441.28</v>
      </c>
      <c r="AF197" s="1422">
        <v>2619600</v>
      </c>
      <c r="AG197" s="1422">
        <v>0</v>
      </c>
      <c r="AH197" s="1422">
        <v>0</v>
      </c>
      <c r="AI197" s="1422">
        <v>31396828</v>
      </c>
      <c r="AJ197" s="1422">
        <v>33502057</v>
      </c>
      <c r="AK197" s="1422">
        <v>342657</v>
      </c>
      <c r="AL197" s="1422">
        <v>325000</v>
      </c>
      <c r="AM197" s="1422">
        <v>1552534</v>
      </c>
      <c r="AN197" s="1422">
        <v>1000000</v>
      </c>
      <c r="AO197" s="1422">
        <v>0</v>
      </c>
      <c r="AP197" s="1422">
        <v>0</v>
      </c>
      <c r="AQ197" s="1422">
        <v>0</v>
      </c>
      <c r="AR197" s="1422">
        <v>0</v>
      </c>
      <c r="AS197" s="1422">
        <v>73256</v>
      </c>
      <c r="AT197" s="1422">
        <v>60670</v>
      </c>
      <c r="AU197" s="1422">
        <v>0</v>
      </c>
      <c r="AV197" s="1422">
        <v>0</v>
      </c>
      <c r="AW197" s="1422">
        <v>0</v>
      </c>
      <c r="AX197" s="1422">
        <v>0</v>
      </c>
      <c r="AY197" s="1420">
        <v>57481999.240000002</v>
      </c>
      <c r="AZ197" s="1422">
        <v>63401428</v>
      </c>
      <c r="BA197" s="1422">
        <v>0</v>
      </c>
      <c r="BB197" s="1422">
        <v>0</v>
      </c>
      <c r="BC197" s="1422">
        <v>315425</v>
      </c>
      <c r="BD197" s="1422">
        <v>336010</v>
      </c>
      <c r="BE197" s="1420">
        <v>14649.11</v>
      </c>
      <c r="BF197" s="1422">
        <v>26800</v>
      </c>
      <c r="BG197" s="1422">
        <v>9800</v>
      </c>
      <c r="BH197" s="1422">
        <v>8000</v>
      </c>
      <c r="BI197" s="1422">
        <v>307122</v>
      </c>
      <c r="BJ197" s="1422">
        <v>329735</v>
      </c>
      <c r="BK197" s="1422">
        <v>75301</v>
      </c>
      <c r="BL197" s="1422">
        <v>73250</v>
      </c>
      <c r="BM197" s="1422">
        <v>1293950</v>
      </c>
      <c r="BN197" s="1422">
        <v>1458646</v>
      </c>
      <c r="BO197" s="1420">
        <v>1076643.52</v>
      </c>
      <c r="BP197" s="1422">
        <v>1009002</v>
      </c>
      <c r="BQ197" s="1420">
        <v>159828.03</v>
      </c>
      <c r="BR197" s="1420">
        <v>295031.71000000002</v>
      </c>
      <c r="BS197" s="1420">
        <v>18318.86</v>
      </c>
      <c r="BT197" s="1422">
        <v>18000</v>
      </c>
      <c r="BU197" s="1422">
        <v>0</v>
      </c>
      <c r="BV197" s="1422">
        <v>0</v>
      </c>
      <c r="BW197" s="1422">
        <v>0</v>
      </c>
      <c r="BX197" s="1422">
        <v>0</v>
      </c>
      <c r="BY197" s="1422">
        <v>0</v>
      </c>
      <c r="BZ197" s="1422">
        <v>0</v>
      </c>
      <c r="CA197" s="1420">
        <v>1506960.19</v>
      </c>
      <c r="CB197" s="1422">
        <v>10180397</v>
      </c>
      <c r="CC197" s="1420">
        <v>4777997.71</v>
      </c>
      <c r="CD197" s="1420">
        <v>13734871.710000001</v>
      </c>
      <c r="CE197" s="1420">
        <v>6918712.5499999998</v>
      </c>
      <c r="CF197" s="1420">
        <v>4740656.66</v>
      </c>
      <c r="CG197" s="1420">
        <v>13838070.130000001</v>
      </c>
      <c r="CH197" s="1422">
        <v>199220</v>
      </c>
      <c r="CI197" s="1422">
        <v>0</v>
      </c>
      <c r="CJ197" s="1422">
        <v>0</v>
      </c>
      <c r="CK197" s="1420">
        <v>19242.439999999999</v>
      </c>
      <c r="CL197" s="1422">
        <v>22560</v>
      </c>
      <c r="CM197" s="1420">
        <v>10363.299999999999</v>
      </c>
      <c r="CN197" s="1422">
        <v>0</v>
      </c>
      <c r="CO197" s="1420">
        <v>28393.7</v>
      </c>
      <c r="CP197" s="1422">
        <v>0</v>
      </c>
      <c r="CQ197" s="1422">
        <v>0</v>
      </c>
      <c r="CR197" s="1422">
        <v>0</v>
      </c>
      <c r="CS197" s="1420">
        <v>13896069.57</v>
      </c>
      <c r="CT197" s="1422">
        <v>221780</v>
      </c>
      <c r="CU197" s="1420">
        <v>83074779.069999993</v>
      </c>
      <c r="CV197" s="1420">
        <v>82098736.370000005</v>
      </c>
      <c r="CW197" s="1420">
        <v>26495847.489999998</v>
      </c>
      <c r="CX197" s="1420">
        <v>28663408.73</v>
      </c>
      <c r="CY197" s="1420">
        <v>6964600.8399999999</v>
      </c>
      <c r="CZ197" s="1420">
        <v>6939006.21</v>
      </c>
      <c r="DA197" s="1420">
        <v>1793675.58</v>
      </c>
      <c r="DB197" s="1420">
        <v>2068048.94</v>
      </c>
      <c r="DC197" s="1422">
        <v>0</v>
      </c>
      <c r="DD197" s="1422">
        <v>0</v>
      </c>
      <c r="DE197" s="1420">
        <v>315189.75</v>
      </c>
      <c r="DF197" s="1422">
        <v>291688</v>
      </c>
      <c r="DG197" s="1420">
        <v>1258276.72</v>
      </c>
      <c r="DH197" s="1420">
        <v>1337377.0900000001</v>
      </c>
      <c r="DI197" s="1420">
        <v>36827590.380000003</v>
      </c>
      <c r="DJ197" s="1420">
        <v>39299528.969999999</v>
      </c>
      <c r="DK197" s="1420">
        <v>932660.04</v>
      </c>
      <c r="DL197" s="1420">
        <v>974717.13</v>
      </c>
      <c r="DM197" s="1420">
        <v>1168831.96</v>
      </c>
      <c r="DN197" s="1420">
        <v>1145542.71</v>
      </c>
      <c r="DO197" s="1420">
        <v>6205028.6799999997</v>
      </c>
      <c r="DP197" s="1420">
        <v>5665842.21</v>
      </c>
      <c r="DQ197" s="1420">
        <v>2155989.2000000002</v>
      </c>
      <c r="DR197" s="1420">
        <v>2595423.83</v>
      </c>
      <c r="DS197" s="1420">
        <v>76901.899999999994</v>
      </c>
      <c r="DT197" s="1422">
        <v>22560</v>
      </c>
      <c r="DU197" s="1420">
        <v>10539411.779999999</v>
      </c>
      <c r="DV197" s="1420">
        <v>10404085.880000001</v>
      </c>
      <c r="DW197" s="1420">
        <v>3286264.93</v>
      </c>
      <c r="DX197" s="1420">
        <v>3410579.08</v>
      </c>
      <c r="DY197" s="1420">
        <v>4229345.29</v>
      </c>
      <c r="DZ197" s="1420">
        <v>5849930.6299999999</v>
      </c>
      <c r="EA197" s="1420">
        <v>2735606.53</v>
      </c>
      <c r="EB197" s="1420">
        <v>2788471.13</v>
      </c>
      <c r="EC197" s="1420">
        <v>10251216.75</v>
      </c>
      <c r="ED197" s="1420">
        <v>12048980.84</v>
      </c>
      <c r="EE197" s="1420">
        <v>2305987.29</v>
      </c>
      <c r="EF197" s="1420">
        <v>2520169.62</v>
      </c>
      <c r="EG197" s="1420">
        <v>46.87</v>
      </c>
      <c r="EH197" s="1422">
        <v>0</v>
      </c>
      <c r="EI197" s="1420">
        <v>15985.6</v>
      </c>
      <c r="EJ197" s="1420">
        <v>12125.22</v>
      </c>
      <c r="EK197" s="1422">
        <v>0</v>
      </c>
      <c r="EL197" s="1422">
        <v>0</v>
      </c>
      <c r="EM197" s="1420">
        <v>2322019.7599999998</v>
      </c>
      <c r="EN197" s="1420">
        <v>2532294.84</v>
      </c>
      <c r="EO197" s="1420">
        <v>12337555.199999999</v>
      </c>
      <c r="EP197" s="1420">
        <v>38503021.689999998</v>
      </c>
      <c r="EQ197" s="1420">
        <v>2264157.63</v>
      </c>
      <c r="ER197" s="1420">
        <v>3671009.24</v>
      </c>
      <c r="ES197" s="1422">
        <v>97423</v>
      </c>
      <c r="ET197" s="1422">
        <v>0</v>
      </c>
      <c r="EU197" s="1420">
        <v>74639374.5</v>
      </c>
      <c r="EV197" s="1420">
        <v>106458921.45999999</v>
      </c>
      <c r="EW197" s="1420">
        <v>14314147.9</v>
      </c>
      <c r="EX197" s="1420">
        <v>41378530.990000002</v>
      </c>
      <c r="EY197" s="1420">
        <v>2264157.63</v>
      </c>
      <c r="EZ197" s="1420">
        <v>3671009.24</v>
      </c>
      <c r="FA197" s="1420">
        <v>58061068.969999999</v>
      </c>
      <c r="FB197" s="1420">
        <v>61409381.229999997</v>
      </c>
      <c r="FC197" s="1420">
        <v>2146644.02</v>
      </c>
      <c r="FD197" s="1439"/>
      <c r="FE197" s="1420">
        <v>55914424.950000003</v>
      </c>
      <c r="FF197" s="1439"/>
      <c r="FG197" s="1422">
        <v>7401</v>
      </c>
      <c r="FH197" s="1439"/>
      <c r="FI197" s="1420">
        <v>476.06</v>
      </c>
      <c r="FJ197" s="1439"/>
      <c r="FK197" s="1422">
        <v>52097</v>
      </c>
      <c r="FL197" s="1439"/>
      <c r="FM197" s="1420">
        <v>508.67</v>
      </c>
      <c r="FN197" s="1439"/>
      <c r="FO197" s="1422">
        <v>53916</v>
      </c>
      <c r="FP197" s="1439"/>
      <c r="FQ197" s="1420">
        <v>4427775.13</v>
      </c>
      <c r="FR197" s="1439"/>
      <c r="FS197" s="1420">
        <v>268995.89</v>
      </c>
      <c r="FT197" s="1439"/>
      <c r="FU197" s="1422">
        <v>0</v>
      </c>
      <c r="FV197" s="1439"/>
      <c r="FW197" s="1420">
        <v>4158779.24</v>
      </c>
      <c r="FX197" s="1439"/>
      <c r="FY197" s="1420">
        <v>26338575.289999999</v>
      </c>
      <c r="FZ197" s="1439"/>
      <c r="GA197" s="1420">
        <v>913394.3</v>
      </c>
      <c r="GB197" s="1439"/>
    </row>
    <row r="198" spans="1:184" ht="12.75" customHeight="1" thickBot="1">
      <c r="A198" s="1418" t="s">
        <v>271</v>
      </c>
      <c r="B198" s="1418" t="s">
        <v>272</v>
      </c>
      <c r="C198" s="1420">
        <v>21.88</v>
      </c>
      <c r="D198" s="1439"/>
      <c r="E198" s="1420">
        <v>1055.6300000000001</v>
      </c>
      <c r="F198" s="1439"/>
      <c r="G198" s="1421">
        <v>0.31</v>
      </c>
      <c r="H198" s="1439"/>
      <c r="I198" s="1420">
        <v>1097.18</v>
      </c>
      <c r="J198" s="1439"/>
      <c r="K198" s="1420">
        <v>1042.4100000000001</v>
      </c>
      <c r="L198" s="1439"/>
      <c r="M198" s="1422">
        <v>52662456</v>
      </c>
      <c r="N198" s="1439"/>
      <c r="O198" s="1422">
        <v>25</v>
      </c>
      <c r="P198" s="1439"/>
      <c r="Q198" s="1422">
        <v>25</v>
      </c>
      <c r="R198" s="1439"/>
      <c r="S198" s="1422">
        <v>0</v>
      </c>
      <c r="T198" s="1439"/>
      <c r="U198" s="1422">
        <v>0</v>
      </c>
      <c r="V198" s="1439"/>
      <c r="W198" s="1420">
        <v>14.4</v>
      </c>
      <c r="X198" s="1439"/>
      <c r="Y198" s="1420">
        <v>39.4</v>
      </c>
      <c r="Z198" s="1439"/>
      <c r="AA198" s="1422">
        <v>8035000</v>
      </c>
      <c r="AB198" s="1439"/>
      <c r="AC198" s="1420">
        <v>1959719.31</v>
      </c>
      <c r="AD198" s="1422">
        <v>2232000</v>
      </c>
      <c r="AE198" s="1420">
        <v>576528.52</v>
      </c>
      <c r="AF198" s="1420">
        <v>240477.5</v>
      </c>
      <c r="AG198" s="1420">
        <v>5605.33</v>
      </c>
      <c r="AH198" s="1422">
        <v>5000</v>
      </c>
      <c r="AI198" s="1422">
        <v>5048263</v>
      </c>
      <c r="AJ198" s="1422">
        <v>5486909</v>
      </c>
      <c r="AK198" s="1422">
        <v>34286</v>
      </c>
      <c r="AL198" s="1422">
        <v>25000</v>
      </c>
      <c r="AM198" s="1422">
        <v>330422</v>
      </c>
      <c r="AN198" s="1422">
        <v>0</v>
      </c>
      <c r="AO198" s="1422">
        <v>0</v>
      </c>
      <c r="AP198" s="1422">
        <v>0</v>
      </c>
      <c r="AQ198" s="1422">
        <v>0</v>
      </c>
      <c r="AR198" s="1422">
        <v>0</v>
      </c>
      <c r="AS198" s="1422">
        <v>0</v>
      </c>
      <c r="AT198" s="1422">
        <v>0</v>
      </c>
      <c r="AU198" s="1422">
        <v>9852</v>
      </c>
      <c r="AV198" s="1422">
        <v>7881</v>
      </c>
      <c r="AW198" s="1422">
        <v>0</v>
      </c>
      <c r="AX198" s="1422">
        <v>0</v>
      </c>
      <c r="AY198" s="1420">
        <v>7964676.1600000001</v>
      </c>
      <c r="AZ198" s="1420">
        <v>7997267.5</v>
      </c>
      <c r="BA198" s="1422">
        <v>0</v>
      </c>
      <c r="BB198" s="1422">
        <v>0</v>
      </c>
      <c r="BC198" s="1422">
        <v>43114</v>
      </c>
      <c r="BD198" s="1422">
        <v>46747</v>
      </c>
      <c r="BE198" s="1420">
        <v>1934.58</v>
      </c>
      <c r="BF198" s="1422">
        <v>0</v>
      </c>
      <c r="BG198" s="1422">
        <v>200</v>
      </c>
      <c r="BH198" s="1422">
        <v>0</v>
      </c>
      <c r="BI198" s="1422">
        <v>11173</v>
      </c>
      <c r="BJ198" s="1422">
        <v>0</v>
      </c>
      <c r="BK198" s="1422">
        <v>0</v>
      </c>
      <c r="BL198" s="1422">
        <v>0</v>
      </c>
      <c r="BM198" s="1422">
        <v>249711</v>
      </c>
      <c r="BN198" s="1422">
        <v>253000</v>
      </c>
      <c r="BO198" s="1420">
        <v>4270.3999999999996</v>
      </c>
      <c r="BP198" s="1422">
        <v>0</v>
      </c>
      <c r="BQ198" s="1422">
        <v>8125</v>
      </c>
      <c r="BR198" s="1422">
        <v>0</v>
      </c>
      <c r="BS198" s="1420">
        <v>3401.46</v>
      </c>
      <c r="BT198" s="1422">
        <v>3500</v>
      </c>
      <c r="BU198" s="1422">
        <v>0</v>
      </c>
      <c r="BV198" s="1422">
        <v>0</v>
      </c>
      <c r="BW198" s="1422">
        <v>0</v>
      </c>
      <c r="BX198" s="1422">
        <v>0</v>
      </c>
      <c r="BY198" s="1422">
        <v>0</v>
      </c>
      <c r="BZ198" s="1422">
        <v>0</v>
      </c>
      <c r="CA198" s="1420">
        <v>551396.74</v>
      </c>
      <c r="CB198" s="1422">
        <v>88799</v>
      </c>
      <c r="CC198" s="1420">
        <v>873326.18</v>
      </c>
      <c r="CD198" s="1422">
        <v>392046</v>
      </c>
      <c r="CE198" s="1420">
        <v>851230.54</v>
      </c>
      <c r="CF198" s="1420">
        <v>809497.65</v>
      </c>
      <c r="CG198" s="1420">
        <v>1508331.38</v>
      </c>
      <c r="CH198" s="1422">
        <v>0</v>
      </c>
      <c r="CI198" s="1422">
        <v>0</v>
      </c>
      <c r="CJ198" s="1422">
        <v>0</v>
      </c>
      <c r="CK198" s="1422">
        <v>0</v>
      </c>
      <c r="CL198" s="1422">
        <v>0</v>
      </c>
      <c r="CM198" s="1422">
        <v>0</v>
      </c>
      <c r="CN198" s="1422">
        <v>0</v>
      </c>
      <c r="CO198" s="1422">
        <v>0</v>
      </c>
      <c r="CP198" s="1422">
        <v>0</v>
      </c>
      <c r="CQ198" s="1422">
        <v>0</v>
      </c>
      <c r="CR198" s="1422">
        <v>0</v>
      </c>
      <c r="CS198" s="1420">
        <v>1508331.38</v>
      </c>
      <c r="CT198" s="1422">
        <v>0</v>
      </c>
      <c r="CU198" s="1420">
        <v>11197564.26</v>
      </c>
      <c r="CV198" s="1420">
        <v>9198811.1500000004</v>
      </c>
      <c r="CW198" s="1420">
        <v>3747825.33</v>
      </c>
      <c r="CX198" s="1420">
        <v>3515825.07</v>
      </c>
      <c r="CY198" s="1422">
        <v>646161</v>
      </c>
      <c r="CZ198" s="1420">
        <v>660419.29</v>
      </c>
      <c r="DA198" s="1420">
        <v>288843.88</v>
      </c>
      <c r="DB198" s="1420">
        <v>274823.15000000002</v>
      </c>
      <c r="DC198" s="1422">
        <v>0</v>
      </c>
      <c r="DD198" s="1422">
        <v>0</v>
      </c>
      <c r="DE198" s="1420">
        <v>171237.92</v>
      </c>
      <c r="DF198" s="1420">
        <v>177979.79</v>
      </c>
      <c r="DG198" s="1420">
        <v>404866.38</v>
      </c>
      <c r="DH198" s="1420">
        <v>413825.22</v>
      </c>
      <c r="DI198" s="1420">
        <v>5258934.51</v>
      </c>
      <c r="DJ198" s="1420">
        <v>5042872.5199999996</v>
      </c>
      <c r="DK198" s="1420">
        <v>237558.93</v>
      </c>
      <c r="DL198" s="1420">
        <v>236163.20000000001</v>
      </c>
      <c r="DM198" s="1420">
        <v>122935.53</v>
      </c>
      <c r="DN198" s="1420">
        <v>114854.22</v>
      </c>
      <c r="DO198" s="1420">
        <v>1054489.6499999999</v>
      </c>
      <c r="DP198" s="1420">
        <v>991110.54</v>
      </c>
      <c r="DQ198" s="1420">
        <v>141434.57999999999</v>
      </c>
      <c r="DR198" s="1420">
        <v>213440.73</v>
      </c>
      <c r="DS198" s="1420">
        <v>19868.63</v>
      </c>
      <c r="DT198" s="1422">
        <v>4000</v>
      </c>
      <c r="DU198" s="1420">
        <v>1576287.32</v>
      </c>
      <c r="DV198" s="1420">
        <v>1559568.69</v>
      </c>
      <c r="DW198" s="1420">
        <v>352970.9</v>
      </c>
      <c r="DX198" s="1420">
        <v>467458.8</v>
      </c>
      <c r="DY198" s="1420">
        <v>571050.23999999999</v>
      </c>
      <c r="DZ198" s="1420">
        <v>563370.79</v>
      </c>
      <c r="EA198" s="1420">
        <v>440298.05</v>
      </c>
      <c r="EB198" s="1420">
        <v>559319.41</v>
      </c>
      <c r="EC198" s="1420">
        <v>1364319.19</v>
      </c>
      <c r="ED198" s="1422">
        <v>1590149</v>
      </c>
      <c r="EE198" s="1422">
        <v>445056</v>
      </c>
      <c r="EF198" s="1420">
        <v>419763.65</v>
      </c>
      <c r="EG198" s="1420">
        <v>67169.66</v>
      </c>
      <c r="EH198" s="1422">
        <v>0</v>
      </c>
      <c r="EI198" s="1422">
        <v>0</v>
      </c>
      <c r="EJ198" s="1422">
        <v>500</v>
      </c>
      <c r="EK198" s="1422">
        <v>0</v>
      </c>
      <c r="EL198" s="1422">
        <v>0</v>
      </c>
      <c r="EM198" s="1420">
        <v>512225.66</v>
      </c>
      <c r="EN198" s="1420">
        <v>420263.65</v>
      </c>
      <c r="EO198" s="1420">
        <v>1070740.67</v>
      </c>
      <c r="EP198" s="1420">
        <v>13701.45</v>
      </c>
      <c r="EQ198" s="1422">
        <v>406994</v>
      </c>
      <c r="ER198" s="1422">
        <v>462379</v>
      </c>
      <c r="ES198" s="1422">
        <v>44225</v>
      </c>
      <c r="ET198" s="1422">
        <v>0</v>
      </c>
      <c r="EU198" s="1420">
        <v>10233726.35</v>
      </c>
      <c r="EV198" s="1420">
        <v>9088934.3100000005</v>
      </c>
      <c r="EW198" s="1420">
        <v>1142802.19</v>
      </c>
      <c r="EX198" s="1420">
        <v>105376.45</v>
      </c>
      <c r="EY198" s="1422">
        <v>406994</v>
      </c>
      <c r="EZ198" s="1422">
        <v>462379</v>
      </c>
      <c r="FA198" s="1420">
        <v>8683930.1600000001</v>
      </c>
      <c r="FB198" s="1420">
        <v>8521178.8599999994</v>
      </c>
      <c r="FC198" s="1420">
        <v>558084.56999999995</v>
      </c>
      <c r="FD198" s="1439"/>
      <c r="FE198" s="1420">
        <v>8125845.5899999999</v>
      </c>
      <c r="FF198" s="1439"/>
      <c r="FG198" s="1422">
        <v>7697</v>
      </c>
      <c r="FH198" s="1439"/>
      <c r="FI198" s="1420">
        <v>76.22</v>
      </c>
      <c r="FJ198" s="1439"/>
      <c r="FK198" s="1422">
        <v>47145</v>
      </c>
      <c r="FL198" s="1439"/>
      <c r="FM198" s="1420">
        <v>82.48</v>
      </c>
      <c r="FN198" s="1439"/>
      <c r="FO198" s="1422">
        <v>49429</v>
      </c>
      <c r="FP198" s="1439"/>
      <c r="FQ198" s="1420">
        <v>797806.78</v>
      </c>
      <c r="FR198" s="1439"/>
      <c r="FS198" s="1420">
        <v>45338.35</v>
      </c>
      <c r="FT198" s="1439"/>
      <c r="FU198" s="1422">
        <v>0</v>
      </c>
      <c r="FV198" s="1439"/>
      <c r="FW198" s="1420">
        <v>752468.43</v>
      </c>
      <c r="FX198" s="1439"/>
      <c r="FY198" s="1420">
        <v>1485861.52</v>
      </c>
      <c r="FZ198" s="1439"/>
      <c r="GA198" s="1422">
        <v>0</v>
      </c>
      <c r="GB198" s="1439"/>
    </row>
    <row r="199" spans="1:184" ht="12.75" customHeight="1" thickBot="1">
      <c r="A199" s="1418" t="s">
        <v>273</v>
      </c>
      <c r="B199" s="1418" t="s">
        <v>274</v>
      </c>
      <c r="C199" s="1420">
        <v>764.4</v>
      </c>
      <c r="D199" s="1439"/>
      <c r="E199" s="1420">
        <v>1487.76</v>
      </c>
      <c r="F199" s="1439"/>
      <c r="G199" s="1421">
        <v>-0.1</v>
      </c>
      <c r="H199" s="1439"/>
      <c r="I199" s="1420">
        <v>1620.77</v>
      </c>
      <c r="J199" s="1439"/>
      <c r="K199" s="1420">
        <v>1660.3</v>
      </c>
      <c r="L199" s="1439"/>
      <c r="M199" s="1422">
        <v>74220677</v>
      </c>
      <c r="N199" s="1439"/>
      <c r="O199" s="1422">
        <v>25</v>
      </c>
      <c r="P199" s="1439"/>
      <c r="Q199" s="1422">
        <v>25</v>
      </c>
      <c r="R199" s="1439"/>
      <c r="S199" s="1422">
        <v>0</v>
      </c>
      <c r="T199" s="1439"/>
      <c r="U199" s="1422">
        <v>0</v>
      </c>
      <c r="V199" s="1439"/>
      <c r="W199" s="1420">
        <v>10.6</v>
      </c>
      <c r="X199" s="1439"/>
      <c r="Y199" s="1420">
        <v>35.6</v>
      </c>
      <c r="Z199" s="1439"/>
      <c r="AA199" s="1422">
        <v>11115000</v>
      </c>
      <c r="AB199" s="1439"/>
      <c r="AC199" s="1420">
        <v>2248428.59</v>
      </c>
      <c r="AD199" s="1422">
        <v>2358099</v>
      </c>
      <c r="AE199" s="1420">
        <v>657177.07999999996</v>
      </c>
      <c r="AF199" s="1422">
        <v>604068</v>
      </c>
      <c r="AG199" s="1422">
        <v>0</v>
      </c>
      <c r="AH199" s="1422">
        <v>0</v>
      </c>
      <c r="AI199" s="1422">
        <v>7494880</v>
      </c>
      <c r="AJ199" s="1422">
        <v>7433532</v>
      </c>
      <c r="AK199" s="1422">
        <v>136649</v>
      </c>
      <c r="AL199" s="1422">
        <v>0</v>
      </c>
      <c r="AM199" s="1422">
        <v>0</v>
      </c>
      <c r="AN199" s="1422">
        <v>0</v>
      </c>
      <c r="AO199" s="1422">
        <v>0</v>
      </c>
      <c r="AP199" s="1422">
        <v>111544</v>
      </c>
      <c r="AQ199" s="1422">
        <v>0</v>
      </c>
      <c r="AR199" s="1422">
        <v>0</v>
      </c>
      <c r="AS199" s="1422">
        <v>0</v>
      </c>
      <c r="AT199" s="1422">
        <v>0</v>
      </c>
      <c r="AU199" s="1422">
        <v>102285</v>
      </c>
      <c r="AV199" s="1422">
        <v>81828</v>
      </c>
      <c r="AW199" s="1422">
        <v>0</v>
      </c>
      <c r="AX199" s="1422">
        <v>0</v>
      </c>
      <c r="AY199" s="1420">
        <v>10639419.67</v>
      </c>
      <c r="AZ199" s="1422">
        <v>10589071</v>
      </c>
      <c r="BA199" s="1422">
        <v>0</v>
      </c>
      <c r="BB199" s="1422">
        <v>0</v>
      </c>
      <c r="BC199" s="1422">
        <v>68670</v>
      </c>
      <c r="BD199" s="1422">
        <v>68825</v>
      </c>
      <c r="BE199" s="1420">
        <v>18134.82</v>
      </c>
      <c r="BF199" s="1422">
        <v>16800</v>
      </c>
      <c r="BG199" s="1422">
        <v>1800</v>
      </c>
      <c r="BH199" s="1422">
        <v>0</v>
      </c>
      <c r="BI199" s="1422">
        <v>281647</v>
      </c>
      <c r="BJ199" s="1422">
        <v>188888</v>
      </c>
      <c r="BK199" s="1422">
        <v>44536</v>
      </c>
      <c r="BL199" s="1422">
        <v>44540</v>
      </c>
      <c r="BM199" s="1422">
        <v>562960</v>
      </c>
      <c r="BN199" s="1422">
        <v>767100</v>
      </c>
      <c r="BO199" s="1420">
        <v>11801.62</v>
      </c>
      <c r="BP199" s="1422">
        <v>0</v>
      </c>
      <c r="BQ199" s="1420">
        <v>47667.12</v>
      </c>
      <c r="BR199" s="1422">
        <v>35479</v>
      </c>
      <c r="BS199" s="1420">
        <v>32475.57</v>
      </c>
      <c r="BT199" s="1422">
        <v>32470</v>
      </c>
      <c r="BU199" s="1422">
        <v>0</v>
      </c>
      <c r="BV199" s="1422">
        <v>0</v>
      </c>
      <c r="BW199" s="1422">
        <v>491948</v>
      </c>
      <c r="BX199" s="1422">
        <v>498500</v>
      </c>
      <c r="BY199" s="1422">
        <v>0</v>
      </c>
      <c r="BZ199" s="1422">
        <v>0</v>
      </c>
      <c r="CA199" s="1420">
        <v>897030.24</v>
      </c>
      <c r="CB199" s="1422">
        <v>1124387</v>
      </c>
      <c r="CC199" s="1420">
        <v>2458670.37</v>
      </c>
      <c r="CD199" s="1422">
        <v>2776989</v>
      </c>
      <c r="CE199" s="1420">
        <v>4337646.4400000004</v>
      </c>
      <c r="CF199" s="1420">
        <v>3603537.42</v>
      </c>
      <c r="CG199" s="1422">
        <v>1602300</v>
      </c>
      <c r="CH199" s="1422">
        <v>0</v>
      </c>
      <c r="CI199" s="1422">
        <v>0</v>
      </c>
      <c r="CJ199" s="1422">
        <v>0</v>
      </c>
      <c r="CK199" s="1420">
        <v>15489.9</v>
      </c>
      <c r="CL199" s="1422">
        <v>15180</v>
      </c>
      <c r="CM199" s="1422">
        <v>0</v>
      </c>
      <c r="CN199" s="1422">
        <v>0</v>
      </c>
      <c r="CO199" s="1422">
        <v>0</v>
      </c>
      <c r="CP199" s="1422">
        <v>0</v>
      </c>
      <c r="CQ199" s="1422">
        <v>0</v>
      </c>
      <c r="CR199" s="1422">
        <v>0</v>
      </c>
      <c r="CS199" s="1420">
        <v>1617789.9</v>
      </c>
      <c r="CT199" s="1422">
        <v>15180</v>
      </c>
      <c r="CU199" s="1420">
        <v>19053526.379999999</v>
      </c>
      <c r="CV199" s="1420">
        <v>16984777.420000002</v>
      </c>
      <c r="CW199" s="1420">
        <v>5915330.1100000003</v>
      </c>
      <c r="CX199" s="1420">
        <v>6071386.96</v>
      </c>
      <c r="CY199" s="1420">
        <v>984217.23</v>
      </c>
      <c r="CZ199" s="1420">
        <v>1012658.9</v>
      </c>
      <c r="DA199" s="1420">
        <v>545684.98</v>
      </c>
      <c r="DB199" s="1420">
        <v>526669.01</v>
      </c>
      <c r="DC199" s="1422">
        <v>0</v>
      </c>
      <c r="DD199" s="1422">
        <v>0</v>
      </c>
      <c r="DE199" s="1420">
        <v>590912.98</v>
      </c>
      <c r="DF199" s="1420">
        <v>821738.4</v>
      </c>
      <c r="DG199" s="1420">
        <v>563149.06000000006</v>
      </c>
      <c r="DH199" s="1420">
        <v>562118.96</v>
      </c>
      <c r="DI199" s="1420">
        <v>8599294.3599999994</v>
      </c>
      <c r="DJ199" s="1420">
        <v>8994572.2300000004</v>
      </c>
      <c r="DK199" s="1420">
        <v>391882.48</v>
      </c>
      <c r="DL199" s="1420">
        <v>389413.79</v>
      </c>
      <c r="DM199" s="1420">
        <v>347043.8</v>
      </c>
      <c r="DN199" s="1420">
        <v>326730.89</v>
      </c>
      <c r="DO199" s="1420">
        <v>1452411.93</v>
      </c>
      <c r="DP199" s="1420">
        <v>1654857.62</v>
      </c>
      <c r="DQ199" s="1420">
        <v>672287.58</v>
      </c>
      <c r="DR199" s="1420">
        <v>712060.81</v>
      </c>
      <c r="DS199" s="1420">
        <v>50436.15</v>
      </c>
      <c r="DT199" s="1422">
        <v>46080</v>
      </c>
      <c r="DU199" s="1420">
        <v>2914061.94</v>
      </c>
      <c r="DV199" s="1420">
        <v>3129143.11</v>
      </c>
      <c r="DW199" s="1420">
        <v>530343.31000000006</v>
      </c>
      <c r="DX199" s="1420">
        <v>672552.77</v>
      </c>
      <c r="DY199" s="1422">
        <v>755996</v>
      </c>
      <c r="DZ199" s="1420">
        <v>1074700.98</v>
      </c>
      <c r="EA199" s="1420">
        <v>625168.06000000006</v>
      </c>
      <c r="EB199" s="1420">
        <v>624213.43999999994</v>
      </c>
      <c r="EC199" s="1420">
        <v>1911507.37</v>
      </c>
      <c r="ED199" s="1420">
        <v>2371467.19</v>
      </c>
      <c r="EE199" s="1420">
        <v>883448.86</v>
      </c>
      <c r="EF199" s="1420">
        <v>880736.76</v>
      </c>
      <c r="EG199" s="1420">
        <v>16805.91</v>
      </c>
      <c r="EH199" s="1422">
        <v>2740</v>
      </c>
      <c r="EI199" s="1420">
        <v>134632.29</v>
      </c>
      <c r="EJ199" s="1420">
        <v>144309.85999999999</v>
      </c>
      <c r="EK199" s="1422">
        <v>0</v>
      </c>
      <c r="EL199" s="1422">
        <v>0</v>
      </c>
      <c r="EM199" s="1420">
        <v>1034887.06</v>
      </c>
      <c r="EN199" s="1420">
        <v>1027786.62</v>
      </c>
      <c r="EO199" s="1420">
        <v>4966716.93</v>
      </c>
      <c r="EP199" s="1422">
        <v>4174616</v>
      </c>
      <c r="EQ199" s="1420">
        <v>672422.14</v>
      </c>
      <c r="ER199" s="1422">
        <v>640561</v>
      </c>
      <c r="ES199" s="1420">
        <v>2732.91</v>
      </c>
      <c r="ET199" s="1422">
        <v>0</v>
      </c>
      <c r="EU199" s="1420">
        <v>20101622.710000001</v>
      </c>
      <c r="EV199" s="1420">
        <v>20338146.149999999</v>
      </c>
      <c r="EW199" s="1420">
        <v>5267354.71</v>
      </c>
      <c r="EX199" s="1420">
        <v>4420027.37</v>
      </c>
      <c r="EY199" s="1420">
        <v>672422.14</v>
      </c>
      <c r="EZ199" s="1422">
        <v>640561</v>
      </c>
      <c r="FA199" s="1420">
        <v>14161845.859999999</v>
      </c>
      <c r="FB199" s="1420">
        <v>15277557.779999999</v>
      </c>
      <c r="FC199" s="1420">
        <v>828939.88</v>
      </c>
      <c r="FD199" s="1439"/>
      <c r="FE199" s="1420">
        <v>13332905.98</v>
      </c>
      <c r="FF199" s="1439"/>
      <c r="FG199" s="1422">
        <v>8961</v>
      </c>
      <c r="FH199" s="1439"/>
      <c r="FI199" s="1420">
        <v>122.13</v>
      </c>
      <c r="FJ199" s="1439"/>
      <c r="FK199" s="1422">
        <v>42150</v>
      </c>
      <c r="FL199" s="1439"/>
      <c r="FM199" s="1420">
        <v>131.41999999999999</v>
      </c>
      <c r="FN199" s="1439"/>
      <c r="FO199" s="1422">
        <v>43787</v>
      </c>
      <c r="FP199" s="1439"/>
      <c r="FQ199" s="1420">
        <v>3305300.88</v>
      </c>
      <c r="FR199" s="1439"/>
      <c r="FS199" s="1420">
        <v>120998.93</v>
      </c>
      <c r="FT199" s="1439"/>
      <c r="FU199" s="1422">
        <v>0</v>
      </c>
      <c r="FV199" s="1439"/>
      <c r="FW199" s="1420">
        <v>3184301.95</v>
      </c>
      <c r="FX199" s="1439"/>
      <c r="FY199" s="1420">
        <v>8240547.46</v>
      </c>
      <c r="FZ199" s="1439"/>
      <c r="GA199" s="1422">
        <v>0</v>
      </c>
      <c r="GB199" s="1439"/>
    </row>
    <row r="200" spans="1:184" ht="12.75" customHeight="1" thickBot="1">
      <c r="A200" s="1418" t="s">
        <v>275</v>
      </c>
      <c r="B200" s="1418" t="s">
        <v>276</v>
      </c>
      <c r="C200" s="1422">
        <v>547</v>
      </c>
      <c r="D200" s="1439"/>
      <c r="E200" s="1420">
        <v>877.78</v>
      </c>
      <c r="F200" s="1439"/>
      <c r="G200" s="1421">
        <v>-0.05</v>
      </c>
      <c r="H200" s="1439"/>
      <c r="I200" s="1420">
        <v>929.44</v>
      </c>
      <c r="J200" s="1439"/>
      <c r="K200" s="1420">
        <v>920.84</v>
      </c>
      <c r="L200" s="1439"/>
      <c r="M200" s="1422">
        <v>47905802</v>
      </c>
      <c r="N200" s="1439"/>
      <c r="O200" s="1422">
        <v>25</v>
      </c>
      <c r="P200" s="1439"/>
      <c r="Q200" s="1422">
        <v>25</v>
      </c>
      <c r="R200" s="1439"/>
      <c r="S200" s="1422">
        <v>0</v>
      </c>
      <c r="T200" s="1439"/>
      <c r="U200" s="1422">
        <v>0</v>
      </c>
      <c r="V200" s="1439"/>
      <c r="W200" s="1420">
        <v>7.75</v>
      </c>
      <c r="X200" s="1439"/>
      <c r="Y200" s="1420">
        <v>32.75</v>
      </c>
      <c r="Z200" s="1439"/>
      <c r="AA200" s="1420">
        <v>3414572.72</v>
      </c>
      <c r="AB200" s="1439"/>
      <c r="AC200" s="1420">
        <v>1698618.53</v>
      </c>
      <c r="AD200" s="1422">
        <v>1687048</v>
      </c>
      <c r="AE200" s="1420">
        <v>616111.56999999995</v>
      </c>
      <c r="AF200" s="1422">
        <v>353880</v>
      </c>
      <c r="AG200" s="1422">
        <v>0</v>
      </c>
      <c r="AH200" s="1422">
        <v>0</v>
      </c>
      <c r="AI200" s="1422">
        <v>3978762</v>
      </c>
      <c r="AJ200" s="1422">
        <v>4471037</v>
      </c>
      <c r="AK200" s="1422">
        <v>103966</v>
      </c>
      <c r="AL200" s="1422">
        <v>103966</v>
      </c>
      <c r="AM200" s="1422">
        <v>53981</v>
      </c>
      <c r="AN200" s="1422">
        <v>50000</v>
      </c>
      <c r="AO200" s="1422">
        <v>0</v>
      </c>
      <c r="AP200" s="1422">
        <v>0</v>
      </c>
      <c r="AQ200" s="1422">
        <v>0</v>
      </c>
      <c r="AR200" s="1422">
        <v>0</v>
      </c>
      <c r="AS200" s="1422">
        <v>68207</v>
      </c>
      <c r="AT200" s="1422">
        <v>0</v>
      </c>
      <c r="AU200" s="1422">
        <v>24245</v>
      </c>
      <c r="AV200" s="1422">
        <v>19396</v>
      </c>
      <c r="AW200" s="1422">
        <v>14667</v>
      </c>
      <c r="AX200" s="1422">
        <v>0</v>
      </c>
      <c r="AY200" s="1420">
        <v>6558558.0999999996</v>
      </c>
      <c r="AZ200" s="1422">
        <v>6685327</v>
      </c>
      <c r="BA200" s="1420">
        <v>155842.95000000001</v>
      </c>
      <c r="BB200" s="1422">
        <v>182858</v>
      </c>
      <c r="BC200" s="1422">
        <v>38086</v>
      </c>
      <c r="BD200" s="1422">
        <v>39454</v>
      </c>
      <c r="BE200" s="1420">
        <v>11088.47</v>
      </c>
      <c r="BF200" s="1422">
        <v>4000</v>
      </c>
      <c r="BG200" s="1422">
        <v>100</v>
      </c>
      <c r="BH200" s="1422">
        <v>0</v>
      </c>
      <c r="BI200" s="1422">
        <v>91133</v>
      </c>
      <c r="BJ200" s="1422">
        <v>122982</v>
      </c>
      <c r="BK200" s="1422">
        <v>1465</v>
      </c>
      <c r="BL200" s="1422">
        <v>0</v>
      </c>
      <c r="BM200" s="1422">
        <v>658688</v>
      </c>
      <c r="BN200" s="1422">
        <v>681076</v>
      </c>
      <c r="BO200" s="1420">
        <v>53389.39</v>
      </c>
      <c r="BP200" s="1422">
        <v>0</v>
      </c>
      <c r="BQ200" s="1420">
        <v>185625.32</v>
      </c>
      <c r="BR200" s="1420">
        <v>241075.65</v>
      </c>
      <c r="BS200" s="1420">
        <v>3371.43</v>
      </c>
      <c r="BT200" s="1422">
        <v>3400</v>
      </c>
      <c r="BU200" s="1422">
        <v>0</v>
      </c>
      <c r="BV200" s="1422">
        <v>0</v>
      </c>
      <c r="BW200" s="1422">
        <v>169950</v>
      </c>
      <c r="BX200" s="1422">
        <v>194400</v>
      </c>
      <c r="BY200" s="1422">
        <v>0</v>
      </c>
      <c r="BZ200" s="1422">
        <v>0</v>
      </c>
      <c r="CA200" s="1422">
        <v>39599</v>
      </c>
      <c r="CB200" s="1422">
        <v>48576</v>
      </c>
      <c r="CC200" s="1420">
        <v>1408338.56</v>
      </c>
      <c r="CD200" s="1420">
        <v>1517821.65</v>
      </c>
      <c r="CE200" s="1420">
        <v>2003404.61</v>
      </c>
      <c r="CF200" s="1422">
        <v>2069073</v>
      </c>
      <c r="CG200" s="1422">
        <v>0</v>
      </c>
      <c r="CH200" s="1422">
        <v>0</v>
      </c>
      <c r="CI200" s="1422">
        <v>0</v>
      </c>
      <c r="CJ200" s="1422">
        <v>0</v>
      </c>
      <c r="CK200" s="1420">
        <v>12191.17</v>
      </c>
      <c r="CL200" s="1422">
        <v>0</v>
      </c>
      <c r="CM200" s="1420">
        <v>39422.35</v>
      </c>
      <c r="CN200" s="1422">
        <v>0</v>
      </c>
      <c r="CO200" s="1420">
        <v>7120.02</v>
      </c>
      <c r="CP200" s="1422">
        <v>0</v>
      </c>
      <c r="CQ200" s="1422">
        <v>0</v>
      </c>
      <c r="CR200" s="1422">
        <v>0</v>
      </c>
      <c r="CS200" s="1420">
        <v>58733.54</v>
      </c>
      <c r="CT200" s="1422">
        <v>0</v>
      </c>
      <c r="CU200" s="1420">
        <v>10029034.810000001</v>
      </c>
      <c r="CV200" s="1420">
        <v>10272221.65</v>
      </c>
      <c r="CW200" s="1420">
        <v>3501807.93</v>
      </c>
      <c r="CX200" s="1420">
        <v>3365896.75</v>
      </c>
      <c r="CY200" s="1420">
        <v>724995.02</v>
      </c>
      <c r="CZ200" s="1420">
        <v>1011635.85</v>
      </c>
      <c r="DA200" s="1420">
        <v>532601.25</v>
      </c>
      <c r="DB200" s="1420">
        <v>510107.77</v>
      </c>
      <c r="DC200" s="1420">
        <v>204756.54</v>
      </c>
      <c r="DD200" s="1422">
        <v>171952</v>
      </c>
      <c r="DE200" s="1420">
        <v>651940.43000000005</v>
      </c>
      <c r="DF200" s="1420">
        <v>911433.17</v>
      </c>
      <c r="DG200" s="1420">
        <v>363155.46</v>
      </c>
      <c r="DH200" s="1420">
        <v>232319.44</v>
      </c>
      <c r="DI200" s="1420">
        <v>5979256.6299999999</v>
      </c>
      <c r="DJ200" s="1420">
        <v>6203344.9800000004</v>
      </c>
      <c r="DK200" s="1420">
        <v>219397.58</v>
      </c>
      <c r="DL200" s="1420">
        <v>218678.68</v>
      </c>
      <c r="DM200" s="1420">
        <v>188728.25</v>
      </c>
      <c r="DN200" s="1420">
        <v>204162.37</v>
      </c>
      <c r="DO200" s="1420">
        <v>904808.69</v>
      </c>
      <c r="DP200" s="1420">
        <v>812627.66</v>
      </c>
      <c r="DQ200" s="1420">
        <v>572014.56999999995</v>
      </c>
      <c r="DR200" s="1420">
        <v>551373.38</v>
      </c>
      <c r="DS200" s="1420">
        <v>44361.43</v>
      </c>
      <c r="DT200" s="1422">
        <v>23402</v>
      </c>
      <c r="DU200" s="1420">
        <v>1929310.52</v>
      </c>
      <c r="DV200" s="1420">
        <v>1810244.09</v>
      </c>
      <c r="DW200" s="1420">
        <v>441619.56</v>
      </c>
      <c r="DX200" s="1420">
        <v>487318.26</v>
      </c>
      <c r="DY200" s="1420">
        <v>814929.98</v>
      </c>
      <c r="DZ200" s="1420">
        <v>1012839.27</v>
      </c>
      <c r="EA200" s="1420">
        <v>388244.72</v>
      </c>
      <c r="EB200" s="1420">
        <v>369496.42</v>
      </c>
      <c r="EC200" s="1420">
        <v>1644794.26</v>
      </c>
      <c r="ED200" s="1420">
        <v>1869653.95</v>
      </c>
      <c r="EE200" s="1420">
        <v>557170.07999999996</v>
      </c>
      <c r="EF200" s="1422">
        <v>505299</v>
      </c>
      <c r="EG200" s="1420">
        <v>29175.4</v>
      </c>
      <c r="EH200" s="1422">
        <v>0</v>
      </c>
      <c r="EI200" s="1420">
        <v>3229.32</v>
      </c>
      <c r="EJ200" s="1422">
        <v>6000</v>
      </c>
      <c r="EK200" s="1422">
        <v>0</v>
      </c>
      <c r="EL200" s="1422">
        <v>0</v>
      </c>
      <c r="EM200" s="1420">
        <v>589574.80000000005</v>
      </c>
      <c r="EN200" s="1422">
        <v>511299</v>
      </c>
      <c r="EO200" s="1420">
        <v>143375.16</v>
      </c>
      <c r="EP200" s="1422">
        <v>19680</v>
      </c>
      <c r="EQ200" s="1420">
        <v>211903.16</v>
      </c>
      <c r="ER200" s="1422">
        <v>211945</v>
      </c>
      <c r="ES200" s="1422">
        <v>0</v>
      </c>
      <c r="ET200" s="1422">
        <v>0</v>
      </c>
      <c r="EU200" s="1420">
        <v>10498214.529999999</v>
      </c>
      <c r="EV200" s="1420">
        <v>10626167.02</v>
      </c>
      <c r="EW200" s="1420">
        <v>287031.77</v>
      </c>
      <c r="EX200" s="1420">
        <v>227708.25</v>
      </c>
      <c r="EY200" s="1420">
        <v>211903.16</v>
      </c>
      <c r="EZ200" s="1422">
        <v>211945</v>
      </c>
      <c r="FA200" s="1420">
        <v>9999279.5999999996</v>
      </c>
      <c r="FB200" s="1420">
        <v>10186513.77</v>
      </c>
      <c r="FC200" s="1420">
        <v>866220.17</v>
      </c>
      <c r="FD200" s="1439"/>
      <c r="FE200" s="1420">
        <v>9133059.4299999997</v>
      </c>
      <c r="FF200" s="1439"/>
      <c r="FG200" s="1422">
        <v>10404</v>
      </c>
      <c r="FH200" s="1439"/>
      <c r="FI200" s="1420">
        <v>89.31</v>
      </c>
      <c r="FJ200" s="1439"/>
      <c r="FK200" s="1422">
        <v>38088</v>
      </c>
      <c r="FL200" s="1439"/>
      <c r="FM200" s="1420">
        <v>99.62</v>
      </c>
      <c r="FN200" s="1439"/>
      <c r="FO200" s="1422">
        <v>40131</v>
      </c>
      <c r="FP200" s="1439"/>
      <c r="FQ200" s="1420">
        <v>1076526.17</v>
      </c>
      <c r="FR200" s="1439"/>
      <c r="FS200" s="1420">
        <v>257544.08</v>
      </c>
      <c r="FT200" s="1439"/>
      <c r="FU200" s="1422">
        <v>0</v>
      </c>
      <c r="FV200" s="1439"/>
      <c r="FW200" s="1420">
        <v>818982.09</v>
      </c>
      <c r="FX200" s="1439"/>
      <c r="FY200" s="1420">
        <v>723098.3</v>
      </c>
      <c r="FZ200" s="1439"/>
      <c r="GA200" s="1422">
        <v>0</v>
      </c>
      <c r="GB200" s="1439"/>
    </row>
    <row r="201" spans="1:184" ht="12.75" customHeight="1" thickBot="1">
      <c r="A201" s="1418" t="s">
        <v>277</v>
      </c>
      <c r="B201" s="1418" t="s">
        <v>278</v>
      </c>
      <c r="C201" s="1420">
        <v>385.46</v>
      </c>
      <c r="D201" s="1439"/>
      <c r="E201" s="1420">
        <v>612.57000000000005</v>
      </c>
      <c r="F201" s="1439"/>
      <c r="G201" s="1421">
        <v>-0.11</v>
      </c>
      <c r="H201" s="1439"/>
      <c r="I201" s="1420">
        <v>649.03</v>
      </c>
      <c r="J201" s="1439"/>
      <c r="K201" s="1420">
        <v>679.88</v>
      </c>
      <c r="L201" s="1439"/>
      <c r="M201" s="1422">
        <v>46574777</v>
      </c>
      <c r="N201" s="1439"/>
      <c r="O201" s="1422">
        <v>25</v>
      </c>
      <c r="P201" s="1439"/>
      <c r="Q201" s="1422">
        <v>25</v>
      </c>
      <c r="R201" s="1439"/>
      <c r="S201" s="1422">
        <v>0</v>
      </c>
      <c r="T201" s="1439"/>
      <c r="U201" s="1422">
        <v>0</v>
      </c>
      <c r="V201" s="1439"/>
      <c r="W201" s="1420">
        <v>11.5</v>
      </c>
      <c r="X201" s="1439"/>
      <c r="Y201" s="1420">
        <v>36.5</v>
      </c>
      <c r="Z201" s="1439"/>
      <c r="AA201" s="1422">
        <v>2700322</v>
      </c>
      <c r="AB201" s="1439"/>
      <c r="AC201" s="1420">
        <v>1588146.73</v>
      </c>
      <c r="AD201" s="1422">
        <v>1589000</v>
      </c>
      <c r="AE201" s="1420">
        <v>291150.40999999997</v>
      </c>
      <c r="AF201" s="1422">
        <v>123005</v>
      </c>
      <c r="AG201" s="1420">
        <v>793.33</v>
      </c>
      <c r="AH201" s="1422">
        <v>800</v>
      </c>
      <c r="AI201" s="1420">
        <v>3003894.17</v>
      </c>
      <c r="AJ201" s="1422">
        <v>2889201</v>
      </c>
      <c r="AK201" s="1422">
        <v>55939</v>
      </c>
      <c r="AL201" s="1422">
        <v>55000</v>
      </c>
      <c r="AM201" s="1422">
        <v>0</v>
      </c>
      <c r="AN201" s="1422">
        <v>0</v>
      </c>
      <c r="AO201" s="1422">
        <v>0</v>
      </c>
      <c r="AP201" s="1422">
        <v>0</v>
      </c>
      <c r="AQ201" s="1422">
        <v>0</v>
      </c>
      <c r="AR201" s="1422">
        <v>0</v>
      </c>
      <c r="AS201" s="1422">
        <v>576856</v>
      </c>
      <c r="AT201" s="1422">
        <v>581401</v>
      </c>
      <c r="AU201" s="1422">
        <v>14732</v>
      </c>
      <c r="AV201" s="1422">
        <v>11786</v>
      </c>
      <c r="AW201" s="1422">
        <v>5548</v>
      </c>
      <c r="AX201" s="1422">
        <v>5500</v>
      </c>
      <c r="AY201" s="1420">
        <v>5537059.6399999997</v>
      </c>
      <c r="AZ201" s="1422">
        <v>5255693</v>
      </c>
      <c r="BA201" s="1422">
        <v>0</v>
      </c>
      <c r="BB201" s="1422">
        <v>0</v>
      </c>
      <c r="BC201" s="1422">
        <v>28120</v>
      </c>
      <c r="BD201" s="1422">
        <v>27523</v>
      </c>
      <c r="BE201" s="1420">
        <v>392100.64</v>
      </c>
      <c r="BF201" s="1422">
        <v>369900</v>
      </c>
      <c r="BG201" s="1422">
        <v>150</v>
      </c>
      <c r="BH201" s="1422">
        <v>150</v>
      </c>
      <c r="BI201" s="1422">
        <v>46359</v>
      </c>
      <c r="BJ201" s="1422">
        <v>54921</v>
      </c>
      <c r="BK201" s="1422">
        <v>0</v>
      </c>
      <c r="BL201" s="1422">
        <v>0</v>
      </c>
      <c r="BM201" s="1422">
        <v>530720</v>
      </c>
      <c r="BN201" s="1422">
        <v>523204</v>
      </c>
      <c r="BO201" s="1420">
        <v>107986.33</v>
      </c>
      <c r="BP201" s="1422">
        <v>84500</v>
      </c>
      <c r="BQ201" s="1422">
        <v>24375</v>
      </c>
      <c r="BR201" s="1422">
        <v>20312</v>
      </c>
      <c r="BS201" s="1420">
        <v>2711.73</v>
      </c>
      <c r="BT201" s="1422">
        <v>2700</v>
      </c>
      <c r="BU201" s="1422">
        <v>0</v>
      </c>
      <c r="BV201" s="1422">
        <v>0</v>
      </c>
      <c r="BW201" s="1422">
        <v>0</v>
      </c>
      <c r="BX201" s="1422">
        <v>0</v>
      </c>
      <c r="BY201" s="1422">
        <v>0</v>
      </c>
      <c r="BZ201" s="1422">
        <v>0</v>
      </c>
      <c r="CA201" s="1420">
        <v>360241.64</v>
      </c>
      <c r="CB201" s="1422">
        <v>257498</v>
      </c>
      <c r="CC201" s="1420">
        <v>1492764.34</v>
      </c>
      <c r="CD201" s="1422">
        <v>1340708</v>
      </c>
      <c r="CE201" s="1420">
        <v>1463132.58</v>
      </c>
      <c r="CF201" s="1422">
        <v>1913046</v>
      </c>
      <c r="CG201" s="1420">
        <v>1778.43</v>
      </c>
      <c r="CH201" s="1422">
        <v>1500</v>
      </c>
      <c r="CI201" s="1422">
        <v>0</v>
      </c>
      <c r="CJ201" s="1422">
        <v>0</v>
      </c>
      <c r="CK201" s="1422">
        <v>0</v>
      </c>
      <c r="CL201" s="1422">
        <v>0</v>
      </c>
      <c r="CM201" s="1422">
        <v>11120</v>
      </c>
      <c r="CN201" s="1422">
        <v>1500</v>
      </c>
      <c r="CO201" s="1420">
        <v>5309.16</v>
      </c>
      <c r="CP201" s="1422">
        <v>0</v>
      </c>
      <c r="CQ201" s="1422">
        <v>0</v>
      </c>
      <c r="CR201" s="1422">
        <v>0</v>
      </c>
      <c r="CS201" s="1420">
        <v>18207.59</v>
      </c>
      <c r="CT201" s="1422">
        <v>3000</v>
      </c>
      <c r="CU201" s="1420">
        <v>8511164.1500000004</v>
      </c>
      <c r="CV201" s="1422">
        <v>8512447</v>
      </c>
      <c r="CW201" s="1420">
        <v>2888659.78</v>
      </c>
      <c r="CX201" s="1420">
        <v>2993250.44</v>
      </c>
      <c r="CY201" s="1420">
        <v>434666.73</v>
      </c>
      <c r="CZ201" s="1420">
        <v>469263.83</v>
      </c>
      <c r="DA201" s="1420">
        <v>314960.28999999998</v>
      </c>
      <c r="DB201" s="1420">
        <v>306975.78999999998</v>
      </c>
      <c r="DC201" s="1422">
        <v>0</v>
      </c>
      <c r="DD201" s="1422">
        <v>0</v>
      </c>
      <c r="DE201" s="1420">
        <v>371521.95</v>
      </c>
      <c r="DF201" s="1420">
        <v>608562.01</v>
      </c>
      <c r="DG201" s="1420">
        <v>143389.95000000001</v>
      </c>
      <c r="DH201" s="1420">
        <v>117786.53</v>
      </c>
      <c r="DI201" s="1420">
        <v>4153198.7</v>
      </c>
      <c r="DJ201" s="1420">
        <v>4495838.5999999996</v>
      </c>
      <c r="DK201" s="1420">
        <v>192300.1</v>
      </c>
      <c r="DL201" s="1422">
        <v>190373</v>
      </c>
      <c r="DM201" s="1420">
        <v>188793.07</v>
      </c>
      <c r="DN201" s="1420">
        <v>178392.37</v>
      </c>
      <c r="DO201" s="1420">
        <v>846498.29</v>
      </c>
      <c r="DP201" s="1420">
        <v>1024701.02</v>
      </c>
      <c r="DQ201" s="1420">
        <v>441748.49</v>
      </c>
      <c r="DR201" s="1420">
        <v>489027.12</v>
      </c>
      <c r="DS201" s="1420">
        <v>22317.02</v>
      </c>
      <c r="DT201" s="1422">
        <v>2000</v>
      </c>
      <c r="DU201" s="1420">
        <v>1691656.97</v>
      </c>
      <c r="DV201" s="1420">
        <v>1884493.51</v>
      </c>
      <c r="DW201" s="1420">
        <v>323287.63</v>
      </c>
      <c r="DX201" s="1420">
        <v>357933.13</v>
      </c>
      <c r="DY201" s="1420">
        <v>747664.86</v>
      </c>
      <c r="DZ201" s="1420">
        <v>645348.68999999994</v>
      </c>
      <c r="EA201" s="1420">
        <v>435059.07</v>
      </c>
      <c r="EB201" s="1420">
        <v>392057.44</v>
      </c>
      <c r="EC201" s="1420">
        <v>1506011.56</v>
      </c>
      <c r="ED201" s="1420">
        <v>1395339.26</v>
      </c>
      <c r="EE201" s="1420">
        <v>498192.07</v>
      </c>
      <c r="EF201" s="1420">
        <v>420458.33</v>
      </c>
      <c r="EG201" s="1420">
        <v>30000.16</v>
      </c>
      <c r="EH201" s="1422">
        <v>0</v>
      </c>
      <c r="EI201" s="1420">
        <v>2618.84</v>
      </c>
      <c r="EJ201" s="1422">
        <v>3000</v>
      </c>
      <c r="EK201" s="1422">
        <v>0</v>
      </c>
      <c r="EL201" s="1422">
        <v>0</v>
      </c>
      <c r="EM201" s="1420">
        <v>530811.06999999995</v>
      </c>
      <c r="EN201" s="1420">
        <v>423458.33</v>
      </c>
      <c r="EO201" s="1420">
        <v>671367.48</v>
      </c>
      <c r="EP201" s="1420">
        <v>542337.5</v>
      </c>
      <c r="EQ201" s="1420">
        <v>210238.5</v>
      </c>
      <c r="ER201" s="1422">
        <v>202343</v>
      </c>
      <c r="ES201" s="1422">
        <v>450</v>
      </c>
      <c r="ET201" s="1422">
        <v>0</v>
      </c>
      <c r="EU201" s="1420">
        <v>8763734.2799999993</v>
      </c>
      <c r="EV201" s="1420">
        <v>8943810.1999999993</v>
      </c>
      <c r="EW201" s="1420">
        <v>867036.71</v>
      </c>
      <c r="EX201" s="1420">
        <v>1095263.5</v>
      </c>
      <c r="EY201" s="1420">
        <v>210238.5</v>
      </c>
      <c r="EZ201" s="1422">
        <v>202343</v>
      </c>
      <c r="FA201" s="1420">
        <v>7686459.0700000003</v>
      </c>
      <c r="FB201" s="1420">
        <v>7646203.7000000002</v>
      </c>
      <c r="FC201" s="1420">
        <v>265525.51</v>
      </c>
      <c r="FD201" s="1439"/>
      <c r="FE201" s="1420">
        <v>7420933.5599999996</v>
      </c>
      <c r="FF201" s="1439"/>
      <c r="FG201" s="1422">
        <v>12114</v>
      </c>
      <c r="FH201" s="1439"/>
      <c r="FI201" s="1420">
        <v>65.47</v>
      </c>
      <c r="FJ201" s="1439"/>
      <c r="FK201" s="1422">
        <v>36698</v>
      </c>
      <c r="FL201" s="1439"/>
      <c r="FM201" s="1420">
        <v>72.489999999999995</v>
      </c>
      <c r="FN201" s="1439"/>
      <c r="FO201" s="1422">
        <v>40312</v>
      </c>
      <c r="FP201" s="1439"/>
      <c r="FQ201" s="1420">
        <v>1444629.74</v>
      </c>
      <c r="FR201" s="1439"/>
      <c r="FS201" s="1420">
        <v>66878.5</v>
      </c>
      <c r="FT201" s="1439"/>
      <c r="FU201" s="1422">
        <v>0</v>
      </c>
      <c r="FV201" s="1439"/>
      <c r="FW201" s="1420">
        <v>1377751.24</v>
      </c>
      <c r="FX201" s="1439"/>
      <c r="FY201" s="1420">
        <v>1173958.5</v>
      </c>
      <c r="FZ201" s="1439"/>
      <c r="GA201" s="1422">
        <v>0</v>
      </c>
      <c r="GB201" s="1439"/>
    </row>
    <row r="202" spans="1:184" ht="12.75" customHeight="1" thickBot="1">
      <c r="A202" s="1418" t="s">
        <v>279</v>
      </c>
      <c r="B202" s="1418" t="s">
        <v>280</v>
      </c>
      <c r="C202" s="1420">
        <v>69.16</v>
      </c>
      <c r="D202" s="1439"/>
      <c r="E202" s="1420">
        <v>12941.49</v>
      </c>
      <c r="F202" s="1439"/>
      <c r="G202" s="1421">
        <v>0.04</v>
      </c>
      <c r="H202" s="1439"/>
      <c r="I202" s="1420">
        <v>13692.05</v>
      </c>
      <c r="J202" s="1439"/>
      <c r="K202" s="1420">
        <v>13711.29</v>
      </c>
      <c r="L202" s="1439"/>
      <c r="M202" s="1422">
        <v>1372844802</v>
      </c>
      <c r="N202" s="1439"/>
      <c r="O202" s="1422">
        <v>25</v>
      </c>
      <c r="P202" s="1439"/>
      <c r="Q202" s="1422">
        <v>25</v>
      </c>
      <c r="R202" s="1439"/>
      <c r="S202" s="1422">
        <v>0</v>
      </c>
      <c r="T202" s="1439"/>
      <c r="U202" s="1422">
        <v>0</v>
      </c>
      <c r="V202" s="1439"/>
      <c r="W202" s="1420">
        <v>11.5</v>
      </c>
      <c r="X202" s="1439"/>
      <c r="Y202" s="1420">
        <v>36.5</v>
      </c>
      <c r="Z202" s="1439"/>
      <c r="AA202" s="1420">
        <v>64613383.969999999</v>
      </c>
      <c r="AB202" s="1439"/>
      <c r="AC202" s="1420">
        <v>47494789.460000001</v>
      </c>
      <c r="AD202" s="1422">
        <v>48124784</v>
      </c>
      <c r="AE202" s="1420">
        <v>4148846.7</v>
      </c>
      <c r="AF202" s="1422">
        <v>1842832</v>
      </c>
      <c r="AG202" s="1420">
        <v>2012.67</v>
      </c>
      <c r="AH202" s="1422">
        <v>5000</v>
      </c>
      <c r="AI202" s="1422">
        <v>49838972</v>
      </c>
      <c r="AJ202" s="1422">
        <v>50779999</v>
      </c>
      <c r="AK202" s="1422">
        <v>240910</v>
      </c>
      <c r="AL202" s="1422">
        <v>248450</v>
      </c>
      <c r="AM202" s="1422">
        <v>293049</v>
      </c>
      <c r="AN202" s="1422">
        <v>0</v>
      </c>
      <c r="AO202" s="1422">
        <v>0</v>
      </c>
      <c r="AP202" s="1422">
        <v>0</v>
      </c>
      <c r="AQ202" s="1422">
        <v>0</v>
      </c>
      <c r="AR202" s="1422">
        <v>0</v>
      </c>
      <c r="AS202" s="1422">
        <v>0</v>
      </c>
      <c r="AT202" s="1422">
        <v>0</v>
      </c>
      <c r="AU202" s="1422">
        <v>0</v>
      </c>
      <c r="AV202" s="1422">
        <v>0</v>
      </c>
      <c r="AW202" s="1422">
        <v>0</v>
      </c>
      <c r="AX202" s="1422">
        <v>0</v>
      </c>
      <c r="AY202" s="1420">
        <v>102018579.83</v>
      </c>
      <c r="AZ202" s="1422">
        <v>101001065</v>
      </c>
      <c r="BA202" s="1420">
        <v>1250565.81</v>
      </c>
      <c r="BB202" s="1420">
        <v>1212936.27</v>
      </c>
      <c r="BC202" s="1422">
        <v>567099</v>
      </c>
      <c r="BD202" s="1422">
        <v>582256</v>
      </c>
      <c r="BE202" s="1420">
        <v>48408.93</v>
      </c>
      <c r="BF202" s="1422">
        <v>70000</v>
      </c>
      <c r="BG202" s="1422">
        <v>38102</v>
      </c>
      <c r="BH202" s="1422">
        <v>32150</v>
      </c>
      <c r="BI202" s="1422">
        <v>349093</v>
      </c>
      <c r="BJ202" s="1422">
        <v>341299</v>
      </c>
      <c r="BK202" s="1422">
        <v>963677</v>
      </c>
      <c r="BL202" s="1422">
        <v>981318</v>
      </c>
      <c r="BM202" s="1422">
        <v>4670336</v>
      </c>
      <c r="BN202" s="1422">
        <v>4837360</v>
      </c>
      <c r="BO202" s="1420">
        <v>1582805.47</v>
      </c>
      <c r="BP202" s="1422">
        <v>1429458</v>
      </c>
      <c r="BQ202" s="1420">
        <v>275437.5</v>
      </c>
      <c r="BR202" s="1422">
        <v>372437</v>
      </c>
      <c r="BS202" s="1420">
        <v>45323.95</v>
      </c>
      <c r="BT202" s="1422">
        <v>45500</v>
      </c>
      <c r="BU202" s="1422">
        <v>0</v>
      </c>
      <c r="BV202" s="1422">
        <v>0</v>
      </c>
      <c r="BW202" s="1422">
        <v>1237480</v>
      </c>
      <c r="BX202" s="1422">
        <v>1247200</v>
      </c>
      <c r="BY202" s="1422">
        <v>0</v>
      </c>
      <c r="BZ202" s="1422">
        <v>0</v>
      </c>
      <c r="CA202" s="1420">
        <v>1090157.78</v>
      </c>
      <c r="CB202" s="1420">
        <v>2766297.9</v>
      </c>
      <c r="CC202" s="1420">
        <v>12118486.439999999</v>
      </c>
      <c r="CD202" s="1420">
        <v>13918212.17</v>
      </c>
      <c r="CE202" s="1420">
        <v>28261982.25</v>
      </c>
      <c r="CF202" s="1420">
        <v>21886578.960000001</v>
      </c>
      <c r="CG202" s="1422">
        <v>16270000</v>
      </c>
      <c r="CH202" s="1422">
        <v>0</v>
      </c>
      <c r="CI202" s="1422">
        <v>0</v>
      </c>
      <c r="CJ202" s="1422">
        <v>0</v>
      </c>
      <c r="CK202" s="1420">
        <v>192199.81</v>
      </c>
      <c r="CL202" s="1422">
        <v>163239</v>
      </c>
      <c r="CM202" s="1422">
        <v>0</v>
      </c>
      <c r="CN202" s="1422">
        <v>0</v>
      </c>
      <c r="CO202" s="1420">
        <v>148919.13</v>
      </c>
      <c r="CP202" s="1422">
        <v>0</v>
      </c>
      <c r="CQ202" s="1422">
        <v>0</v>
      </c>
      <c r="CR202" s="1422">
        <v>0</v>
      </c>
      <c r="CS202" s="1420">
        <v>16611118.939999999</v>
      </c>
      <c r="CT202" s="1422">
        <v>163239</v>
      </c>
      <c r="CU202" s="1420">
        <v>159010167.46000001</v>
      </c>
      <c r="CV202" s="1420">
        <v>136969095.13</v>
      </c>
      <c r="CW202" s="1420">
        <v>49389670.909999996</v>
      </c>
      <c r="CX202" s="1420">
        <v>48531043.170000002</v>
      </c>
      <c r="CY202" s="1420">
        <v>9995909.8399999999</v>
      </c>
      <c r="CZ202" s="1420">
        <v>10605889.51</v>
      </c>
      <c r="DA202" s="1420">
        <v>3031521.72</v>
      </c>
      <c r="DB202" s="1420">
        <v>2970505.99</v>
      </c>
      <c r="DC202" s="1420">
        <v>1481298.95</v>
      </c>
      <c r="DD202" s="1420">
        <v>1444929.1</v>
      </c>
      <c r="DE202" s="1420">
        <v>6305369.1799999997</v>
      </c>
      <c r="DF202" s="1422">
        <v>5378896</v>
      </c>
      <c r="DG202" s="1420">
        <v>4314712.68</v>
      </c>
      <c r="DH202" s="1420">
        <v>4909825.75</v>
      </c>
      <c r="DI202" s="1420">
        <v>74518483.280000001</v>
      </c>
      <c r="DJ202" s="1420">
        <v>73841089.519999996</v>
      </c>
      <c r="DK202" s="1420">
        <v>768769.51</v>
      </c>
      <c r="DL202" s="1420">
        <v>1140787.53</v>
      </c>
      <c r="DM202" s="1420">
        <v>2787519.68</v>
      </c>
      <c r="DN202" s="1420">
        <v>2919854.76</v>
      </c>
      <c r="DO202" s="1420">
        <v>15174574.869999999</v>
      </c>
      <c r="DP202" s="1420">
        <v>14097528.35</v>
      </c>
      <c r="DQ202" s="1420">
        <v>2489521.23</v>
      </c>
      <c r="DR202" s="1420">
        <v>2923010.03</v>
      </c>
      <c r="DS202" s="1420">
        <v>356594.16</v>
      </c>
      <c r="DT202" s="1422">
        <v>264614</v>
      </c>
      <c r="DU202" s="1420">
        <v>21576979.449999999</v>
      </c>
      <c r="DV202" s="1420">
        <v>21345794.670000002</v>
      </c>
      <c r="DW202" s="1420">
        <v>9135334.8900000006</v>
      </c>
      <c r="DX202" s="1420">
        <v>9267830.8100000005</v>
      </c>
      <c r="DY202" s="1420">
        <v>14530282.890000001</v>
      </c>
      <c r="DZ202" s="1420">
        <v>13786593.1</v>
      </c>
      <c r="EA202" s="1420">
        <v>7266484.6299999999</v>
      </c>
      <c r="EB202" s="1420">
        <v>7371609.6500000004</v>
      </c>
      <c r="EC202" s="1420">
        <v>30932102.41</v>
      </c>
      <c r="ED202" s="1420">
        <v>30426033.559999999</v>
      </c>
      <c r="EE202" s="1420">
        <v>6851480.1299999999</v>
      </c>
      <c r="EF202" s="1420">
        <v>6918541.6600000001</v>
      </c>
      <c r="EG202" s="1422">
        <v>0</v>
      </c>
      <c r="EH202" s="1422">
        <v>0</v>
      </c>
      <c r="EI202" s="1420">
        <v>672359.45</v>
      </c>
      <c r="EJ202" s="1420">
        <v>729177.31</v>
      </c>
      <c r="EK202" s="1422">
        <v>0</v>
      </c>
      <c r="EL202" s="1422">
        <v>0</v>
      </c>
      <c r="EM202" s="1420">
        <v>7523839.5800000001</v>
      </c>
      <c r="EN202" s="1420">
        <v>7647718.9699999997</v>
      </c>
      <c r="EO202" s="1420">
        <v>13578533.880000001</v>
      </c>
      <c r="EP202" s="1420">
        <v>19167849.41</v>
      </c>
      <c r="EQ202" s="1420">
        <v>3521680.34</v>
      </c>
      <c r="ER202" s="1420">
        <v>13227811.800000001</v>
      </c>
      <c r="ES202" s="1420">
        <v>49614.86</v>
      </c>
      <c r="ET202" s="1422">
        <v>0</v>
      </c>
      <c r="EU202" s="1420">
        <v>151701233.80000001</v>
      </c>
      <c r="EV202" s="1420">
        <v>165656297.93000001</v>
      </c>
      <c r="EW202" s="1420">
        <v>17157242.989999998</v>
      </c>
      <c r="EX202" s="1420">
        <v>21294262.940000001</v>
      </c>
      <c r="EY202" s="1420">
        <v>3521680.34</v>
      </c>
      <c r="EZ202" s="1420">
        <v>13227811.800000001</v>
      </c>
      <c r="FA202" s="1420">
        <v>131022310.47</v>
      </c>
      <c r="FB202" s="1420">
        <v>131134223.19</v>
      </c>
      <c r="FC202" s="1420">
        <v>6214801.7999999998</v>
      </c>
      <c r="FD202" s="1439"/>
      <c r="FE202" s="1420">
        <v>124807508.67</v>
      </c>
      <c r="FF202" s="1439"/>
      <c r="FG202" s="1422">
        <v>9643</v>
      </c>
      <c r="FH202" s="1439"/>
      <c r="FI202" s="1420">
        <v>895.15</v>
      </c>
      <c r="FJ202" s="1439"/>
      <c r="FK202" s="1422">
        <v>53406</v>
      </c>
      <c r="FL202" s="1439"/>
      <c r="FM202" s="1420">
        <v>968.96</v>
      </c>
      <c r="FN202" s="1439"/>
      <c r="FO202" s="1422">
        <v>55924</v>
      </c>
      <c r="FP202" s="1439"/>
      <c r="FQ202" s="1420">
        <v>22671031.199999999</v>
      </c>
      <c r="FR202" s="1439"/>
      <c r="FS202" s="1420">
        <v>2191769.5699999998</v>
      </c>
      <c r="FT202" s="1439"/>
      <c r="FU202" s="1420">
        <v>10003344.189999999</v>
      </c>
      <c r="FV202" s="1439"/>
      <c r="FW202" s="1420">
        <v>10475917.439999999</v>
      </c>
      <c r="FX202" s="1439"/>
      <c r="FY202" s="1420">
        <v>16376593.529999999</v>
      </c>
      <c r="FZ202" s="1439"/>
      <c r="GA202" s="1422">
        <v>0</v>
      </c>
      <c r="GB202" s="1439"/>
    </row>
    <row r="203" spans="1:184" ht="12.75" customHeight="1" thickBot="1">
      <c r="A203" s="1418" t="s">
        <v>281</v>
      </c>
      <c r="B203" s="1418" t="s">
        <v>282</v>
      </c>
      <c r="C203" s="1420">
        <v>180.05</v>
      </c>
      <c r="D203" s="1439"/>
      <c r="E203" s="1420">
        <v>3379.32</v>
      </c>
      <c r="F203" s="1439"/>
      <c r="G203" s="1421">
        <v>0.09</v>
      </c>
      <c r="H203" s="1439"/>
      <c r="I203" s="1420">
        <v>3561.77</v>
      </c>
      <c r="J203" s="1439"/>
      <c r="K203" s="1420">
        <v>3539.76</v>
      </c>
      <c r="L203" s="1439"/>
      <c r="M203" s="1422">
        <v>284500265</v>
      </c>
      <c r="N203" s="1439"/>
      <c r="O203" s="1422">
        <v>25</v>
      </c>
      <c r="P203" s="1439"/>
      <c r="Q203" s="1422">
        <v>25</v>
      </c>
      <c r="R203" s="1439"/>
      <c r="S203" s="1422">
        <v>0</v>
      </c>
      <c r="T203" s="1439"/>
      <c r="U203" s="1422">
        <v>0</v>
      </c>
      <c r="V203" s="1439"/>
      <c r="W203" s="1420">
        <v>13.7</v>
      </c>
      <c r="X203" s="1439"/>
      <c r="Y203" s="1420">
        <v>38.700000000000003</v>
      </c>
      <c r="Z203" s="1439"/>
      <c r="AA203" s="1422">
        <v>37359647</v>
      </c>
      <c r="AB203" s="1439"/>
      <c r="AC203" s="1420">
        <v>11361794.460000001</v>
      </c>
      <c r="AD203" s="1422">
        <v>11061854</v>
      </c>
      <c r="AE203" s="1420">
        <v>1469428.38</v>
      </c>
      <c r="AF203" s="1422">
        <v>1031650</v>
      </c>
      <c r="AG203" s="1420">
        <v>519.85</v>
      </c>
      <c r="AH203" s="1422">
        <v>0</v>
      </c>
      <c r="AI203" s="1422">
        <v>13977750</v>
      </c>
      <c r="AJ203" s="1422">
        <v>14697858</v>
      </c>
      <c r="AK203" s="1422">
        <v>112243</v>
      </c>
      <c r="AL203" s="1422">
        <v>0</v>
      </c>
      <c r="AM203" s="1422">
        <v>167651</v>
      </c>
      <c r="AN203" s="1422">
        <v>0</v>
      </c>
      <c r="AO203" s="1422">
        <v>0</v>
      </c>
      <c r="AP203" s="1422">
        <v>0</v>
      </c>
      <c r="AQ203" s="1422">
        <v>0</v>
      </c>
      <c r="AR203" s="1422">
        <v>0</v>
      </c>
      <c r="AS203" s="1422">
        <v>0</v>
      </c>
      <c r="AT203" s="1422">
        <v>0</v>
      </c>
      <c r="AU203" s="1422">
        <v>0</v>
      </c>
      <c r="AV203" s="1422">
        <v>0</v>
      </c>
      <c r="AW203" s="1422">
        <v>63950</v>
      </c>
      <c r="AX203" s="1422">
        <v>0</v>
      </c>
      <c r="AY203" s="1420">
        <v>27153336.690000001</v>
      </c>
      <c r="AZ203" s="1422">
        <v>26791362</v>
      </c>
      <c r="BA203" s="1422">
        <v>0</v>
      </c>
      <c r="BB203" s="1422">
        <v>0</v>
      </c>
      <c r="BC203" s="1422">
        <v>146404</v>
      </c>
      <c r="BD203" s="1422">
        <v>151410</v>
      </c>
      <c r="BE203" s="1422">
        <v>7800</v>
      </c>
      <c r="BF203" s="1422">
        <v>11800</v>
      </c>
      <c r="BG203" s="1422">
        <v>4150</v>
      </c>
      <c r="BH203" s="1422">
        <v>3000</v>
      </c>
      <c r="BI203" s="1422">
        <v>108523</v>
      </c>
      <c r="BJ203" s="1422">
        <v>84392</v>
      </c>
      <c r="BK203" s="1422">
        <v>10255</v>
      </c>
      <c r="BL203" s="1422">
        <v>10000</v>
      </c>
      <c r="BM203" s="1422">
        <v>528240</v>
      </c>
      <c r="BN203" s="1422">
        <v>594550</v>
      </c>
      <c r="BO203" s="1420">
        <v>148612.67000000001</v>
      </c>
      <c r="BP203" s="1422">
        <v>120000</v>
      </c>
      <c r="BQ203" s="1420">
        <v>66562.52</v>
      </c>
      <c r="BR203" s="1422">
        <v>60000</v>
      </c>
      <c r="BS203" s="1420">
        <v>10833.25</v>
      </c>
      <c r="BT203" s="1422">
        <v>10000</v>
      </c>
      <c r="BU203" s="1422">
        <v>0</v>
      </c>
      <c r="BV203" s="1422">
        <v>0</v>
      </c>
      <c r="BW203" s="1422">
        <v>271188</v>
      </c>
      <c r="BX203" s="1422">
        <v>280000</v>
      </c>
      <c r="BY203" s="1422">
        <v>0</v>
      </c>
      <c r="BZ203" s="1422">
        <v>0</v>
      </c>
      <c r="CA203" s="1420">
        <v>312992.7</v>
      </c>
      <c r="CB203" s="1422">
        <v>271934</v>
      </c>
      <c r="CC203" s="1420">
        <v>1615561.14</v>
      </c>
      <c r="CD203" s="1422">
        <v>1597086</v>
      </c>
      <c r="CE203" s="1420">
        <v>3008570.37</v>
      </c>
      <c r="CF203" s="1422">
        <v>2171372</v>
      </c>
      <c r="CG203" s="1422">
        <v>960000</v>
      </c>
      <c r="CH203" s="1422">
        <v>980000</v>
      </c>
      <c r="CI203" s="1422">
        <v>0</v>
      </c>
      <c r="CJ203" s="1422">
        <v>0</v>
      </c>
      <c r="CK203" s="1422">
        <v>0</v>
      </c>
      <c r="CL203" s="1422">
        <v>0</v>
      </c>
      <c r="CM203" s="1422">
        <v>0</v>
      </c>
      <c r="CN203" s="1422">
        <v>0</v>
      </c>
      <c r="CO203" s="1420">
        <v>2500.9</v>
      </c>
      <c r="CP203" s="1422">
        <v>0</v>
      </c>
      <c r="CQ203" s="1422">
        <v>0</v>
      </c>
      <c r="CR203" s="1422">
        <v>0</v>
      </c>
      <c r="CS203" s="1420">
        <v>962500.9</v>
      </c>
      <c r="CT203" s="1422">
        <v>980000</v>
      </c>
      <c r="CU203" s="1420">
        <v>32739969.100000001</v>
      </c>
      <c r="CV203" s="1422">
        <v>31539820</v>
      </c>
      <c r="CW203" s="1420">
        <v>12759440.869999999</v>
      </c>
      <c r="CX203" s="1420">
        <v>11919931.82</v>
      </c>
      <c r="CY203" s="1420">
        <v>2813659.06</v>
      </c>
      <c r="CZ203" s="1420">
        <v>3410983.02</v>
      </c>
      <c r="DA203" s="1420">
        <v>717222.87</v>
      </c>
      <c r="DB203" s="1420">
        <v>680720.92</v>
      </c>
      <c r="DC203" s="1422">
        <v>0</v>
      </c>
      <c r="DD203" s="1422">
        <v>0</v>
      </c>
      <c r="DE203" s="1420">
        <v>499260.33</v>
      </c>
      <c r="DF203" s="1420">
        <v>477433.61</v>
      </c>
      <c r="DG203" s="1420">
        <v>719898.59</v>
      </c>
      <c r="DH203" s="1420">
        <v>698477.48</v>
      </c>
      <c r="DI203" s="1420">
        <v>17509481.719999999</v>
      </c>
      <c r="DJ203" s="1420">
        <v>17187546.850000001</v>
      </c>
      <c r="DK203" s="1420">
        <v>445200.95</v>
      </c>
      <c r="DL203" s="1420">
        <v>566737.23</v>
      </c>
      <c r="DM203" s="1420">
        <v>1277877.51</v>
      </c>
      <c r="DN203" s="1420">
        <v>1443321.13</v>
      </c>
      <c r="DO203" s="1420">
        <v>2662532.14</v>
      </c>
      <c r="DP203" s="1420">
        <v>2673422.77</v>
      </c>
      <c r="DQ203" s="1420">
        <v>1213291.22</v>
      </c>
      <c r="DR203" s="1420">
        <v>1398411.12</v>
      </c>
      <c r="DS203" s="1420">
        <v>44880.27</v>
      </c>
      <c r="DT203" s="1422">
        <v>16000</v>
      </c>
      <c r="DU203" s="1420">
        <v>5643782.0899999999</v>
      </c>
      <c r="DV203" s="1420">
        <v>6097892.25</v>
      </c>
      <c r="DW203" s="1420">
        <v>1364541.56</v>
      </c>
      <c r="DX203" s="1420">
        <v>1415876.76</v>
      </c>
      <c r="DY203" s="1420">
        <v>1797394.52</v>
      </c>
      <c r="DZ203" s="1420">
        <v>1757657.39</v>
      </c>
      <c r="EA203" s="1420">
        <v>1518162.23</v>
      </c>
      <c r="EB203" s="1420">
        <v>1520575.84</v>
      </c>
      <c r="EC203" s="1420">
        <v>4680098.3099999996</v>
      </c>
      <c r="ED203" s="1420">
        <v>4694109.99</v>
      </c>
      <c r="EE203" s="1420">
        <v>1242719.1599999999</v>
      </c>
      <c r="EF203" s="1420">
        <v>1063810.17</v>
      </c>
      <c r="EG203" s="1420">
        <v>24132.17</v>
      </c>
      <c r="EH203" s="1422">
        <v>0</v>
      </c>
      <c r="EI203" s="1420">
        <v>119605.77</v>
      </c>
      <c r="EJ203" s="1420">
        <v>110778.48</v>
      </c>
      <c r="EK203" s="1422">
        <v>0</v>
      </c>
      <c r="EL203" s="1422">
        <v>0</v>
      </c>
      <c r="EM203" s="1420">
        <v>1386457.1</v>
      </c>
      <c r="EN203" s="1420">
        <v>1174588.6499999999</v>
      </c>
      <c r="EO203" s="1420">
        <v>1505256.39</v>
      </c>
      <c r="EP203" s="1422">
        <v>1900000</v>
      </c>
      <c r="EQ203" s="1420">
        <v>1822188.26</v>
      </c>
      <c r="ER203" s="1420">
        <v>2170068.42</v>
      </c>
      <c r="ES203" s="1420">
        <v>1672.31</v>
      </c>
      <c r="ET203" s="1422">
        <v>0</v>
      </c>
      <c r="EU203" s="1420">
        <v>32548936.18</v>
      </c>
      <c r="EV203" s="1420">
        <v>33224206.16</v>
      </c>
      <c r="EW203" s="1420">
        <v>2044394.52</v>
      </c>
      <c r="EX203" s="1422">
        <v>2275515</v>
      </c>
      <c r="EY203" s="1420">
        <v>1822188.26</v>
      </c>
      <c r="EZ203" s="1420">
        <v>2170068.42</v>
      </c>
      <c r="FA203" s="1420">
        <v>28682353.399999999</v>
      </c>
      <c r="FB203" s="1420">
        <v>28778622.739999998</v>
      </c>
      <c r="FC203" s="1420">
        <v>1210292.47</v>
      </c>
      <c r="FD203" s="1439"/>
      <c r="FE203" s="1420">
        <v>27472060.93</v>
      </c>
      <c r="FF203" s="1439"/>
      <c r="FG203" s="1422">
        <v>8129</v>
      </c>
      <c r="FH203" s="1439"/>
      <c r="FI203" s="1420">
        <v>227.19</v>
      </c>
      <c r="FJ203" s="1439"/>
      <c r="FK203" s="1422">
        <v>49208</v>
      </c>
      <c r="FL203" s="1439"/>
      <c r="FM203" s="1420">
        <v>247.37</v>
      </c>
      <c r="FN203" s="1439"/>
      <c r="FO203" s="1422">
        <v>51955</v>
      </c>
      <c r="FP203" s="1439"/>
      <c r="FQ203" s="1420">
        <v>3352263.15</v>
      </c>
      <c r="FR203" s="1439"/>
      <c r="FS203" s="1420">
        <v>20582.82</v>
      </c>
      <c r="FT203" s="1439"/>
      <c r="FU203" s="1422">
        <v>0</v>
      </c>
      <c r="FV203" s="1439"/>
      <c r="FW203" s="1420">
        <v>3331680.33</v>
      </c>
      <c r="FX203" s="1439"/>
      <c r="FY203" s="1420">
        <v>1359048.49</v>
      </c>
      <c r="FZ203" s="1439"/>
      <c r="GA203" s="1422">
        <v>0</v>
      </c>
      <c r="GB203" s="1439"/>
    </row>
    <row r="204" spans="1:184" ht="12.75" customHeight="1" thickBot="1">
      <c r="A204" s="1418" t="s">
        <v>283</v>
      </c>
      <c r="B204" s="1418" t="s">
        <v>284</v>
      </c>
      <c r="C204" s="1420">
        <v>30.02</v>
      </c>
      <c r="D204" s="1439"/>
      <c r="E204" s="1420">
        <v>586.83000000000004</v>
      </c>
      <c r="F204" s="1439"/>
      <c r="G204" s="1421">
        <v>0.02</v>
      </c>
      <c r="H204" s="1439"/>
      <c r="I204" s="1420">
        <v>620.59</v>
      </c>
      <c r="J204" s="1439"/>
      <c r="K204" s="1420">
        <v>636.20000000000005</v>
      </c>
      <c r="L204" s="1439"/>
      <c r="M204" s="1422">
        <v>29385407</v>
      </c>
      <c r="N204" s="1439"/>
      <c r="O204" s="1422">
        <v>25</v>
      </c>
      <c r="P204" s="1439"/>
      <c r="Q204" s="1422">
        <v>25</v>
      </c>
      <c r="R204" s="1439"/>
      <c r="S204" s="1422">
        <v>0</v>
      </c>
      <c r="T204" s="1439"/>
      <c r="U204" s="1422">
        <v>0</v>
      </c>
      <c r="V204" s="1439"/>
      <c r="W204" s="1422">
        <v>13</v>
      </c>
      <c r="X204" s="1439"/>
      <c r="Y204" s="1422">
        <v>38</v>
      </c>
      <c r="Z204" s="1439"/>
      <c r="AA204" s="1422">
        <v>3265000</v>
      </c>
      <c r="AB204" s="1439"/>
      <c r="AC204" s="1422">
        <v>1022780</v>
      </c>
      <c r="AD204" s="1422">
        <v>1023000</v>
      </c>
      <c r="AE204" s="1420">
        <v>188515.67</v>
      </c>
      <c r="AF204" s="1422">
        <v>85775</v>
      </c>
      <c r="AG204" s="1420">
        <v>92.56</v>
      </c>
      <c r="AH204" s="1422">
        <v>100</v>
      </c>
      <c r="AI204" s="1422">
        <v>3156736</v>
      </c>
      <c r="AJ204" s="1422">
        <v>3082246</v>
      </c>
      <c r="AK204" s="1422">
        <v>11906</v>
      </c>
      <c r="AL204" s="1422">
        <v>0</v>
      </c>
      <c r="AM204" s="1422">
        <v>0</v>
      </c>
      <c r="AN204" s="1422">
        <v>0</v>
      </c>
      <c r="AO204" s="1422">
        <v>0</v>
      </c>
      <c r="AP204" s="1422">
        <v>51241</v>
      </c>
      <c r="AQ204" s="1422">
        <v>0</v>
      </c>
      <c r="AR204" s="1422">
        <v>0</v>
      </c>
      <c r="AS204" s="1422">
        <v>0</v>
      </c>
      <c r="AT204" s="1422">
        <v>0</v>
      </c>
      <c r="AU204" s="1422">
        <v>37124</v>
      </c>
      <c r="AV204" s="1422">
        <v>29699</v>
      </c>
      <c r="AW204" s="1422">
        <v>0</v>
      </c>
      <c r="AX204" s="1422">
        <v>0</v>
      </c>
      <c r="AY204" s="1420">
        <v>4417154.2300000004</v>
      </c>
      <c r="AZ204" s="1422">
        <v>4272061</v>
      </c>
      <c r="BA204" s="1422">
        <v>0</v>
      </c>
      <c r="BB204" s="1422">
        <v>0</v>
      </c>
      <c r="BC204" s="1422">
        <v>26313</v>
      </c>
      <c r="BD204" s="1422">
        <v>26255</v>
      </c>
      <c r="BE204" s="1422">
        <v>3900</v>
      </c>
      <c r="BF204" s="1422">
        <v>2400</v>
      </c>
      <c r="BG204" s="1422">
        <v>927</v>
      </c>
      <c r="BH204" s="1422">
        <v>0</v>
      </c>
      <c r="BI204" s="1422">
        <v>52819</v>
      </c>
      <c r="BJ204" s="1422">
        <v>57408</v>
      </c>
      <c r="BK204" s="1422">
        <v>0</v>
      </c>
      <c r="BL204" s="1422">
        <v>0</v>
      </c>
      <c r="BM204" s="1422">
        <v>164176</v>
      </c>
      <c r="BN204" s="1422">
        <v>166980</v>
      </c>
      <c r="BO204" s="1420">
        <v>2606.3200000000002</v>
      </c>
      <c r="BP204" s="1422">
        <v>0</v>
      </c>
      <c r="BQ204" s="1422">
        <v>9750</v>
      </c>
      <c r="BR204" s="1420">
        <v>79743.75</v>
      </c>
      <c r="BS204" s="1420">
        <v>2013.11</v>
      </c>
      <c r="BT204" s="1422">
        <v>0</v>
      </c>
      <c r="BU204" s="1422">
        <v>0</v>
      </c>
      <c r="BV204" s="1422">
        <v>0</v>
      </c>
      <c r="BW204" s="1422">
        <v>0</v>
      </c>
      <c r="BX204" s="1422">
        <v>0</v>
      </c>
      <c r="BY204" s="1422">
        <v>0</v>
      </c>
      <c r="BZ204" s="1422">
        <v>0</v>
      </c>
      <c r="CA204" s="1420">
        <v>298533.56</v>
      </c>
      <c r="CB204" s="1420">
        <v>120848.19</v>
      </c>
      <c r="CC204" s="1420">
        <v>561037.99</v>
      </c>
      <c r="CD204" s="1420">
        <v>453634.94</v>
      </c>
      <c r="CE204" s="1422">
        <v>895374</v>
      </c>
      <c r="CF204" s="1420">
        <v>551092.75</v>
      </c>
      <c r="CG204" s="1420">
        <v>3468.17</v>
      </c>
      <c r="CH204" s="1422">
        <v>0</v>
      </c>
      <c r="CI204" s="1422">
        <v>0</v>
      </c>
      <c r="CJ204" s="1422">
        <v>0</v>
      </c>
      <c r="CK204" s="1422">
        <v>0</v>
      </c>
      <c r="CL204" s="1422">
        <v>0</v>
      </c>
      <c r="CM204" s="1422">
        <v>0</v>
      </c>
      <c r="CN204" s="1422">
        <v>0</v>
      </c>
      <c r="CO204" s="1420">
        <v>33954.339999999997</v>
      </c>
      <c r="CP204" s="1422">
        <v>15000</v>
      </c>
      <c r="CQ204" s="1422">
        <v>0</v>
      </c>
      <c r="CR204" s="1422">
        <v>0</v>
      </c>
      <c r="CS204" s="1420">
        <v>37422.51</v>
      </c>
      <c r="CT204" s="1422">
        <v>15000</v>
      </c>
      <c r="CU204" s="1420">
        <v>5910988.7300000004</v>
      </c>
      <c r="CV204" s="1420">
        <v>5291788.6900000004</v>
      </c>
      <c r="CW204" s="1420">
        <v>2234699.5099999998</v>
      </c>
      <c r="CX204" s="1420">
        <v>2192763.21</v>
      </c>
      <c r="CY204" s="1420">
        <v>222659.32</v>
      </c>
      <c r="CZ204" s="1420">
        <v>230485.51</v>
      </c>
      <c r="DA204" s="1420">
        <v>219714.19</v>
      </c>
      <c r="DB204" s="1420">
        <v>255617.63</v>
      </c>
      <c r="DC204" s="1422">
        <v>0</v>
      </c>
      <c r="DD204" s="1422">
        <v>0</v>
      </c>
      <c r="DE204" s="1420">
        <v>98207.93</v>
      </c>
      <c r="DF204" s="1420">
        <v>96520.2</v>
      </c>
      <c r="DG204" s="1420">
        <v>119328.74</v>
      </c>
      <c r="DH204" s="1420">
        <v>132102.71</v>
      </c>
      <c r="DI204" s="1420">
        <v>2894609.69</v>
      </c>
      <c r="DJ204" s="1420">
        <v>2907489.26</v>
      </c>
      <c r="DK204" s="1420">
        <v>158899.06</v>
      </c>
      <c r="DL204" s="1420">
        <v>161047.53</v>
      </c>
      <c r="DM204" s="1420">
        <v>135311.18</v>
      </c>
      <c r="DN204" s="1420">
        <v>126633.4</v>
      </c>
      <c r="DO204" s="1420">
        <v>552127.51</v>
      </c>
      <c r="DP204" s="1420">
        <v>638892.36</v>
      </c>
      <c r="DQ204" s="1420">
        <v>138446.89000000001</v>
      </c>
      <c r="DR204" s="1420">
        <v>131057.13</v>
      </c>
      <c r="DS204" s="1420">
        <v>11566.33</v>
      </c>
      <c r="DT204" s="1422">
        <v>1550</v>
      </c>
      <c r="DU204" s="1420">
        <v>996350.97</v>
      </c>
      <c r="DV204" s="1420">
        <v>1059180.42</v>
      </c>
      <c r="DW204" s="1422">
        <v>259768</v>
      </c>
      <c r="DX204" s="1420">
        <v>244273.13</v>
      </c>
      <c r="DY204" s="1420">
        <v>388442.79</v>
      </c>
      <c r="DZ204" s="1420">
        <v>366307.27</v>
      </c>
      <c r="EA204" s="1420">
        <v>245880.07</v>
      </c>
      <c r="EB204" s="1420">
        <v>246009.28</v>
      </c>
      <c r="EC204" s="1420">
        <v>894090.86</v>
      </c>
      <c r="ED204" s="1420">
        <v>856589.68</v>
      </c>
      <c r="EE204" s="1420">
        <v>250534.04</v>
      </c>
      <c r="EF204" s="1420">
        <v>241743.03</v>
      </c>
      <c r="EG204" s="1420">
        <v>44768.04</v>
      </c>
      <c r="EH204" s="1422">
        <v>0</v>
      </c>
      <c r="EI204" s="1422">
        <v>0</v>
      </c>
      <c r="EJ204" s="1420">
        <v>223.24</v>
      </c>
      <c r="EK204" s="1422">
        <v>0</v>
      </c>
      <c r="EL204" s="1422">
        <v>0</v>
      </c>
      <c r="EM204" s="1420">
        <v>295302.08</v>
      </c>
      <c r="EN204" s="1420">
        <v>241966.27</v>
      </c>
      <c r="EO204" s="1420">
        <v>683744.9</v>
      </c>
      <c r="EP204" s="1422">
        <v>184085</v>
      </c>
      <c r="EQ204" s="1420">
        <v>194377.42</v>
      </c>
      <c r="ER204" s="1422">
        <v>251715</v>
      </c>
      <c r="ES204" s="1422">
        <v>69273</v>
      </c>
      <c r="ET204" s="1422">
        <v>0</v>
      </c>
      <c r="EU204" s="1420">
        <v>6027748.9199999999</v>
      </c>
      <c r="EV204" s="1420">
        <v>5501025.6299999999</v>
      </c>
      <c r="EW204" s="1420">
        <v>698339.57</v>
      </c>
      <c r="EX204" s="1420">
        <v>213989.49</v>
      </c>
      <c r="EY204" s="1420">
        <v>194377.42</v>
      </c>
      <c r="EZ204" s="1422">
        <v>251715</v>
      </c>
      <c r="FA204" s="1420">
        <v>5135031.93</v>
      </c>
      <c r="FB204" s="1420">
        <v>5035321.1399999997</v>
      </c>
      <c r="FC204" s="1420">
        <v>226257.16</v>
      </c>
      <c r="FD204" s="1439"/>
      <c r="FE204" s="1420">
        <v>4908774.7699999996</v>
      </c>
      <c r="FF204" s="1439"/>
      <c r="FG204" s="1422">
        <v>8364</v>
      </c>
      <c r="FH204" s="1439"/>
      <c r="FI204" s="1420">
        <v>46.32</v>
      </c>
      <c r="FJ204" s="1439"/>
      <c r="FK204" s="1422">
        <v>43197</v>
      </c>
      <c r="FL204" s="1439"/>
      <c r="FM204" s="1420">
        <v>51.38</v>
      </c>
      <c r="FN204" s="1439"/>
      <c r="FO204" s="1422">
        <v>45369</v>
      </c>
      <c r="FP204" s="1439"/>
      <c r="FQ204" s="1420">
        <v>1152858.1100000001</v>
      </c>
      <c r="FR204" s="1439"/>
      <c r="FS204" s="1420">
        <v>5435.19</v>
      </c>
      <c r="FT204" s="1439"/>
      <c r="FU204" s="1422">
        <v>0</v>
      </c>
      <c r="FV204" s="1439"/>
      <c r="FW204" s="1420">
        <v>1147422.92</v>
      </c>
      <c r="FX204" s="1439"/>
      <c r="FY204" s="1420">
        <v>481525.91</v>
      </c>
      <c r="FZ204" s="1439"/>
      <c r="GA204" s="1422">
        <v>0</v>
      </c>
      <c r="GB204" s="1439"/>
    </row>
    <row r="205" spans="1:184" ht="12.75" customHeight="1" thickBot="1">
      <c r="A205" s="1418" t="s">
        <v>285</v>
      </c>
      <c r="B205" s="1418" t="s">
        <v>286</v>
      </c>
      <c r="C205" s="1420">
        <v>91.8</v>
      </c>
      <c r="D205" s="1439"/>
      <c r="E205" s="1420">
        <v>313.82</v>
      </c>
      <c r="F205" s="1439"/>
      <c r="G205" s="1421">
        <v>-0.22</v>
      </c>
      <c r="H205" s="1439"/>
      <c r="I205" s="1420">
        <v>339.65</v>
      </c>
      <c r="J205" s="1439"/>
      <c r="K205" s="1420">
        <v>356.47</v>
      </c>
      <c r="L205" s="1439"/>
      <c r="M205" s="1422">
        <v>27920036</v>
      </c>
      <c r="N205" s="1439"/>
      <c r="O205" s="1422">
        <v>25</v>
      </c>
      <c r="P205" s="1439"/>
      <c r="Q205" s="1422">
        <v>25</v>
      </c>
      <c r="R205" s="1439"/>
      <c r="S205" s="1422">
        <v>0</v>
      </c>
      <c r="T205" s="1439"/>
      <c r="U205" s="1422">
        <v>0</v>
      </c>
      <c r="V205" s="1439"/>
      <c r="W205" s="1420">
        <v>14.3</v>
      </c>
      <c r="X205" s="1439"/>
      <c r="Y205" s="1420">
        <v>39.299999999999997</v>
      </c>
      <c r="Z205" s="1439"/>
      <c r="AA205" s="1422">
        <v>1288104</v>
      </c>
      <c r="AB205" s="1439"/>
      <c r="AC205" s="1420">
        <v>886127.19</v>
      </c>
      <c r="AD205" s="1422">
        <v>885700</v>
      </c>
      <c r="AE205" s="1420">
        <v>169540.55</v>
      </c>
      <c r="AF205" s="1422">
        <v>129601</v>
      </c>
      <c r="AG205" s="1420">
        <v>51.91</v>
      </c>
      <c r="AH205" s="1422">
        <v>50</v>
      </c>
      <c r="AI205" s="1422">
        <v>1431817</v>
      </c>
      <c r="AJ205" s="1422">
        <v>1382407</v>
      </c>
      <c r="AK205" s="1422">
        <v>119582</v>
      </c>
      <c r="AL205" s="1422">
        <v>120000</v>
      </c>
      <c r="AM205" s="1422">
        <v>0</v>
      </c>
      <c r="AN205" s="1422">
        <v>100000</v>
      </c>
      <c r="AO205" s="1422">
        <v>64476</v>
      </c>
      <c r="AP205" s="1422">
        <v>54589</v>
      </c>
      <c r="AQ205" s="1422">
        <v>0</v>
      </c>
      <c r="AR205" s="1422">
        <v>0</v>
      </c>
      <c r="AS205" s="1422">
        <v>0</v>
      </c>
      <c r="AT205" s="1422">
        <v>0</v>
      </c>
      <c r="AU205" s="1422">
        <v>25433</v>
      </c>
      <c r="AV205" s="1422">
        <v>20346</v>
      </c>
      <c r="AW205" s="1422">
        <v>0</v>
      </c>
      <c r="AX205" s="1422">
        <v>0</v>
      </c>
      <c r="AY205" s="1420">
        <v>2697027.65</v>
      </c>
      <c r="AZ205" s="1422">
        <v>2692693</v>
      </c>
      <c r="BA205" s="1422">
        <v>0</v>
      </c>
      <c r="BB205" s="1422">
        <v>0</v>
      </c>
      <c r="BC205" s="1422">
        <v>14744</v>
      </c>
      <c r="BD205" s="1422">
        <v>14354</v>
      </c>
      <c r="BE205" s="1422">
        <v>2400</v>
      </c>
      <c r="BF205" s="1422">
        <v>9600</v>
      </c>
      <c r="BG205" s="1422">
        <v>0</v>
      </c>
      <c r="BH205" s="1422">
        <v>0</v>
      </c>
      <c r="BI205" s="1422">
        <v>47943</v>
      </c>
      <c r="BJ205" s="1422">
        <v>39087</v>
      </c>
      <c r="BK205" s="1422">
        <v>0</v>
      </c>
      <c r="BL205" s="1422">
        <v>0</v>
      </c>
      <c r="BM205" s="1422">
        <v>183188</v>
      </c>
      <c r="BN205" s="1422">
        <v>116886</v>
      </c>
      <c r="BO205" s="1420">
        <v>1460.33</v>
      </c>
      <c r="BP205" s="1422">
        <v>0</v>
      </c>
      <c r="BQ205" s="1420">
        <v>5416.76</v>
      </c>
      <c r="BR205" s="1422">
        <v>4062</v>
      </c>
      <c r="BS205" s="1420">
        <v>4013.1</v>
      </c>
      <c r="BT205" s="1422">
        <v>4000</v>
      </c>
      <c r="BU205" s="1422">
        <v>0</v>
      </c>
      <c r="BV205" s="1422">
        <v>0</v>
      </c>
      <c r="BW205" s="1420">
        <v>92437.2</v>
      </c>
      <c r="BX205" s="1422">
        <v>97200</v>
      </c>
      <c r="BY205" s="1422">
        <v>0</v>
      </c>
      <c r="BZ205" s="1422">
        <v>0</v>
      </c>
      <c r="CA205" s="1422">
        <v>9439</v>
      </c>
      <c r="CB205" s="1422">
        <v>8603</v>
      </c>
      <c r="CC205" s="1420">
        <v>361041.39</v>
      </c>
      <c r="CD205" s="1422">
        <v>293792</v>
      </c>
      <c r="CE205" s="1420">
        <v>654770.51</v>
      </c>
      <c r="CF205" s="1420">
        <v>843471.55</v>
      </c>
      <c r="CG205" s="1420">
        <v>316.41000000000003</v>
      </c>
      <c r="CH205" s="1422">
        <v>0</v>
      </c>
      <c r="CI205" s="1422">
        <v>0</v>
      </c>
      <c r="CJ205" s="1422">
        <v>0</v>
      </c>
      <c r="CK205" s="1422">
        <v>0</v>
      </c>
      <c r="CL205" s="1422">
        <v>0</v>
      </c>
      <c r="CM205" s="1422">
        <v>550</v>
      </c>
      <c r="CN205" s="1422">
        <v>0</v>
      </c>
      <c r="CO205" s="1422">
        <v>0</v>
      </c>
      <c r="CP205" s="1422">
        <v>0</v>
      </c>
      <c r="CQ205" s="1422">
        <v>0</v>
      </c>
      <c r="CR205" s="1422">
        <v>0</v>
      </c>
      <c r="CS205" s="1420">
        <v>866.41</v>
      </c>
      <c r="CT205" s="1422">
        <v>0</v>
      </c>
      <c r="CU205" s="1420">
        <v>3713705.96</v>
      </c>
      <c r="CV205" s="1420">
        <v>3829956.55</v>
      </c>
      <c r="CW205" s="1420">
        <v>1289663.44</v>
      </c>
      <c r="CX205" s="1422">
        <v>1287020</v>
      </c>
      <c r="CY205" s="1420">
        <v>231703.35</v>
      </c>
      <c r="CZ205" s="1422">
        <v>208720</v>
      </c>
      <c r="DA205" s="1420">
        <v>181160.51</v>
      </c>
      <c r="DB205" s="1422">
        <v>174448</v>
      </c>
      <c r="DC205" s="1422">
        <v>0</v>
      </c>
      <c r="DD205" s="1422">
        <v>0</v>
      </c>
      <c r="DE205" s="1420">
        <v>84706.67</v>
      </c>
      <c r="DF205" s="1422">
        <v>81505</v>
      </c>
      <c r="DG205" s="1420">
        <v>177582.89</v>
      </c>
      <c r="DH205" s="1420">
        <v>184034.82</v>
      </c>
      <c r="DI205" s="1420">
        <v>1964816.86</v>
      </c>
      <c r="DJ205" s="1420">
        <v>1935727.82</v>
      </c>
      <c r="DK205" s="1420">
        <v>149633.96</v>
      </c>
      <c r="DL205" s="1422">
        <v>153716</v>
      </c>
      <c r="DM205" s="1420">
        <v>102693.73</v>
      </c>
      <c r="DN205" s="1422">
        <v>99832</v>
      </c>
      <c r="DO205" s="1420">
        <v>366921.98</v>
      </c>
      <c r="DP205" s="1422">
        <v>364296</v>
      </c>
      <c r="DQ205" s="1420">
        <v>164345.43</v>
      </c>
      <c r="DR205" s="1422">
        <v>184357</v>
      </c>
      <c r="DS205" s="1420">
        <v>13203.64</v>
      </c>
      <c r="DT205" s="1422">
        <v>6850</v>
      </c>
      <c r="DU205" s="1420">
        <v>796798.74</v>
      </c>
      <c r="DV205" s="1422">
        <v>809051</v>
      </c>
      <c r="DW205" s="1420">
        <v>189795.7</v>
      </c>
      <c r="DX205" s="1422">
        <v>142957</v>
      </c>
      <c r="DY205" s="1420">
        <v>352322.51</v>
      </c>
      <c r="DZ205" s="1420">
        <v>363882.7</v>
      </c>
      <c r="EA205" s="1420">
        <v>169998.52</v>
      </c>
      <c r="EB205" s="1422">
        <v>185179</v>
      </c>
      <c r="EC205" s="1420">
        <v>712116.73</v>
      </c>
      <c r="ED205" s="1420">
        <v>692018.7</v>
      </c>
      <c r="EE205" s="1420">
        <v>254242.99</v>
      </c>
      <c r="EF205" s="1422">
        <v>248195</v>
      </c>
      <c r="EG205" s="1422">
        <v>0</v>
      </c>
      <c r="EH205" s="1422">
        <v>0</v>
      </c>
      <c r="EI205" s="1422">
        <v>0</v>
      </c>
      <c r="EJ205" s="1420">
        <v>2176.84</v>
      </c>
      <c r="EK205" s="1422">
        <v>0</v>
      </c>
      <c r="EL205" s="1422">
        <v>0</v>
      </c>
      <c r="EM205" s="1420">
        <v>254242.99</v>
      </c>
      <c r="EN205" s="1420">
        <v>250371.84</v>
      </c>
      <c r="EO205" s="1420">
        <v>84775.3</v>
      </c>
      <c r="EP205" s="1420">
        <v>1075617.49</v>
      </c>
      <c r="EQ205" s="1420">
        <v>55994.080000000002</v>
      </c>
      <c r="ER205" s="1422">
        <v>71801</v>
      </c>
      <c r="ES205" s="1422">
        <v>0</v>
      </c>
      <c r="ET205" s="1422">
        <v>0</v>
      </c>
      <c r="EU205" s="1420">
        <v>3868744.7</v>
      </c>
      <c r="EV205" s="1420">
        <v>4834587.8499999996</v>
      </c>
      <c r="EW205" s="1420">
        <v>97098.9</v>
      </c>
      <c r="EX205" s="1420">
        <v>1077117.49</v>
      </c>
      <c r="EY205" s="1420">
        <v>55994.080000000002</v>
      </c>
      <c r="EZ205" s="1422">
        <v>71801</v>
      </c>
      <c r="FA205" s="1420">
        <v>3715651.72</v>
      </c>
      <c r="FB205" s="1420">
        <v>3685669.36</v>
      </c>
      <c r="FC205" s="1420">
        <v>238839.79</v>
      </c>
      <c r="FD205" s="1439"/>
      <c r="FE205" s="1420">
        <v>3476811.93</v>
      </c>
      <c r="FF205" s="1439"/>
      <c r="FG205" s="1422">
        <v>11079</v>
      </c>
      <c r="FH205" s="1439"/>
      <c r="FI205" s="1420">
        <v>24.51</v>
      </c>
      <c r="FJ205" s="1439"/>
      <c r="FK205" s="1422">
        <v>50882</v>
      </c>
      <c r="FL205" s="1439"/>
      <c r="FM205" s="1420">
        <v>25.52</v>
      </c>
      <c r="FN205" s="1439"/>
      <c r="FO205" s="1422">
        <v>56961</v>
      </c>
      <c r="FP205" s="1439"/>
      <c r="FQ205" s="1420">
        <v>366908.63</v>
      </c>
      <c r="FR205" s="1439"/>
      <c r="FS205" s="1420">
        <v>20163.41</v>
      </c>
      <c r="FT205" s="1439"/>
      <c r="FU205" s="1422">
        <v>0</v>
      </c>
      <c r="FV205" s="1439"/>
      <c r="FW205" s="1420">
        <v>346745.22</v>
      </c>
      <c r="FX205" s="1439"/>
      <c r="FY205" s="1420">
        <v>797057.72</v>
      </c>
      <c r="FZ205" s="1439"/>
      <c r="GA205" s="1422">
        <v>0</v>
      </c>
      <c r="GB205" s="1439"/>
    </row>
    <row r="206" spans="1:184" ht="12.75" customHeight="1" thickBot="1">
      <c r="A206" s="1418" t="s">
        <v>287</v>
      </c>
      <c r="B206" s="1418" t="s">
        <v>288</v>
      </c>
      <c r="C206" s="1420">
        <v>63.35</v>
      </c>
      <c r="D206" s="1439"/>
      <c r="E206" s="1420">
        <v>803.49</v>
      </c>
      <c r="F206" s="1439"/>
      <c r="G206" s="1421">
        <v>-0.05</v>
      </c>
      <c r="H206" s="1439"/>
      <c r="I206" s="1420">
        <v>846.71</v>
      </c>
      <c r="J206" s="1439"/>
      <c r="K206" s="1420">
        <v>832.67</v>
      </c>
      <c r="L206" s="1439"/>
      <c r="M206" s="1422">
        <v>54346830</v>
      </c>
      <c r="N206" s="1439"/>
      <c r="O206" s="1422">
        <v>25</v>
      </c>
      <c r="P206" s="1439"/>
      <c r="Q206" s="1422">
        <v>25</v>
      </c>
      <c r="R206" s="1439"/>
      <c r="S206" s="1422">
        <v>0</v>
      </c>
      <c r="T206" s="1439"/>
      <c r="U206" s="1422">
        <v>0</v>
      </c>
      <c r="V206" s="1439"/>
      <c r="W206" s="1420">
        <v>16.899999999999999</v>
      </c>
      <c r="X206" s="1439"/>
      <c r="Y206" s="1420">
        <v>41.9</v>
      </c>
      <c r="Z206" s="1439"/>
      <c r="AA206" s="1420">
        <v>12815466.800000001</v>
      </c>
      <c r="AB206" s="1439"/>
      <c r="AC206" s="1420">
        <v>2269237.38</v>
      </c>
      <c r="AD206" s="1422">
        <v>1951497</v>
      </c>
      <c r="AE206" s="1420">
        <v>633297.38</v>
      </c>
      <c r="AF206" s="1420">
        <v>454918.29</v>
      </c>
      <c r="AG206" s="1420">
        <v>122.56</v>
      </c>
      <c r="AH206" s="1422">
        <v>100</v>
      </c>
      <c r="AI206" s="1422">
        <v>3642677</v>
      </c>
      <c r="AJ206" s="1422">
        <v>3838384</v>
      </c>
      <c r="AK206" s="1422">
        <v>42648</v>
      </c>
      <c r="AL206" s="1422">
        <v>0</v>
      </c>
      <c r="AM206" s="1422">
        <v>0</v>
      </c>
      <c r="AN206" s="1422">
        <v>0</v>
      </c>
      <c r="AO206" s="1422">
        <v>138198</v>
      </c>
      <c r="AP206" s="1422">
        <v>0</v>
      </c>
      <c r="AQ206" s="1422">
        <v>0</v>
      </c>
      <c r="AR206" s="1422">
        <v>0</v>
      </c>
      <c r="AS206" s="1422">
        <v>0</v>
      </c>
      <c r="AT206" s="1422">
        <v>0</v>
      </c>
      <c r="AU206" s="1422">
        <v>11291</v>
      </c>
      <c r="AV206" s="1422">
        <v>9033</v>
      </c>
      <c r="AW206" s="1422">
        <v>0</v>
      </c>
      <c r="AX206" s="1422">
        <v>0</v>
      </c>
      <c r="AY206" s="1420">
        <v>6737471.3200000003</v>
      </c>
      <c r="AZ206" s="1420">
        <v>6253932.29</v>
      </c>
      <c r="BA206" s="1422">
        <v>0</v>
      </c>
      <c r="BB206" s="1422">
        <v>0</v>
      </c>
      <c r="BC206" s="1422">
        <v>34439</v>
      </c>
      <c r="BD206" s="1422">
        <v>35941</v>
      </c>
      <c r="BE206" s="1420">
        <v>4630.07</v>
      </c>
      <c r="BF206" s="1422">
        <v>8400</v>
      </c>
      <c r="BG206" s="1422">
        <v>867</v>
      </c>
      <c r="BH206" s="1422">
        <v>0</v>
      </c>
      <c r="BI206" s="1422">
        <v>12920</v>
      </c>
      <c r="BJ206" s="1422">
        <v>45222</v>
      </c>
      <c r="BK206" s="1422">
        <v>879</v>
      </c>
      <c r="BL206" s="1422">
        <v>897</v>
      </c>
      <c r="BM206" s="1422">
        <v>194432</v>
      </c>
      <c r="BN206" s="1422">
        <v>210496</v>
      </c>
      <c r="BO206" s="1420">
        <v>6779.15</v>
      </c>
      <c r="BP206" s="1422">
        <v>0</v>
      </c>
      <c r="BQ206" s="1420">
        <v>45972.52</v>
      </c>
      <c r="BR206" s="1422">
        <v>8125</v>
      </c>
      <c r="BS206" s="1420">
        <v>3293.71</v>
      </c>
      <c r="BT206" s="1422">
        <v>3400</v>
      </c>
      <c r="BU206" s="1422">
        <v>0</v>
      </c>
      <c r="BV206" s="1422">
        <v>0</v>
      </c>
      <c r="BW206" s="1422">
        <v>267300</v>
      </c>
      <c r="BX206" s="1422">
        <v>267300</v>
      </c>
      <c r="BY206" s="1422">
        <v>0</v>
      </c>
      <c r="BZ206" s="1422">
        <v>0</v>
      </c>
      <c r="CA206" s="1420">
        <v>442097.84</v>
      </c>
      <c r="CB206" s="1420">
        <v>514991.73</v>
      </c>
      <c r="CC206" s="1420">
        <v>1013610.29</v>
      </c>
      <c r="CD206" s="1420">
        <v>1094772.73</v>
      </c>
      <c r="CE206" s="1420">
        <v>1491812.75</v>
      </c>
      <c r="CF206" s="1420">
        <v>1188901.74</v>
      </c>
      <c r="CG206" s="1420">
        <v>1140630.93</v>
      </c>
      <c r="CH206" s="1422">
        <v>149000</v>
      </c>
      <c r="CI206" s="1422">
        <v>0</v>
      </c>
      <c r="CJ206" s="1422">
        <v>0</v>
      </c>
      <c r="CK206" s="1420">
        <v>14388.52</v>
      </c>
      <c r="CL206" s="1420">
        <v>13014.12</v>
      </c>
      <c r="CM206" s="1422">
        <v>0</v>
      </c>
      <c r="CN206" s="1422">
        <v>11500</v>
      </c>
      <c r="CO206" s="1420">
        <v>6676.92</v>
      </c>
      <c r="CP206" s="1422">
        <v>15216</v>
      </c>
      <c r="CQ206" s="1422">
        <v>0</v>
      </c>
      <c r="CR206" s="1422">
        <v>0</v>
      </c>
      <c r="CS206" s="1420">
        <v>1161696.3700000001</v>
      </c>
      <c r="CT206" s="1420">
        <v>188730.12</v>
      </c>
      <c r="CU206" s="1420">
        <v>10404590.73</v>
      </c>
      <c r="CV206" s="1420">
        <v>8726336.8800000008</v>
      </c>
      <c r="CW206" s="1420">
        <v>3187520.54</v>
      </c>
      <c r="CX206" s="1420">
        <v>2998165.67</v>
      </c>
      <c r="CY206" s="1420">
        <v>405402.8</v>
      </c>
      <c r="CZ206" s="1420">
        <v>380029.83</v>
      </c>
      <c r="DA206" s="1420">
        <v>233355.94</v>
      </c>
      <c r="DB206" s="1420">
        <v>239096.49</v>
      </c>
      <c r="DC206" s="1422">
        <v>0</v>
      </c>
      <c r="DD206" s="1422">
        <v>0</v>
      </c>
      <c r="DE206" s="1420">
        <v>422320.19</v>
      </c>
      <c r="DF206" s="1420">
        <v>307361.05</v>
      </c>
      <c r="DG206" s="1420">
        <v>113231.74</v>
      </c>
      <c r="DH206" s="1420">
        <v>112640.37</v>
      </c>
      <c r="DI206" s="1420">
        <v>4361831.21</v>
      </c>
      <c r="DJ206" s="1420">
        <v>4037293.41</v>
      </c>
      <c r="DK206" s="1420">
        <v>430902.9</v>
      </c>
      <c r="DL206" s="1420">
        <v>353568.16</v>
      </c>
      <c r="DM206" s="1420">
        <v>227577.14</v>
      </c>
      <c r="DN206" s="1420">
        <v>171101.26</v>
      </c>
      <c r="DO206" s="1420">
        <v>894196.39</v>
      </c>
      <c r="DP206" s="1420">
        <v>841401.94</v>
      </c>
      <c r="DQ206" s="1420">
        <v>446918.81</v>
      </c>
      <c r="DR206" s="1420">
        <v>298416.7</v>
      </c>
      <c r="DS206" s="1420">
        <v>41243.449999999997</v>
      </c>
      <c r="DT206" s="1420">
        <v>20314.12</v>
      </c>
      <c r="DU206" s="1420">
        <v>2040838.69</v>
      </c>
      <c r="DV206" s="1420">
        <v>1684802.18</v>
      </c>
      <c r="DW206" s="1420">
        <v>496992.3</v>
      </c>
      <c r="DX206" s="1420">
        <v>556597.74</v>
      </c>
      <c r="DY206" s="1420">
        <v>573375.68000000005</v>
      </c>
      <c r="DZ206" s="1420">
        <v>396300.64</v>
      </c>
      <c r="EA206" s="1420">
        <v>368056.52</v>
      </c>
      <c r="EB206" s="1422">
        <v>355043</v>
      </c>
      <c r="EC206" s="1420">
        <v>1438424.5</v>
      </c>
      <c r="ED206" s="1420">
        <v>1307941.3799999999</v>
      </c>
      <c r="EE206" s="1420">
        <v>408532.94</v>
      </c>
      <c r="EF206" s="1420">
        <v>427929.21</v>
      </c>
      <c r="EG206" s="1420">
        <v>17246.310000000001</v>
      </c>
      <c r="EH206" s="1422">
        <v>0</v>
      </c>
      <c r="EI206" s="1420">
        <v>3764.79</v>
      </c>
      <c r="EJ206" s="1420">
        <v>955.95</v>
      </c>
      <c r="EK206" s="1422">
        <v>0</v>
      </c>
      <c r="EL206" s="1422">
        <v>0</v>
      </c>
      <c r="EM206" s="1420">
        <v>429544.04</v>
      </c>
      <c r="EN206" s="1420">
        <v>428885.16</v>
      </c>
      <c r="EO206" s="1420">
        <v>1153162.67</v>
      </c>
      <c r="EP206" s="1420">
        <v>571525.73</v>
      </c>
      <c r="EQ206" s="1420">
        <v>828698.01</v>
      </c>
      <c r="ER206" s="1420">
        <v>949406.75</v>
      </c>
      <c r="ES206" s="1420">
        <v>132302.01</v>
      </c>
      <c r="ET206" s="1420">
        <v>17356.189999999999</v>
      </c>
      <c r="EU206" s="1420">
        <v>10384801.130000001</v>
      </c>
      <c r="EV206" s="1420">
        <v>8997210.8000000007</v>
      </c>
      <c r="EW206" s="1420">
        <v>1511302.25</v>
      </c>
      <c r="EX206" s="1420">
        <v>765373.52</v>
      </c>
      <c r="EY206" s="1420">
        <v>828698.01</v>
      </c>
      <c r="EZ206" s="1420">
        <v>949406.75</v>
      </c>
      <c r="FA206" s="1420">
        <v>8044800.8700000001</v>
      </c>
      <c r="FB206" s="1420">
        <v>7282430.5300000003</v>
      </c>
      <c r="FC206" s="1420">
        <v>887451.97</v>
      </c>
      <c r="FD206" s="1439"/>
      <c r="FE206" s="1420">
        <v>7157348.9000000004</v>
      </c>
      <c r="FF206" s="1439"/>
      <c r="FG206" s="1422">
        <v>8907</v>
      </c>
      <c r="FH206" s="1439"/>
      <c r="FI206" s="1420">
        <v>66.69</v>
      </c>
      <c r="FJ206" s="1439"/>
      <c r="FK206" s="1422">
        <v>40112</v>
      </c>
      <c r="FL206" s="1439"/>
      <c r="FM206" s="1420">
        <v>71.02</v>
      </c>
      <c r="FN206" s="1439"/>
      <c r="FO206" s="1422">
        <v>42550</v>
      </c>
      <c r="FP206" s="1439"/>
      <c r="FQ206" s="1420">
        <v>1316820.27</v>
      </c>
      <c r="FR206" s="1439"/>
      <c r="FS206" s="1420">
        <v>1850.73</v>
      </c>
      <c r="FT206" s="1439"/>
      <c r="FU206" s="1422">
        <v>0</v>
      </c>
      <c r="FV206" s="1439"/>
      <c r="FW206" s="1420">
        <v>1314969.54</v>
      </c>
      <c r="FX206" s="1439"/>
      <c r="FY206" s="1420">
        <v>2357500.89</v>
      </c>
      <c r="FZ206" s="1439"/>
      <c r="GA206" s="1422">
        <v>0</v>
      </c>
      <c r="GB206" s="1439"/>
    </row>
    <row r="207" spans="1:184" ht="12.75" customHeight="1" thickBot="1">
      <c r="A207" s="1418" t="s">
        <v>289</v>
      </c>
      <c r="B207" s="1418" t="s">
        <v>290</v>
      </c>
      <c r="C207" s="1420">
        <v>154.34</v>
      </c>
      <c r="D207" s="1439"/>
      <c r="E207" s="1420">
        <v>887.06</v>
      </c>
      <c r="F207" s="1439"/>
      <c r="G207" s="1421">
        <v>-0.12</v>
      </c>
      <c r="H207" s="1439"/>
      <c r="I207" s="1420">
        <v>955.23</v>
      </c>
      <c r="J207" s="1439"/>
      <c r="K207" s="1420">
        <v>951.16</v>
      </c>
      <c r="L207" s="1439"/>
      <c r="M207" s="1422">
        <v>57421445</v>
      </c>
      <c r="N207" s="1439"/>
      <c r="O207" s="1422">
        <v>25</v>
      </c>
      <c r="P207" s="1439"/>
      <c r="Q207" s="1422">
        <v>25</v>
      </c>
      <c r="R207" s="1439"/>
      <c r="S207" s="1422">
        <v>0</v>
      </c>
      <c r="T207" s="1439"/>
      <c r="U207" s="1422">
        <v>0</v>
      </c>
      <c r="V207" s="1439"/>
      <c r="W207" s="1420">
        <v>15.01</v>
      </c>
      <c r="X207" s="1439"/>
      <c r="Y207" s="1420">
        <v>40.01</v>
      </c>
      <c r="Z207" s="1439"/>
      <c r="AA207" s="1420">
        <v>9540870.0500000007</v>
      </c>
      <c r="AB207" s="1439"/>
      <c r="AC207" s="1420">
        <v>2222300.91</v>
      </c>
      <c r="AD207" s="1422">
        <v>2151039</v>
      </c>
      <c r="AE207" s="1422">
        <v>400745</v>
      </c>
      <c r="AF207" s="1422">
        <v>351275</v>
      </c>
      <c r="AG207" s="1420">
        <v>138.66</v>
      </c>
      <c r="AH207" s="1422">
        <v>150</v>
      </c>
      <c r="AI207" s="1422">
        <v>4298159</v>
      </c>
      <c r="AJ207" s="1422">
        <v>4449648</v>
      </c>
      <c r="AK207" s="1422">
        <v>53902</v>
      </c>
      <c r="AL207" s="1422">
        <v>0</v>
      </c>
      <c r="AM207" s="1422">
        <v>0</v>
      </c>
      <c r="AN207" s="1422">
        <v>0</v>
      </c>
      <c r="AO207" s="1422">
        <v>109709</v>
      </c>
      <c r="AP207" s="1422">
        <v>0</v>
      </c>
      <c r="AQ207" s="1422">
        <v>0</v>
      </c>
      <c r="AR207" s="1422">
        <v>0</v>
      </c>
      <c r="AS207" s="1422">
        <v>0</v>
      </c>
      <c r="AT207" s="1422">
        <v>0</v>
      </c>
      <c r="AU207" s="1422">
        <v>15871</v>
      </c>
      <c r="AV207" s="1422">
        <v>12696</v>
      </c>
      <c r="AW207" s="1422">
        <v>0</v>
      </c>
      <c r="AX207" s="1422">
        <v>0</v>
      </c>
      <c r="AY207" s="1420">
        <v>7100825.5700000003</v>
      </c>
      <c r="AZ207" s="1422">
        <v>6964808</v>
      </c>
      <c r="BA207" s="1422">
        <v>0</v>
      </c>
      <c r="BB207" s="1422">
        <v>0</v>
      </c>
      <c r="BC207" s="1422">
        <v>39340</v>
      </c>
      <c r="BD207" s="1422">
        <v>40621</v>
      </c>
      <c r="BE207" s="1420">
        <v>1126.1500000000001</v>
      </c>
      <c r="BF207" s="1422">
        <v>3600</v>
      </c>
      <c r="BG207" s="1422">
        <v>250</v>
      </c>
      <c r="BH207" s="1422">
        <v>0</v>
      </c>
      <c r="BI207" s="1422">
        <v>37014</v>
      </c>
      <c r="BJ207" s="1422">
        <v>38673</v>
      </c>
      <c r="BK207" s="1422">
        <v>586</v>
      </c>
      <c r="BL207" s="1422">
        <v>0</v>
      </c>
      <c r="BM207" s="1422">
        <v>248496</v>
      </c>
      <c r="BN207" s="1422">
        <v>280324</v>
      </c>
      <c r="BO207" s="1420">
        <v>3896.58</v>
      </c>
      <c r="BP207" s="1422">
        <v>0</v>
      </c>
      <c r="BQ207" s="1422">
        <v>13000</v>
      </c>
      <c r="BR207" s="1422">
        <v>13000</v>
      </c>
      <c r="BS207" s="1420">
        <v>2145.81</v>
      </c>
      <c r="BT207" s="1422">
        <v>2145</v>
      </c>
      <c r="BU207" s="1422">
        <v>0</v>
      </c>
      <c r="BV207" s="1422">
        <v>0</v>
      </c>
      <c r="BW207" s="1422">
        <v>0</v>
      </c>
      <c r="BX207" s="1422">
        <v>0</v>
      </c>
      <c r="BY207" s="1422">
        <v>0</v>
      </c>
      <c r="BZ207" s="1422">
        <v>0</v>
      </c>
      <c r="CA207" s="1422">
        <v>125667</v>
      </c>
      <c r="CB207" s="1422">
        <v>124572</v>
      </c>
      <c r="CC207" s="1420">
        <v>471521.54</v>
      </c>
      <c r="CD207" s="1422">
        <v>502935</v>
      </c>
      <c r="CE207" s="1420">
        <v>1279653.73</v>
      </c>
      <c r="CF207" s="1420">
        <v>996186.91</v>
      </c>
      <c r="CG207" s="1422">
        <v>0</v>
      </c>
      <c r="CH207" s="1422">
        <v>0</v>
      </c>
      <c r="CI207" s="1422">
        <v>0</v>
      </c>
      <c r="CJ207" s="1422">
        <v>0</v>
      </c>
      <c r="CK207" s="1422">
        <v>0</v>
      </c>
      <c r="CL207" s="1422">
        <v>0</v>
      </c>
      <c r="CM207" s="1422">
        <v>0</v>
      </c>
      <c r="CN207" s="1422">
        <v>0</v>
      </c>
      <c r="CO207" s="1422">
        <v>0</v>
      </c>
      <c r="CP207" s="1422">
        <v>0</v>
      </c>
      <c r="CQ207" s="1422">
        <v>0</v>
      </c>
      <c r="CR207" s="1422">
        <v>0</v>
      </c>
      <c r="CS207" s="1422">
        <v>0</v>
      </c>
      <c r="CT207" s="1422">
        <v>0</v>
      </c>
      <c r="CU207" s="1420">
        <v>8852000.8399999999</v>
      </c>
      <c r="CV207" s="1420">
        <v>8463929.9100000001</v>
      </c>
      <c r="CW207" s="1420">
        <v>2858930.93</v>
      </c>
      <c r="CX207" s="1420">
        <v>3243078.84</v>
      </c>
      <c r="CY207" s="1420">
        <v>614010.37</v>
      </c>
      <c r="CZ207" s="1420">
        <v>525582.62</v>
      </c>
      <c r="DA207" s="1420">
        <v>245059.91</v>
      </c>
      <c r="DB207" s="1420">
        <v>254620.52</v>
      </c>
      <c r="DC207" s="1422">
        <v>0</v>
      </c>
      <c r="DD207" s="1422">
        <v>0</v>
      </c>
      <c r="DE207" s="1420">
        <v>349654.77</v>
      </c>
      <c r="DF207" s="1420">
        <v>368944.15</v>
      </c>
      <c r="DG207" s="1420">
        <v>268131.15000000002</v>
      </c>
      <c r="DH207" s="1420">
        <v>321124.34999999998</v>
      </c>
      <c r="DI207" s="1420">
        <v>4335787.13</v>
      </c>
      <c r="DJ207" s="1420">
        <v>4713350.4800000004</v>
      </c>
      <c r="DK207" s="1420">
        <v>286249.09000000003</v>
      </c>
      <c r="DL207" s="1420">
        <v>243473.32</v>
      </c>
      <c r="DM207" s="1420">
        <v>168780.03</v>
      </c>
      <c r="DN207" s="1420">
        <v>205235.68</v>
      </c>
      <c r="DO207" s="1420">
        <v>601468.19999999995</v>
      </c>
      <c r="DP207" s="1420">
        <v>696747.88</v>
      </c>
      <c r="DQ207" s="1420">
        <v>420186.63</v>
      </c>
      <c r="DR207" s="1420">
        <v>474354.57</v>
      </c>
      <c r="DS207" s="1420">
        <v>31818.04</v>
      </c>
      <c r="DT207" s="1422">
        <v>28000</v>
      </c>
      <c r="DU207" s="1420">
        <v>1508501.99</v>
      </c>
      <c r="DV207" s="1420">
        <v>1647811.45</v>
      </c>
      <c r="DW207" s="1420">
        <v>268237.86</v>
      </c>
      <c r="DX207" s="1420">
        <v>332739.90999999997</v>
      </c>
      <c r="DY207" s="1420">
        <v>504619.89</v>
      </c>
      <c r="DZ207" s="1422">
        <v>352750</v>
      </c>
      <c r="EA207" s="1420">
        <v>376859.29</v>
      </c>
      <c r="EB207" s="1420">
        <v>395863.95</v>
      </c>
      <c r="EC207" s="1420">
        <v>1149717.04</v>
      </c>
      <c r="ED207" s="1420">
        <v>1081353.8600000001</v>
      </c>
      <c r="EE207" s="1420">
        <v>414889.75</v>
      </c>
      <c r="EF207" s="1420">
        <v>371447.33</v>
      </c>
      <c r="EG207" s="1422">
        <v>0</v>
      </c>
      <c r="EH207" s="1422">
        <v>0</v>
      </c>
      <c r="EI207" s="1422">
        <v>0</v>
      </c>
      <c r="EJ207" s="1422">
        <v>0</v>
      </c>
      <c r="EK207" s="1422">
        <v>0</v>
      </c>
      <c r="EL207" s="1422">
        <v>0</v>
      </c>
      <c r="EM207" s="1420">
        <v>414889.75</v>
      </c>
      <c r="EN207" s="1420">
        <v>371447.33</v>
      </c>
      <c r="EO207" s="1422">
        <v>0</v>
      </c>
      <c r="EP207" s="1422">
        <v>0</v>
      </c>
      <c r="EQ207" s="1420">
        <v>765215.75</v>
      </c>
      <c r="ER207" s="1420">
        <v>646032.13</v>
      </c>
      <c r="ES207" s="1420">
        <v>7610.87</v>
      </c>
      <c r="ET207" s="1422">
        <v>0</v>
      </c>
      <c r="EU207" s="1420">
        <v>8181722.5300000003</v>
      </c>
      <c r="EV207" s="1420">
        <v>8459995.25</v>
      </c>
      <c r="EW207" s="1420">
        <v>240267.97</v>
      </c>
      <c r="EX207" s="1420">
        <v>235534.38</v>
      </c>
      <c r="EY207" s="1420">
        <v>765215.75</v>
      </c>
      <c r="EZ207" s="1420">
        <v>646032.13</v>
      </c>
      <c r="FA207" s="1420">
        <v>7176238.8099999996</v>
      </c>
      <c r="FB207" s="1420">
        <v>7578428.7400000002</v>
      </c>
      <c r="FC207" s="1420">
        <v>359668.45</v>
      </c>
      <c r="FD207" s="1439"/>
      <c r="FE207" s="1420">
        <v>6816570.3600000003</v>
      </c>
      <c r="FF207" s="1439"/>
      <c r="FG207" s="1422">
        <v>7684</v>
      </c>
      <c r="FH207" s="1439"/>
      <c r="FI207" s="1420">
        <v>69.75</v>
      </c>
      <c r="FJ207" s="1439"/>
      <c r="FK207" s="1422">
        <v>42355</v>
      </c>
      <c r="FL207" s="1439"/>
      <c r="FM207" s="1420">
        <v>75.260000000000005</v>
      </c>
      <c r="FN207" s="1439"/>
      <c r="FO207" s="1422">
        <v>44198</v>
      </c>
      <c r="FP207" s="1439"/>
      <c r="FQ207" s="1420">
        <v>1036664.91</v>
      </c>
      <c r="FR207" s="1439"/>
      <c r="FS207" s="1420">
        <v>61555.81</v>
      </c>
      <c r="FT207" s="1439"/>
      <c r="FU207" s="1422">
        <v>0</v>
      </c>
      <c r="FV207" s="1439"/>
      <c r="FW207" s="1420">
        <v>975109.1</v>
      </c>
      <c r="FX207" s="1439"/>
      <c r="FY207" s="1420">
        <v>196539.16</v>
      </c>
      <c r="FZ207" s="1439"/>
      <c r="GA207" s="1422">
        <v>0</v>
      </c>
      <c r="GB207" s="1439"/>
    </row>
    <row r="208" spans="1:184" ht="12.75" customHeight="1" thickBot="1">
      <c r="A208" s="1418" t="s">
        <v>291</v>
      </c>
      <c r="B208" s="1418" t="s">
        <v>292</v>
      </c>
      <c r="C208" s="1420">
        <v>381.44</v>
      </c>
      <c r="D208" s="1439"/>
      <c r="E208" s="1420">
        <v>2268.67</v>
      </c>
      <c r="F208" s="1439"/>
      <c r="G208" s="1421">
        <v>-0.01</v>
      </c>
      <c r="H208" s="1439"/>
      <c r="I208" s="1420">
        <v>2380.2600000000002</v>
      </c>
      <c r="J208" s="1439"/>
      <c r="K208" s="1420">
        <v>2495.6799999999998</v>
      </c>
      <c r="L208" s="1439"/>
      <c r="M208" s="1422">
        <v>112572139</v>
      </c>
      <c r="N208" s="1439"/>
      <c r="O208" s="1422">
        <v>25</v>
      </c>
      <c r="P208" s="1439"/>
      <c r="Q208" s="1422">
        <v>25</v>
      </c>
      <c r="R208" s="1439"/>
      <c r="S208" s="1422">
        <v>0</v>
      </c>
      <c r="T208" s="1439"/>
      <c r="U208" s="1422">
        <v>0</v>
      </c>
      <c r="V208" s="1439"/>
      <c r="W208" s="1420">
        <v>2.2999999999999998</v>
      </c>
      <c r="X208" s="1439"/>
      <c r="Y208" s="1420">
        <v>27.3</v>
      </c>
      <c r="Z208" s="1439"/>
      <c r="AA208" s="1422">
        <v>4715000</v>
      </c>
      <c r="AB208" s="1439"/>
      <c r="AC208" s="1420">
        <v>2748640.62</v>
      </c>
      <c r="AD208" s="1422">
        <v>2254500</v>
      </c>
      <c r="AE208" s="1420">
        <v>1093321.82</v>
      </c>
      <c r="AF208" s="1422">
        <v>2315182</v>
      </c>
      <c r="AG208" s="1422">
        <v>0</v>
      </c>
      <c r="AH208" s="1422">
        <v>0</v>
      </c>
      <c r="AI208" s="1422">
        <v>12422470</v>
      </c>
      <c r="AJ208" s="1422">
        <v>11880841</v>
      </c>
      <c r="AK208" s="1422">
        <v>128796</v>
      </c>
      <c r="AL208" s="1422">
        <v>128000</v>
      </c>
      <c r="AM208" s="1422">
        <v>12089</v>
      </c>
      <c r="AN208" s="1422">
        <v>0</v>
      </c>
      <c r="AO208" s="1422">
        <v>0</v>
      </c>
      <c r="AP208" s="1422">
        <v>0</v>
      </c>
      <c r="AQ208" s="1422">
        <v>0</v>
      </c>
      <c r="AR208" s="1422">
        <v>0</v>
      </c>
      <c r="AS208" s="1422">
        <v>0</v>
      </c>
      <c r="AT208" s="1422">
        <v>0</v>
      </c>
      <c r="AU208" s="1422">
        <v>14220</v>
      </c>
      <c r="AV208" s="1422">
        <v>11376</v>
      </c>
      <c r="AW208" s="1422">
        <v>0</v>
      </c>
      <c r="AX208" s="1422">
        <v>0</v>
      </c>
      <c r="AY208" s="1420">
        <v>16419537.439999999</v>
      </c>
      <c r="AZ208" s="1422">
        <v>16589899</v>
      </c>
      <c r="BA208" s="1422">
        <v>0</v>
      </c>
      <c r="BB208" s="1422">
        <v>0</v>
      </c>
      <c r="BC208" s="1422">
        <v>103221</v>
      </c>
      <c r="BD208" s="1422">
        <v>101025</v>
      </c>
      <c r="BE208" s="1422">
        <v>7500</v>
      </c>
      <c r="BF208" s="1422">
        <v>67500</v>
      </c>
      <c r="BG208" s="1422">
        <v>850</v>
      </c>
      <c r="BH208" s="1422">
        <v>0</v>
      </c>
      <c r="BI208" s="1422">
        <v>56598</v>
      </c>
      <c r="BJ208" s="1422">
        <v>59232</v>
      </c>
      <c r="BK208" s="1422">
        <v>268095</v>
      </c>
      <c r="BL208" s="1422">
        <v>540560</v>
      </c>
      <c r="BM208" s="1422">
        <v>1839168</v>
      </c>
      <c r="BN208" s="1422">
        <v>0</v>
      </c>
      <c r="BO208" s="1420">
        <v>27758.52</v>
      </c>
      <c r="BP208" s="1422">
        <v>24000</v>
      </c>
      <c r="BQ208" s="1420">
        <v>47125.64</v>
      </c>
      <c r="BR208" s="1422">
        <v>46041</v>
      </c>
      <c r="BS208" s="1420">
        <v>9664.73</v>
      </c>
      <c r="BT208" s="1422">
        <v>10100</v>
      </c>
      <c r="BU208" s="1422">
        <v>0</v>
      </c>
      <c r="BV208" s="1422">
        <v>0</v>
      </c>
      <c r="BW208" s="1422">
        <v>0</v>
      </c>
      <c r="BX208" s="1422">
        <v>0</v>
      </c>
      <c r="BY208" s="1422">
        <v>0</v>
      </c>
      <c r="BZ208" s="1422">
        <v>0</v>
      </c>
      <c r="CA208" s="1420">
        <v>1996404.13</v>
      </c>
      <c r="CB208" s="1422">
        <v>1316348</v>
      </c>
      <c r="CC208" s="1420">
        <v>4356385.0199999996</v>
      </c>
      <c r="CD208" s="1422">
        <v>2164806</v>
      </c>
      <c r="CE208" s="1420">
        <v>3970047.71</v>
      </c>
      <c r="CF208" s="1422">
        <v>3763347</v>
      </c>
      <c r="CG208" s="1420">
        <v>1776076.66</v>
      </c>
      <c r="CH208" s="1422">
        <v>10000</v>
      </c>
      <c r="CI208" s="1422">
        <v>0</v>
      </c>
      <c r="CJ208" s="1422">
        <v>0</v>
      </c>
      <c r="CK208" s="1422">
        <v>0</v>
      </c>
      <c r="CL208" s="1422">
        <v>0</v>
      </c>
      <c r="CM208" s="1422">
        <v>0</v>
      </c>
      <c r="CN208" s="1422">
        <v>0</v>
      </c>
      <c r="CO208" s="1422">
        <v>0</v>
      </c>
      <c r="CP208" s="1422">
        <v>0</v>
      </c>
      <c r="CQ208" s="1422">
        <v>0</v>
      </c>
      <c r="CR208" s="1422">
        <v>0</v>
      </c>
      <c r="CS208" s="1420">
        <v>1776076.66</v>
      </c>
      <c r="CT208" s="1422">
        <v>10000</v>
      </c>
      <c r="CU208" s="1420">
        <v>26522046.829999998</v>
      </c>
      <c r="CV208" s="1422">
        <v>22528052</v>
      </c>
      <c r="CW208" s="1420">
        <v>10248144.59</v>
      </c>
      <c r="CX208" s="1422">
        <v>10425865</v>
      </c>
      <c r="CY208" s="1420">
        <v>1161094.81</v>
      </c>
      <c r="CZ208" s="1422">
        <v>1319421</v>
      </c>
      <c r="DA208" s="1420">
        <v>657724.35</v>
      </c>
      <c r="DB208" s="1422">
        <v>668100</v>
      </c>
      <c r="DC208" s="1422">
        <v>0</v>
      </c>
      <c r="DD208" s="1422">
        <v>0</v>
      </c>
      <c r="DE208" s="1420">
        <v>688894.62</v>
      </c>
      <c r="DF208" s="1422">
        <v>969914</v>
      </c>
      <c r="DG208" s="1420">
        <v>539540.14</v>
      </c>
      <c r="DH208" s="1422">
        <v>831930</v>
      </c>
      <c r="DI208" s="1420">
        <v>13295398.51</v>
      </c>
      <c r="DJ208" s="1422">
        <v>14215230</v>
      </c>
      <c r="DK208" s="1420">
        <v>598227.42000000004</v>
      </c>
      <c r="DL208" s="1422">
        <v>619802</v>
      </c>
      <c r="DM208" s="1420">
        <v>126988.51</v>
      </c>
      <c r="DN208" s="1422">
        <v>115741</v>
      </c>
      <c r="DO208" s="1420">
        <v>1880556.78</v>
      </c>
      <c r="DP208" s="1422">
        <v>2186446</v>
      </c>
      <c r="DQ208" s="1420">
        <v>828150.99</v>
      </c>
      <c r="DR208" s="1422">
        <v>967359</v>
      </c>
      <c r="DS208" s="1420">
        <v>22044.84</v>
      </c>
      <c r="DT208" s="1422">
        <v>5600</v>
      </c>
      <c r="DU208" s="1420">
        <v>3455968.54</v>
      </c>
      <c r="DV208" s="1422">
        <v>3894948</v>
      </c>
      <c r="DW208" s="1420">
        <v>931509.91</v>
      </c>
      <c r="DX208" s="1422">
        <v>1113715</v>
      </c>
      <c r="DY208" s="1420">
        <v>1583191.51</v>
      </c>
      <c r="DZ208" s="1422">
        <v>1846519</v>
      </c>
      <c r="EA208" s="1420">
        <v>1285904.94</v>
      </c>
      <c r="EB208" s="1422">
        <v>1313435</v>
      </c>
      <c r="EC208" s="1420">
        <v>3800606.36</v>
      </c>
      <c r="ED208" s="1422">
        <v>4273669</v>
      </c>
      <c r="EE208" s="1420">
        <v>1467113.87</v>
      </c>
      <c r="EF208" s="1422">
        <v>1532457</v>
      </c>
      <c r="EG208" s="1422">
        <v>0</v>
      </c>
      <c r="EH208" s="1422">
        <v>0</v>
      </c>
      <c r="EI208" s="1420">
        <v>5858.05</v>
      </c>
      <c r="EJ208" s="1422">
        <v>6000</v>
      </c>
      <c r="EK208" s="1422">
        <v>0</v>
      </c>
      <c r="EL208" s="1422">
        <v>0</v>
      </c>
      <c r="EM208" s="1420">
        <v>1472971.92</v>
      </c>
      <c r="EN208" s="1422">
        <v>1538457</v>
      </c>
      <c r="EO208" s="1420">
        <v>3540523.26</v>
      </c>
      <c r="EP208" s="1422">
        <v>3716061</v>
      </c>
      <c r="EQ208" s="1420">
        <v>254451.76</v>
      </c>
      <c r="ER208" s="1422">
        <v>304540</v>
      </c>
      <c r="ES208" s="1422">
        <v>0</v>
      </c>
      <c r="ET208" s="1422">
        <v>0</v>
      </c>
      <c r="EU208" s="1420">
        <v>25819920.350000001</v>
      </c>
      <c r="EV208" s="1422">
        <v>27942905</v>
      </c>
      <c r="EW208" s="1420">
        <v>3864669.93</v>
      </c>
      <c r="EX208" s="1422">
        <v>4351595</v>
      </c>
      <c r="EY208" s="1420">
        <v>254451.76</v>
      </c>
      <c r="EZ208" s="1422">
        <v>304540</v>
      </c>
      <c r="FA208" s="1420">
        <v>21700798.66</v>
      </c>
      <c r="FB208" s="1422">
        <v>23286770</v>
      </c>
      <c r="FC208" s="1420">
        <v>814640.34</v>
      </c>
      <c r="FD208" s="1439"/>
      <c r="FE208" s="1420">
        <v>20886158.32</v>
      </c>
      <c r="FF208" s="1439"/>
      <c r="FG208" s="1422">
        <v>9206</v>
      </c>
      <c r="FH208" s="1439"/>
      <c r="FI208" s="1420">
        <v>169.76</v>
      </c>
      <c r="FJ208" s="1439"/>
      <c r="FK208" s="1422">
        <v>47683</v>
      </c>
      <c r="FL208" s="1439"/>
      <c r="FM208" s="1420">
        <v>196.16</v>
      </c>
      <c r="FN208" s="1439"/>
      <c r="FO208" s="1422">
        <v>49906</v>
      </c>
      <c r="FP208" s="1439"/>
      <c r="FQ208" s="1420">
        <v>7647978.0999999996</v>
      </c>
      <c r="FR208" s="1439"/>
      <c r="FS208" s="1420">
        <v>932830.2</v>
      </c>
      <c r="FT208" s="1439"/>
      <c r="FU208" s="1422">
        <v>0</v>
      </c>
      <c r="FV208" s="1439"/>
      <c r="FW208" s="1420">
        <v>6715147.9000000004</v>
      </c>
      <c r="FX208" s="1439"/>
      <c r="FY208" s="1420">
        <v>1591723.19</v>
      </c>
      <c r="FZ208" s="1439"/>
      <c r="GA208" s="1422">
        <v>0</v>
      </c>
      <c r="GB208" s="1439"/>
    </row>
    <row r="209" spans="1:184" ht="12.75" customHeight="1" thickBot="1">
      <c r="A209" s="1418" t="s">
        <v>293</v>
      </c>
      <c r="B209" s="1418" t="s">
        <v>294</v>
      </c>
      <c r="C209" s="1420">
        <v>153.43</v>
      </c>
      <c r="D209" s="1439"/>
      <c r="E209" s="1420">
        <v>798.98</v>
      </c>
      <c r="F209" s="1439"/>
      <c r="G209" s="1421">
        <v>0.04</v>
      </c>
      <c r="H209" s="1439"/>
      <c r="I209" s="1420">
        <v>855.35</v>
      </c>
      <c r="J209" s="1439"/>
      <c r="K209" s="1420">
        <v>826.8</v>
      </c>
      <c r="L209" s="1439"/>
      <c r="M209" s="1422">
        <v>27679478</v>
      </c>
      <c r="N209" s="1439"/>
      <c r="O209" s="1422">
        <v>25</v>
      </c>
      <c r="P209" s="1439"/>
      <c r="Q209" s="1422">
        <v>25</v>
      </c>
      <c r="R209" s="1439"/>
      <c r="S209" s="1422">
        <v>0</v>
      </c>
      <c r="T209" s="1439"/>
      <c r="U209" s="1422">
        <v>0</v>
      </c>
      <c r="V209" s="1439"/>
      <c r="W209" s="1422">
        <v>19</v>
      </c>
      <c r="X209" s="1439"/>
      <c r="Y209" s="1422">
        <v>44</v>
      </c>
      <c r="Z209" s="1439"/>
      <c r="AA209" s="1422">
        <v>6796316</v>
      </c>
      <c r="AB209" s="1439"/>
      <c r="AC209" s="1420">
        <v>1141764.0900000001</v>
      </c>
      <c r="AD209" s="1422">
        <v>1236322</v>
      </c>
      <c r="AE209" s="1420">
        <v>369597.73</v>
      </c>
      <c r="AF209" s="1422">
        <v>132600</v>
      </c>
      <c r="AG209" s="1420">
        <v>144.4</v>
      </c>
      <c r="AH209" s="1422">
        <v>0</v>
      </c>
      <c r="AI209" s="1422">
        <v>4304431</v>
      </c>
      <c r="AJ209" s="1422">
        <v>4604035</v>
      </c>
      <c r="AK209" s="1422">
        <v>890</v>
      </c>
      <c r="AL209" s="1422">
        <v>0</v>
      </c>
      <c r="AM209" s="1422">
        <v>176865</v>
      </c>
      <c r="AN209" s="1422">
        <v>0</v>
      </c>
      <c r="AO209" s="1422">
        <v>0</v>
      </c>
      <c r="AP209" s="1422">
        <v>0</v>
      </c>
      <c r="AQ209" s="1422">
        <v>0</v>
      </c>
      <c r="AR209" s="1422">
        <v>0</v>
      </c>
      <c r="AS209" s="1422">
        <v>0</v>
      </c>
      <c r="AT209" s="1422">
        <v>0</v>
      </c>
      <c r="AU209" s="1422">
        <v>45758</v>
      </c>
      <c r="AV209" s="1422">
        <v>36607</v>
      </c>
      <c r="AW209" s="1422">
        <v>0</v>
      </c>
      <c r="AX209" s="1422">
        <v>0</v>
      </c>
      <c r="AY209" s="1420">
        <v>6039450.2199999997</v>
      </c>
      <c r="AZ209" s="1422">
        <v>6009564</v>
      </c>
      <c r="BA209" s="1422">
        <v>0</v>
      </c>
      <c r="BB209" s="1422">
        <v>0</v>
      </c>
      <c r="BC209" s="1422">
        <v>34196</v>
      </c>
      <c r="BD209" s="1422">
        <v>36443</v>
      </c>
      <c r="BE209" s="1420">
        <v>6298.54</v>
      </c>
      <c r="BF209" s="1422">
        <v>11200</v>
      </c>
      <c r="BG209" s="1422">
        <v>50</v>
      </c>
      <c r="BH209" s="1422">
        <v>0</v>
      </c>
      <c r="BI209" s="1422">
        <v>0</v>
      </c>
      <c r="BJ209" s="1422">
        <v>57035</v>
      </c>
      <c r="BK209" s="1422">
        <v>20217</v>
      </c>
      <c r="BL209" s="1422">
        <v>0</v>
      </c>
      <c r="BM209" s="1422">
        <v>253456</v>
      </c>
      <c r="BN209" s="1420">
        <v>308766.07</v>
      </c>
      <c r="BO209" s="1420">
        <v>4497.09</v>
      </c>
      <c r="BP209" s="1422">
        <v>0</v>
      </c>
      <c r="BQ209" s="1420">
        <v>44958.559999999998</v>
      </c>
      <c r="BR209" s="1422">
        <v>35000</v>
      </c>
      <c r="BS209" s="1422">
        <v>0</v>
      </c>
      <c r="BT209" s="1422">
        <v>0</v>
      </c>
      <c r="BU209" s="1422">
        <v>0</v>
      </c>
      <c r="BV209" s="1422">
        <v>0</v>
      </c>
      <c r="BW209" s="1422">
        <v>0</v>
      </c>
      <c r="BX209" s="1422">
        <v>0</v>
      </c>
      <c r="BY209" s="1422">
        <v>0</v>
      </c>
      <c r="BZ209" s="1422">
        <v>0</v>
      </c>
      <c r="CA209" s="1420">
        <v>2310817.0699999998</v>
      </c>
      <c r="CB209" s="1420">
        <v>6979464.9199999999</v>
      </c>
      <c r="CC209" s="1420">
        <v>2674490.2599999998</v>
      </c>
      <c r="CD209" s="1420">
        <v>7427908.9900000002</v>
      </c>
      <c r="CE209" s="1420">
        <v>1359391.24</v>
      </c>
      <c r="CF209" s="1420">
        <v>1418701.97</v>
      </c>
      <c r="CG209" s="1420">
        <v>4922555.5</v>
      </c>
      <c r="CH209" s="1422">
        <v>0</v>
      </c>
      <c r="CI209" s="1422">
        <v>0</v>
      </c>
      <c r="CJ209" s="1422">
        <v>0</v>
      </c>
      <c r="CK209" s="1422">
        <v>0</v>
      </c>
      <c r="CL209" s="1422">
        <v>0</v>
      </c>
      <c r="CM209" s="1422">
        <v>0</v>
      </c>
      <c r="CN209" s="1422">
        <v>0</v>
      </c>
      <c r="CO209" s="1422">
        <v>0</v>
      </c>
      <c r="CP209" s="1422">
        <v>0</v>
      </c>
      <c r="CQ209" s="1422">
        <v>0</v>
      </c>
      <c r="CR209" s="1422">
        <v>0</v>
      </c>
      <c r="CS209" s="1420">
        <v>4922555.5</v>
      </c>
      <c r="CT209" s="1422">
        <v>0</v>
      </c>
      <c r="CU209" s="1420">
        <v>14995887.220000001</v>
      </c>
      <c r="CV209" s="1420">
        <v>14856174.960000001</v>
      </c>
      <c r="CW209" s="1420">
        <v>3298999.11</v>
      </c>
      <c r="CX209" s="1420">
        <v>3221256.45</v>
      </c>
      <c r="CY209" s="1420">
        <v>320179.34999999998</v>
      </c>
      <c r="CZ209" s="1420">
        <v>292690.92</v>
      </c>
      <c r="DA209" s="1420">
        <v>186214.26</v>
      </c>
      <c r="DB209" s="1420">
        <v>235064.65</v>
      </c>
      <c r="DC209" s="1422">
        <v>0</v>
      </c>
      <c r="DD209" s="1422">
        <v>0</v>
      </c>
      <c r="DE209" s="1420">
        <v>120473.85</v>
      </c>
      <c r="DF209" s="1420">
        <v>147829.94</v>
      </c>
      <c r="DG209" s="1420">
        <v>170732.58</v>
      </c>
      <c r="DH209" s="1420">
        <v>208312.26</v>
      </c>
      <c r="DI209" s="1420">
        <v>4096599.15</v>
      </c>
      <c r="DJ209" s="1420">
        <v>4105154.22</v>
      </c>
      <c r="DK209" s="1420">
        <v>251264.84</v>
      </c>
      <c r="DL209" s="1420">
        <v>230467.83</v>
      </c>
      <c r="DM209" s="1420">
        <v>85822.65</v>
      </c>
      <c r="DN209" s="1420">
        <v>96711.52</v>
      </c>
      <c r="DO209" s="1420">
        <v>719499.53</v>
      </c>
      <c r="DP209" s="1420">
        <v>584014.84</v>
      </c>
      <c r="DQ209" s="1420">
        <v>265274.34000000003</v>
      </c>
      <c r="DR209" s="1420">
        <v>484198.15</v>
      </c>
      <c r="DS209" s="1420">
        <v>59.4</v>
      </c>
      <c r="DT209" s="1422">
        <v>6000</v>
      </c>
      <c r="DU209" s="1420">
        <v>1321920.76</v>
      </c>
      <c r="DV209" s="1420">
        <v>1401392.34</v>
      </c>
      <c r="DW209" s="1420">
        <v>371017.17</v>
      </c>
      <c r="DX209" s="1420">
        <v>365131.98</v>
      </c>
      <c r="DY209" s="1420">
        <v>664615.64</v>
      </c>
      <c r="DZ209" s="1420">
        <v>783386.15</v>
      </c>
      <c r="EA209" s="1420">
        <v>232195.91</v>
      </c>
      <c r="EB209" s="1420">
        <v>319207.38</v>
      </c>
      <c r="EC209" s="1420">
        <v>1267828.72</v>
      </c>
      <c r="ED209" s="1420">
        <v>1467725.51</v>
      </c>
      <c r="EE209" s="1420">
        <v>389340.52</v>
      </c>
      <c r="EF209" s="1420">
        <v>359327.05</v>
      </c>
      <c r="EG209" s="1422">
        <v>0</v>
      </c>
      <c r="EH209" s="1422">
        <v>0</v>
      </c>
      <c r="EI209" s="1422">
        <v>0</v>
      </c>
      <c r="EJ209" s="1422">
        <v>1000</v>
      </c>
      <c r="EK209" s="1422">
        <v>0</v>
      </c>
      <c r="EL209" s="1422">
        <v>0</v>
      </c>
      <c r="EM209" s="1420">
        <v>389340.52</v>
      </c>
      <c r="EN209" s="1420">
        <v>360327.05</v>
      </c>
      <c r="EO209" s="1420">
        <v>4082842.8</v>
      </c>
      <c r="EP209" s="1420">
        <v>8783391.0399999991</v>
      </c>
      <c r="EQ209" s="1420">
        <v>388711.02</v>
      </c>
      <c r="ER209" s="1422">
        <v>572295</v>
      </c>
      <c r="ES209" s="1422">
        <v>0</v>
      </c>
      <c r="ET209" s="1422">
        <v>0</v>
      </c>
      <c r="EU209" s="1420">
        <v>11547242.970000001</v>
      </c>
      <c r="EV209" s="1420">
        <v>16690285.16</v>
      </c>
      <c r="EW209" s="1420">
        <v>4162842.37</v>
      </c>
      <c r="EX209" s="1420">
        <v>9107436.1699999999</v>
      </c>
      <c r="EY209" s="1420">
        <v>388711.02</v>
      </c>
      <c r="EZ209" s="1422">
        <v>572295</v>
      </c>
      <c r="FA209" s="1420">
        <v>6995689.5800000001</v>
      </c>
      <c r="FB209" s="1420">
        <v>7010553.9900000002</v>
      </c>
      <c r="FC209" s="1420">
        <v>275540.59000000003</v>
      </c>
      <c r="FD209" s="1439"/>
      <c r="FE209" s="1420">
        <v>6720148.9900000002</v>
      </c>
      <c r="FF209" s="1439"/>
      <c r="FG209" s="1422">
        <v>8410</v>
      </c>
      <c r="FH209" s="1439"/>
      <c r="FI209" s="1420">
        <v>68.97</v>
      </c>
      <c r="FJ209" s="1439"/>
      <c r="FK209" s="1422">
        <v>41048</v>
      </c>
      <c r="FL209" s="1439"/>
      <c r="FM209" s="1420">
        <v>74.349999999999994</v>
      </c>
      <c r="FN209" s="1439"/>
      <c r="FO209" s="1422">
        <v>42365</v>
      </c>
      <c r="FP209" s="1439"/>
      <c r="FQ209" s="1420">
        <v>1669905.86</v>
      </c>
      <c r="FR209" s="1439"/>
      <c r="FS209" s="1420">
        <v>19269.34</v>
      </c>
      <c r="FT209" s="1439"/>
      <c r="FU209" s="1422">
        <v>0</v>
      </c>
      <c r="FV209" s="1439"/>
      <c r="FW209" s="1420">
        <v>1650636.52</v>
      </c>
      <c r="FX209" s="1439"/>
      <c r="FY209" s="1420">
        <v>3324271.74</v>
      </c>
      <c r="FZ209" s="1439"/>
      <c r="GA209" s="1422">
        <v>0</v>
      </c>
      <c r="GB209" s="1439"/>
    </row>
    <row r="210" spans="1:184" ht="12.75" customHeight="1" thickBot="1">
      <c r="A210" s="1418" t="s">
        <v>295</v>
      </c>
      <c r="B210" s="1418" t="s">
        <v>296</v>
      </c>
      <c r="C210" s="1420">
        <v>285.01</v>
      </c>
      <c r="D210" s="1439"/>
      <c r="E210" s="1420">
        <v>1256.27</v>
      </c>
      <c r="F210" s="1439"/>
      <c r="G210" s="1421">
        <v>0.02</v>
      </c>
      <c r="H210" s="1439"/>
      <c r="I210" s="1420">
        <v>1339.23</v>
      </c>
      <c r="J210" s="1439"/>
      <c r="K210" s="1420">
        <v>1342.4</v>
      </c>
      <c r="L210" s="1439"/>
      <c r="M210" s="1422">
        <v>60211458</v>
      </c>
      <c r="N210" s="1439"/>
      <c r="O210" s="1422">
        <v>25</v>
      </c>
      <c r="P210" s="1439"/>
      <c r="Q210" s="1422">
        <v>25</v>
      </c>
      <c r="R210" s="1439"/>
      <c r="S210" s="1422">
        <v>0</v>
      </c>
      <c r="T210" s="1439"/>
      <c r="U210" s="1422">
        <v>0</v>
      </c>
      <c r="V210" s="1439"/>
      <c r="W210" s="1422">
        <v>14</v>
      </c>
      <c r="X210" s="1439"/>
      <c r="Y210" s="1422">
        <v>39</v>
      </c>
      <c r="Z210" s="1439"/>
      <c r="AA210" s="1420">
        <v>8363349.9699999997</v>
      </c>
      <c r="AB210" s="1439"/>
      <c r="AC210" s="1420">
        <v>2283145.73</v>
      </c>
      <c r="AD210" s="1422">
        <v>2087000</v>
      </c>
      <c r="AE210" s="1420">
        <v>658462.68000000005</v>
      </c>
      <c r="AF210" s="1422">
        <v>276650</v>
      </c>
      <c r="AG210" s="1422">
        <v>0</v>
      </c>
      <c r="AH210" s="1422">
        <v>0</v>
      </c>
      <c r="AI210" s="1422">
        <v>6649120</v>
      </c>
      <c r="AJ210" s="1422">
        <v>6813382</v>
      </c>
      <c r="AK210" s="1422">
        <v>71269</v>
      </c>
      <c r="AL210" s="1422">
        <v>0</v>
      </c>
      <c r="AM210" s="1422">
        <v>35310</v>
      </c>
      <c r="AN210" s="1422">
        <v>0</v>
      </c>
      <c r="AO210" s="1422">
        <v>0</v>
      </c>
      <c r="AP210" s="1422">
        <v>0</v>
      </c>
      <c r="AQ210" s="1422">
        <v>0</v>
      </c>
      <c r="AR210" s="1422">
        <v>0</v>
      </c>
      <c r="AS210" s="1422">
        <v>11944</v>
      </c>
      <c r="AT210" s="1422">
        <v>10000</v>
      </c>
      <c r="AU210" s="1422">
        <v>37115</v>
      </c>
      <c r="AV210" s="1422">
        <v>29692</v>
      </c>
      <c r="AW210" s="1422">
        <v>0</v>
      </c>
      <c r="AX210" s="1422">
        <v>0</v>
      </c>
      <c r="AY210" s="1420">
        <v>9746366.4100000001</v>
      </c>
      <c r="AZ210" s="1422">
        <v>9216724</v>
      </c>
      <c r="BA210" s="1422">
        <v>0</v>
      </c>
      <c r="BB210" s="1422">
        <v>0</v>
      </c>
      <c r="BC210" s="1422">
        <v>55522</v>
      </c>
      <c r="BD210" s="1422">
        <v>57173</v>
      </c>
      <c r="BE210" s="1422">
        <v>2600</v>
      </c>
      <c r="BF210" s="1422">
        <v>3600</v>
      </c>
      <c r="BG210" s="1422">
        <v>150</v>
      </c>
      <c r="BH210" s="1422">
        <v>0</v>
      </c>
      <c r="BI210" s="1422">
        <v>36851</v>
      </c>
      <c r="BJ210" s="1422">
        <v>63170</v>
      </c>
      <c r="BK210" s="1422">
        <v>879</v>
      </c>
      <c r="BL210" s="1422">
        <v>0</v>
      </c>
      <c r="BM210" s="1422">
        <v>459296</v>
      </c>
      <c r="BN210" s="1422">
        <v>470580</v>
      </c>
      <c r="BO210" s="1420">
        <v>78206.649999999994</v>
      </c>
      <c r="BP210" s="1422">
        <v>0</v>
      </c>
      <c r="BQ210" s="1420">
        <v>18091.740000000002</v>
      </c>
      <c r="BR210" s="1422">
        <v>0</v>
      </c>
      <c r="BS210" s="1420">
        <v>5305.84</v>
      </c>
      <c r="BT210" s="1422">
        <v>5000</v>
      </c>
      <c r="BU210" s="1422">
        <v>0</v>
      </c>
      <c r="BV210" s="1422">
        <v>0</v>
      </c>
      <c r="BW210" s="1422">
        <v>291600</v>
      </c>
      <c r="BX210" s="1422">
        <v>291600</v>
      </c>
      <c r="BY210" s="1422">
        <v>0</v>
      </c>
      <c r="BZ210" s="1422">
        <v>0</v>
      </c>
      <c r="CA210" s="1422">
        <v>179718</v>
      </c>
      <c r="CB210" s="1422">
        <v>366925</v>
      </c>
      <c r="CC210" s="1420">
        <v>1128220.23</v>
      </c>
      <c r="CD210" s="1422">
        <v>1258048</v>
      </c>
      <c r="CE210" s="1420">
        <v>1893838.79</v>
      </c>
      <c r="CF210" s="1420">
        <v>1697719.51</v>
      </c>
      <c r="CG210" s="1420">
        <v>683500.03</v>
      </c>
      <c r="CH210" s="1422">
        <v>0</v>
      </c>
      <c r="CI210" s="1422">
        <v>0</v>
      </c>
      <c r="CJ210" s="1422">
        <v>0</v>
      </c>
      <c r="CK210" s="1422">
        <v>0</v>
      </c>
      <c r="CL210" s="1422">
        <v>0</v>
      </c>
      <c r="CM210" s="1420">
        <v>7465.95</v>
      </c>
      <c r="CN210" s="1422">
        <v>0</v>
      </c>
      <c r="CO210" s="1420">
        <v>13670.88</v>
      </c>
      <c r="CP210" s="1422">
        <v>0</v>
      </c>
      <c r="CQ210" s="1422">
        <v>0</v>
      </c>
      <c r="CR210" s="1422">
        <v>0</v>
      </c>
      <c r="CS210" s="1420">
        <v>704636.86</v>
      </c>
      <c r="CT210" s="1422">
        <v>0</v>
      </c>
      <c r="CU210" s="1420">
        <v>13473062.289999999</v>
      </c>
      <c r="CV210" s="1420">
        <v>12172491.51</v>
      </c>
      <c r="CW210" s="1420">
        <v>4851399.6399999997</v>
      </c>
      <c r="CX210" s="1420">
        <v>4613861.46</v>
      </c>
      <c r="CY210" s="1420">
        <v>964443.57</v>
      </c>
      <c r="CZ210" s="1420">
        <v>949844.33</v>
      </c>
      <c r="DA210" s="1420">
        <v>482308.2</v>
      </c>
      <c r="DB210" s="1420">
        <v>435599.58</v>
      </c>
      <c r="DC210" s="1422">
        <v>0</v>
      </c>
      <c r="DD210" s="1422">
        <v>0</v>
      </c>
      <c r="DE210" s="1420">
        <v>421220.36</v>
      </c>
      <c r="DF210" s="1420">
        <v>431983.48</v>
      </c>
      <c r="DG210" s="1420">
        <v>177479.42</v>
      </c>
      <c r="DH210" s="1420">
        <v>176374.41</v>
      </c>
      <c r="DI210" s="1420">
        <v>6896851.1900000004</v>
      </c>
      <c r="DJ210" s="1420">
        <v>6607663.2599999998</v>
      </c>
      <c r="DK210" s="1420">
        <v>302911.61</v>
      </c>
      <c r="DL210" s="1420">
        <v>222077.81</v>
      </c>
      <c r="DM210" s="1420">
        <v>179912.78</v>
      </c>
      <c r="DN210" s="1420">
        <v>181869.94</v>
      </c>
      <c r="DO210" s="1420">
        <v>1092996.05</v>
      </c>
      <c r="DP210" s="1420">
        <v>1134363.24</v>
      </c>
      <c r="DQ210" s="1420">
        <v>629591.26</v>
      </c>
      <c r="DR210" s="1420">
        <v>621995.38</v>
      </c>
      <c r="DS210" s="1420">
        <v>36602.03</v>
      </c>
      <c r="DT210" s="1422">
        <v>20000</v>
      </c>
      <c r="DU210" s="1420">
        <v>2242013.73</v>
      </c>
      <c r="DV210" s="1420">
        <v>2180306.37</v>
      </c>
      <c r="DW210" s="1420">
        <v>394048.16</v>
      </c>
      <c r="DX210" s="1420">
        <v>391780.18</v>
      </c>
      <c r="DY210" s="1420">
        <v>554004.22</v>
      </c>
      <c r="DZ210" s="1420">
        <v>654260.09</v>
      </c>
      <c r="EA210" s="1420">
        <v>552808.93000000005</v>
      </c>
      <c r="EB210" s="1420">
        <v>536101.32999999996</v>
      </c>
      <c r="EC210" s="1420">
        <v>1500861.31</v>
      </c>
      <c r="ED210" s="1420">
        <v>1582141.6</v>
      </c>
      <c r="EE210" s="1420">
        <v>918359.65</v>
      </c>
      <c r="EF210" s="1420">
        <v>937435.93</v>
      </c>
      <c r="EG210" s="1420">
        <v>26702.99</v>
      </c>
      <c r="EH210" s="1422">
        <v>0</v>
      </c>
      <c r="EI210" s="1420">
        <v>52162.5</v>
      </c>
      <c r="EJ210" s="1420">
        <v>58542.76</v>
      </c>
      <c r="EK210" s="1422">
        <v>0</v>
      </c>
      <c r="EL210" s="1422">
        <v>0</v>
      </c>
      <c r="EM210" s="1420">
        <v>997225.14</v>
      </c>
      <c r="EN210" s="1420">
        <v>995978.69</v>
      </c>
      <c r="EO210" s="1420">
        <v>1181433.6000000001</v>
      </c>
      <c r="EP210" s="1422">
        <v>404950</v>
      </c>
      <c r="EQ210" s="1420">
        <v>516054.11</v>
      </c>
      <c r="ER210" s="1420">
        <v>714874.08</v>
      </c>
      <c r="ES210" s="1422">
        <v>457</v>
      </c>
      <c r="ET210" s="1422">
        <v>0</v>
      </c>
      <c r="EU210" s="1420">
        <v>13334896.08</v>
      </c>
      <c r="EV210" s="1422">
        <v>12485914</v>
      </c>
      <c r="EW210" s="1420">
        <v>1597132.66</v>
      </c>
      <c r="EX210" s="1420">
        <v>669523.04</v>
      </c>
      <c r="EY210" s="1420">
        <v>516054.11</v>
      </c>
      <c r="EZ210" s="1420">
        <v>714874.08</v>
      </c>
      <c r="FA210" s="1420">
        <v>11221709.310000001</v>
      </c>
      <c r="FB210" s="1420">
        <v>11101516.880000001</v>
      </c>
      <c r="FC210" s="1420">
        <v>913860.4</v>
      </c>
      <c r="FD210" s="1439"/>
      <c r="FE210" s="1420">
        <v>10307848.91</v>
      </c>
      <c r="FF210" s="1439"/>
      <c r="FG210" s="1422">
        <v>8205</v>
      </c>
      <c r="FH210" s="1439"/>
      <c r="FI210" s="1420">
        <v>98.58</v>
      </c>
      <c r="FJ210" s="1439"/>
      <c r="FK210" s="1422">
        <v>40199</v>
      </c>
      <c r="FL210" s="1439"/>
      <c r="FM210" s="1420">
        <v>107.72</v>
      </c>
      <c r="FN210" s="1439"/>
      <c r="FO210" s="1422">
        <v>42391</v>
      </c>
      <c r="FP210" s="1439"/>
      <c r="FQ210" s="1420">
        <v>2024255.99</v>
      </c>
      <c r="FR210" s="1439"/>
      <c r="FS210" s="1420">
        <v>83356.5</v>
      </c>
      <c r="FT210" s="1439"/>
      <c r="FU210" s="1422">
        <v>0</v>
      </c>
      <c r="FV210" s="1439"/>
      <c r="FW210" s="1420">
        <v>1940899.49</v>
      </c>
      <c r="FX210" s="1439"/>
      <c r="FY210" s="1420">
        <v>513805.85</v>
      </c>
      <c r="FZ210" s="1439"/>
      <c r="GA210" s="1422">
        <v>153500</v>
      </c>
      <c r="GB210" s="1439"/>
    </row>
    <row r="211" spans="1:184" ht="12.75" customHeight="1" thickBot="1">
      <c r="A211" s="1418" t="s">
        <v>297</v>
      </c>
      <c r="B211" s="1418" t="s">
        <v>298</v>
      </c>
      <c r="C211" s="1420">
        <v>325.64999999999998</v>
      </c>
      <c r="D211" s="1439"/>
      <c r="E211" s="1420">
        <v>1503.26</v>
      </c>
      <c r="F211" s="1439"/>
      <c r="G211" s="1421">
        <v>0.02</v>
      </c>
      <c r="H211" s="1439"/>
      <c r="I211" s="1420">
        <v>1592.39</v>
      </c>
      <c r="J211" s="1439"/>
      <c r="K211" s="1420">
        <v>1557.75</v>
      </c>
      <c r="L211" s="1439"/>
      <c r="M211" s="1422">
        <v>149377231</v>
      </c>
      <c r="N211" s="1439"/>
      <c r="O211" s="1422">
        <v>25</v>
      </c>
      <c r="P211" s="1439"/>
      <c r="Q211" s="1422">
        <v>25</v>
      </c>
      <c r="R211" s="1439"/>
      <c r="S211" s="1422">
        <v>0</v>
      </c>
      <c r="T211" s="1439"/>
      <c r="U211" s="1422">
        <v>0</v>
      </c>
      <c r="V211" s="1439"/>
      <c r="W211" s="1422">
        <v>5</v>
      </c>
      <c r="X211" s="1439"/>
      <c r="Y211" s="1422">
        <v>30</v>
      </c>
      <c r="Z211" s="1439"/>
      <c r="AA211" s="1422">
        <v>4990000</v>
      </c>
      <c r="AB211" s="1439"/>
      <c r="AC211" s="1420">
        <v>3928866.92</v>
      </c>
      <c r="AD211" s="1420">
        <v>3836754.9</v>
      </c>
      <c r="AE211" s="1420">
        <v>712594.89</v>
      </c>
      <c r="AF211" s="1422">
        <v>346000</v>
      </c>
      <c r="AG211" s="1422">
        <v>0</v>
      </c>
      <c r="AH211" s="1422">
        <v>0</v>
      </c>
      <c r="AI211" s="1422">
        <v>6257137</v>
      </c>
      <c r="AJ211" s="1422">
        <v>6177785</v>
      </c>
      <c r="AK211" s="1422">
        <v>200215</v>
      </c>
      <c r="AL211" s="1422">
        <v>0</v>
      </c>
      <c r="AM211" s="1422">
        <v>0</v>
      </c>
      <c r="AN211" s="1422">
        <v>0</v>
      </c>
      <c r="AO211" s="1422">
        <v>50593</v>
      </c>
      <c r="AP211" s="1422">
        <v>0</v>
      </c>
      <c r="AQ211" s="1422">
        <v>225863</v>
      </c>
      <c r="AR211" s="1422">
        <v>112931</v>
      </c>
      <c r="AS211" s="1422">
        <v>18533</v>
      </c>
      <c r="AT211" s="1422">
        <v>0</v>
      </c>
      <c r="AU211" s="1422">
        <v>0</v>
      </c>
      <c r="AV211" s="1422">
        <v>0</v>
      </c>
      <c r="AW211" s="1422">
        <v>0</v>
      </c>
      <c r="AX211" s="1422">
        <v>0</v>
      </c>
      <c r="AY211" s="1420">
        <v>11393802.810000001</v>
      </c>
      <c r="AZ211" s="1420">
        <v>10473470.9</v>
      </c>
      <c r="BA211" s="1422">
        <v>0</v>
      </c>
      <c r="BB211" s="1422">
        <v>0</v>
      </c>
      <c r="BC211" s="1422">
        <v>66095</v>
      </c>
      <c r="BD211" s="1420">
        <v>99598.83</v>
      </c>
      <c r="BE211" s="1420">
        <v>35326.629999999997</v>
      </c>
      <c r="BF211" s="1422">
        <v>0</v>
      </c>
      <c r="BG211" s="1422">
        <v>2918</v>
      </c>
      <c r="BH211" s="1422">
        <v>0</v>
      </c>
      <c r="BI211" s="1422">
        <v>59218</v>
      </c>
      <c r="BJ211" s="1422">
        <v>91091</v>
      </c>
      <c r="BK211" s="1422">
        <v>0</v>
      </c>
      <c r="BL211" s="1422">
        <v>0</v>
      </c>
      <c r="BM211" s="1422">
        <v>504990</v>
      </c>
      <c r="BN211" s="1420">
        <v>647309.01</v>
      </c>
      <c r="BO211" s="1420">
        <v>14297.59</v>
      </c>
      <c r="BP211" s="1422">
        <v>0</v>
      </c>
      <c r="BQ211" s="1422">
        <v>8000</v>
      </c>
      <c r="BR211" s="1422">
        <v>0</v>
      </c>
      <c r="BS211" s="1420">
        <v>6344.53</v>
      </c>
      <c r="BT211" s="1422">
        <v>0</v>
      </c>
      <c r="BU211" s="1422">
        <v>0</v>
      </c>
      <c r="BV211" s="1422">
        <v>0</v>
      </c>
      <c r="BW211" s="1422">
        <v>0</v>
      </c>
      <c r="BX211" s="1422">
        <v>0</v>
      </c>
      <c r="BY211" s="1422">
        <v>0</v>
      </c>
      <c r="BZ211" s="1422">
        <v>0</v>
      </c>
      <c r="CA211" s="1420">
        <v>44989.03</v>
      </c>
      <c r="CB211" s="1422">
        <v>31742</v>
      </c>
      <c r="CC211" s="1420">
        <v>742178.78</v>
      </c>
      <c r="CD211" s="1420">
        <v>869740.84</v>
      </c>
      <c r="CE211" s="1420">
        <v>3446107.52</v>
      </c>
      <c r="CF211" s="1420">
        <v>3296893.19</v>
      </c>
      <c r="CG211" s="1422">
        <v>906500</v>
      </c>
      <c r="CH211" s="1422">
        <v>0</v>
      </c>
      <c r="CI211" s="1422">
        <v>0</v>
      </c>
      <c r="CJ211" s="1420">
        <v>204052.05</v>
      </c>
      <c r="CK211" s="1422">
        <v>8500</v>
      </c>
      <c r="CL211" s="1422">
        <v>0</v>
      </c>
      <c r="CM211" s="1422">
        <v>530</v>
      </c>
      <c r="CN211" s="1422">
        <v>0</v>
      </c>
      <c r="CO211" s="1422">
        <v>0</v>
      </c>
      <c r="CP211" s="1422">
        <v>0</v>
      </c>
      <c r="CQ211" s="1422">
        <v>0</v>
      </c>
      <c r="CR211" s="1422">
        <v>0</v>
      </c>
      <c r="CS211" s="1422">
        <v>915530</v>
      </c>
      <c r="CT211" s="1420">
        <v>204052.05</v>
      </c>
      <c r="CU211" s="1420">
        <v>16497619.109999999</v>
      </c>
      <c r="CV211" s="1420">
        <v>14844156.98</v>
      </c>
      <c r="CW211" s="1420">
        <v>5183005.5199999996</v>
      </c>
      <c r="CX211" s="1420">
        <v>5322270.32</v>
      </c>
      <c r="CY211" s="1420">
        <v>769216.63</v>
      </c>
      <c r="CZ211" s="1420">
        <v>821126.4</v>
      </c>
      <c r="DA211" s="1420">
        <v>387712.49</v>
      </c>
      <c r="DB211" s="1420">
        <v>365304.6</v>
      </c>
      <c r="DC211" s="1422">
        <v>0</v>
      </c>
      <c r="DD211" s="1422">
        <v>0</v>
      </c>
      <c r="DE211" s="1420">
        <v>689230.52</v>
      </c>
      <c r="DF211" s="1420">
        <v>554718.89</v>
      </c>
      <c r="DG211" s="1420">
        <v>418168.2</v>
      </c>
      <c r="DH211" s="1420">
        <v>297457.86</v>
      </c>
      <c r="DI211" s="1420">
        <v>7447333.3600000003</v>
      </c>
      <c r="DJ211" s="1420">
        <v>7360878.0700000003</v>
      </c>
      <c r="DK211" s="1420">
        <v>279941.94</v>
      </c>
      <c r="DL211" s="1420">
        <v>285649.11</v>
      </c>
      <c r="DM211" s="1420">
        <v>126750.5</v>
      </c>
      <c r="DN211" s="1420">
        <v>138710.91</v>
      </c>
      <c r="DO211" s="1420">
        <v>1425872.17</v>
      </c>
      <c r="DP211" s="1420">
        <v>1320783.98</v>
      </c>
      <c r="DQ211" s="1420">
        <v>1031022.76</v>
      </c>
      <c r="DR211" s="1420">
        <v>878990.42</v>
      </c>
      <c r="DS211" s="1420">
        <v>36774.33</v>
      </c>
      <c r="DT211" s="1422">
        <v>25000</v>
      </c>
      <c r="DU211" s="1420">
        <v>2900361.7</v>
      </c>
      <c r="DV211" s="1420">
        <v>2649134.42</v>
      </c>
      <c r="DW211" s="1420">
        <v>450730.89</v>
      </c>
      <c r="DX211" s="1420">
        <v>506244.45</v>
      </c>
      <c r="DY211" s="1420">
        <v>1257207.43</v>
      </c>
      <c r="DZ211" s="1420">
        <v>1535226.36</v>
      </c>
      <c r="EA211" s="1420">
        <v>593452.96</v>
      </c>
      <c r="EB211" s="1420">
        <v>488721.76</v>
      </c>
      <c r="EC211" s="1420">
        <v>2301391.2799999998</v>
      </c>
      <c r="ED211" s="1420">
        <v>2530192.5699999998</v>
      </c>
      <c r="EE211" s="1420">
        <v>830235.39</v>
      </c>
      <c r="EF211" s="1422">
        <v>763500</v>
      </c>
      <c r="EG211" s="1422">
        <v>0</v>
      </c>
      <c r="EH211" s="1422">
        <v>0</v>
      </c>
      <c r="EI211" s="1422">
        <v>0</v>
      </c>
      <c r="EJ211" s="1422">
        <v>4000</v>
      </c>
      <c r="EK211" s="1422">
        <v>0</v>
      </c>
      <c r="EL211" s="1422">
        <v>0</v>
      </c>
      <c r="EM211" s="1420">
        <v>830235.39</v>
      </c>
      <c r="EN211" s="1422">
        <v>767500</v>
      </c>
      <c r="EO211" s="1420">
        <v>832563.27</v>
      </c>
      <c r="EP211" s="1420">
        <v>1888992.23</v>
      </c>
      <c r="EQ211" s="1420">
        <v>438196.5</v>
      </c>
      <c r="ER211" s="1420">
        <v>576007.74</v>
      </c>
      <c r="ES211" s="1420">
        <v>8622.67</v>
      </c>
      <c r="ET211" s="1422">
        <v>0</v>
      </c>
      <c r="EU211" s="1420">
        <v>14758704.17</v>
      </c>
      <c r="EV211" s="1420">
        <v>15772705.029999999</v>
      </c>
      <c r="EW211" s="1420">
        <v>1280089.29</v>
      </c>
      <c r="EX211" s="1420">
        <v>2347433.23</v>
      </c>
      <c r="EY211" s="1420">
        <v>438196.5</v>
      </c>
      <c r="EZ211" s="1420">
        <v>576007.74</v>
      </c>
      <c r="FA211" s="1420">
        <v>13040418.380000001</v>
      </c>
      <c r="FB211" s="1420">
        <v>12849264.060000001</v>
      </c>
      <c r="FC211" s="1420">
        <v>567969.71</v>
      </c>
      <c r="FD211" s="1439"/>
      <c r="FE211" s="1420">
        <v>12472448.67</v>
      </c>
      <c r="FF211" s="1439"/>
      <c r="FG211" s="1422">
        <v>8296</v>
      </c>
      <c r="FH211" s="1439"/>
      <c r="FI211" s="1420">
        <v>109.13</v>
      </c>
      <c r="FJ211" s="1439"/>
      <c r="FK211" s="1422">
        <v>39850</v>
      </c>
      <c r="FL211" s="1439"/>
      <c r="FM211" s="1420">
        <v>117.92</v>
      </c>
      <c r="FN211" s="1439"/>
      <c r="FO211" s="1422">
        <v>41909</v>
      </c>
      <c r="FP211" s="1439"/>
      <c r="FQ211" s="1420">
        <v>4008796.84</v>
      </c>
      <c r="FR211" s="1439"/>
      <c r="FS211" s="1420">
        <v>172182.84</v>
      </c>
      <c r="FT211" s="1439"/>
      <c r="FU211" s="1422">
        <v>0</v>
      </c>
      <c r="FV211" s="1439"/>
      <c r="FW211" s="1422">
        <v>3836614</v>
      </c>
      <c r="FX211" s="1439"/>
      <c r="FY211" s="1420">
        <v>2146855.0499999998</v>
      </c>
      <c r="FZ211" s="1439"/>
      <c r="GA211" s="1422">
        <v>0</v>
      </c>
      <c r="GB211" s="1439"/>
    </row>
    <row r="212" spans="1:184" ht="12.75" customHeight="1" thickBot="1">
      <c r="A212" s="1418" t="s">
        <v>299</v>
      </c>
      <c r="B212" s="1418" t="s">
        <v>300</v>
      </c>
      <c r="C212" s="1420">
        <v>569.32000000000005</v>
      </c>
      <c r="D212" s="1439"/>
      <c r="E212" s="1420">
        <v>1616.66</v>
      </c>
      <c r="F212" s="1439"/>
      <c r="G212" s="1421">
        <v>0.02</v>
      </c>
      <c r="H212" s="1439"/>
      <c r="I212" s="1420">
        <v>1710.57</v>
      </c>
      <c r="J212" s="1439"/>
      <c r="K212" s="1420">
        <v>1684.9</v>
      </c>
      <c r="L212" s="1439"/>
      <c r="M212" s="1422">
        <v>133473816</v>
      </c>
      <c r="N212" s="1439"/>
      <c r="O212" s="1422">
        <v>25</v>
      </c>
      <c r="P212" s="1439"/>
      <c r="Q212" s="1422">
        <v>25</v>
      </c>
      <c r="R212" s="1439"/>
      <c r="S212" s="1422">
        <v>0</v>
      </c>
      <c r="T212" s="1439"/>
      <c r="U212" s="1422">
        <v>0</v>
      </c>
      <c r="V212" s="1439"/>
      <c r="W212" s="1420">
        <v>3.91</v>
      </c>
      <c r="X212" s="1439"/>
      <c r="Y212" s="1420">
        <v>28.91</v>
      </c>
      <c r="Z212" s="1439"/>
      <c r="AA212" s="1422">
        <v>2381316</v>
      </c>
      <c r="AB212" s="1439"/>
      <c r="AC212" s="1420">
        <v>3489702.24</v>
      </c>
      <c r="AD212" s="1422">
        <v>3250600</v>
      </c>
      <c r="AE212" s="1420">
        <v>704840.94</v>
      </c>
      <c r="AF212" s="1422">
        <v>236300</v>
      </c>
      <c r="AG212" s="1420">
        <v>782.86</v>
      </c>
      <c r="AH212" s="1422">
        <v>0</v>
      </c>
      <c r="AI212" s="1422">
        <v>6915718</v>
      </c>
      <c r="AJ212" s="1422">
        <v>7128193</v>
      </c>
      <c r="AK212" s="1422">
        <v>244900</v>
      </c>
      <c r="AL212" s="1422">
        <v>244000</v>
      </c>
      <c r="AM212" s="1422">
        <v>219853</v>
      </c>
      <c r="AN212" s="1422">
        <v>155890</v>
      </c>
      <c r="AO212" s="1422">
        <v>0</v>
      </c>
      <c r="AP212" s="1422">
        <v>0</v>
      </c>
      <c r="AQ212" s="1422">
        <v>0</v>
      </c>
      <c r="AR212" s="1422">
        <v>0</v>
      </c>
      <c r="AS212" s="1422">
        <v>461237</v>
      </c>
      <c r="AT212" s="1422">
        <v>461237</v>
      </c>
      <c r="AU212" s="1422">
        <v>0</v>
      </c>
      <c r="AV212" s="1422">
        <v>0</v>
      </c>
      <c r="AW212" s="1422">
        <v>0</v>
      </c>
      <c r="AX212" s="1422">
        <v>0</v>
      </c>
      <c r="AY212" s="1420">
        <v>12037034.039999999</v>
      </c>
      <c r="AZ212" s="1422">
        <v>11476220</v>
      </c>
      <c r="BA212" s="1422">
        <v>0</v>
      </c>
      <c r="BB212" s="1422">
        <v>0</v>
      </c>
      <c r="BC212" s="1422">
        <v>69687</v>
      </c>
      <c r="BD212" s="1422">
        <v>72552</v>
      </c>
      <c r="BE212" s="1420">
        <v>390647.86</v>
      </c>
      <c r="BF212" s="1422">
        <v>387856</v>
      </c>
      <c r="BG212" s="1422">
        <v>350</v>
      </c>
      <c r="BH212" s="1422">
        <v>0</v>
      </c>
      <c r="BI212" s="1422">
        <v>3860</v>
      </c>
      <c r="BJ212" s="1422">
        <v>1782</v>
      </c>
      <c r="BK212" s="1422">
        <v>2637</v>
      </c>
      <c r="BL212" s="1422">
        <v>2000</v>
      </c>
      <c r="BM212" s="1422">
        <v>513856</v>
      </c>
      <c r="BN212" s="1422">
        <v>524216</v>
      </c>
      <c r="BO212" s="1420">
        <v>80886.350000000006</v>
      </c>
      <c r="BP212" s="1422">
        <v>34160</v>
      </c>
      <c r="BQ212" s="1422">
        <v>0</v>
      </c>
      <c r="BR212" s="1422">
        <v>0</v>
      </c>
      <c r="BS212" s="1420">
        <v>5620.75</v>
      </c>
      <c r="BT212" s="1422">
        <v>5000</v>
      </c>
      <c r="BU212" s="1422">
        <v>0</v>
      </c>
      <c r="BV212" s="1422">
        <v>0</v>
      </c>
      <c r="BW212" s="1422">
        <v>257580</v>
      </c>
      <c r="BX212" s="1422">
        <v>256357</v>
      </c>
      <c r="BY212" s="1422">
        <v>0</v>
      </c>
      <c r="BZ212" s="1422">
        <v>0</v>
      </c>
      <c r="CA212" s="1422">
        <v>53279</v>
      </c>
      <c r="CB212" s="1422">
        <v>38521</v>
      </c>
      <c r="CC212" s="1420">
        <v>1378403.96</v>
      </c>
      <c r="CD212" s="1422">
        <v>1322444</v>
      </c>
      <c r="CE212" s="1420">
        <v>3369772.7</v>
      </c>
      <c r="CF212" s="1422">
        <v>2488324</v>
      </c>
      <c r="CG212" s="1422">
        <v>0</v>
      </c>
      <c r="CH212" s="1422">
        <v>0</v>
      </c>
      <c r="CI212" s="1422">
        <v>0</v>
      </c>
      <c r="CJ212" s="1422">
        <v>0</v>
      </c>
      <c r="CK212" s="1422">
        <v>0</v>
      </c>
      <c r="CL212" s="1422">
        <v>0</v>
      </c>
      <c r="CM212" s="1422">
        <v>0</v>
      </c>
      <c r="CN212" s="1422">
        <v>0</v>
      </c>
      <c r="CO212" s="1420">
        <v>16334.07</v>
      </c>
      <c r="CP212" s="1422">
        <v>0</v>
      </c>
      <c r="CQ212" s="1422">
        <v>0</v>
      </c>
      <c r="CR212" s="1422">
        <v>0</v>
      </c>
      <c r="CS212" s="1420">
        <v>16334.07</v>
      </c>
      <c r="CT212" s="1422">
        <v>0</v>
      </c>
      <c r="CU212" s="1420">
        <v>16801544.77</v>
      </c>
      <c r="CV212" s="1422">
        <v>15286988</v>
      </c>
      <c r="CW212" s="1420">
        <v>6836653.4800000004</v>
      </c>
      <c r="CX212" s="1420">
        <v>6653325.6799999997</v>
      </c>
      <c r="CY212" s="1420">
        <v>988895.84</v>
      </c>
      <c r="CZ212" s="1422">
        <v>1027777</v>
      </c>
      <c r="DA212" s="1420">
        <v>640658.25</v>
      </c>
      <c r="DB212" s="1420">
        <v>647203.73</v>
      </c>
      <c r="DC212" s="1422">
        <v>0</v>
      </c>
      <c r="DD212" s="1422">
        <v>0</v>
      </c>
      <c r="DE212" s="1420">
        <v>769633.19</v>
      </c>
      <c r="DF212" s="1422">
        <v>719256</v>
      </c>
      <c r="DG212" s="1420">
        <v>148673.37</v>
      </c>
      <c r="DH212" s="1420">
        <v>152961.95000000001</v>
      </c>
      <c r="DI212" s="1420">
        <v>9384514.1300000008</v>
      </c>
      <c r="DJ212" s="1420">
        <v>9200524.3599999994</v>
      </c>
      <c r="DK212" s="1420">
        <v>343709.39</v>
      </c>
      <c r="DL212" s="1420">
        <v>558914.30000000005</v>
      </c>
      <c r="DM212" s="1420">
        <v>87856.63</v>
      </c>
      <c r="DN212" s="1420">
        <v>86426.51</v>
      </c>
      <c r="DO212" s="1420">
        <v>1146153.49</v>
      </c>
      <c r="DP212" s="1420">
        <v>1119810.3999999999</v>
      </c>
      <c r="DQ212" s="1420">
        <v>1010521.58</v>
      </c>
      <c r="DR212" s="1420">
        <v>1039325.06</v>
      </c>
      <c r="DS212" s="1420">
        <v>52704.800000000003</v>
      </c>
      <c r="DT212" s="1422">
        <v>23138</v>
      </c>
      <c r="DU212" s="1420">
        <v>2640945.89</v>
      </c>
      <c r="DV212" s="1420">
        <v>2827614.27</v>
      </c>
      <c r="DW212" s="1420">
        <v>516474.4</v>
      </c>
      <c r="DX212" s="1420">
        <v>622438.97</v>
      </c>
      <c r="DY212" s="1420">
        <v>695118.09</v>
      </c>
      <c r="DZ212" s="1420">
        <v>713610.83</v>
      </c>
      <c r="EA212" s="1420">
        <v>820794.17</v>
      </c>
      <c r="EB212" s="1420">
        <v>893743.88</v>
      </c>
      <c r="EC212" s="1420">
        <v>2032386.66</v>
      </c>
      <c r="ED212" s="1420">
        <v>2229793.6800000002</v>
      </c>
      <c r="EE212" s="1420">
        <v>770163.12</v>
      </c>
      <c r="EF212" s="1420">
        <v>737717.45</v>
      </c>
      <c r="EG212" s="1422">
        <v>0</v>
      </c>
      <c r="EH212" s="1422">
        <v>0</v>
      </c>
      <c r="EI212" s="1420">
        <v>541.44000000000005</v>
      </c>
      <c r="EJ212" s="1422">
        <v>3000</v>
      </c>
      <c r="EK212" s="1422">
        <v>0</v>
      </c>
      <c r="EL212" s="1422">
        <v>0</v>
      </c>
      <c r="EM212" s="1420">
        <v>770704.56</v>
      </c>
      <c r="EN212" s="1420">
        <v>740717.45</v>
      </c>
      <c r="EO212" s="1420">
        <v>812477.31</v>
      </c>
      <c r="EP212" s="1422">
        <v>27641</v>
      </c>
      <c r="EQ212" s="1420">
        <v>394084.19</v>
      </c>
      <c r="ER212" s="1422">
        <v>373066</v>
      </c>
      <c r="ES212" s="1422">
        <v>0</v>
      </c>
      <c r="ET212" s="1422">
        <v>0</v>
      </c>
      <c r="EU212" s="1420">
        <v>16035112.74</v>
      </c>
      <c r="EV212" s="1420">
        <v>15399356.76</v>
      </c>
      <c r="EW212" s="1420">
        <v>1401591.11</v>
      </c>
      <c r="EX212" s="1422">
        <v>473516</v>
      </c>
      <c r="EY212" s="1420">
        <v>394084.19</v>
      </c>
      <c r="EZ212" s="1422">
        <v>373066</v>
      </c>
      <c r="FA212" s="1420">
        <v>14239437.439999999</v>
      </c>
      <c r="FB212" s="1420">
        <v>14552774.76</v>
      </c>
      <c r="FC212" s="1420">
        <v>808011.07</v>
      </c>
      <c r="FD212" s="1439"/>
      <c r="FE212" s="1420">
        <v>13431426.369999999</v>
      </c>
      <c r="FF212" s="1439"/>
      <c r="FG212" s="1422">
        <v>8308</v>
      </c>
      <c r="FH212" s="1439"/>
      <c r="FI212" s="1420">
        <v>128.66999999999999</v>
      </c>
      <c r="FJ212" s="1439"/>
      <c r="FK212" s="1422">
        <v>43712</v>
      </c>
      <c r="FL212" s="1439"/>
      <c r="FM212" s="1420">
        <v>137.74</v>
      </c>
      <c r="FN212" s="1439"/>
      <c r="FO212" s="1422">
        <v>45709</v>
      </c>
      <c r="FP212" s="1439"/>
      <c r="FQ212" s="1420">
        <v>5911714.9400000004</v>
      </c>
      <c r="FR212" s="1439"/>
      <c r="FS212" s="1420">
        <v>154546.51999999999</v>
      </c>
      <c r="FT212" s="1439"/>
      <c r="FU212" s="1422">
        <v>0</v>
      </c>
      <c r="FV212" s="1439"/>
      <c r="FW212" s="1420">
        <v>5757168.4199999999</v>
      </c>
      <c r="FX212" s="1439"/>
      <c r="FY212" s="1420">
        <v>25051.69</v>
      </c>
      <c r="FZ212" s="1439"/>
      <c r="GA212" s="1422">
        <v>0</v>
      </c>
      <c r="GB212" s="1439"/>
    </row>
    <row r="213" spans="1:184" ht="12.75" customHeight="1" thickBot="1">
      <c r="A213" s="1418" t="s">
        <v>301</v>
      </c>
      <c r="B213" s="1418" t="s">
        <v>302</v>
      </c>
      <c r="C213" s="1420">
        <v>273.58</v>
      </c>
      <c r="D213" s="1439"/>
      <c r="E213" s="1420">
        <v>4289.07</v>
      </c>
      <c r="F213" s="1439"/>
      <c r="G213" s="1421">
        <v>0.01</v>
      </c>
      <c r="H213" s="1439"/>
      <c r="I213" s="1420">
        <v>4598.2700000000004</v>
      </c>
      <c r="J213" s="1439"/>
      <c r="K213" s="1422">
        <v>4580</v>
      </c>
      <c r="L213" s="1439"/>
      <c r="M213" s="1422">
        <v>387032696</v>
      </c>
      <c r="N213" s="1439"/>
      <c r="O213" s="1420">
        <v>26.9</v>
      </c>
      <c r="P213" s="1439"/>
      <c r="Q213" s="1422">
        <v>25</v>
      </c>
      <c r="R213" s="1439"/>
      <c r="S213" s="1420">
        <v>1.9</v>
      </c>
      <c r="T213" s="1439"/>
      <c r="U213" s="1422">
        <v>0</v>
      </c>
      <c r="V213" s="1439"/>
      <c r="W213" s="1420">
        <v>6.6</v>
      </c>
      <c r="X213" s="1439"/>
      <c r="Y213" s="1420">
        <v>33.5</v>
      </c>
      <c r="Z213" s="1439"/>
      <c r="AA213" s="1420">
        <v>29618345.539999999</v>
      </c>
      <c r="AB213" s="1439"/>
      <c r="AC213" s="1420">
        <v>12281055.4</v>
      </c>
      <c r="AD213" s="1422">
        <v>12360744</v>
      </c>
      <c r="AE213" s="1420">
        <v>2402476.5699999998</v>
      </c>
      <c r="AF213" s="1422">
        <v>641000</v>
      </c>
      <c r="AG213" s="1420">
        <v>380567.55</v>
      </c>
      <c r="AH213" s="1422">
        <v>350000</v>
      </c>
      <c r="AI213" s="1422">
        <v>18069325</v>
      </c>
      <c r="AJ213" s="1422">
        <v>18611789</v>
      </c>
      <c r="AK213" s="1422">
        <v>116939</v>
      </c>
      <c r="AL213" s="1422">
        <v>50000</v>
      </c>
      <c r="AM213" s="1422">
        <v>156854</v>
      </c>
      <c r="AN213" s="1422">
        <v>0</v>
      </c>
      <c r="AO213" s="1422">
        <v>0</v>
      </c>
      <c r="AP213" s="1422">
        <v>0</v>
      </c>
      <c r="AQ213" s="1422">
        <v>0</v>
      </c>
      <c r="AR213" s="1422">
        <v>0</v>
      </c>
      <c r="AS213" s="1422">
        <v>6147</v>
      </c>
      <c r="AT213" s="1422">
        <v>0</v>
      </c>
      <c r="AU213" s="1422">
        <v>0</v>
      </c>
      <c r="AV213" s="1422">
        <v>0</v>
      </c>
      <c r="AW213" s="1422">
        <v>0</v>
      </c>
      <c r="AX213" s="1422">
        <v>4000</v>
      </c>
      <c r="AY213" s="1420">
        <v>33413364.52</v>
      </c>
      <c r="AZ213" s="1422">
        <v>32017533</v>
      </c>
      <c r="BA213" s="1420">
        <v>27405.5</v>
      </c>
      <c r="BB213" s="1422">
        <v>0</v>
      </c>
      <c r="BC213" s="1422">
        <v>189429</v>
      </c>
      <c r="BD213" s="1422">
        <v>195540</v>
      </c>
      <c r="BE213" s="1420">
        <v>26526.15</v>
      </c>
      <c r="BF213" s="1422">
        <v>0</v>
      </c>
      <c r="BG213" s="1422">
        <v>6250</v>
      </c>
      <c r="BH213" s="1422">
        <v>4000</v>
      </c>
      <c r="BI213" s="1422">
        <v>149884</v>
      </c>
      <c r="BJ213" s="1422">
        <v>159790</v>
      </c>
      <c r="BK213" s="1422">
        <v>42192</v>
      </c>
      <c r="BL213" s="1422">
        <v>42159</v>
      </c>
      <c r="BM213" s="1422">
        <v>1417568</v>
      </c>
      <c r="BN213" s="1422">
        <v>1426920</v>
      </c>
      <c r="BO213" s="1422">
        <v>92299</v>
      </c>
      <c r="BP213" s="1422">
        <v>0</v>
      </c>
      <c r="BQ213" s="1422">
        <v>86125</v>
      </c>
      <c r="BR213" s="1422">
        <v>0</v>
      </c>
      <c r="BS213" s="1420">
        <v>13770.05</v>
      </c>
      <c r="BT213" s="1422">
        <v>13000</v>
      </c>
      <c r="BU213" s="1422">
        <v>0</v>
      </c>
      <c r="BV213" s="1422">
        <v>0</v>
      </c>
      <c r="BW213" s="1422">
        <v>0</v>
      </c>
      <c r="BX213" s="1422">
        <v>0</v>
      </c>
      <c r="BY213" s="1422">
        <v>0</v>
      </c>
      <c r="BZ213" s="1422">
        <v>0</v>
      </c>
      <c r="CA213" s="1420">
        <v>6518396.1200000001</v>
      </c>
      <c r="CB213" s="1422">
        <v>2192010</v>
      </c>
      <c r="CC213" s="1420">
        <v>8569844.8200000003</v>
      </c>
      <c r="CD213" s="1422">
        <v>4033419</v>
      </c>
      <c r="CE213" s="1420">
        <v>6546940.8899999997</v>
      </c>
      <c r="CF213" s="1420">
        <v>7167315.8300000001</v>
      </c>
      <c r="CG213" s="1422">
        <v>0</v>
      </c>
      <c r="CH213" s="1422">
        <v>0</v>
      </c>
      <c r="CI213" s="1422">
        <v>0</v>
      </c>
      <c r="CJ213" s="1422">
        <v>0</v>
      </c>
      <c r="CK213" s="1422">
        <v>41305</v>
      </c>
      <c r="CL213" s="1422">
        <v>41305</v>
      </c>
      <c r="CM213" s="1422">
        <v>1986</v>
      </c>
      <c r="CN213" s="1422">
        <v>0</v>
      </c>
      <c r="CO213" s="1422">
        <v>0</v>
      </c>
      <c r="CP213" s="1422">
        <v>0</v>
      </c>
      <c r="CQ213" s="1420">
        <v>55374.68</v>
      </c>
      <c r="CR213" s="1422">
        <v>0</v>
      </c>
      <c r="CS213" s="1420">
        <v>98665.68</v>
      </c>
      <c r="CT213" s="1422">
        <v>41305</v>
      </c>
      <c r="CU213" s="1420">
        <v>48628815.909999996</v>
      </c>
      <c r="CV213" s="1420">
        <v>43259572.829999998</v>
      </c>
      <c r="CW213" s="1420">
        <v>16253522.67</v>
      </c>
      <c r="CX213" s="1420">
        <v>16537346.25</v>
      </c>
      <c r="CY213" s="1420">
        <v>2353995.44</v>
      </c>
      <c r="CZ213" s="1420">
        <v>2301125.62</v>
      </c>
      <c r="DA213" s="1420">
        <v>766483.11</v>
      </c>
      <c r="DB213" s="1420">
        <v>790046.88</v>
      </c>
      <c r="DC213" s="1422">
        <v>0</v>
      </c>
      <c r="DD213" s="1422">
        <v>0</v>
      </c>
      <c r="DE213" s="1420">
        <v>2035405.34</v>
      </c>
      <c r="DF213" s="1420">
        <v>1744055.91</v>
      </c>
      <c r="DG213" s="1420">
        <v>1303399.3500000001</v>
      </c>
      <c r="DH213" s="1420">
        <v>1190475.6299999999</v>
      </c>
      <c r="DI213" s="1420">
        <v>22712805.91</v>
      </c>
      <c r="DJ213" s="1420">
        <v>22563050.289999999</v>
      </c>
      <c r="DK213" s="1420">
        <v>595211.59</v>
      </c>
      <c r="DL213" s="1420">
        <v>594742.82999999996</v>
      </c>
      <c r="DM213" s="1420">
        <v>1301378.23</v>
      </c>
      <c r="DN213" s="1420">
        <v>1129954.75</v>
      </c>
      <c r="DO213" s="1420">
        <v>3247214.2</v>
      </c>
      <c r="DP213" s="1420">
        <v>4149834.31</v>
      </c>
      <c r="DQ213" s="1420">
        <v>1406727.06</v>
      </c>
      <c r="DR213" s="1420">
        <v>1649027.95</v>
      </c>
      <c r="DS213" s="1420">
        <v>89041.17</v>
      </c>
      <c r="DT213" s="1422">
        <v>89281</v>
      </c>
      <c r="DU213" s="1420">
        <v>6639572.25</v>
      </c>
      <c r="DV213" s="1420">
        <v>7612840.8399999999</v>
      </c>
      <c r="DW213" s="1420">
        <v>2409331.44</v>
      </c>
      <c r="DX213" s="1420">
        <v>2530144.3199999998</v>
      </c>
      <c r="DY213" s="1420">
        <v>3440301.18</v>
      </c>
      <c r="DZ213" s="1420">
        <v>3530197.8</v>
      </c>
      <c r="EA213" s="1420">
        <v>1684346.9</v>
      </c>
      <c r="EB213" s="1420">
        <v>1772650.55</v>
      </c>
      <c r="EC213" s="1420">
        <v>7533979.5199999996</v>
      </c>
      <c r="ED213" s="1420">
        <v>7832992.6699999999</v>
      </c>
      <c r="EE213" s="1420">
        <v>1949155.71</v>
      </c>
      <c r="EF213" s="1422">
        <v>1828316</v>
      </c>
      <c r="EG213" s="1422">
        <v>0</v>
      </c>
      <c r="EH213" s="1422">
        <v>0</v>
      </c>
      <c r="EI213" s="1420">
        <v>4265.76</v>
      </c>
      <c r="EJ213" s="1422">
        <v>2500</v>
      </c>
      <c r="EK213" s="1422">
        <v>0</v>
      </c>
      <c r="EL213" s="1422">
        <v>0</v>
      </c>
      <c r="EM213" s="1420">
        <v>1953421.47</v>
      </c>
      <c r="EN213" s="1422">
        <v>1830816</v>
      </c>
      <c r="EO213" s="1420">
        <v>17943481.93</v>
      </c>
      <c r="EP213" s="1420">
        <v>5048803.67</v>
      </c>
      <c r="EQ213" s="1420">
        <v>2080266.79</v>
      </c>
      <c r="ER213" s="1422">
        <v>2080249</v>
      </c>
      <c r="ES213" s="1420">
        <v>258932.47</v>
      </c>
      <c r="ET213" s="1420">
        <v>1438.28</v>
      </c>
      <c r="EU213" s="1420">
        <v>59122460.340000004</v>
      </c>
      <c r="EV213" s="1420">
        <v>46970190.75</v>
      </c>
      <c r="EW213" s="1420">
        <v>19081942.34</v>
      </c>
      <c r="EX213" s="1420">
        <v>7104727.3300000001</v>
      </c>
      <c r="EY213" s="1420">
        <v>2080266.79</v>
      </c>
      <c r="EZ213" s="1422">
        <v>2080249</v>
      </c>
      <c r="FA213" s="1420">
        <v>37960251.210000001</v>
      </c>
      <c r="FB213" s="1420">
        <v>37785214.420000002</v>
      </c>
      <c r="FC213" s="1420">
        <v>1625129.34</v>
      </c>
      <c r="FD213" s="1439"/>
      <c r="FE213" s="1420">
        <v>36335121.869999997</v>
      </c>
      <c r="FF213" s="1439"/>
      <c r="FG213" s="1422">
        <v>8471</v>
      </c>
      <c r="FH213" s="1439"/>
      <c r="FI213" s="1420">
        <v>354.41</v>
      </c>
      <c r="FJ213" s="1439"/>
      <c r="FK213" s="1422">
        <v>40889</v>
      </c>
      <c r="FL213" s="1439"/>
      <c r="FM213" s="1420">
        <v>389.45</v>
      </c>
      <c r="FN213" s="1439"/>
      <c r="FO213" s="1422">
        <v>43309</v>
      </c>
      <c r="FP213" s="1439"/>
      <c r="FQ213" s="1420">
        <v>4250887.3499999996</v>
      </c>
      <c r="FR213" s="1439"/>
      <c r="FS213" s="1420">
        <v>29870.720000000001</v>
      </c>
      <c r="FT213" s="1439"/>
      <c r="FU213" s="1422">
        <v>0</v>
      </c>
      <c r="FV213" s="1439"/>
      <c r="FW213" s="1420">
        <v>4221016.63</v>
      </c>
      <c r="FX213" s="1439"/>
      <c r="FY213" s="1420">
        <v>2374626.58</v>
      </c>
      <c r="FZ213" s="1439"/>
      <c r="GA213" s="1420">
        <v>409843.99</v>
      </c>
      <c r="GB213" s="1439"/>
    </row>
    <row r="214" spans="1:184" ht="12.75" customHeight="1" thickBot="1">
      <c r="A214" s="1418" t="s">
        <v>303</v>
      </c>
      <c r="B214" s="1418" t="s">
        <v>304</v>
      </c>
      <c r="C214" s="1420">
        <v>203.74</v>
      </c>
      <c r="D214" s="1439"/>
      <c r="E214" s="1420">
        <v>441.24</v>
      </c>
      <c r="F214" s="1439"/>
      <c r="G214" s="1421">
        <v>-0.31</v>
      </c>
      <c r="H214" s="1439"/>
      <c r="I214" s="1420">
        <v>468.02</v>
      </c>
      <c r="J214" s="1439"/>
      <c r="K214" s="1420">
        <v>553.36</v>
      </c>
      <c r="L214" s="1439"/>
      <c r="M214" s="1422">
        <v>56772300</v>
      </c>
      <c r="N214" s="1439"/>
      <c r="O214" s="1422">
        <v>25</v>
      </c>
      <c r="P214" s="1439"/>
      <c r="Q214" s="1422">
        <v>25</v>
      </c>
      <c r="R214" s="1439"/>
      <c r="S214" s="1422">
        <v>0</v>
      </c>
      <c r="T214" s="1439"/>
      <c r="U214" s="1422">
        <v>0</v>
      </c>
      <c r="V214" s="1439"/>
      <c r="W214" s="1422">
        <v>10</v>
      </c>
      <c r="X214" s="1439"/>
      <c r="Y214" s="1422">
        <v>35</v>
      </c>
      <c r="Z214" s="1439"/>
      <c r="AA214" s="1420">
        <v>2815168.33</v>
      </c>
      <c r="AB214" s="1439"/>
      <c r="AC214" s="1420">
        <v>1851282.29</v>
      </c>
      <c r="AD214" s="1422">
        <v>1677273</v>
      </c>
      <c r="AE214" s="1420">
        <v>413770.74</v>
      </c>
      <c r="AF214" s="1422">
        <v>205447</v>
      </c>
      <c r="AG214" s="1420">
        <v>45980.56</v>
      </c>
      <c r="AH214" s="1422">
        <v>46000</v>
      </c>
      <c r="AI214" s="1422">
        <v>1956985</v>
      </c>
      <c r="AJ214" s="1422">
        <v>1901681</v>
      </c>
      <c r="AK214" s="1422">
        <v>33008</v>
      </c>
      <c r="AL214" s="1422">
        <v>30000</v>
      </c>
      <c r="AM214" s="1422">
        <v>0</v>
      </c>
      <c r="AN214" s="1422">
        <v>0</v>
      </c>
      <c r="AO214" s="1422">
        <v>93387</v>
      </c>
      <c r="AP214" s="1422">
        <v>36557</v>
      </c>
      <c r="AQ214" s="1422">
        <v>0</v>
      </c>
      <c r="AR214" s="1422">
        <v>0</v>
      </c>
      <c r="AS214" s="1422">
        <v>0</v>
      </c>
      <c r="AT214" s="1422">
        <v>0</v>
      </c>
      <c r="AU214" s="1422">
        <v>0</v>
      </c>
      <c r="AV214" s="1422">
        <v>0</v>
      </c>
      <c r="AW214" s="1422">
        <v>0</v>
      </c>
      <c r="AX214" s="1422">
        <v>0</v>
      </c>
      <c r="AY214" s="1420">
        <v>4394413.59</v>
      </c>
      <c r="AZ214" s="1422">
        <v>3896958</v>
      </c>
      <c r="BA214" s="1422">
        <v>0</v>
      </c>
      <c r="BB214" s="1422">
        <v>0</v>
      </c>
      <c r="BC214" s="1422">
        <v>22887</v>
      </c>
      <c r="BD214" s="1422">
        <v>22947</v>
      </c>
      <c r="BE214" s="1420">
        <v>3885.7</v>
      </c>
      <c r="BF214" s="1422">
        <v>0</v>
      </c>
      <c r="BG214" s="1422">
        <v>250</v>
      </c>
      <c r="BH214" s="1422">
        <v>0</v>
      </c>
      <c r="BI214" s="1422">
        <v>0</v>
      </c>
      <c r="BJ214" s="1422">
        <v>0</v>
      </c>
      <c r="BK214" s="1422">
        <v>0</v>
      </c>
      <c r="BL214" s="1422">
        <v>0</v>
      </c>
      <c r="BM214" s="1422">
        <v>143840</v>
      </c>
      <c r="BN214" s="1422">
        <v>168498</v>
      </c>
      <c r="BO214" s="1420">
        <v>39334.47</v>
      </c>
      <c r="BP214" s="1422">
        <v>0</v>
      </c>
      <c r="BQ214" s="1422">
        <v>17875</v>
      </c>
      <c r="BR214" s="1422">
        <v>0</v>
      </c>
      <c r="BS214" s="1420">
        <v>2843.45</v>
      </c>
      <c r="BT214" s="1422">
        <v>2844</v>
      </c>
      <c r="BU214" s="1422">
        <v>0</v>
      </c>
      <c r="BV214" s="1422">
        <v>0</v>
      </c>
      <c r="BW214" s="1422">
        <v>0</v>
      </c>
      <c r="BX214" s="1422">
        <v>0</v>
      </c>
      <c r="BY214" s="1422">
        <v>0</v>
      </c>
      <c r="BZ214" s="1422">
        <v>0</v>
      </c>
      <c r="CA214" s="1422">
        <v>12279</v>
      </c>
      <c r="CB214" s="1422">
        <v>9919</v>
      </c>
      <c r="CC214" s="1420">
        <v>243194.62</v>
      </c>
      <c r="CD214" s="1422">
        <v>204208</v>
      </c>
      <c r="CE214" s="1420">
        <v>929830.78</v>
      </c>
      <c r="CF214" s="1422">
        <v>541763</v>
      </c>
      <c r="CG214" s="1422">
        <v>0</v>
      </c>
      <c r="CH214" s="1422">
        <v>0</v>
      </c>
      <c r="CI214" s="1422">
        <v>0</v>
      </c>
      <c r="CJ214" s="1422">
        <v>0</v>
      </c>
      <c r="CK214" s="1422">
        <v>0</v>
      </c>
      <c r="CL214" s="1422">
        <v>0</v>
      </c>
      <c r="CM214" s="1422">
        <v>0</v>
      </c>
      <c r="CN214" s="1422">
        <v>0</v>
      </c>
      <c r="CO214" s="1422">
        <v>0</v>
      </c>
      <c r="CP214" s="1422">
        <v>0</v>
      </c>
      <c r="CQ214" s="1422">
        <v>0</v>
      </c>
      <c r="CR214" s="1422">
        <v>0</v>
      </c>
      <c r="CS214" s="1422">
        <v>0</v>
      </c>
      <c r="CT214" s="1422">
        <v>0</v>
      </c>
      <c r="CU214" s="1420">
        <v>5567438.9900000002</v>
      </c>
      <c r="CV214" s="1422">
        <v>4642929</v>
      </c>
      <c r="CW214" s="1420">
        <v>2177650.5699999998</v>
      </c>
      <c r="CX214" s="1420">
        <v>1833956.78</v>
      </c>
      <c r="CY214" s="1420">
        <v>447035.29</v>
      </c>
      <c r="CZ214" s="1420">
        <v>403276.37</v>
      </c>
      <c r="DA214" s="1420">
        <v>146484.84</v>
      </c>
      <c r="DB214" s="1420">
        <v>129272.09</v>
      </c>
      <c r="DC214" s="1422">
        <v>0</v>
      </c>
      <c r="DD214" s="1422">
        <v>0</v>
      </c>
      <c r="DE214" s="1420">
        <v>265580.87</v>
      </c>
      <c r="DF214" s="1420">
        <v>84785.36</v>
      </c>
      <c r="DG214" s="1422">
        <v>6500</v>
      </c>
      <c r="DH214" s="1422">
        <v>6500</v>
      </c>
      <c r="DI214" s="1420">
        <v>3043251.57</v>
      </c>
      <c r="DJ214" s="1420">
        <v>2457790.6</v>
      </c>
      <c r="DK214" s="1420">
        <v>184455.9</v>
      </c>
      <c r="DL214" s="1420">
        <v>187438.55</v>
      </c>
      <c r="DM214" s="1422">
        <v>137193</v>
      </c>
      <c r="DN214" s="1420">
        <v>131638.60999999999</v>
      </c>
      <c r="DO214" s="1420">
        <v>516202.17</v>
      </c>
      <c r="DP214" s="1420">
        <v>578760.47</v>
      </c>
      <c r="DQ214" s="1420">
        <v>284789.28000000003</v>
      </c>
      <c r="DR214" s="1422">
        <v>330228</v>
      </c>
      <c r="DS214" s="1422">
        <v>11785</v>
      </c>
      <c r="DT214" s="1422">
        <v>18000</v>
      </c>
      <c r="DU214" s="1420">
        <v>1134425.3500000001</v>
      </c>
      <c r="DV214" s="1420">
        <v>1246065.6299999999</v>
      </c>
      <c r="DW214" s="1420">
        <v>137413.89000000001</v>
      </c>
      <c r="DX214" s="1420">
        <v>118450.97</v>
      </c>
      <c r="DY214" s="1420">
        <v>460429.29</v>
      </c>
      <c r="DZ214" s="1420">
        <v>518884.54</v>
      </c>
      <c r="EA214" s="1420">
        <v>285522.06</v>
      </c>
      <c r="EB214" s="1420">
        <v>279967.74</v>
      </c>
      <c r="EC214" s="1420">
        <v>883365.24</v>
      </c>
      <c r="ED214" s="1420">
        <v>917303.25</v>
      </c>
      <c r="EE214" s="1420">
        <v>377263.51</v>
      </c>
      <c r="EF214" s="1420">
        <v>366525.56</v>
      </c>
      <c r="EG214" s="1422">
        <v>0</v>
      </c>
      <c r="EH214" s="1422">
        <v>0</v>
      </c>
      <c r="EI214" s="1422">
        <v>0</v>
      </c>
      <c r="EJ214" s="1422">
        <v>200</v>
      </c>
      <c r="EK214" s="1422">
        <v>0</v>
      </c>
      <c r="EL214" s="1422">
        <v>0</v>
      </c>
      <c r="EM214" s="1420">
        <v>377263.51</v>
      </c>
      <c r="EN214" s="1420">
        <v>366725.56</v>
      </c>
      <c r="EO214" s="1422">
        <v>66437</v>
      </c>
      <c r="EP214" s="1422">
        <v>3500</v>
      </c>
      <c r="EQ214" s="1420">
        <v>209621.8</v>
      </c>
      <c r="ER214" s="1422">
        <v>206642</v>
      </c>
      <c r="ES214" s="1422">
        <v>0</v>
      </c>
      <c r="ET214" s="1422">
        <v>0</v>
      </c>
      <c r="EU214" s="1420">
        <v>5714364.4699999997</v>
      </c>
      <c r="EV214" s="1420">
        <v>5198027.04</v>
      </c>
      <c r="EW214" s="1420">
        <v>117050.04</v>
      </c>
      <c r="EX214" s="1420">
        <v>65563.62</v>
      </c>
      <c r="EY214" s="1420">
        <v>209621.8</v>
      </c>
      <c r="EZ214" s="1422">
        <v>206642</v>
      </c>
      <c r="FA214" s="1420">
        <v>5387692.6299999999</v>
      </c>
      <c r="FB214" s="1420">
        <v>4925821.42</v>
      </c>
      <c r="FC214" s="1420">
        <v>371083.53</v>
      </c>
      <c r="FD214" s="1439"/>
      <c r="FE214" s="1420">
        <v>5016609.0999999996</v>
      </c>
      <c r="FF214" s="1439"/>
      <c r="FG214" s="1422">
        <v>11369</v>
      </c>
      <c r="FH214" s="1439"/>
      <c r="FI214" s="1420">
        <v>38.17</v>
      </c>
      <c r="FJ214" s="1439"/>
      <c r="FK214" s="1422">
        <v>43393</v>
      </c>
      <c r="FL214" s="1439"/>
      <c r="FM214" s="1420">
        <v>44.68</v>
      </c>
      <c r="FN214" s="1439"/>
      <c r="FO214" s="1422">
        <v>46842</v>
      </c>
      <c r="FP214" s="1439"/>
      <c r="FQ214" s="1420">
        <v>1288068.31</v>
      </c>
      <c r="FR214" s="1439"/>
      <c r="FS214" s="1420">
        <v>565.86</v>
      </c>
      <c r="FT214" s="1439"/>
      <c r="FU214" s="1422">
        <v>0</v>
      </c>
      <c r="FV214" s="1439"/>
      <c r="FW214" s="1420">
        <v>1287502.45</v>
      </c>
      <c r="FX214" s="1439"/>
      <c r="FY214" s="1420">
        <v>101978.16</v>
      </c>
      <c r="FZ214" s="1439"/>
      <c r="GA214" s="1422">
        <v>0</v>
      </c>
      <c r="GB214" s="1439"/>
    </row>
    <row r="215" spans="1:184" ht="12.75" customHeight="1" thickBot="1">
      <c r="A215" s="1418" t="s">
        <v>305</v>
      </c>
      <c r="B215" s="1418" t="s">
        <v>306</v>
      </c>
      <c r="C215" s="1420">
        <v>51.29</v>
      </c>
      <c r="D215" s="1439"/>
      <c r="E215" s="1420">
        <v>395.16</v>
      </c>
      <c r="F215" s="1439"/>
      <c r="G215" s="1421">
        <v>-0.23</v>
      </c>
      <c r="H215" s="1439"/>
      <c r="I215" s="1420">
        <v>411.58</v>
      </c>
      <c r="J215" s="1439"/>
      <c r="K215" s="1420">
        <v>425.85</v>
      </c>
      <c r="L215" s="1439"/>
      <c r="M215" s="1422">
        <v>40574276</v>
      </c>
      <c r="N215" s="1439"/>
      <c r="O215" s="1422">
        <v>25</v>
      </c>
      <c r="P215" s="1439"/>
      <c r="Q215" s="1422">
        <v>25</v>
      </c>
      <c r="R215" s="1439"/>
      <c r="S215" s="1422">
        <v>0</v>
      </c>
      <c r="T215" s="1439"/>
      <c r="U215" s="1422">
        <v>0</v>
      </c>
      <c r="V215" s="1439"/>
      <c r="W215" s="1422">
        <v>17</v>
      </c>
      <c r="X215" s="1439"/>
      <c r="Y215" s="1422">
        <v>42</v>
      </c>
      <c r="Z215" s="1439"/>
      <c r="AA215" s="1422">
        <v>3415760</v>
      </c>
      <c r="AB215" s="1439"/>
      <c r="AC215" s="1420">
        <v>1636330.54</v>
      </c>
      <c r="AD215" s="1422">
        <v>1539713</v>
      </c>
      <c r="AE215" s="1420">
        <v>251549.48</v>
      </c>
      <c r="AF215" s="1422">
        <v>180200</v>
      </c>
      <c r="AG215" s="1420">
        <v>35385.31</v>
      </c>
      <c r="AH215" s="1422">
        <v>26000</v>
      </c>
      <c r="AI215" s="1422">
        <v>1551744</v>
      </c>
      <c r="AJ215" s="1422">
        <v>1509431</v>
      </c>
      <c r="AK215" s="1422">
        <v>412</v>
      </c>
      <c r="AL215" s="1422">
        <v>0</v>
      </c>
      <c r="AM215" s="1422">
        <v>0</v>
      </c>
      <c r="AN215" s="1422">
        <v>0</v>
      </c>
      <c r="AO215" s="1422">
        <v>45323</v>
      </c>
      <c r="AP215" s="1422">
        <v>45220</v>
      </c>
      <c r="AQ215" s="1422">
        <v>0</v>
      </c>
      <c r="AR215" s="1422">
        <v>0</v>
      </c>
      <c r="AS215" s="1422">
        <v>0</v>
      </c>
      <c r="AT215" s="1422">
        <v>0</v>
      </c>
      <c r="AU215" s="1422">
        <v>8907</v>
      </c>
      <c r="AV215" s="1422">
        <v>7126</v>
      </c>
      <c r="AW215" s="1422">
        <v>0</v>
      </c>
      <c r="AX215" s="1422">
        <v>0</v>
      </c>
      <c r="AY215" s="1420">
        <v>3529651.33</v>
      </c>
      <c r="AZ215" s="1422">
        <v>3307690</v>
      </c>
      <c r="BA215" s="1422">
        <v>0</v>
      </c>
      <c r="BB215" s="1422">
        <v>0</v>
      </c>
      <c r="BC215" s="1422">
        <v>17613</v>
      </c>
      <c r="BD215" s="1422">
        <v>17424</v>
      </c>
      <c r="BE215" s="1420">
        <v>1187.8800000000001</v>
      </c>
      <c r="BF215" s="1422">
        <v>0</v>
      </c>
      <c r="BG215" s="1422">
        <v>100</v>
      </c>
      <c r="BH215" s="1422">
        <v>0</v>
      </c>
      <c r="BI215" s="1422">
        <v>853</v>
      </c>
      <c r="BJ215" s="1422">
        <v>10072</v>
      </c>
      <c r="BK215" s="1422">
        <v>0</v>
      </c>
      <c r="BL215" s="1422">
        <v>0</v>
      </c>
      <c r="BM215" s="1422">
        <v>100192</v>
      </c>
      <c r="BN215" s="1422">
        <v>104236</v>
      </c>
      <c r="BO215" s="1420">
        <v>1744.58</v>
      </c>
      <c r="BP215" s="1422">
        <v>0</v>
      </c>
      <c r="BQ215" s="1422">
        <v>0</v>
      </c>
      <c r="BR215" s="1422">
        <v>11375</v>
      </c>
      <c r="BS215" s="1420">
        <v>1523.12</v>
      </c>
      <c r="BT215" s="1422">
        <v>1000</v>
      </c>
      <c r="BU215" s="1422">
        <v>0</v>
      </c>
      <c r="BV215" s="1422">
        <v>0</v>
      </c>
      <c r="BW215" s="1422">
        <v>0</v>
      </c>
      <c r="BX215" s="1422">
        <v>0</v>
      </c>
      <c r="BY215" s="1422">
        <v>0</v>
      </c>
      <c r="BZ215" s="1422">
        <v>0</v>
      </c>
      <c r="CA215" s="1420">
        <v>527709.48</v>
      </c>
      <c r="CB215" s="1422">
        <v>15567</v>
      </c>
      <c r="CC215" s="1420">
        <v>650923.06000000006</v>
      </c>
      <c r="CD215" s="1422">
        <v>159674</v>
      </c>
      <c r="CE215" s="1420">
        <v>616125.55000000005</v>
      </c>
      <c r="CF215" s="1420">
        <v>443728.2</v>
      </c>
      <c r="CG215" s="1422">
        <v>75760</v>
      </c>
      <c r="CH215" s="1422">
        <v>0</v>
      </c>
      <c r="CI215" s="1422">
        <v>0</v>
      </c>
      <c r="CJ215" s="1422">
        <v>0</v>
      </c>
      <c r="CK215" s="1422">
        <v>0</v>
      </c>
      <c r="CL215" s="1422">
        <v>0</v>
      </c>
      <c r="CM215" s="1422">
        <v>0</v>
      </c>
      <c r="CN215" s="1422">
        <v>0</v>
      </c>
      <c r="CO215" s="1422">
        <v>0</v>
      </c>
      <c r="CP215" s="1422">
        <v>0</v>
      </c>
      <c r="CQ215" s="1422">
        <v>0</v>
      </c>
      <c r="CR215" s="1422">
        <v>0</v>
      </c>
      <c r="CS215" s="1422">
        <v>75760</v>
      </c>
      <c r="CT215" s="1422">
        <v>0</v>
      </c>
      <c r="CU215" s="1420">
        <v>4872459.9400000004</v>
      </c>
      <c r="CV215" s="1420">
        <v>3911092.2</v>
      </c>
      <c r="CW215" s="1420">
        <v>1829825.45</v>
      </c>
      <c r="CX215" s="1420">
        <v>1797798.99</v>
      </c>
      <c r="CY215" s="1420">
        <v>291497.83</v>
      </c>
      <c r="CZ215" s="1420">
        <v>308739.92</v>
      </c>
      <c r="DA215" s="1420">
        <v>113895.61</v>
      </c>
      <c r="DB215" s="1420">
        <v>122727.56</v>
      </c>
      <c r="DC215" s="1422">
        <v>0</v>
      </c>
      <c r="DD215" s="1422">
        <v>0</v>
      </c>
      <c r="DE215" s="1420">
        <v>99541.63</v>
      </c>
      <c r="DF215" s="1420">
        <v>104224.63</v>
      </c>
      <c r="DG215" s="1420">
        <v>65822.34</v>
      </c>
      <c r="DH215" s="1420">
        <v>50148.66</v>
      </c>
      <c r="DI215" s="1420">
        <v>2400582.86</v>
      </c>
      <c r="DJ215" s="1420">
        <v>2383639.7599999998</v>
      </c>
      <c r="DK215" s="1420">
        <v>193032.23</v>
      </c>
      <c r="DL215" s="1420">
        <v>186598.7</v>
      </c>
      <c r="DM215" s="1420">
        <v>187208.83</v>
      </c>
      <c r="DN215" s="1420">
        <v>178015.83</v>
      </c>
      <c r="DO215" s="1420">
        <v>402480.1</v>
      </c>
      <c r="DP215" s="1420">
        <v>400842.04</v>
      </c>
      <c r="DQ215" s="1420">
        <v>137210.22</v>
      </c>
      <c r="DR215" s="1420">
        <v>200020.54</v>
      </c>
      <c r="DS215" s="1420">
        <v>12073.83</v>
      </c>
      <c r="DT215" s="1422">
        <v>12245</v>
      </c>
      <c r="DU215" s="1420">
        <v>932005.21</v>
      </c>
      <c r="DV215" s="1420">
        <v>977722.11</v>
      </c>
      <c r="DW215" s="1420">
        <v>225763.8</v>
      </c>
      <c r="DX215" s="1420">
        <v>205952.01</v>
      </c>
      <c r="DY215" s="1420">
        <v>281080.71999999997</v>
      </c>
      <c r="DZ215" s="1420">
        <v>251140.3</v>
      </c>
      <c r="EA215" s="1420">
        <v>216354.77</v>
      </c>
      <c r="EB215" s="1420">
        <v>205148.48</v>
      </c>
      <c r="EC215" s="1420">
        <v>723199.29</v>
      </c>
      <c r="ED215" s="1420">
        <v>662240.79</v>
      </c>
      <c r="EE215" s="1420">
        <v>171633.4</v>
      </c>
      <c r="EF215" s="1420">
        <v>150173.84</v>
      </c>
      <c r="EG215" s="1422">
        <v>0</v>
      </c>
      <c r="EH215" s="1422">
        <v>0</v>
      </c>
      <c r="EI215" s="1422">
        <v>0</v>
      </c>
      <c r="EJ215" s="1420">
        <v>950.16</v>
      </c>
      <c r="EK215" s="1422">
        <v>0</v>
      </c>
      <c r="EL215" s="1422">
        <v>0</v>
      </c>
      <c r="EM215" s="1420">
        <v>171633.4</v>
      </c>
      <c r="EN215" s="1422">
        <v>151124</v>
      </c>
      <c r="EO215" s="1420">
        <v>946727.17</v>
      </c>
      <c r="EP215" s="1420">
        <v>334169.34000000003</v>
      </c>
      <c r="EQ215" s="1420">
        <v>202413.76</v>
      </c>
      <c r="ER215" s="1422">
        <v>224277</v>
      </c>
      <c r="ES215" s="1422">
        <v>0</v>
      </c>
      <c r="ET215" s="1422">
        <v>0</v>
      </c>
      <c r="EU215" s="1420">
        <v>5376561.6900000004</v>
      </c>
      <c r="EV215" s="1422">
        <v>4733173</v>
      </c>
      <c r="EW215" s="1420">
        <v>957012.65</v>
      </c>
      <c r="EX215" s="1420">
        <v>413929.34</v>
      </c>
      <c r="EY215" s="1420">
        <v>202413.76</v>
      </c>
      <c r="EZ215" s="1422">
        <v>224277</v>
      </c>
      <c r="FA215" s="1420">
        <v>4217135.28</v>
      </c>
      <c r="FB215" s="1420">
        <v>4094966.66</v>
      </c>
      <c r="FC215" s="1420">
        <v>218028.14</v>
      </c>
      <c r="FD215" s="1439"/>
      <c r="FE215" s="1420">
        <v>3999107.14</v>
      </c>
      <c r="FF215" s="1439"/>
      <c r="FG215" s="1422">
        <v>10120</v>
      </c>
      <c r="FH215" s="1439"/>
      <c r="FI215" s="1420">
        <v>36.78</v>
      </c>
      <c r="FJ215" s="1439"/>
      <c r="FK215" s="1422">
        <v>38960</v>
      </c>
      <c r="FL215" s="1439"/>
      <c r="FM215" s="1420">
        <v>41.01</v>
      </c>
      <c r="FN215" s="1439"/>
      <c r="FO215" s="1422">
        <v>42076</v>
      </c>
      <c r="FP215" s="1439"/>
      <c r="FQ215" s="1420">
        <v>1017120.35</v>
      </c>
      <c r="FR215" s="1439"/>
      <c r="FS215" s="1420">
        <v>16840.009999999998</v>
      </c>
      <c r="FT215" s="1439"/>
      <c r="FU215" s="1422">
        <v>0</v>
      </c>
      <c r="FV215" s="1439"/>
      <c r="FW215" s="1420">
        <v>1000280.34</v>
      </c>
      <c r="FX215" s="1439"/>
      <c r="FY215" s="1420">
        <v>334135.61</v>
      </c>
      <c r="FZ215" s="1439"/>
      <c r="GA215" s="1420">
        <v>3.73</v>
      </c>
      <c r="GB215" s="1439"/>
    </row>
    <row r="216" spans="1:184" ht="12.75" customHeight="1" thickBot="1">
      <c r="A216" s="1418" t="s">
        <v>115</v>
      </c>
      <c r="B216" s="1418" t="s">
        <v>116</v>
      </c>
      <c r="C216" s="1420">
        <v>45.27</v>
      </c>
      <c r="D216" s="1439"/>
      <c r="E216" s="1420">
        <v>628.69000000000005</v>
      </c>
      <c r="F216" s="1439"/>
      <c r="G216" s="1421">
        <v>-0.11</v>
      </c>
      <c r="H216" s="1439"/>
      <c r="I216" s="1420">
        <v>657.58</v>
      </c>
      <c r="J216" s="1439"/>
      <c r="K216" s="1420">
        <v>713.23</v>
      </c>
      <c r="L216" s="1439"/>
      <c r="M216" s="1422">
        <v>52270384</v>
      </c>
      <c r="N216" s="1439"/>
      <c r="O216" s="1422">
        <v>25</v>
      </c>
      <c r="P216" s="1439"/>
      <c r="Q216" s="1422">
        <v>25</v>
      </c>
      <c r="R216" s="1439"/>
      <c r="S216" s="1422">
        <v>0</v>
      </c>
      <c r="T216" s="1439"/>
      <c r="U216" s="1422">
        <v>0</v>
      </c>
      <c r="V216" s="1439"/>
      <c r="W216" s="1420">
        <v>7.8</v>
      </c>
      <c r="X216" s="1439"/>
      <c r="Y216" s="1420">
        <v>32.799999999999997</v>
      </c>
      <c r="Z216" s="1439"/>
      <c r="AA216" s="1422">
        <v>3550000</v>
      </c>
      <c r="AB216" s="1439"/>
      <c r="AC216" s="1420">
        <v>1565654.13</v>
      </c>
      <c r="AD216" s="1422">
        <v>1533072</v>
      </c>
      <c r="AE216" s="1420">
        <v>521555.77</v>
      </c>
      <c r="AF216" s="1422">
        <v>569350</v>
      </c>
      <c r="AG216" s="1420">
        <v>59264.67</v>
      </c>
      <c r="AH216" s="1422">
        <v>40000</v>
      </c>
      <c r="AI216" s="1422">
        <v>3041561</v>
      </c>
      <c r="AJ216" s="1422">
        <v>2720183</v>
      </c>
      <c r="AK216" s="1422">
        <v>18104</v>
      </c>
      <c r="AL216" s="1422">
        <v>0</v>
      </c>
      <c r="AM216" s="1422">
        <v>0</v>
      </c>
      <c r="AN216" s="1422">
        <v>16303</v>
      </c>
      <c r="AO216" s="1422">
        <v>0</v>
      </c>
      <c r="AP216" s="1422">
        <v>170127</v>
      </c>
      <c r="AQ216" s="1422">
        <v>0</v>
      </c>
      <c r="AR216" s="1422">
        <v>0</v>
      </c>
      <c r="AS216" s="1422">
        <v>0</v>
      </c>
      <c r="AT216" s="1422">
        <v>0</v>
      </c>
      <c r="AU216" s="1422">
        <v>0</v>
      </c>
      <c r="AV216" s="1422">
        <v>0</v>
      </c>
      <c r="AW216" s="1422">
        <v>0</v>
      </c>
      <c r="AX216" s="1422">
        <v>0</v>
      </c>
      <c r="AY216" s="1420">
        <v>5206139.57</v>
      </c>
      <c r="AZ216" s="1422">
        <v>5049035</v>
      </c>
      <c r="BA216" s="1422">
        <v>0</v>
      </c>
      <c r="BB216" s="1422">
        <v>0</v>
      </c>
      <c r="BC216" s="1422">
        <v>29499</v>
      </c>
      <c r="BD216" s="1422">
        <v>27880</v>
      </c>
      <c r="BE216" s="1420">
        <v>1989.5</v>
      </c>
      <c r="BF216" s="1422">
        <v>2000</v>
      </c>
      <c r="BG216" s="1422">
        <v>1450</v>
      </c>
      <c r="BH216" s="1422">
        <v>0</v>
      </c>
      <c r="BI216" s="1422">
        <v>0</v>
      </c>
      <c r="BJ216" s="1422">
        <v>0</v>
      </c>
      <c r="BK216" s="1422">
        <v>879</v>
      </c>
      <c r="BL216" s="1422">
        <v>0</v>
      </c>
      <c r="BM216" s="1422">
        <v>109120</v>
      </c>
      <c r="BN216" s="1422">
        <v>98447</v>
      </c>
      <c r="BO216" s="1420">
        <v>120641.94</v>
      </c>
      <c r="BP216" s="1422">
        <v>0</v>
      </c>
      <c r="BQ216" s="1422">
        <v>26000</v>
      </c>
      <c r="BR216" s="1422">
        <v>17062</v>
      </c>
      <c r="BS216" s="1420">
        <v>2338.0700000000002</v>
      </c>
      <c r="BT216" s="1422">
        <v>2338</v>
      </c>
      <c r="BU216" s="1422">
        <v>0</v>
      </c>
      <c r="BV216" s="1422">
        <v>0</v>
      </c>
      <c r="BW216" s="1422">
        <v>0</v>
      </c>
      <c r="BX216" s="1422">
        <v>0</v>
      </c>
      <c r="BY216" s="1422">
        <v>0</v>
      </c>
      <c r="BZ216" s="1422">
        <v>0</v>
      </c>
      <c r="CA216" s="1420">
        <v>433606.86</v>
      </c>
      <c r="CB216" s="1422">
        <v>70297</v>
      </c>
      <c r="CC216" s="1420">
        <v>725524.37</v>
      </c>
      <c r="CD216" s="1422">
        <v>218024</v>
      </c>
      <c r="CE216" s="1420">
        <v>687196.97</v>
      </c>
      <c r="CF216" s="1420">
        <v>347477.67</v>
      </c>
      <c r="CG216" s="1422">
        <v>0</v>
      </c>
      <c r="CH216" s="1422">
        <v>906500</v>
      </c>
      <c r="CI216" s="1422">
        <v>0</v>
      </c>
      <c r="CJ216" s="1422">
        <v>0</v>
      </c>
      <c r="CK216" s="1422">
        <v>0</v>
      </c>
      <c r="CL216" s="1422">
        <v>0</v>
      </c>
      <c r="CM216" s="1422">
        <v>0</v>
      </c>
      <c r="CN216" s="1422">
        <v>0</v>
      </c>
      <c r="CO216" s="1422">
        <v>0</v>
      </c>
      <c r="CP216" s="1422">
        <v>0</v>
      </c>
      <c r="CQ216" s="1422">
        <v>0</v>
      </c>
      <c r="CR216" s="1422">
        <v>0</v>
      </c>
      <c r="CS216" s="1422">
        <v>0</v>
      </c>
      <c r="CT216" s="1422">
        <v>906500</v>
      </c>
      <c r="CU216" s="1420">
        <v>6618860.9100000001</v>
      </c>
      <c r="CV216" s="1420">
        <v>6521036.6699999999</v>
      </c>
      <c r="CW216" s="1420">
        <v>2987325.9</v>
      </c>
      <c r="CX216" s="1420">
        <v>2978174.98</v>
      </c>
      <c r="CY216" s="1420">
        <v>393873.34</v>
      </c>
      <c r="CZ216" s="1420">
        <v>386688.17</v>
      </c>
      <c r="DA216" s="1420">
        <v>112693.13</v>
      </c>
      <c r="DB216" s="1420">
        <v>113069.15</v>
      </c>
      <c r="DC216" s="1422">
        <v>0</v>
      </c>
      <c r="DD216" s="1422">
        <v>0</v>
      </c>
      <c r="DE216" s="1420">
        <v>105897.44</v>
      </c>
      <c r="DF216" s="1420">
        <v>101842.33</v>
      </c>
      <c r="DG216" s="1420">
        <v>42951.86</v>
      </c>
      <c r="DH216" s="1420">
        <v>43774.99</v>
      </c>
      <c r="DI216" s="1420">
        <v>3642741.67</v>
      </c>
      <c r="DJ216" s="1420">
        <v>3623549.62</v>
      </c>
      <c r="DK216" s="1420">
        <v>220002.08</v>
      </c>
      <c r="DL216" s="1420">
        <v>200201.34</v>
      </c>
      <c r="DM216" s="1420">
        <v>172001.18</v>
      </c>
      <c r="DN216" s="1420">
        <v>156625.41</v>
      </c>
      <c r="DO216" s="1420">
        <v>462606.64</v>
      </c>
      <c r="DP216" s="1420">
        <v>517830.12</v>
      </c>
      <c r="DQ216" s="1420">
        <v>263929.32</v>
      </c>
      <c r="DR216" s="1420">
        <v>185114.2</v>
      </c>
      <c r="DS216" s="1420">
        <v>11563.46</v>
      </c>
      <c r="DT216" s="1420">
        <v>11563.46</v>
      </c>
      <c r="DU216" s="1420">
        <v>1130102.68</v>
      </c>
      <c r="DV216" s="1420">
        <v>1071334.53</v>
      </c>
      <c r="DW216" s="1420">
        <v>324345.90000000002</v>
      </c>
      <c r="DX216" s="1420">
        <v>261471.06</v>
      </c>
      <c r="DY216" s="1420">
        <v>152276.68</v>
      </c>
      <c r="DZ216" s="1420">
        <v>161415.26999999999</v>
      </c>
      <c r="EA216" s="1420">
        <v>233357.97</v>
      </c>
      <c r="EB216" s="1420">
        <v>281829.01</v>
      </c>
      <c r="EC216" s="1420">
        <v>709980.55</v>
      </c>
      <c r="ED216" s="1420">
        <v>704715.34</v>
      </c>
      <c r="EE216" s="1420">
        <v>293780.86</v>
      </c>
      <c r="EF216" s="1420">
        <v>260814.88</v>
      </c>
      <c r="EG216" s="1422">
        <v>0</v>
      </c>
      <c r="EH216" s="1422">
        <v>0</v>
      </c>
      <c r="EI216" s="1420">
        <v>718.56</v>
      </c>
      <c r="EJ216" s="1420">
        <v>4001.71</v>
      </c>
      <c r="EK216" s="1422">
        <v>0</v>
      </c>
      <c r="EL216" s="1422">
        <v>0</v>
      </c>
      <c r="EM216" s="1420">
        <v>294499.42</v>
      </c>
      <c r="EN216" s="1420">
        <v>264816.59000000003</v>
      </c>
      <c r="EO216" s="1420">
        <v>1938093.58</v>
      </c>
      <c r="EP216" s="1420">
        <v>379979.69</v>
      </c>
      <c r="EQ216" s="1422">
        <v>224390</v>
      </c>
      <c r="ER216" s="1422">
        <v>223190</v>
      </c>
      <c r="ES216" s="1422">
        <v>138693</v>
      </c>
      <c r="ET216" s="1422">
        <v>0</v>
      </c>
      <c r="EU216" s="1420">
        <v>8078500.9000000004</v>
      </c>
      <c r="EV216" s="1420">
        <v>6267585.7699999996</v>
      </c>
      <c r="EW216" s="1420">
        <v>2062424.25</v>
      </c>
      <c r="EX216" s="1420">
        <v>428760.1</v>
      </c>
      <c r="EY216" s="1422">
        <v>224390</v>
      </c>
      <c r="EZ216" s="1422">
        <v>223190</v>
      </c>
      <c r="FA216" s="1420">
        <v>5791686.6500000004</v>
      </c>
      <c r="FB216" s="1420">
        <v>5615635.6699999999</v>
      </c>
      <c r="FC216" s="1422">
        <v>538728</v>
      </c>
      <c r="FD216" s="1439"/>
      <c r="FE216" s="1420">
        <v>5252958.6500000004</v>
      </c>
      <c r="FF216" s="1439"/>
      <c r="FG216" s="1422">
        <v>8355</v>
      </c>
      <c r="FH216" s="1439"/>
      <c r="FI216" s="1420">
        <v>51.84</v>
      </c>
      <c r="FJ216" s="1439"/>
      <c r="FK216" s="1422">
        <v>42984</v>
      </c>
      <c r="FL216" s="1439"/>
      <c r="FM216" s="1420">
        <v>55.5</v>
      </c>
      <c r="FN216" s="1439"/>
      <c r="FO216" s="1422">
        <v>45610</v>
      </c>
      <c r="FP216" s="1439"/>
      <c r="FQ216" s="1420">
        <v>1552520.68</v>
      </c>
      <c r="FR216" s="1439"/>
      <c r="FS216" s="1420">
        <v>4687.8100000000004</v>
      </c>
      <c r="FT216" s="1439"/>
      <c r="FU216" s="1422">
        <v>0</v>
      </c>
      <c r="FV216" s="1439"/>
      <c r="FW216" s="1420">
        <v>1547832.87</v>
      </c>
      <c r="FX216" s="1439"/>
      <c r="FY216" s="1420">
        <v>719349.59</v>
      </c>
      <c r="FZ216" s="1439"/>
      <c r="GA216" s="1420">
        <v>85777.85</v>
      </c>
      <c r="GB216" s="1439"/>
    </row>
    <row r="217" spans="1:184" ht="12.75" customHeight="1" thickBot="1">
      <c r="A217" s="1418" t="s">
        <v>117</v>
      </c>
      <c r="B217" s="1418" t="s">
        <v>118</v>
      </c>
      <c r="C217" s="1420">
        <v>241.7</v>
      </c>
      <c r="D217" s="1439"/>
      <c r="E217" s="1420">
        <v>807.92</v>
      </c>
      <c r="F217" s="1439"/>
      <c r="G217" s="1421">
        <v>0.03</v>
      </c>
      <c r="H217" s="1439"/>
      <c r="I217" s="1420">
        <v>850.11</v>
      </c>
      <c r="J217" s="1439"/>
      <c r="K217" s="1420">
        <v>897.38</v>
      </c>
      <c r="L217" s="1439"/>
      <c r="M217" s="1422">
        <v>76580465</v>
      </c>
      <c r="N217" s="1439"/>
      <c r="O217" s="1422">
        <v>25</v>
      </c>
      <c r="P217" s="1439"/>
      <c r="Q217" s="1422">
        <v>25</v>
      </c>
      <c r="R217" s="1439"/>
      <c r="S217" s="1422">
        <v>0</v>
      </c>
      <c r="T217" s="1439"/>
      <c r="U217" s="1422">
        <v>0</v>
      </c>
      <c r="V217" s="1439"/>
      <c r="W217" s="1422">
        <v>16</v>
      </c>
      <c r="X217" s="1439"/>
      <c r="Y217" s="1422">
        <v>41</v>
      </c>
      <c r="Z217" s="1439"/>
      <c r="AA217" s="1422">
        <v>5325000</v>
      </c>
      <c r="AB217" s="1439"/>
      <c r="AC217" s="1420">
        <v>2917552.54</v>
      </c>
      <c r="AD217" s="1422">
        <v>2485000</v>
      </c>
      <c r="AE217" s="1420">
        <v>519296.34</v>
      </c>
      <c r="AF217" s="1422">
        <v>287810</v>
      </c>
      <c r="AG217" s="1420">
        <v>74566.36</v>
      </c>
      <c r="AH217" s="1422">
        <v>65000</v>
      </c>
      <c r="AI217" s="1422">
        <v>3588474</v>
      </c>
      <c r="AJ217" s="1422">
        <v>3317781</v>
      </c>
      <c r="AK217" s="1422">
        <v>26612</v>
      </c>
      <c r="AL217" s="1422">
        <v>15000</v>
      </c>
      <c r="AM217" s="1422">
        <v>0</v>
      </c>
      <c r="AN217" s="1422">
        <v>0</v>
      </c>
      <c r="AO217" s="1422">
        <v>0</v>
      </c>
      <c r="AP217" s="1422">
        <v>141681</v>
      </c>
      <c r="AQ217" s="1422">
        <v>0</v>
      </c>
      <c r="AR217" s="1422">
        <v>0</v>
      </c>
      <c r="AS217" s="1422">
        <v>0</v>
      </c>
      <c r="AT217" s="1422">
        <v>0</v>
      </c>
      <c r="AU217" s="1422">
        <v>22348</v>
      </c>
      <c r="AV217" s="1422">
        <v>17879</v>
      </c>
      <c r="AW217" s="1422">
        <v>0</v>
      </c>
      <c r="AX217" s="1422">
        <v>0</v>
      </c>
      <c r="AY217" s="1420">
        <v>7148849.2400000002</v>
      </c>
      <c r="AZ217" s="1422">
        <v>6330151</v>
      </c>
      <c r="BA217" s="1422">
        <v>0</v>
      </c>
      <c r="BB217" s="1422">
        <v>0</v>
      </c>
      <c r="BC217" s="1422">
        <v>37116</v>
      </c>
      <c r="BD217" s="1422">
        <v>36076</v>
      </c>
      <c r="BE217" s="1420">
        <v>17719.68</v>
      </c>
      <c r="BF217" s="1422">
        <v>1400</v>
      </c>
      <c r="BG217" s="1422">
        <v>1900</v>
      </c>
      <c r="BH217" s="1422">
        <v>0</v>
      </c>
      <c r="BI217" s="1422">
        <v>3819</v>
      </c>
      <c r="BJ217" s="1422">
        <v>9907</v>
      </c>
      <c r="BK217" s="1422">
        <v>5274</v>
      </c>
      <c r="BL217" s="1422">
        <v>0</v>
      </c>
      <c r="BM217" s="1422">
        <v>217744</v>
      </c>
      <c r="BN217" s="1422">
        <v>217580</v>
      </c>
      <c r="BO217" s="1420">
        <v>77906.31</v>
      </c>
      <c r="BP217" s="1422">
        <v>81875</v>
      </c>
      <c r="BQ217" s="1420">
        <v>36562.519999999997</v>
      </c>
      <c r="BR217" s="1420">
        <v>34937.5</v>
      </c>
      <c r="BS217" s="1420">
        <v>2699.78</v>
      </c>
      <c r="BT217" s="1422">
        <v>0</v>
      </c>
      <c r="BU217" s="1422">
        <v>0</v>
      </c>
      <c r="BV217" s="1422">
        <v>0</v>
      </c>
      <c r="BW217" s="1420">
        <v>287780.2</v>
      </c>
      <c r="BX217" s="1420">
        <v>270616.77</v>
      </c>
      <c r="BY217" s="1422">
        <v>0</v>
      </c>
      <c r="BZ217" s="1422">
        <v>0</v>
      </c>
      <c r="CA217" s="1422">
        <v>33701</v>
      </c>
      <c r="CB217" s="1422">
        <v>26645</v>
      </c>
      <c r="CC217" s="1420">
        <v>722222.49</v>
      </c>
      <c r="CD217" s="1420">
        <v>679037.27</v>
      </c>
      <c r="CE217" s="1420">
        <v>969880.89</v>
      </c>
      <c r="CF217" s="1420">
        <v>908038.06</v>
      </c>
      <c r="CG217" s="1422">
        <v>0</v>
      </c>
      <c r="CH217" s="1422">
        <v>0</v>
      </c>
      <c r="CI217" s="1422">
        <v>0</v>
      </c>
      <c r="CJ217" s="1422">
        <v>0</v>
      </c>
      <c r="CK217" s="1422">
        <v>0</v>
      </c>
      <c r="CL217" s="1422">
        <v>0</v>
      </c>
      <c r="CM217" s="1422">
        <v>505</v>
      </c>
      <c r="CN217" s="1422">
        <v>0</v>
      </c>
      <c r="CO217" s="1422">
        <v>0</v>
      </c>
      <c r="CP217" s="1422">
        <v>0</v>
      </c>
      <c r="CQ217" s="1422">
        <v>0</v>
      </c>
      <c r="CR217" s="1422">
        <v>0</v>
      </c>
      <c r="CS217" s="1422">
        <v>505</v>
      </c>
      <c r="CT217" s="1422">
        <v>0</v>
      </c>
      <c r="CU217" s="1420">
        <v>8841457.6199999992</v>
      </c>
      <c r="CV217" s="1420">
        <v>7917226.3300000001</v>
      </c>
      <c r="CW217" s="1420">
        <v>3205067.61</v>
      </c>
      <c r="CX217" s="1420">
        <v>3132607.53</v>
      </c>
      <c r="CY217" s="1420">
        <v>540069.06000000006</v>
      </c>
      <c r="CZ217" s="1420">
        <v>491492.77</v>
      </c>
      <c r="DA217" s="1420">
        <v>287977.89</v>
      </c>
      <c r="DB217" s="1420">
        <v>334656.11</v>
      </c>
      <c r="DC217" s="1422">
        <v>0</v>
      </c>
      <c r="DD217" s="1422">
        <v>0</v>
      </c>
      <c r="DE217" s="1420">
        <v>213795.56</v>
      </c>
      <c r="DF217" s="1420">
        <v>170749.26</v>
      </c>
      <c r="DG217" s="1420">
        <v>348249.16</v>
      </c>
      <c r="DH217" s="1420">
        <v>346473.57</v>
      </c>
      <c r="DI217" s="1420">
        <v>4595159.28</v>
      </c>
      <c r="DJ217" s="1420">
        <v>4475979.24</v>
      </c>
      <c r="DK217" s="1420">
        <v>357889.79</v>
      </c>
      <c r="DL217" s="1420">
        <v>368386.64</v>
      </c>
      <c r="DM217" s="1420">
        <v>150715.73000000001</v>
      </c>
      <c r="DN217" s="1420">
        <v>194922.21</v>
      </c>
      <c r="DO217" s="1420">
        <v>761880.56</v>
      </c>
      <c r="DP217" s="1420">
        <v>794846.12</v>
      </c>
      <c r="DQ217" s="1420">
        <v>252578.36</v>
      </c>
      <c r="DR217" s="1420">
        <v>333462.82</v>
      </c>
      <c r="DS217" s="1420">
        <v>23920.19</v>
      </c>
      <c r="DT217" s="1422">
        <v>11000</v>
      </c>
      <c r="DU217" s="1420">
        <v>1546984.63</v>
      </c>
      <c r="DV217" s="1420">
        <v>1702617.79</v>
      </c>
      <c r="DW217" s="1420">
        <v>383497.22</v>
      </c>
      <c r="DX217" s="1420">
        <v>356278.07</v>
      </c>
      <c r="DY217" s="1422">
        <v>864849</v>
      </c>
      <c r="DZ217" s="1420">
        <v>905676.59</v>
      </c>
      <c r="EA217" s="1420">
        <v>231985.03</v>
      </c>
      <c r="EB217" s="1420">
        <v>233726.05</v>
      </c>
      <c r="EC217" s="1420">
        <v>1480331.25</v>
      </c>
      <c r="ED217" s="1420">
        <v>1495680.71</v>
      </c>
      <c r="EE217" s="1420">
        <v>344324.16</v>
      </c>
      <c r="EF217" s="1420">
        <v>335360.42</v>
      </c>
      <c r="EG217" s="1422">
        <v>0</v>
      </c>
      <c r="EH217" s="1422">
        <v>0</v>
      </c>
      <c r="EI217" s="1422">
        <v>100</v>
      </c>
      <c r="EJ217" s="1420">
        <v>1001.16</v>
      </c>
      <c r="EK217" s="1422">
        <v>0</v>
      </c>
      <c r="EL217" s="1422">
        <v>0</v>
      </c>
      <c r="EM217" s="1420">
        <v>344424.16</v>
      </c>
      <c r="EN217" s="1420">
        <v>336361.58</v>
      </c>
      <c r="EO217" s="1420">
        <v>107316.49</v>
      </c>
      <c r="EP217" s="1422">
        <v>4705</v>
      </c>
      <c r="EQ217" s="1420">
        <v>364793.76</v>
      </c>
      <c r="ER217" s="1422">
        <v>360451</v>
      </c>
      <c r="ES217" s="1420">
        <v>53010.7</v>
      </c>
      <c r="ET217" s="1422">
        <v>0</v>
      </c>
      <c r="EU217" s="1420">
        <v>8492020.2699999996</v>
      </c>
      <c r="EV217" s="1420">
        <v>8375795.3200000003</v>
      </c>
      <c r="EW217" s="1420">
        <v>212179.18</v>
      </c>
      <c r="EX217" s="1422">
        <v>106480</v>
      </c>
      <c r="EY217" s="1420">
        <v>364793.76</v>
      </c>
      <c r="EZ217" s="1422">
        <v>360451</v>
      </c>
      <c r="FA217" s="1420">
        <v>7915047.3300000001</v>
      </c>
      <c r="FB217" s="1420">
        <v>7908864.3200000003</v>
      </c>
      <c r="FC217" s="1420">
        <v>826008.45</v>
      </c>
      <c r="FD217" s="1439"/>
      <c r="FE217" s="1420">
        <v>7089038.8799999999</v>
      </c>
      <c r="FF217" s="1439"/>
      <c r="FG217" s="1422">
        <v>8774</v>
      </c>
      <c r="FH217" s="1439"/>
      <c r="FI217" s="1420">
        <v>64.13</v>
      </c>
      <c r="FJ217" s="1439"/>
      <c r="FK217" s="1422">
        <v>40726</v>
      </c>
      <c r="FL217" s="1439"/>
      <c r="FM217" s="1420">
        <v>72.349999999999994</v>
      </c>
      <c r="FN217" s="1439"/>
      <c r="FO217" s="1422">
        <v>43195</v>
      </c>
      <c r="FP217" s="1439"/>
      <c r="FQ217" s="1420">
        <v>2305671.9900000002</v>
      </c>
      <c r="FR217" s="1439"/>
      <c r="FS217" s="1420">
        <v>30520.15</v>
      </c>
      <c r="FT217" s="1439"/>
      <c r="FU217" s="1422">
        <v>0</v>
      </c>
      <c r="FV217" s="1439"/>
      <c r="FW217" s="1420">
        <v>2275151.84</v>
      </c>
      <c r="FX217" s="1439"/>
      <c r="FY217" s="1420">
        <v>845614.73</v>
      </c>
      <c r="FZ217" s="1439"/>
      <c r="GA217" s="1422">
        <v>0</v>
      </c>
      <c r="GB217" s="1439"/>
    </row>
    <row r="218" spans="1:184" ht="12.75" customHeight="1" thickBot="1">
      <c r="A218" s="1418" t="s">
        <v>119</v>
      </c>
      <c r="B218" s="1418" t="s">
        <v>120</v>
      </c>
      <c r="C218" s="1420">
        <v>303.29000000000002</v>
      </c>
      <c r="D218" s="1439"/>
      <c r="E218" s="1420">
        <v>421.53</v>
      </c>
      <c r="F218" s="1439"/>
      <c r="G218" s="1421">
        <v>-0.33</v>
      </c>
      <c r="H218" s="1439"/>
      <c r="I218" s="1420">
        <v>445.83</v>
      </c>
      <c r="J218" s="1439"/>
      <c r="K218" s="1420">
        <v>471.55</v>
      </c>
      <c r="L218" s="1439"/>
      <c r="M218" s="1422">
        <v>39603262</v>
      </c>
      <c r="N218" s="1439"/>
      <c r="O218" s="1420">
        <v>25.7</v>
      </c>
      <c r="P218" s="1439"/>
      <c r="Q218" s="1422">
        <v>25</v>
      </c>
      <c r="R218" s="1439"/>
      <c r="S218" s="1420">
        <v>0.7</v>
      </c>
      <c r="T218" s="1439"/>
      <c r="U218" s="1422">
        <v>0</v>
      </c>
      <c r="V218" s="1439"/>
      <c r="W218" s="1420">
        <v>13.3</v>
      </c>
      <c r="X218" s="1439"/>
      <c r="Y218" s="1422">
        <v>39</v>
      </c>
      <c r="Z218" s="1439"/>
      <c r="AA218" s="1420">
        <v>1590130.05</v>
      </c>
      <c r="AB218" s="1439"/>
      <c r="AC218" s="1420">
        <v>1571912.49</v>
      </c>
      <c r="AD218" s="1422">
        <v>1455000</v>
      </c>
      <c r="AE218" s="1420">
        <v>274012.11</v>
      </c>
      <c r="AF218" s="1422">
        <v>177050</v>
      </c>
      <c r="AG218" s="1420">
        <v>39182.699999999997</v>
      </c>
      <c r="AH218" s="1422">
        <v>35000</v>
      </c>
      <c r="AI218" s="1422">
        <v>1762364</v>
      </c>
      <c r="AJ218" s="1422">
        <v>1705013</v>
      </c>
      <c r="AK218" s="1422">
        <v>10603</v>
      </c>
      <c r="AL218" s="1422">
        <v>10000</v>
      </c>
      <c r="AM218" s="1422">
        <v>0</v>
      </c>
      <c r="AN218" s="1422">
        <v>0</v>
      </c>
      <c r="AO218" s="1422">
        <v>253147</v>
      </c>
      <c r="AP218" s="1422">
        <v>72069</v>
      </c>
      <c r="AQ218" s="1422">
        <v>0</v>
      </c>
      <c r="AR218" s="1422">
        <v>0</v>
      </c>
      <c r="AS218" s="1422">
        <v>0</v>
      </c>
      <c r="AT218" s="1422">
        <v>0</v>
      </c>
      <c r="AU218" s="1422">
        <v>11649</v>
      </c>
      <c r="AV218" s="1422">
        <v>9319</v>
      </c>
      <c r="AW218" s="1422">
        <v>0</v>
      </c>
      <c r="AX218" s="1422">
        <v>0</v>
      </c>
      <c r="AY218" s="1420">
        <v>3922870.3</v>
      </c>
      <c r="AZ218" s="1422">
        <v>3463451</v>
      </c>
      <c r="BA218" s="1422">
        <v>0</v>
      </c>
      <c r="BB218" s="1422">
        <v>0</v>
      </c>
      <c r="BC218" s="1422">
        <v>19503</v>
      </c>
      <c r="BD218" s="1422">
        <v>18990</v>
      </c>
      <c r="BE218" s="1420">
        <v>152344.44</v>
      </c>
      <c r="BF218" s="1420">
        <v>2118.5100000000002</v>
      </c>
      <c r="BG218" s="1422">
        <v>0</v>
      </c>
      <c r="BH218" s="1422">
        <v>0</v>
      </c>
      <c r="BI218" s="1422">
        <v>126928</v>
      </c>
      <c r="BJ218" s="1422">
        <v>23129</v>
      </c>
      <c r="BK218" s="1422">
        <v>0</v>
      </c>
      <c r="BL218" s="1422">
        <v>0</v>
      </c>
      <c r="BM218" s="1422">
        <v>391840</v>
      </c>
      <c r="BN218" s="1422">
        <v>374440</v>
      </c>
      <c r="BO218" s="1420">
        <v>41255.07</v>
      </c>
      <c r="BP218" s="1422">
        <v>35000</v>
      </c>
      <c r="BQ218" s="1420">
        <v>20312.52</v>
      </c>
      <c r="BR218" s="1422">
        <v>10000</v>
      </c>
      <c r="BS218" s="1420">
        <v>2090.7399999999998</v>
      </c>
      <c r="BT218" s="1422">
        <v>2000</v>
      </c>
      <c r="BU218" s="1422">
        <v>0</v>
      </c>
      <c r="BV218" s="1422">
        <v>0</v>
      </c>
      <c r="BW218" s="1422">
        <v>0</v>
      </c>
      <c r="BX218" s="1422">
        <v>0</v>
      </c>
      <c r="BY218" s="1422">
        <v>0</v>
      </c>
      <c r="BZ218" s="1422">
        <v>0</v>
      </c>
      <c r="CA218" s="1422">
        <v>14831</v>
      </c>
      <c r="CB218" s="1422">
        <v>13327</v>
      </c>
      <c r="CC218" s="1420">
        <v>769104.77</v>
      </c>
      <c r="CD218" s="1420">
        <v>479004.51</v>
      </c>
      <c r="CE218" s="1420">
        <v>1490341.32</v>
      </c>
      <c r="CF218" s="1420">
        <v>725364.68</v>
      </c>
      <c r="CG218" s="1422">
        <v>0</v>
      </c>
      <c r="CH218" s="1422">
        <v>0</v>
      </c>
      <c r="CI218" s="1422">
        <v>0</v>
      </c>
      <c r="CJ218" s="1422">
        <v>0</v>
      </c>
      <c r="CK218" s="1422">
        <v>0</v>
      </c>
      <c r="CL218" s="1422">
        <v>0</v>
      </c>
      <c r="CM218" s="1422">
        <v>0</v>
      </c>
      <c r="CN218" s="1422">
        <v>0</v>
      </c>
      <c r="CO218" s="1422">
        <v>0</v>
      </c>
      <c r="CP218" s="1422">
        <v>0</v>
      </c>
      <c r="CQ218" s="1422">
        <v>0</v>
      </c>
      <c r="CR218" s="1422">
        <v>0</v>
      </c>
      <c r="CS218" s="1422">
        <v>0</v>
      </c>
      <c r="CT218" s="1422">
        <v>0</v>
      </c>
      <c r="CU218" s="1420">
        <v>6182316.3899999997</v>
      </c>
      <c r="CV218" s="1420">
        <v>4667820.1900000004</v>
      </c>
      <c r="CW218" s="1420">
        <v>1865098.54</v>
      </c>
      <c r="CX218" s="1420">
        <v>1528999.62</v>
      </c>
      <c r="CY218" s="1420">
        <v>296803.89</v>
      </c>
      <c r="CZ218" s="1420">
        <v>324537.37</v>
      </c>
      <c r="DA218" s="1420">
        <v>217667.82</v>
      </c>
      <c r="DB218" s="1422">
        <v>3975</v>
      </c>
      <c r="DC218" s="1422">
        <v>0</v>
      </c>
      <c r="DD218" s="1422">
        <v>0</v>
      </c>
      <c r="DE218" s="1420">
        <v>304656.65000000002</v>
      </c>
      <c r="DF218" s="1420">
        <v>152585.76</v>
      </c>
      <c r="DG218" s="1420">
        <v>186391.34</v>
      </c>
      <c r="DH218" s="1420">
        <v>135548.26</v>
      </c>
      <c r="DI218" s="1420">
        <v>2870618.24</v>
      </c>
      <c r="DJ218" s="1420">
        <v>2145646.0099999998</v>
      </c>
      <c r="DK218" s="1420">
        <v>515714.52</v>
      </c>
      <c r="DL218" s="1420">
        <v>283743.12</v>
      </c>
      <c r="DM218" s="1420">
        <v>128536.89</v>
      </c>
      <c r="DN218" s="1422">
        <v>118125</v>
      </c>
      <c r="DO218" s="1420">
        <v>556168.72</v>
      </c>
      <c r="DP218" s="1420">
        <v>484011.58</v>
      </c>
      <c r="DQ218" s="1420">
        <v>240124.52</v>
      </c>
      <c r="DR218" s="1420">
        <v>220915.39</v>
      </c>
      <c r="DS218" s="1422">
        <v>0</v>
      </c>
      <c r="DT218" s="1422">
        <v>0</v>
      </c>
      <c r="DU218" s="1420">
        <v>1440544.65</v>
      </c>
      <c r="DV218" s="1420">
        <v>1106795.0900000001</v>
      </c>
      <c r="DW218" s="1420">
        <v>331689.15999999997</v>
      </c>
      <c r="DX218" s="1420">
        <v>231677.85</v>
      </c>
      <c r="DY218" s="1420">
        <v>495698.43</v>
      </c>
      <c r="DZ218" s="1420">
        <v>428798.29</v>
      </c>
      <c r="EA218" s="1420">
        <v>258054.13</v>
      </c>
      <c r="EB218" s="1420">
        <v>190916.11</v>
      </c>
      <c r="EC218" s="1420">
        <v>1085441.72</v>
      </c>
      <c r="ED218" s="1420">
        <v>851392.25</v>
      </c>
      <c r="EE218" s="1420">
        <v>327164.02</v>
      </c>
      <c r="EF218" s="1420">
        <v>330795.5</v>
      </c>
      <c r="EG218" s="1422">
        <v>0</v>
      </c>
      <c r="EH218" s="1422">
        <v>0</v>
      </c>
      <c r="EI218" s="1422">
        <v>0</v>
      </c>
      <c r="EJ218" s="1422">
        <v>2000</v>
      </c>
      <c r="EK218" s="1422">
        <v>0</v>
      </c>
      <c r="EL218" s="1422">
        <v>0</v>
      </c>
      <c r="EM218" s="1420">
        <v>327164.02</v>
      </c>
      <c r="EN218" s="1420">
        <v>332795.5</v>
      </c>
      <c r="EO218" s="1420">
        <v>157607.85</v>
      </c>
      <c r="EP218" s="1422">
        <v>0</v>
      </c>
      <c r="EQ218" s="1420">
        <v>181894.88</v>
      </c>
      <c r="ER218" s="1422">
        <v>183400</v>
      </c>
      <c r="ES218" s="1422">
        <v>10000</v>
      </c>
      <c r="ET218" s="1422">
        <v>0</v>
      </c>
      <c r="EU218" s="1420">
        <v>6073271.3600000003</v>
      </c>
      <c r="EV218" s="1420">
        <v>4620028.8499999996</v>
      </c>
      <c r="EW218" s="1420">
        <v>169315.02</v>
      </c>
      <c r="EX218" s="1422">
        <v>5000</v>
      </c>
      <c r="EY218" s="1420">
        <v>181894.88</v>
      </c>
      <c r="EZ218" s="1422">
        <v>183400</v>
      </c>
      <c r="FA218" s="1420">
        <v>5722061.46</v>
      </c>
      <c r="FB218" s="1420">
        <v>4431628.8499999996</v>
      </c>
      <c r="FC218" s="1420">
        <v>185226.93</v>
      </c>
      <c r="FD218" s="1439"/>
      <c r="FE218" s="1420">
        <v>5536834.5300000003</v>
      </c>
      <c r="FF218" s="1439"/>
      <c r="FG218" s="1422">
        <v>13135</v>
      </c>
      <c r="FH218" s="1439"/>
      <c r="FI218" s="1420">
        <v>24.02</v>
      </c>
      <c r="FJ218" s="1439"/>
      <c r="FK218" s="1422">
        <v>63664</v>
      </c>
      <c r="FL218" s="1439"/>
      <c r="FM218" s="1420">
        <v>28.02</v>
      </c>
      <c r="FN218" s="1439"/>
      <c r="FO218" s="1422">
        <v>71890</v>
      </c>
      <c r="FP218" s="1439"/>
      <c r="FQ218" s="1420">
        <v>919988.98</v>
      </c>
      <c r="FR218" s="1439"/>
      <c r="FS218" s="1420">
        <v>111839.36</v>
      </c>
      <c r="FT218" s="1439"/>
      <c r="FU218" s="1422">
        <v>0</v>
      </c>
      <c r="FV218" s="1439"/>
      <c r="FW218" s="1420">
        <v>808149.62</v>
      </c>
      <c r="FX218" s="1439"/>
      <c r="FY218" s="1422">
        <v>0</v>
      </c>
      <c r="FZ218" s="1439"/>
      <c r="GA218" s="1422">
        <v>0</v>
      </c>
      <c r="GB218" s="1439"/>
    </row>
    <row r="219" spans="1:184" ht="12.75" customHeight="1" thickBot="1">
      <c r="A219" s="1418" t="s">
        <v>121</v>
      </c>
      <c r="B219" s="1418" t="s">
        <v>122</v>
      </c>
      <c r="C219" s="1420">
        <v>487.62</v>
      </c>
      <c r="D219" s="1439"/>
      <c r="E219" s="1420">
        <v>1251.7</v>
      </c>
      <c r="F219" s="1439"/>
      <c r="G219" s="1421">
        <v>0.02</v>
      </c>
      <c r="H219" s="1439"/>
      <c r="I219" s="1420">
        <v>1331.54</v>
      </c>
      <c r="J219" s="1439"/>
      <c r="K219" s="1420">
        <v>1322.07</v>
      </c>
      <c r="L219" s="1439"/>
      <c r="M219" s="1422">
        <v>199480532</v>
      </c>
      <c r="N219" s="1439"/>
      <c r="O219" s="1422">
        <v>25</v>
      </c>
      <c r="P219" s="1439"/>
      <c r="Q219" s="1422">
        <v>25</v>
      </c>
      <c r="R219" s="1439"/>
      <c r="S219" s="1422">
        <v>0</v>
      </c>
      <c r="T219" s="1439"/>
      <c r="U219" s="1422">
        <v>0</v>
      </c>
      <c r="V219" s="1439"/>
      <c r="W219" s="1420">
        <v>7.8</v>
      </c>
      <c r="X219" s="1439"/>
      <c r="Y219" s="1420">
        <v>32.799999999999997</v>
      </c>
      <c r="Z219" s="1439"/>
      <c r="AA219" s="1420">
        <v>7145787.4400000004</v>
      </c>
      <c r="AB219" s="1439"/>
      <c r="AC219" s="1420">
        <v>4806763.4400000004</v>
      </c>
      <c r="AD219" s="1422">
        <v>6134322</v>
      </c>
      <c r="AE219" s="1420">
        <v>688023.23</v>
      </c>
      <c r="AF219" s="1422">
        <v>413371</v>
      </c>
      <c r="AG219" s="1422">
        <v>0</v>
      </c>
      <c r="AH219" s="1422">
        <v>0</v>
      </c>
      <c r="AI219" s="1422">
        <v>3514825</v>
      </c>
      <c r="AJ219" s="1422">
        <v>3058602</v>
      </c>
      <c r="AK219" s="1422">
        <v>191347</v>
      </c>
      <c r="AL219" s="1422">
        <v>0</v>
      </c>
      <c r="AM219" s="1422">
        <v>104184</v>
      </c>
      <c r="AN219" s="1422">
        <v>184320</v>
      </c>
      <c r="AO219" s="1422">
        <v>0</v>
      </c>
      <c r="AP219" s="1422">
        <v>0</v>
      </c>
      <c r="AQ219" s="1422">
        <v>0</v>
      </c>
      <c r="AR219" s="1422">
        <v>0</v>
      </c>
      <c r="AS219" s="1422">
        <v>0</v>
      </c>
      <c r="AT219" s="1422">
        <v>0</v>
      </c>
      <c r="AU219" s="1422">
        <v>0</v>
      </c>
      <c r="AV219" s="1422">
        <v>0</v>
      </c>
      <c r="AW219" s="1422">
        <v>0</v>
      </c>
      <c r="AX219" s="1422">
        <v>0</v>
      </c>
      <c r="AY219" s="1420">
        <v>9305142.6699999999</v>
      </c>
      <c r="AZ219" s="1422">
        <v>9790615</v>
      </c>
      <c r="BA219" s="1422">
        <v>0</v>
      </c>
      <c r="BB219" s="1422">
        <v>0</v>
      </c>
      <c r="BC219" s="1422">
        <v>54681</v>
      </c>
      <c r="BD219" s="1422">
        <v>56651</v>
      </c>
      <c r="BE219" s="1420">
        <v>22670.58</v>
      </c>
      <c r="BF219" s="1422">
        <v>0</v>
      </c>
      <c r="BG219" s="1422">
        <v>800</v>
      </c>
      <c r="BH219" s="1422">
        <v>0</v>
      </c>
      <c r="BI219" s="1422">
        <v>115105</v>
      </c>
      <c r="BJ219" s="1422">
        <v>123148</v>
      </c>
      <c r="BK219" s="1422">
        <v>4981</v>
      </c>
      <c r="BL219" s="1422">
        <v>14568</v>
      </c>
      <c r="BM219" s="1422">
        <v>609085</v>
      </c>
      <c r="BN219" s="1420">
        <v>798280.44</v>
      </c>
      <c r="BO219" s="1420">
        <v>185599.65</v>
      </c>
      <c r="BP219" s="1422">
        <v>234785</v>
      </c>
      <c r="BQ219" s="1420">
        <v>33312.519999999997</v>
      </c>
      <c r="BR219" s="1420">
        <v>31687.5</v>
      </c>
      <c r="BS219" s="1422">
        <v>5450</v>
      </c>
      <c r="BT219" s="1422">
        <v>3543</v>
      </c>
      <c r="BU219" s="1422">
        <v>0</v>
      </c>
      <c r="BV219" s="1422">
        <v>0</v>
      </c>
      <c r="BW219" s="1422">
        <v>193914</v>
      </c>
      <c r="BX219" s="1422">
        <v>194400</v>
      </c>
      <c r="BY219" s="1422">
        <v>0</v>
      </c>
      <c r="BZ219" s="1422">
        <v>0</v>
      </c>
      <c r="CA219" s="1422">
        <v>18077</v>
      </c>
      <c r="CB219" s="1422">
        <v>14776</v>
      </c>
      <c r="CC219" s="1420">
        <v>1243675.75</v>
      </c>
      <c r="CD219" s="1420">
        <v>1471838.94</v>
      </c>
      <c r="CE219" s="1420">
        <v>2288368.7599999998</v>
      </c>
      <c r="CF219" s="1420">
        <v>2505435.64</v>
      </c>
      <c r="CG219" s="1422">
        <v>0</v>
      </c>
      <c r="CH219" s="1420">
        <v>1084197.8799999999</v>
      </c>
      <c r="CI219" s="1422">
        <v>0</v>
      </c>
      <c r="CJ219" s="1422">
        <v>0</v>
      </c>
      <c r="CK219" s="1422">
        <v>28688</v>
      </c>
      <c r="CL219" s="1422">
        <v>0</v>
      </c>
      <c r="CM219" s="1422">
        <v>0</v>
      </c>
      <c r="CN219" s="1422">
        <v>0</v>
      </c>
      <c r="CO219" s="1420">
        <v>59801.99</v>
      </c>
      <c r="CP219" s="1422">
        <v>0</v>
      </c>
      <c r="CQ219" s="1422">
        <v>0</v>
      </c>
      <c r="CR219" s="1422">
        <v>0</v>
      </c>
      <c r="CS219" s="1420">
        <v>88489.99</v>
      </c>
      <c r="CT219" s="1420">
        <v>1084197.8799999999</v>
      </c>
      <c r="CU219" s="1420">
        <v>12925677.17</v>
      </c>
      <c r="CV219" s="1420">
        <v>14852087.460000001</v>
      </c>
      <c r="CW219" s="1420">
        <v>4558230.09</v>
      </c>
      <c r="CX219" s="1420">
        <v>4605963.8499999996</v>
      </c>
      <c r="CY219" s="1420">
        <v>1304685.54</v>
      </c>
      <c r="CZ219" s="1420">
        <v>1265487.97</v>
      </c>
      <c r="DA219" s="1420">
        <v>338977.22</v>
      </c>
      <c r="DB219" s="1420">
        <v>318361.15999999997</v>
      </c>
      <c r="DC219" s="1422">
        <v>0</v>
      </c>
      <c r="DD219" s="1422">
        <v>0</v>
      </c>
      <c r="DE219" s="1420">
        <v>495116.81</v>
      </c>
      <c r="DF219" s="1420">
        <v>951780.09</v>
      </c>
      <c r="DG219" s="1420">
        <v>453052.73</v>
      </c>
      <c r="DH219" s="1420">
        <v>399129.65</v>
      </c>
      <c r="DI219" s="1420">
        <v>7150062.3899999997</v>
      </c>
      <c r="DJ219" s="1420">
        <v>7540722.7199999997</v>
      </c>
      <c r="DK219" s="1420">
        <v>255828.54</v>
      </c>
      <c r="DL219" s="1420">
        <v>235274.41</v>
      </c>
      <c r="DM219" s="1420">
        <v>730251.45</v>
      </c>
      <c r="DN219" s="1420">
        <v>688120.05</v>
      </c>
      <c r="DO219" s="1420">
        <v>1047683.74</v>
      </c>
      <c r="DP219" s="1420">
        <v>1208635.03</v>
      </c>
      <c r="DQ219" s="1420">
        <v>714721.08</v>
      </c>
      <c r="DR219" s="1420">
        <v>552487.80000000005</v>
      </c>
      <c r="DS219" s="1420">
        <v>63975.1</v>
      </c>
      <c r="DT219" s="1422">
        <v>23200</v>
      </c>
      <c r="DU219" s="1420">
        <v>2812459.91</v>
      </c>
      <c r="DV219" s="1420">
        <v>2707717.29</v>
      </c>
      <c r="DW219" s="1420">
        <v>743317.42</v>
      </c>
      <c r="DX219" s="1420">
        <v>666141.15</v>
      </c>
      <c r="DY219" s="1420">
        <v>747442.58</v>
      </c>
      <c r="DZ219" s="1420">
        <v>884877.1</v>
      </c>
      <c r="EA219" s="1420">
        <v>661260.05000000005</v>
      </c>
      <c r="EB219" s="1420">
        <v>641274.99</v>
      </c>
      <c r="EC219" s="1420">
        <v>2152020.0499999998</v>
      </c>
      <c r="ED219" s="1420">
        <v>2192293.2400000002</v>
      </c>
      <c r="EE219" s="1420">
        <v>807827.62</v>
      </c>
      <c r="EF219" s="1420">
        <v>789238.14</v>
      </c>
      <c r="EG219" s="1422">
        <v>0</v>
      </c>
      <c r="EH219" s="1422">
        <v>0</v>
      </c>
      <c r="EI219" s="1420">
        <v>348.12</v>
      </c>
      <c r="EJ219" s="1420">
        <v>6638.47</v>
      </c>
      <c r="EK219" s="1422">
        <v>0</v>
      </c>
      <c r="EL219" s="1422">
        <v>0</v>
      </c>
      <c r="EM219" s="1420">
        <v>808175.74</v>
      </c>
      <c r="EN219" s="1420">
        <v>795876.61</v>
      </c>
      <c r="EO219" s="1422">
        <v>0</v>
      </c>
      <c r="EP219" s="1420">
        <v>21652.26</v>
      </c>
      <c r="EQ219" s="1420">
        <v>600338.46</v>
      </c>
      <c r="ER219" s="1422">
        <v>624225</v>
      </c>
      <c r="ES219" s="1420">
        <v>10720.54</v>
      </c>
      <c r="ET219" s="1422">
        <v>0</v>
      </c>
      <c r="EU219" s="1420">
        <v>13533777.09</v>
      </c>
      <c r="EV219" s="1420">
        <v>13882487.119999999</v>
      </c>
      <c r="EW219" s="1420">
        <v>307695.03999999998</v>
      </c>
      <c r="EX219" s="1420">
        <v>315386.89</v>
      </c>
      <c r="EY219" s="1420">
        <v>600338.46</v>
      </c>
      <c r="EZ219" s="1422">
        <v>624225</v>
      </c>
      <c r="FA219" s="1420">
        <v>12625743.59</v>
      </c>
      <c r="FB219" s="1420">
        <v>12942875.23</v>
      </c>
      <c r="FC219" s="1420">
        <v>701214.79</v>
      </c>
      <c r="FD219" s="1439"/>
      <c r="FE219" s="1420">
        <v>11924528.800000001</v>
      </c>
      <c r="FF219" s="1439"/>
      <c r="FG219" s="1422">
        <v>9526</v>
      </c>
      <c r="FH219" s="1439"/>
      <c r="FI219" s="1420">
        <v>108.24</v>
      </c>
      <c r="FJ219" s="1439"/>
      <c r="FK219" s="1422">
        <v>40039</v>
      </c>
      <c r="FL219" s="1439"/>
      <c r="FM219" s="1420">
        <v>115.03</v>
      </c>
      <c r="FN219" s="1439"/>
      <c r="FO219" s="1422">
        <v>41897</v>
      </c>
      <c r="FP219" s="1439"/>
      <c r="FQ219" s="1420">
        <v>4217444.2</v>
      </c>
      <c r="FR219" s="1439"/>
      <c r="FS219" s="1420">
        <v>145019.37</v>
      </c>
      <c r="FT219" s="1439"/>
      <c r="FU219" s="1422">
        <v>0</v>
      </c>
      <c r="FV219" s="1439"/>
      <c r="FW219" s="1420">
        <v>4072424.83</v>
      </c>
      <c r="FX219" s="1439"/>
      <c r="FY219" s="1422">
        <v>0</v>
      </c>
      <c r="FZ219" s="1439"/>
      <c r="GA219" s="1422">
        <v>0</v>
      </c>
      <c r="GB219" s="1439"/>
    </row>
    <row r="220" spans="1:184" ht="12.75" customHeight="1" thickBot="1">
      <c r="A220" s="1418" t="s">
        <v>123</v>
      </c>
      <c r="B220" s="1418" t="s">
        <v>124</v>
      </c>
      <c r="C220" s="1420">
        <v>93.4</v>
      </c>
      <c r="D220" s="1439"/>
      <c r="E220" s="1420">
        <v>413.85</v>
      </c>
      <c r="F220" s="1439"/>
      <c r="G220" s="1421">
        <v>-0.21</v>
      </c>
      <c r="H220" s="1439"/>
      <c r="I220" s="1420">
        <v>440.6</v>
      </c>
      <c r="J220" s="1439"/>
      <c r="K220" s="1420">
        <v>466.74</v>
      </c>
      <c r="L220" s="1439"/>
      <c r="M220" s="1422">
        <v>78488959</v>
      </c>
      <c r="N220" s="1439"/>
      <c r="O220" s="1422">
        <v>25</v>
      </c>
      <c r="P220" s="1439"/>
      <c r="Q220" s="1422">
        <v>25</v>
      </c>
      <c r="R220" s="1439"/>
      <c r="S220" s="1422">
        <v>0</v>
      </c>
      <c r="T220" s="1439"/>
      <c r="U220" s="1422">
        <v>0</v>
      </c>
      <c r="V220" s="1439"/>
      <c r="W220" s="1420">
        <v>10.7</v>
      </c>
      <c r="X220" s="1439"/>
      <c r="Y220" s="1420">
        <v>35.700000000000003</v>
      </c>
      <c r="Z220" s="1439"/>
      <c r="AA220" s="1422">
        <v>2889832</v>
      </c>
      <c r="AB220" s="1439"/>
      <c r="AC220" s="1420">
        <v>2564147.06</v>
      </c>
      <c r="AD220" s="1420">
        <v>1994247.08</v>
      </c>
      <c r="AE220" s="1420">
        <v>234818.77</v>
      </c>
      <c r="AF220" s="1422">
        <v>110033</v>
      </c>
      <c r="AG220" s="1422">
        <v>0</v>
      </c>
      <c r="AH220" s="1422">
        <v>0</v>
      </c>
      <c r="AI220" s="1422">
        <v>995950</v>
      </c>
      <c r="AJ220" s="1422">
        <v>776431</v>
      </c>
      <c r="AK220" s="1422">
        <v>78445</v>
      </c>
      <c r="AL220" s="1422">
        <v>0</v>
      </c>
      <c r="AM220" s="1422">
        <v>0</v>
      </c>
      <c r="AN220" s="1422">
        <v>0</v>
      </c>
      <c r="AO220" s="1422">
        <v>117840</v>
      </c>
      <c r="AP220" s="1422">
        <v>71363</v>
      </c>
      <c r="AQ220" s="1422">
        <v>0</v>
      </c>
      <c r="AR220" s="1422">
        <v>0</v>
      </c>
      <c r="AS220" s="1422">
        <v>0</v>
      </c>
      <c r="AT220" s="1422">
        <v>0</v>
      </c>
      <c r="AU220" s="1422">
        <v>0</v>
      </c>
      <c r="AV220" s="1422">
        <v>0</v>
      </c>
      <c r="AW220" s="1422">
        <v>0</v>
      </c>
      <c r="AX220" s="1422">
        <v>0</v>
      </c>
      <c r="AY220" s="1420">
        <v>3991200.83</v>
      </c>
      <c r="AZ220" s="1420">
        <v>2952074.08</v>
      </c>
      <c r="BA220" s="1422">
        <v>0</v>
      </c>
      <c r="BB220" s="1422">
        <v>0</v>
      </c>
      <c r="BC220" s="1422">
        <v>19304</v>
      </c>
      <c r="BD220" s="1422">
        <v>18796</v>
      </c>
      <c r="BE220" s="1420">
        <v>21902.22</v>
      </c>
      <c r="BF220" s="1422">
        <v>0</v>
      </c>
      <c r="BG220" s="1422">
        <v>1050</v>
      </c>
      <c r="BH220" s="1422">
        <v>0</v>
      </c>
      <c r="BI220" s="1422">
        <v>73947</v>
      </c>
      <c r="BJ220" s="1422">
        <v>78465</v>
      </c>
      <c r="BK220" s="1422">
        <v>0</v>
      </c>
      <c r="BL220" s="1422">
        <v>0</v>
      </c>
      <c r="BM220" s="1422">
        <v>362080</v>
      </c>
      <c r="BN220" s="1422">
        <v>359260</v>
      </c>
      <c r="BO220" s="1420">
        <v>29825.81</v>
      </c>
      <c r="BP220" s="1422">
        <v>35710</v>
      </c>
      <c r="BQ220" s="1422">
        <v>0</v>
      </c>
      <c r="BR220" s="1422">
        <v>0</v>
      </c>
      <c r="BS220" s="1420">
        <v>1715.06</v>
      </c>
      <c r="BT220" s="1422">
        <v>0</v>
      </c>
      <c r="BU220" s="1422">
        <v>0</v>
      </c>
      <c r="BV220" s="1422">
        <v>0</v>
      </c>
      <c r="BW220" s="1422">
        <v>0</v>
      </c>
      <c r="BX220" s="1422">
        <v>0</v>
      </c>
      <c r="BY220" s="1422">
        <v>0</v>
      </c>
      <c r="BZ220" s="1422">
        <v>0</v>
      </c>
      <c r="CA220" s="1422">
        <v>2206</v>
      </c>
      <c r="CB220" s="1422">
        <v>1764</v>
      </c>
      <c r="CC220" s="1420">
        <v>512030.09</v>
      </c>
      <c r="CD220" s="1422">
        <v>493995</v>
      </c>
      <c r="CE220" s="1420">
        <v>702863.04</v>
      </c>
      <c r="CF220" s="1420">
        <v>663259.21</v>
      </c>
      <c r="CG220" s="1422">
        <v>0</v>
      </c>
      <c r="CH220" s="1422">
        <v>0</v>
      </c>
      <c r="CI220" s="1422">
        <v>0</v>
      </c>
      <c r="CJ220" s="1422">
        <v>0</v>
      </c>
      <c r="CK220" s="1422">
        <v>0</v>
      </c>
      <c r="CL220" s="1422">
        <v>0</v>
      </c>
      <c r="CM220" s="1422">
        <v>1337</v>
      </c>
      <c r="CN220" s="1422">
        <v>0</v>
      </c>
      <c r="CO220" s="1422">
        <v>0</v>
      </c>
      <c r="CP220" s="1422">
        <v>0</v>
      </c>
      <c r="CQ220" s="1422">
        <v>0</v>
      </c>
      <c r="CR220" s="1422">
        <v>0</v>
      </c>
      <c r="CS220" s="1422">
        <v>1337</v>
      </c>
      <c r="CT220" s="1422">
        <v>0</v>
      </c>
      <c r="CU220" s="1420">
        <v>5207430.96</v>
      </c>
      <c r="CV220" s="1420">
        <v>4109328.29</v>
      </c>
      <c r="CW220" s="1420">
        <v>1847899.93</v>
      </c>
      <c r="CX220" s="1420">
        <v>1690765.93</v>
      </c>
      <c r="CY220" s="1420">
        <v>342701.4</v>
      </c>
      <c r="CZ220" s="1420">
        <v>362920.94</v>
      </c>
      <c r="DA220" s="1420">
        <v>157297.21</v>
      </c>
      <c r="DB220" s="1420">
        <v>160631.04999999999</v>
      </c>
      <c r="DC220" s="1422">
        <v>0</v>
      </c>
      <c r="DD220" s="1422">
        <v>0</v>
      </c>
      <c r="DE220" s="1420">
        <v>151252.76</v>
      </c>
      <c r="DF220" s="1420">
        <v>208433.26</v>
      </c>
      <c r="DG220" s="1420">
        <v>151294.6</v>
      </c>
      <c r="DH220" s="1420">
        <v>144250.47</v>
      </c>
      <c r="DI220" s="1420">
        <v>2650445.9</v>
      </c>
      <c r="DJ220" s="1420">
        <v>2567001.65</v>
      </c>
      <c r="DK220" s="1420">
        <v>192473.71</v>
      </c>
      <c r="DL220" s="1420">
        <v>193158.29</v>
      </c>
      <c r="DM220" s="1420">
        <v>102698.78</v>
      </c>
      <c r="DN220" s="1420">
        <v>98703.98</v>
      </c>
      <c r="DO220" s="1420">
        <v>457051.14</v>
      </c>
      <c r="DP220" s="1420">
        <v>603923.86</v>
      </c>
      <c r="DQ220" s="1420">
        <v>226951.36</v>
      </c>
      <c r="DR220" s="1420">
        <v>239093.42</v>
      </c>
      <c r="DS220" s="1420">
        <v>10094.299999999999</v>
      </c>
      <c r="DT220" s="1422">
        <v>0</v>
      </c>
      <c r="DU220" s="1420">
        <v>989269.29</v>
      </c>
      <c r="DV220" s="1420">
        <v>1134879.55</v>
      </c>
      <c r="DW220" s="1420">
        <v>201910.53</v>
      </c>
      <c r="DX220" s="1420">
        <v>182758.59</v>
      </c>
      <c r="DY220" s="1420">
        <v>178326.93</v>
      </c>
      <c r="DZ220" s="1420">
        <v>139119.79</v>
      </c>
      <c r="EA220" s="1420">
        <v>175454.28</v>
      </c>
      <c r="EB220" s="1420">
        <v>116572.9</v>
      </c>
      <c r="EC220" s="1420">
        <v>555691.74</v>
      </c>
      <c r="ED220" s="1420">
        <v>438451.28</v>
      </c>
      <c r="EE220" s="1420">
        <v>264520.26</v>
      </c>
      <c r="EF220" s="1422">
        <v>280060</v>
      </c>
      <c r="EG220" s="1422">
        <v>0</v>
      </c>
      <c r="EH220" s="1422">
        <v>0</v>
      </c>
      <c r="EI220" s="1422">
        <v>0</v>
      </c>
      <c r="EJ220" s="1422">
        <v>1000</v>
      </c>
      <c r="EK220" s="1422">
        <v>0</v>
      </c>
      <c r="EL220" s="1422">
        <v>0</v>
      </c>
      <c r="EM220" s="1420">
        <v>264520.26</v>
      </c>
      <c r="EN220" s="1422">
        <v>281060</v>
      </c>
      <c r="EO220" s="1420">
        <v>308248.03000000003</v>
      </c>
      <c r="EP220" s="1422">
        <v>0</v>
      </c>
      <c r="EQ220" s="1420">
        <v>200052.43</v>
      </c>
      <c r="ER220" s="1422">
        <v>204070</v>
      </c>
      <c r="ES220" s="1422">
        <v>0</v>
      </c>
      <c r="ET220" s="1422">
        <v>0</v>
      </c>
      <c r="EU220" s="1420">
        <v>4968227.6500000004</v>
      </c>
      <c r="EV220" s="1420">
        <v>4625462.4800000004</v>
      </c>
      <c r="EW220" s="1420">
        <v>417080.3</v>
      </c>
      <c r="EX220" s="1420">
        <v>51380.42</v>
      </c>
      <c r="EY220" s="1420">
        <v>200052.43</v>
      </c>
      <c r="EZ220" s="1422">
        <v>204070</v>
      </c>
      <c r="FA220" s="1420">
        <v>4351094.92</v>
      </c>
      <c r="FB220" s="1420">
        <v>4370012.0599999996</v>
      </c>
      <c r="FC220" s="1420">
        <v>121057.3</v>
      </c>
      <c r="FD220" s="1439"/>
      <c r="FE220" s="1420">
        <v>4230037.62</v>
      </c>
      <c r="FF220" s="1439"/>
      <c r="FG220" s="1422">
        <v>10221</v>
      </c>
      <c r="FH220" s="1439"/>
      <c r="FI220" s="1420">
        <v>42.65</v>
      </c>
      <c r="FJ220" s="1439"/>
      <c r="FK220" s="1422">
        <v>39818</v>
      </c>
      <c r="FL220" s="1439"/>
      <c r="FM220" s="1420">
        <v>45.17</v>
      </c>
      <c r="FN220" s="1439"/>
      <c r="FO220" s="1422">
        <v>40492</v>
      </c>
      <c r="FP220" s="1439"/>
      <c r="FQ220" s="1420">
        <v>2884024.64</v>
      </c>
      <c r="FR220" s="1439"/>
      <c r="FS220" s="1420">
        <v>39207.1</v>
      </c>
      <c r="FT220" s="1439"/>
      <c r="FU220" s="1422">
        <v>0</v>
      </c>
      <c r="FV220" s="1439"/>
      <c r="FW220" s="1420">
        <v>2844817.54</v>
      </c>
      <c r="FX220" s="1439"/>
      <c r="FY220" s="1422">
        <v>0</v>
      </c>
      <c r="FZ220" s="1439"/>
      <c r="GA220" s="1422">
        <v>0</v>
      </c>
      <c r="GB220" s="1439"/>
    </row>
    <row r="221" spans="1:184" ht="12.75" customHeight="1" thickBot="1">
      <c r="A221" s="1418" t="s">
        <v>125</v>
      </c>
      <c r="B221" s="1418" t="s">
        <v>126</v>
      </c>
      <c r="C221" s="1420">
        <v>111.4</v>
      </c>
      <c r="D221" s="1439"/>
      <c r="E221" s="1420">
        <v>480.12</v>
      </c>
      <c r="F221" s="1439"/>
      <c r="G221" s="1421">
        <v>0.01</v>
      </c>
      <c r="H221" s="1439"/>
      <c r="I221" s="1420">
        <v>510.94</v>
      </c>
      <c r="J221" s="1439"/>
      <c r="K221" s="1420">
        <v>524.88</v>
      </c>
      <c r="L221" s="1439"/>
      <c r="M221" s="1422">
        <v>178275538</v>
      </c>
      <c r="N221" s="1439"/>
      <c r="O221" s="1420">
        <v>26.7</v>
      </c>
      <c r="P221" s="1439"/>
      <c r="Q221" s="1422">
        <v>25</v>
      </c>
      <c r="R221" s="1439"/>
      <c r="S221" s="1420">
        <v>1.7</v>
      </c>
      <c r="T221" s="1439"/>
      <c r="U221" s="1422">
        <v>0</v>
      </c>
      <c r="V221" s="1439"/>
      <c r="W221" s="1422">
        <v>14</v>
      </c>
      <c r="X221" s="1439"/>
      <c r="Y221" s="1420">
        <v>40.700000000000003</v>
      </c>
      <c r="Z221" s="1439"/>
      <c r="AA221" s="1420">
        <v>2531762.7999999998</v>
      </c>
      <c r="AB221" s="1439"/>
      <c r="AC221" s="1420">
        <v>5164624.09</v>
      </c>
      <c r="AD221" s="1422">
        <v>2928000</v>
      </c>
      <c r="AE221" s="1420">
        <v>360409.12</v>
      </c>
      <c r="AF221" s="1422">
        <v>189444</v>
      </c>
      <c r="AG221" s="1422">
        <v>0</v>
      </c>
      <c r="AH221" s="1422">
        <v>0</v>
      </c>
      <c r="AI221" s="1422">
        <v>212771</v>
      </c>
      <c r="AJ221" s="1422">
        <v>0</v>
      </c>
      <c r="AK221" s="1422">
        <v>84944</v>
      </c>
      <c r="AL221" s="1422">
        <v>0</v>
      </c>
      <c r="AM221" s="1422">
        <v>0</v>
      </c>
      <c r="AN221" s="1422">
        <v>0</v>
      </c>
      <c r="AO221" s="1422">
        <v>0</v>
      </c>
      <c r="AP221" s="1422">
        <v>38646</v>
      </c>
      <c r="AQ221" s="1422">
        <v>0</v>
      </c>
      <c r="AR221" s="1422">
        <v>0</v>
      </c>
      <c r="AS221" s="1422">
        <v>0</v>
      </c>
      <c r="AT221" s="1422">
        <v>0</v>
      </c>
      <c r="AU221" s="1422">
        <v>26681</v>
      </c>
      <c r="AV221" s="1422">
        <v>21325</v>
      </c>
      <c r="AW221" s="1422">
        <v>0</v>
      </c>
      <c r="AX221" s="1422">
        <v>0</v>
      </c>
      <c r="AY221" s="1420">
        <v>5849429.21</v>
      </c>
      <c r="AZ221" s="1422">
        <v>3177415</v>
      </c>
      <c r="BA221" s="1422">
        <v>0</v>
      </c>
      <c r="BB221" s="1422">
        <v>0</v>
      </c>
      <c r="BC221" s="1422">
        <v>21709</v>
      </c>
      <c r="BD221" s="1422">
        <v>21711</v>
      </c>
      <c r="BE221" s="1420">
        <v>39137.129999999997</v>
      </c>
      <c r="BF221" s="1422">
        <v>12466</v>
      </c>
      <c r="BG221" s="1422">
        <v>200</v>
      </c>
      <c r="BH221" s="1422">
        <v>0</v>
      </c>
      <c r="BI221" s="1422">
        <v>38355</v>
      </c>
      <c r="BJ221" s="1422">
        <v>12311</v>
      </c>
      <c r="BK221" s="1422">
        <v>0</v>
      </c>
      <c r="BL221" s="1422">
        <v>0</v>
      </c>
      <c r="BM221" s="1422">
        <v>146320</v>
      </c>
      <c r="BN221" s="1422">
        <v>138644</v>
      </c>
      <c r="BO221" s="1420">
        <v>50033.82</v>
      </c>
      <c r="BP221" s="1422">
        <v>53076</v>
      </c>
      <c r="BQ221" s="1422">
        <v>0</v>
      </c>
      <c r="BR221" s="1422">
        <v>0</v>
      </c>
      <c r="BS221" s="1420">
        <v>1987.63</v>
      </c>
      <c r="BT221" s="1422">
        <v>2000</v>
      </c>
      <c r="BU221" s="1422">
        <v>0</v>
      </c>
      <c r="BV221" s="1422">
        <v>0</v>
      </c>
      <c r="BW221" s="1422">
        <v>97200</v>
      </c>
      <c r="BX221" s="1422">
        <v>97200</v>
      </c>
      <c r="BY221" s="1422">
        <v>0</v>
      </c>
      <c r="BZ221" s="1422">
        <v>0</v>
      </c>
      <c r="CA221" s="1420">
        <v>1066052.8500000001</v>
      </c>
      <c r="CB221" s="1422">
        <v>4866</v>
      </c>
      <c r="CC221" s="1420">
        <v>1460995.43</v>
      </c>
      <c r="CD221" s="1422">
        <v>342274</v>
      </c>
      <c r="CE221" s="1420">
        <v>943787.58</v>
      </c>
      <c r="CF221" s="1420">
        <v>619309.57999999996</v>
      </c>
      <c r="CG221" s="1422">
        <v>0</v>
      </c>
      <c r="CH221" s="1422">
        <v>0</v>
      </c>
      <c r="CI221" s="1422">
        <v>0</v>
      </c>
      <c r="CJ221" s="1422">
        <v>0</v>
      </c>
      <c r="CK221" s="1422">
        <v>0</v>
      </c>
      <c r="CL221" s="1422">
        <v>0</v>
      </c>
      <c r="CM221" s="1422">
        <v>0</v>
      </c>
      <c r="CN221" s="1422">
        <v>0</v>
      </c>
      <c r="CO221" s="1422">
        <v>0</v>
      </c>
      <c r="CP221" s="1422">
        <v>0</v>
      </c>
      <c r="CQ221" s="1422">
        <v>0</v>
      </c>
      <c r="CR221" s="1422">
        <v>0</v>
      </c>
      <c r="CS221" s="1422">
        <v>0</v>
      </c>
      <c r="CT221" s="1422">
        <v>0</v>
      </c>
      <c r="CU221" s="1420">
        <v>8254212.2199999997</v>
      </c>
      <c r="CV221" s="1420">
        <v>4138998.58</v>
      </c>
      <c r="CW221" s="1420">
        <v>2200638.91</v>
      </c>
      <c r="CX221" s="1420">
        <v>2098314.31</v>
      </c>
      <c r="CY221" s="1420">
        <v>502932.09</v>
      </c>
      <c r="CZ221" s="1420">
        <v>533013.46</v>
      </c>
      <c r="DA221" s="1420">
        <v>182715.6</v>
      </c>
      <c r="DB221" s="1420">
        <v>192183.18</v>
      </c>
      <c r="DC221" s="1422">
        <v>0</v>
      </c>
      <c r="DD221" s="1422">
        <v>0</v>
      </c>
      <c r="DE221" s="1420">
        <v>120811.31</v>
      </c>
      <c r="DF221" s="1420">
        <v>135072.01</v>
      </c>
      <c r="DG221" s="1420">
        <v>106649.71</v>
      </c>
      <c r="DH221" s="1420">
        <v>200172.16</v>
      </c>
      <c r="DI221" s="1420">
        <v>3113747.62</v>
      </c>
      <c r="DJ221" s="1420">
        <v>3158755.12</v>
      </c>
      <c r="DK221" s="1420">
        <v>234716.14</v>
      </c>
      <c r="DL221" s="1420">
        <v>202001.67</v>
      </c>
      <c r="DM221" s="1420">
        <v>103155.01</v>
      </c>
      <c r="DN221" s="1420">
        <v>123246.82</v>
      </c>
      <c r="DO221" s="1420">
        <v>576864.18999999994</v>
      </c>
      <c r="DP221" s="1422">
        <v>743843</v>
      </c>
      <c r="DQ221" s="1420">
        <v>210406.36</v>
      </c>
      <c r="DR221" s="1420">
        <v>466917.31</v>
      </c>
      <c r="DS221" s="1420">
        <v>17043.080000000002</v>
      </c>
      <c r="DT221" s="1422">
        <v>7000</v>
      </c>
      <c r="DU221" s="1420">
        <v>1142184.78</v>
      </c>
      <c r="DV221" s="1420">
        <v>1543008.8</v>
      </c>
      <c r="DW221" s="1420">
        <v>298489.34999999998</v>
      </c>
      <c r="DX221" s="1420">
        <v>358803.02</v>
      </c>
      <c r="DY221" s="1420">
        <v>234970.13</v>
      </c>
      <c r="DZ221" s="1420">
        <v>293064.44</v>
      </c>
      <c r="EA221" s="1420">
        <v>269704.21999999997</v>
      </c>
      <c r="EB221" s="1420">
        <v>295129.48</v>
      </c>
      <c r="EC221" s="1420">
        <v>803163.7</v>
      </c>
      <c r="ED221" s="1420">
        <v>946996.94</v>
      </c>
      <c r="EE221" s="1420">
        <v>239729.55</v>
      </c>
      <c r="EF221" s="1420">
        <v>341889.75</v>
      </c>
      <c r="EG221" s="1420">
        <v>20886.55</v>
      </c>
      <c r="EH221" s="1422">
        <v>0</v>
      </c>
      <c r="EI221" s="1420">
        <v>44494.9</v>
      </c>
      <c r="EJ221" s="1422">
        <v>34481</v>
      </c>
      <c r="EK221" s="1422">
        <v>0</v>
      </c>
      <c r="EL221" s="1422">
        <v>0</v>
      </c>
      <c r="EM221" s="1422">
        <v>305111</v>
      </c>
      <c r="EN221" s="1420">
        <v>376370.75</v>
      </c>
      <c r="EO221" s="1420">
        <v>2687401.15</v>
      </c>
      <c r="EP221" s="1422">
        <v>127250</v>
      </c>
      <c r="EQ221" s="1420">
        <v>166451.59</v>
      </c>
      <c r="ER221" s="1420">
        <v>151656.26</v>
      </c>
      <c r="ES221" s="1422">
        <v>97791</v>
      </c>
      <c r="ET221" s="1422">
        <v>0</v>
      </c>
      <c r="EU221" s="1420">
        <v>8315850.8399999999</v>
      </c>
      <c r="EV221" s="1420">
        <v>6304037.8700000001</v>
      </c>
      <c r="EW221" s="1420">
        <v>2730251.87</v>
      </c>
      <c r="EX221" s="1422">
        <v>427475</v>
      </c>
      <c r="EY221" s="1420">
        <v>166451.59</v>
      </c>
      <c r="EZ221" s="1420">
        <v>151656.26</v>
      </c>
      <c r="FA221" s="1420">
        <v>5419147.3799999999</v>
      </c>
      <c r="FB221" s="1420">
        <v>5724906.6100000003</v>
      </c>
      <c r="FC221" s="1420">
        <v>437129.84</v>
      </c>
      <c r="FD221" s="1439"/>
      <c r="FE221" s="1420">
        <v>4982017.54</v>
      </c>
      <c r="FF221" s="1439"/>
      <c r="FG221" s="1422">
        <v>10376</v>
      </c>
      <c r="FH221" s="1439"/>
      <c r="FI221" s="1420">
        <v>46.68</v>
      </c>
      <c r="FJ221" s="1439"/>
      <c r="FK221" s="1422">
        <v>39574</v>
      </c>
      <c r="FL221" s="1439"/>
      <c r="FM221" s="1420">
        <v>48.95</v>
      </c>
      <c r="FN221" s="1439"/>
      <c r="FO221" s="1422">
        <v>41376</v>
      </c>
      <c r="FP221" s="1439"/>
      <c r="FQ221" s="1420">
        <v>4450523.49</v>
      </c>
      <c r="FR221" s="1439"/>
      <c r="FS221" s="1420">
        <v>22881.73</v>
      </c>
      <c r="FT221" s="1439"/>
      <c r="FU221" s="1422">
        <v>0</v>
      </c>
      <c r="FV221" s="1439"/>
      <c r="FW221" s="1420">
        <v>4427641.76</v>
      </c>
      <c r="FX221" s="1439"/>
      <c r="FY221" s="1420">
        <v>162693.31</v>
      </c>
      <c r="FZ221" s="1439"/>
      <c r="GA221" s="1422">
        <v>0</v>
      </c>
      <c r="GB221" s="1439"/>
    </row>
    <row r="222" spans="1:184" ht="12.75" customHeight="1" thickBot="1">
      <c r="A222" s="1418" t="s">
        <v>127</v>
      </c>
      <c r="B222" s="1418" t="s">
        <v>128</v>
      </c>
      <c r="C222" s="1420">
        <v>100.81</v>
      </c>
      <c r="D222" s="1439"/>
      <c r="E222" s="1420">
        <v>1103.97</v>
      </c>
      <c r="F222" s="1439"/>
      <c r="G222" s="1421">
        <v>0.03</v>
      </c>
      <c r="H222" s="1439"/>
      <c r="I222" s="1420">
        <v>1150.97</v>
      </c>
      <c r="J222" s="1439"/>
      <c r="K222" s="1420">
        <v>1163.8</v>
      </c>
      <c r="L222" s="1439"/>
      <c r="M222" s="1422">
        <v>55493640</v>
      </c>
      <c r="N222" s="1439"/>
      <c r="O222" s="1422">
        <v>25</v>
      </c>
      <c r="P222" s="1439"/>
      <c r="Q222" s="1422">
        <v>25</v>
      </c>
      <c r="R222" s="1439"/>
      <c r="S222" s="1422">
        <v>0</v>
      </c>
      <c r="T222" s="1439"/>
      <c r="U222" s="1422">
        <v>0</v>
      </c>
      <c r="V222" s="1439"/>
      <c r="W222" s="1420">
        <v>14.6</v>
      </c>
      <c r="X222" s="1439"/>
      <c r="Y222" s="1420">
        <v>39.6</v>
      </c>
      <c r="Z222" s="1439"/>
      <c r="AA222" s="1420">
        <v>6676727.0099999998</v>
      </c>
      <c r="AB222" s="1439"/>
      <c r="AC222" s="1420">
        <v>2042560.06</v>
      </c>
      <c r="AD222" s="1422">
        <v>2419505</v>
      </c>
      <c r="AE222" s="1420">
        <v>459303.89</v>
      </c>
      <c r="AF222" s="1422">
        <v>193445</v>
      </c>
      <c r="AG222" s="1422">
        <v>0</v>
      </c>
      <c r="AH222" s="1422">
        <v>0</v>
      </c>
      <c r="AI222" s="1422">
        <v>5673347</v>
      </c>
      <c r="AJ222" s="1422">
        <v>5721734</v>
      </c>
      <c r="AK222" s="1422">
        <v>45419</v>
      </c>
      <c r="AL222" s="1422">
        <v>25000</v>
      </c>
      <c r="AM222" s="1422">
        <v>0</v>
      </c>
      <c r="AN222" s="1422">
        <v>0</v>
      </c>
      <c r="AO222" s="1422">
        <v>0</v>
      </c>
      <c r="AP222" s="1422">
        <v>34529</v>
      </c>
      <c r="AQ222" s="1422">
        <v>0</v>
      </c>
      <c r="AR222" s="1422">
        <v>0</v>
      </c>
      <c r="AS222" s="1422">
        <v>0</v>
      </c>
      <c r="AT222" s="1422">
        <v>0</v>
      </c>
      <c r="AU222" s="1422">
        <v>27221</v>
      </c>
      <c r="AV222" s="1422">
        <v>21777</v>
      </c>
      <c r="AW222" s="1420">
        <v>369.57</v>
      </c>
      <c r="AX222" s="1422">
        <v>0</v>
      </c>
      <c r="AY222" s="1420">
        <v>8248220.5199999996</v>
      </c>
      <c r="AZ222" s="1422">
        <v>8415990</v>
      </c>
      <c r="BA222" s="1422">
        <v>0</v>
      </c>
      <c r="BB222" s="1422">
        <v>0</v>
      </c>
      <c r="BC222" s="1422">
        <v>48135</v>
      </c>
      <c r="BD222" s="1422">
        <v>48845</v>
      </c>
      <c r="BE222" s="1422">
        <v>4000</v>
      </c>
      <c r="BF222" s="1422">
        <v>5600</v>
      </c>
      <c r="BG222" s="1422">
        <v>2838</v>
      </c>
      <c r="BH222" s="1422">
        <v>600</v>
      </c>
      <c r="BI222" s="1422">
        <v>44002</v>
      </c>
      <c r="BJ222" s="1422">
        <v>39046</v>
      </c>
      <c r="BK222" s="1422">
        <v>13771</v>
      </c>
      <c r="BL222" s="1422">
        <v>0</v>
      </c>
      <c r="BM222" s="1422">
        <v>256432</v>
      </c>
      <c r="BN222" s="1422">
        <v>278806</v>
      </c>
      <c r="BO222" s="1420">
        <v>5729.64</v>
      </c>
      <c r="BP222" s="1422">
        <v>5650</v>
      </c>
      <c r="BQ222" s="1422">
        <v>0</v>
      </c>
      <c r="BR222" s="1422">
        <v>0</v>
      </c>
      <c r="BS222" s="1420">
        <v>3429.26</v>
      </c>
      <c r="BT222" s="1422">
        <v>2000</v>
      </c>
      <c r="BU222" s="1422">
        <v>0</v>
      </c>
      <c r="BV222" s="1422">
        <v>0</v>
      </c>
      <c r="BW222" s="1422">
        <v>0</v>
      </c>
      <c r="BX222" s="1422">
        <v>0</v>
      </c>
      <c r="BY222" s="1422">
        <v>0</v>
      </c>
      <c r="BZ222" s="1422">
        <v>0</v>
      </c>
      <c r="CA222" s="1422">
        <v>131427</v>
      </c>
      <c r="CB222" s="1422">
        <v>123555</v>
      </c>
      <c r="CC222" s="1420">
        <v>509763.9</v>
      </c>
      <c r="CD222" s="1422">
        <v>504102</v>
      </c>
      <c r="CE222" s="1420">
        <v>1050002.5</v>
      </c>
      <c r="CF222" s="1420">
        <v>956487.01</v>
      </c>
      <c r="CG222" s="1422">
        <v>0</v>
      </c>
      <c r="CH222" s="1422">
        <v>930000</v>
      </c>
      <c r="CI222" s="1422">
        <v>0</v>
      </c>
      <c r="CJ222" s="1422">
        <v>0</v>
      </c>
      <c r="CK222" s="1422">
        <v>0</v>
      </c>
      <c r="CL222" s="1422">
        <v>0</v>
      </c>
      <c r="CM222" s="1422">
        <v>0</v>
      </c>
      <c r="CN222" s="1422">
        <v>0</v>
      </c>
      <c r="CO222" s="1422">
        <v>0</v>
      </c>
      <c r="CP222" s="1422">
        <v>0</v>
      </c>
      <c r="CQ222" s="1422">
        <v>0</v>
      </c>
      <c r="CR222" s="1422">
        <v>0</v>
      </c>
      <c r="CS222" s="1422">
        <v>0</v>
      </c>
      <c r="CT222" s="1422">
        <v>930000</v>
      </c>
      <c r="CU222" s="1420">
        <v>9807986.9199999999</v>
      </c>
      <c r="CV222" s="1420">
        <v>10806579.01</v>
      </c>
      <c r="CW222" s="1420">
        <v>3463012.06</v>
      </c>
      <c r="CX222" s="1420">
        <v>3324819.96</v>
      </c>
      <c r="CY222" s="1420">
        <v>731812.97</v>
      </c>
      <c r="CZ222" s="1420">
        <v>856892.28</v>
      </c>
      <c r="DA222" s="1420">
        <v>319329.18</v>
      </c>
      <c r="DB222" s="1420">
        <v>303739.63</v>
      </c>
      <c r="DC222" s="1422">
        <v>0</v>
      </c>
      <c r="DD222" s="1422">
        <v>0</v>
      </c>
      <c r="DE222" s="1420">
        <v>150925.65</v>
      </c>
      <c r="DF222" s="1420">
        <v>87327.86</v>
      </c>
      <c r="DG222" s="1420">
        <v>388519.79</v>
      </c>
      <c r="DH222" s="1420">
        <v>335211.52000000002</v>
      </c>
      <c r="DI222" s="1420">
        <v>5053599.6500000004</v>
      </c>
      <c r="DJ222" s="1420">
        <v>4907991.25</v>
      </c>
      <c r="DK222" s="1420">
        <v>148800.76</v>
      </c>
      <c r="DL222" s="1420">
        <v>268830.65000000002</v>
      </c>
      <c r="DM222" s="1420">
        <v>300554.02</v>
      </c>
      <c r="DN222" s="1420">
        <v>301929.28999999998</v>
      </c>
      <c r="DO222" s="1420">
        <v>750497.96</v>
      </c>
      <c r="DP222" s="1420">
        <v>802131.06</v>
      </c>
      <c r="DQ222" s="1420">
        <v>586374.77</v>
      </c>
      <c r="DR222" s="1420">
        <v>504156.83</v>
      </c>
      <c r="DS222" s="1420">
        <v>50120.59</v>
      </c>
      <c r="DT222" s="1420">
        <v>36948.199999999997</v>
      </c>
      <c r="DU222" s="1420">
        <v>1836348.1</v>
      </c>
      <c r="DV222" s="1420">
        <v>1913996.03</v>
      </c>
      <c r="DW222" s="1420">
        <v>336149.94</v>
      </c>
      <c r="DX222" s="1420">
        <v>340280.74</v>
      </c>
      <c r="DY222" s="1420">
        <v>592317.5</v>
      </c>
      <c r="DZ222" s="1420">
        <v>1599569.78</v>
      </c>
      <c r="EA222" s="1420">
        <v>492777.29</v>
      </c>
      <c r="EB222" s="1420">
        <v>528848.34</v>
      </c>
      <c r="EC222" s="1420">
        <v>1421244.73</v>
      </c>
      <c r="ED222" s="1420">
        <v>2468698.86</v>
      </c>
      <c r="EE222" s="1420">
        <v>502938.03</v>
      </c>
      <c r="EF222" s="1420">
        <v>519516.87</v>
      </c>
      <c r="EG222" s="1422">
        <v>0</v>
      </c>
      <c r="EH222" s="1422">
        <v>0</v>
      </c>
      <c r="EI222" s="1422">
        <v>48</v>
      </c>
      <c r="EJ222" s="1420">
        <v>1100.01</v>
      </c>
      <c r="EK222" s="1422">
        <v>0</v>
      </c>
      <c r="EL222" s="1422">
        <v>0</v>
      </c>
      <c r="EM222" s="1420">
        <v>502986.03</v>
      </c>
      <c r="EN222" s="1420">
        <v>520616.88</v>
      </c>
      <c r="EO222" s="1420">
        <v>4803.75</v>
      </c>
      <c r="EP222" s="1422">
        <v>5000</v>
      </c>
      <c r="EQ222" s="1420">
        <v>494134.56</v>
      </c>
      <c r="ER222" s="1420">
        <v>493715.56</v>
      </c>
      <c r="ES222" s="1422">
        <v>0</v>
      </c>
      <c r="ET222" s="1422">
        <v>0</v>
      </c>
      <c r="EU222" s="1420">
        <v>9313116.8200000003</v>
      </c>
      <c r="EV222" s="1420">
        <v>10310018.58</v>
      </c>
      <c r="EW222" s="1420">
        <v>121442.39</v>
      </c>
      <c r="EX222" s="1422">
        <v>70500</v>
      </c>
      <c r="EY222" s="1420">
        <v>494134.56</v>
      </c>
      <c r="EZ222" s="1420">
        <v>493715.56</v>
      </c>
      <c r="FA222" s="1420">
        <v>8697539.8699999992</v>
      </c>
      <c r="FB222" s="1420">
        <v>9745803.0199999996</v>
      </c>
      <c r="FC222" s="1420">
        <v>450529.43</v>
      </c>
      <c r="FD222" s="1439"/>
      <c r="FE222" s="1420">
        <v>8247010.4400000004</v>
      </c>
      <c r="FF222" s="1439"/>
      <c r="FG222" s="1422">
        <v>7470</v>
      </c>
      <c r="FH222" s="1439"/>
      <c r="FI222" s="1420">
        <v>82.7</v>
      </c>
      <c r="FJ222" s="1439"/>
      <c r="FK222" s="1422">
        <v>41977</v>
      </c>
      <c r="FL222" s="1439"/>
      <c r="FM222" s="1420">
        <v>88.97</v>
      </c>
      <c r="FN222" s="1439"/>
      <c r="FO222" s="1422">
        <v>43769</v>
      </c>
      <c r="FP222" s="1439"/>
      <c r="FQ222" s="1420">
        <v>424344.48</v>
      </c>
      <c r="FR222" s="1439"/>
      <c r="FS222" s="1420">
        <v>8529.92</v>
      </c>
      <c r="FT222" s="1439"/>
      <c r="FU222" s="1422">
        <v>0</v>
      </c>
      <c r="FV222" s="1439"/>
      <c r="FW222" s="1420">
        <v>415814.56</v>
      </c>
      <c r="FX222" s="1439"/>
      <c r="FY222" s="1420">
        <v>793755.41</v>
      </c>
      <c r="FZ222" s="1439"/>
      <c r="GA222" s="1422">
        <v>0</v>
      </c>
      <c r="GB222" s="1439"/>
    </row>
    <row r="223" spans="1:184" ht="12.75" customHeight="1" thickBot="1">
      <c r="A223" s="1418" t="s">
        <v>129</v>
      </c>
      <c r="B223" s="1418" t="s">
        <v>130</v>
      </c>
      <c r="C223" s="1420">
        <v>32.83</v>
      </c>
      <c r="D223" s="1439"/>
      <c r="E223" s="1420">
        <v>2057.9899999999998</v>
      </c>
      <c r="F223" s="1439"/>
      <c r="G223" s="1421">
        <v>0.05</v>
      </c>
      <c r="H223" s="1439"/>
      <c r="I223" s="1420">
        <v>2178.29</v>
      </c>
      <c r="J223" s="1439"/>
      <c r="K223" s="1420">
        <v>2133.02</v>
      </c>
      <c r="L223" s="1439"/>
      <c r="M223" s="1422">
        <v>139951326</v>
      </c>
      <c r="N223" s="1439"/>
      <c r="O223" s="1422">
        <v>25</v>
      </c>
      <c r="P223" s="1439"/>
      <c r="Q223" s="1422">
        <v>25</v>
      </c>
      <c r="R223" s="1439"/>
      <c r="S223" s="1422">
        <v>0</v>
      </c>
      <c r="T223" s="1439"/>
      <c r="U223" s="1422">
        <v>0</v>
      </c>
      <c r="V223" s="1439"/>
      <c r="W223" s="1420">
        <v>17.600000000000001</v>
      </c>
      <c r="X223" s="1439"/>
      <c r="Y223" s="1420">
        <v>42.6</v>
      </c>
      <c r="Z223" s="1439"/>
      <c r="AA223" s="1420">
        <v>20349255.469999999</v>
      </c>
      <c r="AB223" s="1439"/>
      <c r="AC223" s="1420">
        <v>6190552.3300000001</v>
      </c>
      <c r="AD223" s="1420">
        <v>6903521.9199999999</v>
      </c>
      <c r="AE223" s="1420">
        <v>881389.52</v>
      </c>
      <c r="AF223" s="1422">
        <v>481210</v>
      </c>
      <c r="AG223" s="1422">
        <v>0</v>
      </c>
      <c r="AH223" s="1422">
        <v>0</v>
      </c>
      <c r="AI223" s="1422">
        <v>9186232</v>
      </c>
      <c r="AJ223" s="1422">
        <v>9956019</v>
      </c>
      <c r="AK223" s="1422">
        <v>13983</v>
      </c>
      <c r="AL223" s="1422">
        <v>0</v>
      </c>
      <c r="AM223" s="1422">
        <v>273083</v>
      </c>
      <c r="AN223" s="1422">
        <v>0</v>
      </c>
      <c r="AO223" s="1422">
        <v>0</v>
      </c>
      <c r="AP223" s="1422">
        <v>0</v>
      </c>
      <c r="AQ223" s="1422">
        <v>0</v>
      </c>
      <c r="AR223" s="1422">
        <v>0</v>
      </c>
      <c r="AS223" s="1422">
        <v>0</v>
      </c>
      <c r="AT223" s="1422">
        <v>0</v>
      </c>
      <c r="AU223" s="1422">
        <v>0</v>
      </c>
      <c r="AV223" s="1422">
        <v>0</v>
      </c>
      <c r="AW223" s="1422">
        <v>0</v>
      </c>
      <c r="AX223" s="1422">
        <v>0</v>
      </c>
      <c r="AY223" s="1420">
        <v>16545239.85</v>
      </c>
      <c r="AZ223" s="1420">
        <v>17340750.920000002</v>
      </c>
      <c r="BA223" s="1422">
        <v>0</v>
      </c>
      <c r="BB223" s="1422">
        <v>0</v>
      </c>
      <c r="BC223" s="1422">
        <v>88222</v>
      </c>
      <c r="BD223" s="1422">
        <v>92326</v>
      </c>
      <c r="BE223" s="1420">
        <v>2983.2</v>
      </c>
      <c r="BF223" s="1420">
        <v>13231.1</v>
      </c>
      <c r="BG223" s="1422">
        <v>2760</v>
      </c>
      <c r="BH223" s="1422">
        <v>1400</v>
      </c>
      <c r="BI223" s="1422">
        <v>105719</v>
      </c>
      <c r="BJ223" s="1422">
        <v>75688</v>
      </c>
      <c r="BK223" s="1422">
        <v>16408</v>
      </c>
      <c r="BL223" s="1422">
        <v>16450</v>
      </c>
      <c r="BM223" s="1422">
        <v>416144</v>
      </c>
      <c r="BN223" s="1422">
        <v>417956</v>
      </c>
      <c r="BO223" s="1420">
        <v>12518.24</v>
      </c>
      <c r="BP223" s="1422">
        <v>0</v>
      </c>
      <c r="BQ223" s="1420">
        <v>11104.6</v>
      </c>
      <c r="BR223" s="1420">
        <v>17604.28</v>
      </c>
      <c r="BS223" s="1420">
        <v>7142.47</v>
      </c>
      <c r="BT223" s="1422">
        <v>8000</v>
      </c>
      <c r="BU223" s="1422">
        <v>0</v>
      </c>
      <c r="BV223" s="1422">
        <v>0</v>
      </c>
      <c r="BW223" s="1422">
        <v>0</v>
      </c>
      <c r="BX223" s="1422">
        <v>0</v>
      </c>
      <c r="BY223" s="1422">
        <v>0</v>
      </c>
      <c r="BZ223" s="1422">
        <v>0</v>
      </c>
      <c r="CA223" s="1422">
        <v>193154</v>
      </c>
      <c r="CB223" s="1422">
        <v>221814</v>
      </c>
      <c r="CC223" s="1420">
        <v>856155.51</v>
      </c>
      <c r="CD223" s="1420">
        <v>864469.38</v>
      </c>
      <c r="CE223" s="1420">
        <v>1956679.95</v>
      </c>
      <c r="CF223" s="1420">
        <v>1334041.6399999999</v>
      </c>
      <c r="CG223" s="1420">
        <v>717675.58</v>
      </c>
      <c r="CH223" s="1422">
        <v>0</v>
      </c>
      <c r="CI223" s="1422">
        <v>0</v>
      </c>
      <c r="CJ223" s="1422">
        <v>0</v>
      </c>
      <c r="CK223" s="1422">
        <v>0</v>
      </c>
      <c r="CL223" s="1422">
        <v>0</v>
      </c>
      <c r="CM223" s="1422">
        <v>2331</v>
      </c>
      <c r="CN223" s="1422">
        <v>0</v>
      </c>
      <c r="CO223" s="1422">
        <v>0</v>
      </c>
      <c r="CP223" s="1422">
        <v>0</v>
      </c>
      <c r="CQ223" s="1422">
        <v>0</v>
      </c>
      <c r="CR223" s="1422">
        <v>0</v>
      </c>
      <c r="CS223" s="1420">
        <v>720006.58</v>
      </c>
      <c r="CT223" s="1422">
        <v>0</v>
      </c>
      <c r="CU223" s="1420">
        <v>20078081.890000001</v>
      </c>
      <c r="CV223" s="1420">
        <v>19539261.940000001</v>
      </c>
      <c r="CW223" s="1420">
        <v>6994457.6699999999</v>
      </c>
      <c r="CX223" s="1420">
        <v>6412714.7000000002</v>
      </c>
      <c r="CY223" s="1420">
        <v>1290475.07</v>
      </c>
      <c r="CZ223" s="1420">
        <v>1261041.8600000001</v>
      </c>
      <c r="DA223" s="1420">
        <v>523419.2</v>
      </c>
      <c r="DB223" s="1420">
        <v>615216.73</v>
      </c>
      <c r="DC223" s="1422">
        <v>0</v>
      </c>
      <c r="DD223" s="1422">
        <v>0</v>
      </c>
      <c r="DE223" s="1420">
        <v>229849.79</v>
      </c>
      <c r="DF223" s="1420">
        <v>248800.94</v>
      </c>
      <c r="DG223" s="1420">
        <v>1183714.69</v>
      </c>
      <c r="DH223" s="1420">
        <v>1197379.73</v>
      </c>
      <c r="DI223" s="1420">
        <v>10221916.42</v>
      </c>
      <c r="DJ223" s="1420">
        <v>9735153.9600000009</v>
      </c>
      <c r="DK223" s="1420">
        <v>552591.39</v>
      </c>
      <c r="DL223" s="1420">
        <v>535135.37</v>
      </c>
      <c r="DM223" s="1420">
        <v>291565.62</v>
      </c>
      <c r="DN223" s="1420">
        <v>328694.33</v>
      </c>
      <c r="DO223" s="1420">
        <v>1643489.75</v>
      </c>
      <c r="DP223" s="1420">
        <v>1678500.28</v>
      </c>
      <c r="DQ223" s="1420">
        <v>720130.27</v>
      </c>
      <c r="DR223" s="1420">
        <v>601051.44999999995</v>
      </c>
      <c r="DS223" s="1420">
        <v>106658.47</v>
      </c>
      <c r="DT223" s="1420">
        <v>91142.19</v>
      </c>
      <c r="DU223" s="1420">
        <v>3314435.5</v>
      </c>
      <c r="DV223" s="1420">
        <v>3234523.62</v>
      </c>
      <c r="DW223" s="1420">
        <v>703345.97</v>
      </c>
      <c r="DX223" s="1420">
        <v>660168.88</v>
      </c>
      <c r="DY223" s="1420">
        <v>1112647.19</v>
      </c>
      <c r="DZ223" s="1420">
        <v>1138837.6200000001</v>
      </c>
      <c r="EA223" s="1420">
        <v>972693.13</v>
      </c>
      <c r="EB223" s="1420">
        <v>953159.34</v>
      </c>
      <c r="EC223" s="1420">
        <v>2788686.29</v>
      </c>
      <c r="ED223" s="1420">
        <v>2752165.84</v>
      </c>
      <c r="EE223" s="1420">
        <v>955462.67</v>
      </c>
      <c r="EF223" s="1420">
        <v>908319.09</v>
      </c>
      <c r="EG223" s="1420">
        <v>3489.86</v>
      </c>
      <c r="EH223" s="1422">
        <v>0</v>
      </c>
      <c r="EI223" s="1422">
        <v>0</v>
      </c>
      <c r="EJ223" s="1422">
        <v>1500</v>
      </c>
      <c r="EK223" s="1422">
        <v>0</v>
      </c>
      <c r="EL223" s="1422">
        <v>0</v>
      </c>
      <c r="EM223" s="1420">
        <v>958952.53</v>
      </c>
      <c r="EN223" s="1420">
        <v>909819.09</v>
      </c>
      <c r="EO223" s="1420">
        <v>419368.61</v>
      </c>
      <c r="EP223" s="1420">
        <v>409178.39</v>
      </c>
      <c r="EQ223" s="1420">
        <v>1454615.01</v>
      </c>
      <c r="ER223" s="1420">
        <v>1322354.6100000001</v>
      </c>
      <c r="ES223" s="1422">
        <v>95938</v>
      </c>
      <c r="ET223" s="1422">
        <v>0</v>
      </c>
      <c r="EU223" s="1420">
        <v>19253912.359999999</v>
      </c>
      <c r="EV223" s="1420">
        <v>18363195.510000002</v>
      </c>
      <c r="EW223" s="1420">
        <v>571714.17000000004</v>
      </c>
      <c r="EX223" s="1420">
        <v>432878.39</v>
      </c>
      <c r="EY223" s="1420">
        <v>1454615.01</v>
      </c>
      <c r="EZ223" s="1420">
        <v>1322354.6100000001</v>
      </c>
      <c r="FA223" s="1420">
        <v>17227583.18</v>
      </c>
      <c r="FB223" s="1420">
        <v>16607962.51</v>
      </c>
      <c r="FC223" s="1420">
        <v>897127.22</v>
      </c>
      <c r="FD223" s="1439"/>
      <c r="FE223" s="1420">
        <v>16330455.960000001</v>
      </c>
      <c r="FF223" s="1439"/>
      <c r="FG223" s="1422">
        <v>7935</v>
      </c>
      <c r="FH223" s="1439"/>
      <c r="FI223" s="1420">
        <v>153.74</v>
      </c>
      <c r="FJ223" s="1439"/>
      <c r="FK223" s="1422">
        <v>45901</v>
      </c>
      <c r="FL223" s="1439"/>
      <c r="FM223" s="1420">
        <v>166.56</v>
      </c>
      <c r="FN223" s="1439"/>
      <c r="FO223" s="1422">
        <v>48413</v>
      </c>
      <c r="FP223" s="1439"/>
      <c r="FQ223" s="1420">
        <v>718679.49</v>
      </c>
      <c r="FR223" s="1439"/>
      <c r="FS223" s="1420">
        <v>39317.49</v>
      </c>
      <c r="FT223" s="1439"/>
      <c r="FU223" s="1422">
        <v>0</v>
      </c>
      <c r="FV223" s="1439"/>
      <c r="FW223" s="1422">
        <v>679362</v>
      </c>
      <c r="FX223" s="1439"/>
      <c r="FY223" s="1420">
        <v>2198410.83</v>
      </c>
      <c r="FZ223" s="1439"/>
      <c r="GA223" s="1422">
        <v>0</v>
      </c>
      <c r="GB223" s="1439"/>
    </row>
    <row r="224" spans="1:184" ht="12.75" customHeight="1" thickBot="1">
      <c r="A224" s="1418" t="s">
        <v>131</v>
      </c>
      <c r="B224" s="1418" t="s">
        <v>132</v>
      </c>
      <c r="C224" s="1420">
        <v>113.48</v>
      </c>
      <c r="D224" s="1439"/>
      <c r="E224" s="1420">
        <v>8388.2900000000009</v>
      </c>
      <c r="F224" s="1439"/>
      <c r="G224" s="1421">
        <v>7.0000000000000007E-2</v>
      </c>
      <c r="H224" s="1439"/>
      <c r="I224" s="1420">
        <v>8838.75</v>
      </c>
      <c r="J224" s="1439"/>
      <c r="K224" s="1420">
        <v>8540.91</v>
      </c>
      <c r="L224" s="1439"/>
      <c r="M224" s="1422">
        <v>1284990394</v>
      </c>
      <c r="N224" s="1439"/>
      <c r="O224" s="1422">
        <v>25</v>
      </c>
      <c r="P224" s="1439"/>
      <c r="Q224" s="1422">
        <v>25</v>
      </c>
      <c r="R224" s="1439"/>
      <c r="S224" s="1422">
        <v>0</v>
      </c>
      <c r="T224" s="1439"/>
      <c r="U224" s="1422">
        <v>0</v>
      </c>
      <c r="V224" s="1439"/>
      <c r="W224" s="1420">
        <v>20.65</v>
      </c>
      <c r="X224" s="1439"/>
      <c r="Y224" s="1420">
        <v>45.65</v>
      </c>
      <c r="Z224" s="1439"/>
      <c r="AA224" s="1420">
        <v>157509702.12</v>
      </c>
      <c r="AB224" s="1439"/>
      <c r="AC224" s="1420">
        <v>55376321.899999999</v>
      </c>
      <c r="AD224" s="1422">
        <v>58232701</v>
      </c>
      <c r="AE224" s="1420">
        <v>3005691.59</v>
      </c>
      <c r="AF224" s="1422">
        <v>448000</v>
      </c>
      <c r="AG224" s="1422">
        <v>0</v>
      </c>
      <c r="AH224" s="1422">
        <v>0</v>
      </c>
      <c r="AI224" s="1422">
        <v>18935683</v>
      </c>
      <c r="AJ224" s="1422">
        <v>22856684</v>
      </c>
      <c r="AK224" s="1422">
        <v>0</v>
      </c>
      <c r="AL224" s="1422">
        <v>0</v>
      </c>
      <c r="AM224" s="1422">
        <v>1978334</v>
      </c>
      <c r="AN224" s="1422">
        <v>0</v>
      </c>
      <c r="AO224" s="1422">
        <v>0</v>
      </c>
      <c r="AP224" s="1422">
        <v>0</v>
      </c>
      <c r="AQ224" s="1422">
        <v>0</v>
      </c>
      <c r="AR224" s="1422">
        <v>0</v>
      </c>
      <c r="AS224" s="1422">
        <v>0</v>
      </c>
      <c r="AT224" s="1422">
        <v>0</v>
      </c>
      <c r="AU224" s="1422">
        <v>0</v>
      </c>
      <c r="AV224" s="1422">
        <v>0</v>
      </c>
      <c r="AW224" s="1422">
        <v>0</v>
      </c>
      <c r="AX224" s="1422">
        <v>0</v>
      </c>
      <c r="AY224" s="1420">
        <v>79296030.489999995</v>
      </c>
      <c r="AZ224" s="1422">
        <v>81537385</v>
      </c>
      <c r="BA224" s="1420">
        <v>433286.68</v>
      </c>
      <c r="BB224" s="1420">
        <v>458850.76</v>
      </c>
      <c r="BC224" s="1422">
        <v>353252</v>
      </c>
      <c r="BD224" s="1422">
        <v>374818</v>
      </c>
      <c r="BE224" s="1420">
        <v>82222.55</v>
      </c>
      <c r="BF224" s="1422">
        <v>0</v>
      </c>
      <c r="BG224" s="1422">
        <v>42150</v>
      </c>
      <c r="BH224" s="1422">
        <v>0</v>
      </c>
      <c r="BI224" s="1422">
        <v>463466</v>
      </c>
      <c r="BJ224" s="1422">
        <v>485462</v>
      </c>
      <c r="BK224" s="1422">
        <v>197189</v>
      </c>
      <c r="BL224" s="1422">
        <v>85627</v>
      </c>
      <c r="BM224" s="1422">
        <v>1616960</v>
      </c>
      <c r="BN224" s="1422">
        <v>1784156</v>
      </c>
      <c r="BO224" s="1420">
        <v>777833.44</v>
      </c>
      <c r="BP224" s="1422">
        <v>0</v>
      </c>
      <c r="BQ224" s="1420">
        <v>164670.87</v>
      </c>
      <c r="BR224" s="1422">
        <v>0</v>
      </c>
      <c r="BS224" s="1420">
        <v>25092.04</v>
      </c>
      <c r="BT224" s="1422">
        <v>25000</v>
      </c>
      <c r="BU224" s="1422">
        <v>0</v>
      </c>
      <c r="BV224" s="1422">
        <v>0</v>
      </c>
      <c r="BW224" s="1422">
        <v>577368</v>
      </c>
      <c r="BX224" s="1422">
        <v>0</v>
      </c>
      <c r="BY224" s="1422">
        <v>0</v>
      </c>
      <c r="BZ224" s="1422">
        <v>0</v>
      </c>
      <c r="CA224" s="1422">
        <v>388976</v>
      </c>
      <c r="CB224" s="1422">
        <v>198180</v>
      </c>
      <c r="CC224" s="1420">
        <v>5122466.58</v>
      </c>
      <c r="CD224" s="1420">
        <v>3412093.76</v>
      </c>
      <c r="CE224" s="1420">
        <v>16635894.66</v>
      </c>
      <c r="CF224" s="1420">
        <v>11925426.68</v>
      </c>
      <c r="CG224" s="1420">
        <v>31843216.32</v>
      </c>
      <c r="CH224" s="1422">
        <v>0</v>
      </c>
      <c r="CI224" s="1422">
        <v>0</v>
      </c>
      <c r="CJ224" s="1422">
        <v>0</v>
      </c>
      <c r="CK224" s="1422">
        <v>0</v>
      </c>
      <c r="CL224" s="1422">
        <v>0</v>
      </c>
      <c r="CM224" s="1422">
        <v>0</v>
      </c>
      <c r="CN224" s="1422">
        <v>0</v>
      </c>
      <c r="CO224" s="1422">
        <v>0</v>
      </c>
      <c r="CP224" s="1422">
        <v>0</v>
      </c>
      <c r="CQ224" s="1422">
        <v>0</v>
      </c>
      <c r="CR224" s="1422">
        <v>0</v>
      </c>
      <c r="CS224" s="1420">
        <v>31843216.32</v>
      </c>
      <c r="CT224" s="1422">
        <v>0</v>
      </c>
      <c r="CU224" s="1420">
        <v>132897608.05</v>
      </c>
      <c r="CV224" s="1420">
        <v>96874905.439999998</v>
      </c>
      <c r="CW224" s="1420">
        <v>39777677.390000001</v>
      </c>
      <c r="CX224" s="1420">
        <v>34646885.950000003</v>
      </c>
      <c r="CY224" s="1420">
        <v>7885442.1600000001</v>
      </c>
      <c r="CZ224" s="1420">
        <v>7807236.79</v>
      </c>
      <c r="DA224" s="1420">
        <v>1024212.32</v>
      </c>
      <c r="DB224" s="1420">
        <v>966135.77</v>
      </c>
      <c r="DC224" s="1420">
        <v>637727.81000000006</v>
      </c>
      <c r="DD224" s="1420">
        <v>733690.27</v>
      </c>
      <c r="DE224" s="1420">
        <v>2047245.41</v>
      </c>
      <c r="DF224" s="1420">
        <v>1581257.17</v>
      </c>
      <c r="DG224" s="1420">
        <v>1972779.37</v>
      </c>
      <c r="DH224" s="1420">
        <v>1900924.15</v>
      </c>
      <c r="DI224" s="1420">
        <v>53345084.460000001</v>
      </c>
      <c r="DJ224" s="1420">
        <v>47636130.100000001</v>
      </c>
      <c r="DK224" s="1420">
        <v>1460490.11</v>
      </c>
      <c r="DL224" s="1420">
        <v>6594209.0800000001</v>
      </c>
      <c r="DM224" s="1420">
        <v>2772733.44</v>
      </c>
      <c r="DN224" s="1420">
        <v>3373859.05</v>
      </c>
      <c r="DO224" s="1420">
        <v>7540270.9000000004</v>
      </c>
      <c r="DP224" s="1420">
        <v>6694603.6699999999</v>
      </c>
      <c r="DQ224" s="1420">
        <v>2688808.7</v>
      </c>
      <c r="DR224" s="1420">
        <v>3190329.37</v>
      </c>
      <c r="DS224" s="1420">
        <v>20171.05</v>
      </c>
      <c r="DT224" s="1422">
        <v>35000</v>
      </c>
      <c r="DU224" s="1420">
        <v>14482474.199999999</v>
      </c>
      <c r="DV224" s="1420">
        <v>19888001.170000002</v>
      </c>
      <c r="DW224" s="1420">
        <v>4111809.87</v>
      </c>
      <c r="DX224" s="1420">
        <v>3483405.55</v>
      </c>
      <c r="DY224" s="1420">
        <v>9166807.4100000001</v>
      </c>
      <c r="DZ224" s="1420">
        <v>10147104.699999999</v>
      </c>
      <c r="EA224" s="1420">
        <v>4286936.7699999996</v>
      </c>
      <c r="EB224" s="1420">
        <v>4313275.53</v>
      </c>
      <c r="EC224" s="1420">
        <v>17565554.050000001</v>
      </c>
      <c r="ED224" s="1420">
        <v>17943785.780000001</v>
      </c>
      <c r="EE224" s="1420">
        <v>3581093.87</v>
      </c>
      <c r="EF224" s="1420">
        <v>3603158.17</v>
      </c>
      <c r="EG224" s="1422">
        <v>0</v>
      </c>
      <c r="EH224" s="1422">
        <v>0</v>
      </c>
      <c r="EI224" s="1420">
        <v>132387.35</v>
      </c>
      <c r="EJ224" s="1420">
        <v>166908.59</v>
      </c>
      <c r="EK224" s="1422">
        <v>0</v>
      </c>
      <c r="EL224" s="1422">
        <v>0</v>
      </c>
      <c r="EM224" s="1420">
        <v>3713481.22</v>
      </c>
      <c r="EN224" s="1420">
        <v>3770066.76</v>
      </c>
      <c r="EO224" s="1420">
        <v>18777727.41</v>
      </c>
      <c r="EP224" s="1422">
        <v>23129759</v>
      </c>
      <c r="EQ224" s="1420">
        <v>7765632.54</v>
      </c>
      <c r="ER224" s="1420">
        <v>13467840.48</v>
      </c>
      <c r="ES224" s="1422">
        <v>0</v>
      </c>
      <c r="ET224" s="1422">
        <v>0</v>
      </c>
      <c r="EU224" s="1420">
        <v>115649953.88</v>
      </c>
      <c r="EV224" s="1420">
        <v>125835583.29000001</v>
      </c>
      <c r="EW224" s="1422">
        <v>19895805</v>
      </c>
      <c r="EX224" s="1420">
        <v>24406568.579999998</v>
      </c>
      <c r="EY224" s="1420">
        <v>7765632.54</v>
      </c>
      <c r="EZ224" s="1420">
        <v>13467840.48</v>
      </c>
      <c r="FA224" s="1420">
        <v>87988516.340000004</v>
      </c>
      <c r="FB224" s="1420">
        <v>87961174.230000004</v>
      </c>
      <c r="FC224" s="1420">
        <v>1309006.95</v>
      </c>
      <c r="FD224" s="1439"/>
      <c r="FE224" s="1420">
        <v>86679509.390000001</v>
      </c>
      <c r="FF224" s="1439"/>
      <c r="FG224" s="1422">
        <v>10333</v>
      </c>
      <c r="FH224" s="1439"/>
      <c r="FI224" s="1420">
        <v>582.44000000000005</v>
      </c>
      <c r="FJ224" s="1439"/>
      <c r="FK224" s="1422">
        <v>57279</v>
      </c>
      <c r="FL224" s="1439"/>
      <c r="FM224" s="1420">
        <v>631.73</v>
      </c>
      <c r="FN224" s="1439"/>
      <c r="FO224" s="1422">
        <v>59384</v>
      </c>
      <c r="FP224" s="1439"/>
      <c r="FQ224" s="1420">
        <v>85833058.150000006</v>
      </c>
      <c r="FR224" s="1439"/>
      <c r="FS224" s="1420">
        <v>430797.18</v>
      </c>
      <c r="FT224" s="1439"/>
      <c r="FU224" s="1420">
        <v>3253093.85</v>
      </c>
      <c r="FV224" s="1439"/>
      <c r="FW224" s="1420">
        <v>82149167.120000005</v>
      </c>
      <c r="FX224" s="1439"/>
      <c r="FY224" s="1420">
        <v>55682.79</v>
      </c>
      <c r="FZ224" s="1439"/>
      <c r="GA224" s="1420">
        <v>2497990.9900000002</v>
      </c>
      <c r="GB224" s="1439"/>
    </row>
    <row r="225" spans="1:184" ht="12.75" customHeight="1" thickBot="1">
      <c r="A225" s="1418" t="s">
        <v>133</v>
      </c>
      <c r="B225" s="1418" t="s">
        <v>134</v>
      </c>
      <c r="C225" s="1420">
        <v>136.22</v>
      </c>
      <c r="D225" s="1439"/>
      <c r="E225" s="1420">
        <v>759.99</v>
      </c>
      <c r="F225" s="1439"/>
      <c r="G225" s="1421">
        <v>-0.15</v>
      </c>
      <c r="H225" s="1439"/>
      <c r="I225" s="1420">
        <v>793.66</v>
      </c>
      <c r="J225" s="1439"/>
      <c r="K225" s="1420">
        <v>821.63</v>
      </c>
      <c r="L225" s="1439"/>
      <c r="M225" s="1422">
        <v>79663115</v>
      </c>
      <c r="N225" s="1439"/>
      <c r="O225" s="1422">
        <v>25</v>
      </c>
      <c r="P225" s="1439"/>
      <c r="Q225" s="1422">
        <v>25</v>
      </c>
      <c r="R225" s="1439"/>
      <c r="S225" s="1422">
        <v>0</v>
      </c>
      <c r="T225" s="1439"/>
      <c r="U225" s="1422">
        <v>0</v>
      </c>
      <c r="V225" s="1439"/>
      <c r="W225" s="1420">
        <v>14.5</v>
      </c>
      <c r="X225" s="1439"/>
      <c r="Y225" s="1420">
        <v>39.5</v>
      </c>
      <c r="Z225" s="1439"/>
      <c r="AA225" s="1420">
        <v>6923361.4699999997</v>
      </c>
      <c r="AB225" s="1439"/>
      <c r="AC225" s="1420">
        <v>3191776.56</v>
      </c>
      <c r="AD225" s="1420">
        <v>3011269.99</v>
      </c>
      <c r="AE225" s="1420">
        <v>466972.62</v>
      </c>
      <c r="AF225" s="1420">
        <v>401322.64</v>
      </c>
      <c r="AG225" s="1420">
        <v>10179.76</v>
      </c>
      <c r="AH225" s="1420">
        <v>103.3</v>
      </c>
      <c r="AI225" s="1422">
        <v>2933493</v>
      </c>
      <c r="AJ225" s="1422">
        <v>2884290</v>
      </c>
      <c r="AK225" s="1422">
        <v>0</v>
      </c>
      <c r="AL225" s="1422">
        <v>0</v>
      </c>
      <c r="AM225" s="1422">
        <v>0</v>
      </c>
      <c r="AN225" s="1422">
        <v>0</v>
      </c>
      <c r="AO225" s="1422">
        <v>0</v>
      </c>
      <c r="AP225" s="1422">
        <v>96645</v>
      </c>
      <c r="AQ225" s="1422">
        <v>0</v>
      </c>
      <c r="AR225" s="1422">
        <v>0</v>
      </c>
      <c r="AS225" s="1422">
        <v>0</v>
      </c>
      <c r="AT225" s="1422">
        <v>0</v>
      </c>
      <c r="AU225" s="1422">
        <v>29394</v>
      </c>
      <c r="AV225" s="1422">
        <v>23515</v>
      </c>
      <c r="AW225" s="1422">
        <v>0</v>
      </c>
      <c r="AX225" s="1422">
        <v>0</v>
      </c>
      <c r="AY225" s="1420">
        <v>6631815.9400000004</v>
      </c>
      <c r="AZ225" s="1420">
        <v>6417145.9299999997</v>
      </c>
      <c r="BA225" s="1422">
        <v>0</v>
      </c>
      <c r="BB225" s="1422">
        <v>0</v>
      </c>
      <c r="BC225" s="1422">
        <v>33983</v>
      </c>
      <c r="BD225" s="1422">
        <v>33487</v>
      </c>
      <c r="BE225" s="1420">
        <v>8893.91</v>
      </c>
      <c r="BF225" s="1422">
        <v>4975</v>
      </c>
      <c r="BG225" s="1422">
        <v>200</v>
      </c>
      <c r="BH225" s="1422">
        <v>200</v>
      </c>
      <c r="BI225" s="1422">
        <v>31204</v>
      </c>
      <c r="BJ225" s="1422">
        <v>23544</v>
      </c>
      <c r="BK225" s="1422">
        <v>5567</v>
      </c>
      <c r="BL225" s="1420">
        <v>6746.49</v>
      </c>
      <c r="BM225" s="1422">
        <v>213776</v>
      </c>
      <c r="BN225" s="1422">
        <v>238832</v>
      </c>
      <c r="BO225" s="1420">
        <v>3365.91</v>
      </c>
      <c r="BP225" s="1422">
        <v>3366</v>
      </c>
      <c r="BQ225" s="1422">
        <v>0</v>
      </c>
      <c r="BR225" s="1422">
        <v>1083</v>
      </c>
      <c r="BS225" s="1420">
        <v>2735.05</v>
      </c>
      <c r="BT225" s="1422">
        <v>3000</v>
      </c>
      <c r="BU225" s="1422">
        <v>0</v>
      </c>
      <c r="BV225" s="1422">
        <v>0</v>
      </c>
      <c r="BW225" s="1422">
        <v>0</v>
      </c>
      <c r="BX225" s="1422">
        <v>0</v>
      </c>
      <c r="BY225" s="1422">
        <v>0</v>
      </c>
      <c r="BZ225" s="1422">
        <v>0</v>
      </c>
      <c r="CA225" s="1420">
        <v>293430.37</v>
      </c>
      <c r="CB225" s="1422">
        <v>31092</v>
      </c>
      <c r="CC225" s="1420">
        <v>593155.24</v>
      </c>
      <c r="CD225" s="1420">
        <v>346325.49</v>
      </c>
      <c r="CE225" s="1420">
        <v>1466357.92</v>
      </c>
      <c r="CF225" s="1420">
        <v>1100167.8999999999</v>
      </c>
      <c r="CG225" s="1422">
        <v>0</v>
      </c>
      <c r="CH225" s="1422">
        <v>0</v>
      </c>
      <c r="CI225" s="1422">
        <v>0</v>
      </c>
      <c r="CJ225" s="1422">
        <v>0</v>
      </c>
      <c r="CK225" s="1422">
        <v>0</v>
      </c>
      <c r="CL225" s="1422">
        <v>0</v>
      </c>
      <c r="CM225" s="1420">
        <v>6314.31</v>
      </c>
      <c r="CN225" s="1422">
        <v>0</v>
      </c>
      <c r="CO225" s="1422">
        <v>0</v>
      </c>
      <c r="CP225" s="1422">
        <v>0</v>
      </c>
      <c r="CQ225" s="1422">
        <v>0</v>
      </c>
      <c r="CR225" s="1422">
        <v>0</v>
      </c>
      <c r="CS225" s="1420">
        <v>6314.31</v>
      </c>
      <c r="CT225" s="1422">
        <v>0</v>
      </c>
      <c r="CU225" s="1420">
        <v>8697643.4100000001</v>
      </c>
      <c r="CV225" s="1420">
        <v>7863639.3200000003</v>
      </c>
      <c r="CW225" s="1420">
        <v>2684677.81</v>
      </c>
      <c r="CX225" s="1420">
        <v>2825985.78</v>
      </c>
      <c r="CY225" s="1420">
        <v>587646.55000000005</v>
      </c>
      <c r="CZ225" s="1420">
        <v>516303.21</v>
      </c>
      <c r="DA225" s="1420">
        <v>351587.8</v>
      </c>
      <c r="DB225" s="1420">
        <v>325067.42</v>
      </c>
      <c r="DC225" s="1422">
        <v>0</v>
      </c>
      <c r="DD225" s="1422">
        <v>0</v>
      </c>
      <c r="DE225" s="1420">
        <v>171519.03</v>
      </c>
      <c r="DF225" s="1420">
        <v>191349.4</v>
      </c>
      <c r="DG225" s="1420">
        <v>333118.59999999998</v>
      </c>
      <c r="DH225" s="1420">
        <v>347673.46</v>
      </c>
      <c r="DI225" s="1420">
        <v>4128549.79</v>
      </c>
      <c r="DJ225" s="1420">
        <v>4206379.2699999996</v>
      </c>
      <c r="DK225" s="1420">
        <v>250215.15</v>
      </c>
      <c r="DL225" s="1420">
        <v>279908.78000000003</v>
      </c>
      <c r="DM225" s="1420">
        <v>210956.37</v>
      </c>
      <c r="DN225" s="1420">
        <v>200052.6</v>
      </c>
      <c r="DO225" s="1420">
        <v>649041.92000000004</v>
      </c>
      <c r="DP225" s="1420">
        <v>850603.42</v>
      </c>
      <c r="DQ225" s="1420">
        <v>366861.44</v>
      </c>
      <c r="DR225" s="1420">
        <v>328794.98</v>
      </c>
      <c r="DS225" s="1420">
        <v>37621.279999999999</v>
      </c>
      <c r="DT225" s="1422">
        <v>34481</v>
      </c>
      <c r="DU225" s="1420">
        <v>1514696.16</v>
      </c>
      <c r="DV225" s="1420">
        <v>1693840.78</v>
      </c>
      <c r="DW225" s="1420">
        <v>372335.92</v>
      </c>
      <c r="DX225" s="1420">
        <v>374781.22</v>
      </c>
      <c r="DY225" s="1420">
        <v>548800.88</v>
      </c>
      <c r="DZ225" s="1420">
        <v>555466.44999999995</v>
      </c>
      <c r="EA225" s="1420">
        <v>376477.04</v>
      </c>
      <c r="EB225" s="1420">
        <v>381294.94</v>
      </c>
      <c r="EC225" s="1420">
        <v>1297613.8400000001</v>
      </c>
      <c r="ED225" s="1420">
        <v>1311542.6100000001</v>
      </c>
      <c r="EE225" s="1420">
        <v>380347.47</v>
      </c>
      <c r="EF225" s="1420">
        <v>396074.28</v>
      </c>
      <c r="EG225" s="1422">
        <v>0</v>
      </c>
      <c r="EH225" s="1422">
        <v>0</v>
      </c>
      <c r="EI225" s="1420">
        <v>2570.9899999999998</v>
      </c>
      <c r="EJ225" s="1420">
        <v>19146.25</v>
      </c>
      <c r="EK225" s="1422">
        <v>0</v>
      </c>
      <c r="EL225" s="1422">
        <v>0</v>
      </c>
      <c r="EM225" s="1420">
        <v>382918.46</v>
      </c>
      <c r="EN225" s="1420">
        <v>415220.53</v>
      </c>
      <c r="EO225" s="1420">
        <v>865543.51</v>
      </c>
      <c r="EP225" s="1420">
        <v>16693.52</v>
      </c>
      <c r="EQ225" s="1420">
        <v>409139.65</v>
      </c>
      <c r="ER225" s="1420">
        <v>433814.25</v>
      </c>
      <c r="ES225" s="1422">
        <v>0</v>
      </c>
      <c r="ET225" s="1422">
        <v>0</v>
      </c>
      <c r="EU225" s="1420">
        <v>8598461.4100000001</v>
      </c>
      <c r="EV225" s="1420">
        <v>8077490.96</v>
      </c>
      <c r="EW225" s="1420">
        <v>1074837.76</v>
      </c>
      <c r="EX225" s="1420">
        <v>97255.52</v>
      </c>
      <c r="EY225" s="1420">
        <v>409139.65</v>
      </c>
      <c r="EZ225" s="1420">
        <v>433814.25</v>
      </c>
      <c r="FA225" s="1422">
        <v>7114484</v>
      </c>
      <c r="FB225" s="1420">
        <v>7546421.1900000004</v>
      </c>
      <c r="FC225" s="1420">
        <v>277296.38</v>
      </c>
      <c r="FD225" s="1439"/>
      <c r="FE225" s="1420">
        <v>6837187.6200000001</v>
      </c>
      <c r="FF225" s="1439"/>
      <c r="FG225" s="1422">
        <v>8996</v>
      </c>
      <c r="FH225" s="1439"/>
      <c r="FI225" s="1420">
        <v>63.84</v>
      </c>
      <c r="FJ225" s="1439"/>
      <c r="FK225" s="1422">
        <v>40424</v>
      </c>
      <c r="FL225" s="1439"/>
      <c r="FM225" s="1420">
        <v>69.37</v>
      </c>
      <c r="FN225" s="1439"/>
      <c r="FO225" s="1422">
        <v>43330</v>
      </c>
      <c r="FP225" s="1439"/>
      <c r="FQ225" s="1420">
        <v>2637697.9300000002</v>
      </c>
      <c r="FR225" s="1439"/>
      <c r="FS225" s="1420">
        <v>18838.02</v>
      </c>
      <c r="FT225" s="1439"/>
      <c r="FU225" s="1420">
        <v>286532.88</v>
      </c>
      <c r="FV225" s="1439"/>
      <c r="FW225" s="1420">
        <v>2332327.0299999998</v>
      </c>
      <c r="FX225" s="1439"/>
      <c r="FY225" s="1420">
        <v>272653.13</v>
      </c>
      <c r="FZ225" s="1439"/>
      <c r="GA225" s="1422">
        <v>0</v>
      </c>
      <c r="GB225" s="1439"/>
    </row>
    <row r="226" spans="1:184" ht="12.75" customHeight="1" thickBot="1">
      <c r="A226" s="1418" t="s">
        <v>135</v>
      </c>
      <c r="B226" s="1418" t="s">
        <v>136</v>
      </c>
      <c r="C226" s="1420">
        <v>145.75</v>
      </c>
      <c r="D226" s="1439"/>
      <c r="E226" s="1420">
        <v>1187.6400000000001</v>
      </c>
      <c r="F226" s="1439"/>
      <c r="G226" s="1421">
        <v>0.01</v>
      </c>
      <c r="H226" s="1439"/>
      <c r="I226" s="1420">
        <v>1271.96</v>
      </c>
      <c r="J226" s="1439"/>
      <c r="K226" s="1420">
        <v>1303.48</v>
      </c>
      <c r="L226" s="1439"/>
      <c r="M226" s="1422">
        <v>66959903</v>
      </c>
      <c r="N226" s="1439"/>
      <c r="O226" s="1422">
        <v>25</v>
      </c>
      <c r="P226" s="1439"/>
      <c r="Q226" s="1422">
        <v>25</v>
      </c>
      <c r="R226" s="1439"/>
      <c r="S226" s="1422">
        <v>0</v>
      </c>
      <c r="T226" s="1439"/>
      <c r="U226" s="1422">
        <v>0</v>
      </c>
      <c r="V226" s="1439"/>
      <c r="W226" s="1420">
        <v>17.7</v>
      </c>
      <c r="X226" s="1439"/>
      <c r="Y226" s="1420">
        <v>42.7</v>
      </c>
      <c r="Z226" s="1439"/>
      <c r="AA226" s="1422">
        <v>16475000</v>
      </c>
      <c r="AB226" s="1439"/>
      <c r="AC226" s="1420">
        <v>2660775.94</v>
      </c>
      <c r="AD226" s="1420">
        <v>2978632.37</v>
      </c>
      <c r="AE226" s="1420">
        <v>1167246.5</v>
      </c>
      <c r="AF226" s="1420">
        <v>808002.06</v>
      </c>
      <c r="AG226" s="1420">
        <v>285.89</v>
      </c>
      <c r="AH226" s="1422">
        <v>0</v>
      </c>
      <c r="AI226" s="1422">
        <v>6155435</v>
      </c>
      <c r="AJ226" s="1422">
        <v>6278067</v>
      </c>
      <c r="AK226" s="1422">
        <v>37227</v>
      </c>
      <c r="AL226" s="1422">
        <v>0</v>
      </c>
      <c r="AM226" s="1422">
        <v>12724</v>
      </c>
      <c r="AN226" s="1422">
        <v>0</v>
      </c>
      <c r="AO226" s="1422">
        <v>0</v>
      </c>
      <c r="AP226" s="1422">
        <v>44913</v>
      </c>
      <c r="AQ226" s="1422">
        <v>0</v>
      </c>
      <c r="AR226" s="1422">
        <v>0</v>
      </c>
      <c r="AS226" s="1422">
        <v>0</v>
      </c>
      <c r="AT226" s="1422">
        <v>0</v>
      </c>
      <c r="AU226" s="1422">
        <v>42818</v>
      </c>
      <c r="AV226" s="1422">
        <v>34254</v>
      </c>
      <c r="AW226" s="1422">
        <v>3000</v>
      </c>
      <c r="AX226" s="1422">
        <v>0</v>
      </c>
      <c r="AY226" s="1420">
        <v>10079512.33</v>
      </c>
      <c r="AZ226" s="1420">
        <v>10143868.43</v>
      </c>
      <c r="BA226" s="1422">
        <v>0</v>
      </c>
      <c r="BB226" s="1422">
        <v>1000</v>
      </c>
      <c r="BC226" s="1422">
        <v>53912</v>
      </c>
      <c r="BD226" s="1422">
        <v>54622</v>
      </c>
      <c r="BE226" s="1420">
        <v>520531.48</v>
      </c>
      <c r="BF226" s="1422">
        <v>1200</v>
      </c>
      <c r="BG226" s="1422">
        <v>200</v>
      </c>
      <c r="BH226" s="1422">
        <v>0</v>
      </c>
      <c r="BI226" s="1422">
        <v>136842</v>
      </c>
      <c r="BJ226" s="1422">
        <v>139894</v>
      </c>
      <c r="BK226" s="1422">
        <v>31644</v>
      </c>
      <c r="BL226" s="1422">
        <v>31644</v>
      </c>
      <c r="BM226" s="1422">
        <v>613714</v>
      </c>
      <c r="BN226" s="1422">
        <v>775873</v>
      </c>
      <c r="BO226" s="1420">
        <v>5339.9</v>
      </c>
      <c r="BP226" s="1422">
        <v>0</v>
      </c>
      <c r="BQ226" s="1420">
        <v>29333.56</v>
      </c>
      <c r="BR226" s="1422">
        <v>109300</v>
      </c>
      <c r="BS226" s="1420">
        <v>4445.71</v>
      </c>
      <c r="BT226" s="1422">
        <v>4500</v>
      </c>
      <c r="BU226" s="1422">
        <v>0</v>
      </c>
      <c r="BV226" s="1422">
        <v>0</v>
      </c>
      <c r="BW226" s="1420">
        <v>206522.49</v>
      </c>
      <c r="BX226" s="1422">
        <v>194400</v>
      </c>
      <c r="BY226" s="1422">
        <v>0</v>
      </c>
      <c r="BZ226" s="1422">
        <v>0</v>
      </c>
      <c r="CA226" s="1420">
        <v>1230414.99</v>
      </c>
      <c r="CB226" s="1422">
        <v>5426785</v>
      </c>
      <c r="CC226" s="1420">
        <v>2832900.13</v>
      </c>
      <c r="CD226" s="1422">
        <v>6739218</v>
      </c>
      <c r="CE226" s="1420">
        <v>2538702.33</v>
      </c>
      <c r="CF226" s="1420">
        <v>1912588.47</v>
      </c>
      <c r="CG226" s="1420">
        <v>9307169.2799999993</v>
      </c>
      <c r="CH226" s="1422">
        <v>925000</v>
      </c>
      <c r="CI226" s="1422">
        <v>0</v>
      </c>
      <c r="CJ226" s="1422">
        <v>0</v>
      </c>
      <c r="CK226" s="1422">
        <v>2892</v>
      </c>
      <c r="CL226" s="1422">
        <v>0</v>
      </c>
      <c r="CM226" s="1422">
        <v>0</v>
      </c>
      <c r="CN226" s="1422">
        <v>0</v>
      </c>
      <c r="CO226" s="1422">
        <v>0</v>
      </c>
      <c r="CP226" s="1422">
        <v>0</v>
      </c>
      <c r="CQ226" s="1422">
        <v>0</v>
      </c>
      <c r="CR226" s="1422">
        <v>0</v>
      </c>
      <c r="CS226" s="1420">
        <v>9310061.2799999993</v>
      </c>
      <c r="CT226" s="1422">
        <v>925000</v>
      </c>
      <c r="CU226" s="1420">
        <v>24761176.07</v>
      </c>
      <c r="CV226" s="1420">
        <v>19720674.899999999</v>
      </c>
      <c r="CW226" s="1420">
        <v>5063932.25</v>
      </c>
      <c r="CX226" s="1420">
        <v>4695974.8499999996</v>
      </c>
      <c r="CY226" s="1420">
        <v>828515.1</v>
      </c>
      <c r="CZ226" s="1420">
        <v>872227.44</v>
      </c>
      <c r="DA226" s="1420">
        <v>354133.17</v>
      </c>
      <c r="DB226" s="1420">
        <v>434314.61</v>
      </c>
      <c r="DC226" s="1422">
        <v>0</v>
      </c>
      <c r="DD226" s="1422">
        <v>1000</v>
      </c>
      <c r="DE226" s="1420">
        <v>426371.22</v>
      </c>
      <c r="DF226" s="1420">
        <v>452298.78</v>
      </c>
      <c r="DG226" s="1420">
        <v>433849.65</v>
      </c>
      <c r="DH226" s="1420">
        <v>456175.21</v>
      </c>
      <c r="DI226" s="1420">
        <v>7106801.3899999997</v>
      </c>
      <c r="DJ226" s="1420">
        <v>6911990.8899999997</v>
      </c>
      <c r="DK226" s="1420">
        <v>419417.04</v>
      </c>
      <c r="DL226" s="1420">
        <v>459036.86</v>
      </c>
      <c r="DM226" s="1420">
        <v>295014.05</v>
      </c>
      <c r="DN226" s="1420">
        <v>337436.68</v>
      </c>
      <c r="DO226" s="1420">
        <v>1182421.3400000001</v>
      </c>
      <c r="DP226" s="1420">
        <v>1034618.59</v>
      </c>
      <c r="DQ226" s="1420">
        <v>497370.69</v>
      </c>
      <c r="DR226" s="1420">
        <v>470711.87</v>
      </c>
      <c r="DS226" s="1420">
        <v>80585.64</v>
      </c>
      <c r="DT226" s="1420">
        <v>48370.28</v>
      </c>
      <c r="DU226" s="1420">
        <v>2474808.7599999998</v>
      </c>
      <c r="DV226" s="1420">
        <v>2350174.2799999998</v>
      </c>
      <c r="DW226" s="1420">
        <v>809801.73</v>
      </c>
      <c r="DX226" s="1420">
        <v>777601.17</v>
      </c>
      <c r="DY226" s="1420">
        <v>1946566.69</v>
      </c>
      <c r="DZ226" s="1420">
        <v>1909035.8</v>
      </c>
      <c r="EA226" s="1420">
        <v>676995.59</v>
      </c>
      <c r="EB226" s="1420">
        <v>647525.64</v>
      </c>
      <c r="EC226" s="1420">
        <v>3433364.01</v>
      </c>
      <c r="ED226" s="1420">
        <v>3334162.61</v>
      </c>
      <c r="EE226" s="1420">
        <v>752511.86</v>
      </c>
      <c r="EF226" s="1420">
        <v>701966.89</v>
      </c>
      <c r="EG226" s="1420">
        <v>112.57</v>
      </c>
      <c r="EH226" s="1422">
        <v>0</v>
      </c>
      <c r="EI226" s="1420">
        <v>94708.45</v>
      </c>
      <c r="EJ226" s="1420">
        <v>101331.58</v>
      </c>
      <c r="EK226" s="1422">
        <v>0</v>
      </c>
      <c r="EL226" s="1422">
        <v>0</v>
      </c>
      <c r="EM226" s="1420">
        <v>847332.88</v>
      </c>
      <c r="EN226" s="1420">
        <v>803298.47</v>
      </c>
      <c r="EO226" s="1420">
        <v>2264751.06</v>
      </c>
      <c r="EP226" s="1420">
        <v>13638426.220000001</v>
      </c>
      <c r="EQ226" s="1420">
        <v>754514.53</v>
      </c>
      <c r="ER226" s="1422">
        <v>919675</v>
      </c>
      <c r="ES226" s="1422">
        <v>215178</v>
      </c>
      <c r="ET226" s="1422">
        <v>0</v>
      </c>
      <c r="EU226" s="1420">
        <v>17096750.629999999</v>
      </c>
      <c r="EV226" s="1420">
        <v>27957727.469999999</v>
      </c>
      <c r="EW226" s="1420">
        <v>2543081.73</v>
      </c>
      <c r="EX226" s="1420">
        <v>13719721.369999999</v>
      </c>
      <c r="EY226" s="1420">
        <v>754514.53</v>
      </c>
      <c r="EZ226" s="1422">
        <v>919675</v>
      </c>
      <c r="FA226" s="1420">
        <v>13799154.369999999</v>
      </c>
      <c r="FB226" s="1420">
        <v>13318331.1</v>
      </c>
      <c r="FC226" s="1420">
        <v>905470.6</v>
      </c>
      <c r="FD226" s="1439"/>
      <c r="FE226" s="1420">
        <v>12893683.77</v>
      </c>
      <c r="FF226" s="1439"/>
      <c r="FG226" s="1422">
        <v>10856</v>
      </c>
      <c r="FH226" s="1439"/>
      <c r="FI226" s="1420">
        <v>83.46</v>
      </c>
      <c r="FJ226" s="1439"/>
      <c r="FK226" s="1422">
        <v>50437</v>
      </c>
      <c r="FL226" s="1439"/>
      <c r="FM226" s="1420">
        <v>95.84</v>
      </c>
      <c r="FN226" s="1439"/>
      <c r="FO226" s="1422">
        <v>53478</v>
      </c>
      <c r="FP226" s="1439"/>
      <c r="FQ226" s="1420">
        <v>1796333.12</v>
      </c>
      <c r="FR226" s="1439"/>
      <c r="FS226" s="1420">
        <v>22366.6</v>
      </c>
      <c r="FT226" s="1439"/>
      <c r="FU226" s="1422">
        <v>0</v>
      </c>
      <c r="FV226" s="1439"/>
      <c r="FW226" s="1420">
        <v>1773966.52</v>
      </c>
      <c r="FX226" s="1439"/>
      <c r="FY226" s="1420">
        <v>9212604.6600000001</v>
      </c>
      <c r="FZ226" s="1439"/>
      <c r="GA226" s="1422">
        <v>0</v>
      </c>
      <c r="GB226" s="1439"/>
    </row>
    <row r="227" spans="1:184" ht="12.75" customHeight="1" thickBot="1">
      <c r="A227" s="1418" t="s">
        <v>137</v>
      </c>
      <c r="B227" s="1418" t="s">
        <v>138</v>
      </c>
      <c r="C227" s="1420">
        <v>105.57</v>
      </c>
      <c r="D227" s="1439"/>
      <c r="E227" s="1420">
        <v>1684.5</v>
      </c>
      <c r="F227" s="1439"/>
      <c r="G227" s="1421">
        <v>0.12</v>
      </c>
      <c r="H227" s="1439"/>
      <c r="I227" s="1420">
        <v>1747.23</v>
      </c>
      <c r="J227" s="1439"/>
      <c r="K227" s="1420">
        <v>1697.81</v>
      </c>
      <c r="L227" s="1439"/>
      <c r="M227" s="1422">
        <v>114808488</v>
      </c>
      <c r="N227" s="1439"/>
      <c r="O227" s="1422">
        <v>25</v>
      </c>
      <c r="P227" s="1439"/>
      <c r="Q227" s="1422">
        <v>25</v>
      </c>
      <c r="R227" s="1439"/>
      <c r="S227" s="1422">
        <v>0</v>
      </c>
      <c r="T227" s="1439"/>
      <c r="U227" s="1422">
        <v>0</v>
      </c>
      <c r="V227" s="1439"/>
      <c r="W227" s="1420">
        <v>11.9</v>
      </c>
      <c r="X227" s="1439"/>
      <c r="Y227" s="1420">
        <v>36.9</v>
      </c>
      <c r="Z227" s="1439"/>
      <c r="AA227" s="1422">
        <v>11625000</v>
      </c>
      <c r="AB227" s="1439"/>
      <c r="AC227" s="1420">
        <v>4271373.25</v>
      </c>
      <c r="AD227" s="1422">
        <v>4650000</v>
      </c>
      <c r="AE227" s="1420">
        <v>631295.80000000005</v>
      </c>
      <c r="AF227" s="1422">
        <v>333000</v>
      </c>
      <c r="AG227" s="1420">
        <v>372.38</v>
      </c>
      <c r="AH227" s="1422">
        <v>228</v>
      </c>
      <c r="AI227" s="1422">
        <v>7316368</v>
      </c>
      <c r="AJ227" s="1422">
        <v>7913317</v>
      </c>
      <c r="AK227" s="1422">
        <v>0</v>
      </c>
      <c r="AL227" s="1422">
        <v>0</v>
      </c>
      <c r="AM227" s="1422">
        <v>336271</v>
      </c>
      <c r="AN227" s="1422">
        <v>61440</v>
      </c>
      <c r="AO227" s="1422">
        <v>0</v>
      </c>
      <c r="AP227" s="1422">
        <v>0</v>
      </c>
      <c r="AQ227" s="1422">
        <v>0</v>
      </c>
      <c r="AR227" s="1422">
        <v>0</v>
      </c>
      <c r="AS227" s="1422">
        <v>0</v>
      </c>
      <c r="AT227" s="1422">
        <v>0</v>
      </c>
      <c r="AU227" s="1422">
        <v>0</v>
      </c>
      <c r="AV227" s="1422">
        <v>0</v>
      </c>
      <c r="AW227" s="1422">
        <v>0</v>
      </c>
      <c r="AX227" s="1422">
        <v>0</v>
      </c>
      <c r="AY227" s="1420">
        <v>12555680.43</v>
      </c>
      <c r="AZ227" s="1422">
        <v>12957985</v>
      </c>
      <c r="BA227" s="1422">
        <v>0</v>
      </c>
      <c r="BB227" s="1422">
        <v>0</v>
      </c>
      <c r="BC227" s="1422">
        <v>70221</v>
      </c>
      <c r="BD227" s="1422">
        <v>74015</v>
      </c>
      <c r="BE227" s="1420">
        <v>41876.870000000003</v>
      </c>
      <c r="BF227" s="1422">
        <v>8500</v>
      </c>
      <c r="BG227" s="1422">
        <v>750</v>
      </c>
      <c r="BH227" s="1422">
        <v>0</v>
      </c>
      <c r="BI227" s="1422">
        <v>83413</v>
      </c>
      <c r="BJ227" s="1422">
        <v>72082</v>
      </c>
      <c r="BK227" s="1422">
        <v>14357</v>
      </c>
      <c r="BL227" s="1422">
        <v>14945</v>
      </c>
      <c r="BM227" s="1422">
        <v>368528</v>
      </c>
      <c r="BN227" s="1422">
        <v>404800</v>
      </c>
      <c r="BO227" s="1420">
        <v>22548.73</v>
      </c>
      <c r="BP227" s="1422">
        <v>0</v>
      </c>
      <c r="BQ227" s="1420">
        <v>7312.52</v>
      </c>
      <c r="BR227" s="1422">
        <v>0</v>
      </c>
      <c r="BS227" s="1420">
        <v>5724.9</v>
      </c>
      <c r="BT227" s="1422">
        <v>5600</v>
      </c>
      <c r="BU227" s="1422">
        <v>0</v>
      </c>
      <c r="BV227" s="1422">
        <v>0</v>
      </c>
      <c r="BW227" s="1422">
        <v>0</v>
      </c>
      <c r="BX227" s="1422">
        <v>0</v>
      </c>
      <c r="BY227" s="1422">
        <v>0</v>
      </c>
      <c r="BZ227" s="1422">
        <v>0</v>
      </c>
      <c r="CA227" s="1422">
        <v>126012</v>
      </c>
      <c r="CB227" s="1422">
        <v>138703</v>
      </c>
      <c r="CC227" s="1420">
        <v>740744.02</v>
      </c>
      <c r="CD227" s="1422">
        <v>718645</v>
      </c>
      <c r="CE227" s="1420">
        <v>1778122.95</v>
      </c>
      <c r="CF227" s="1420">
        <v>1268113.7</v>
      </c>
      <c r="CG227" s="1420">
        <v>5111.37</v>
      </c>
      <c r="CH227" s="1422">
        <v>0</v>
      </c>
      <c r="CI227" s="1422">
        <v>0</v>
      </c>
      <c r="CJ227" s="1422">
        <v>0</v>
      </c>
      <c r="CK227" s="1422">
        <v>0</v>
      </c>
      <c r="CL227" s="1422">
        <v>0</v>
      </c>
      <c r="CM227" s="1422">
        <v>0</v>
      </c>
      <c r="CN227" s="1422">
        <v>0</v>
      </c>
      <c r="CO227" s="1422">
        <v>0</v>
      </c>
      <c r="CP227" s="1422">
        <v>0</v>
      </c>
      <c r="CQ227" s="1422">
        <v>0</v>
      </c>
      <c r="CR227" s="1422">
        <v>0</v>
      </c>
      <c r="CS227" s="1420">
        <v>5111.37</v>
      </c>
      <c r="CT227" s="1422">
        <v>0</v>
      </c>
      <c r="CU227" s="1420">
        <v>15079658.77</v>
      </c>
      <c r="CV227" s="1420">
        <v>14944743.699999999</v>
      </c>
      <c r="CW227" s="1420">
        <v>5572532.1299999999</v>
      </c>
      <c r="CX227" s="1420">
        <v>5495977.0499999998</v>
      </c>
      <c r="CY227" s="1420">
        <v>913037.05</v>
      </c>
      <c r="CZ227" s="1420">
        <v>955063.57</v>
      </c>
      <c r="DA227" s="1420">
        <v>527125.09</v>
      </c>
      <c r="DB227" s="1420">
        <v>513506.29</v>
      </c>
      <c r="DC227" s="1422">
        <v>0</v>
      </c>
      <c r="DD227" s="1422">
        <v>0</v>
      </c>
      <c r="DE227" s="1420">
        <v>194905.2</v>
      </c>
      <c r="DF227" s="1420">
        <v>233534.53</v>
      </c>
      <c r="DG227" s="1420">
        <v>840673.87</v>
      </c>
      <c r="DH227" s="1420">
        <v>941068.61</v>
      </c>
      <c r="DI227" s="1420">
        <v>8048273.3399999999</v>
      </c>
      <c r="DJ227" s="1420">
        <v>8139150.0499999998</v>
      </c>
      <c r="DK227" s="1420">
        <v>415058.43</v>
      </c>
      <c r="DL227" s="1420">
        <v>422485.89</v>
      </c>
      <c r="DM227" s="1420">
        <v>457650.12</v>
      </c>
      <c r="DN227" s="1420">
        <v>550680.73</v>
      </c>
      <c r="DO227" s="1420">
        <v>1167648.2</v>
      </c>
      <c r="DP227" s="1420">
        <v>1251786.54</v>
      </c>
      <c r="DQ227" s="1420">
        <v>657536.23</v>
      </c>
      <c r="DR227" s="1420">
        <v>562300.38</v>
      </c>
      <c r="DS227" s="1420">
        <v>84049.01</v>
      </c>
      <c r="DT227" s="1420">
        <v>107119.37</v>
      </c>
      <c r="DU227" s="1420">
        <v>2781941.99</v>
      </c>
      <c r="DV227" s="1420">
        <v>2894372.91</v>
      </c>
      <c r="DW227" s="1420">
        <v>550077.35</v>
      </c>
      <c r="DX227" s="1420">
        <v>559019.66</v>
      </c>
      <c r="DY227" s="1420">
        <v>936501.23</v>
      </c>
      <c r="DZ227" s="1420">
        <v>802224.49</v>
      </c>
      <c r="EA227" s="1420">
        <v>770620.3</v>
      </c>
      <c r="EB227" s="1420">
        <v>791433.53</v>
      </c>
      <c r="EC227" s="1420">
        <v>2257198.88</v>
      </c>
      <c r="ED227" s="1420">
        <v>2152677.6800000002</v>
      </c>
      <c r="EE227" s="1420">
        <v>726144.7</v>
      </c>
      <c r="EF227" s="1422">
        <v>683600</v>
      </c>
      <c r="EG227" s="1422">
        <v>0</v>
      </c>
      <c r="EH227" s="1422">
        <v>0</v>
      </c>
      <c r="EI227" s="1420">
        <v>26899.93</v>
      </c>
      <c r="EJ227" s="1420">
        <v>21342.18</v>
      </c>
      <c r="EK227" s="1422">
        <v>0</v>
      </c>
      <c r="EL227" s="1422">
        <v>0</v>
      </c>
      <c r="EM227" s="1420">
        <v>753044.63</v>
      </c>
      <c r="EN227" s="1420">
        <v>704942.18</v>
      </c>
      <c r="EO227" s="1420">
        <v>355114.85</v>
      </c>
      <c r="EP227" s="1422">
        <v>0</v>
      </c>
      <c r="EQ227" s="1420">
        <v>524234.86</v>
      </c>
      <c r="ER227" s="1422">
        <v>789567</v>
      </c>
      <c r="ES227" s="1422">
        <v>15333</v>
      </c>
      <c r="ET227" s="1422">
        <v>0</v>
      </c>
      <c r="EU227" s="1420">
        <v>14735141.550000001</v>
      </c>
      <c r="EV227" s="1420">
        <v>14680709.82</v>
      </c>
      <c r="EW227" s="1420">
        <v>601938.53</v>
      </c>
      <c r="EX227" s="1422">
        <v>287755</v>
      </c>
      <c r="EY227" s="1420">
        <v>524234.86</v>
      </c>
      <c r="EZ227" s="1422">
        <v>789567</v>
      </c>
      <c r="FA227" s="1420">
        <v>13608968.16</v>
      </c>
      <c r="FB227" s="1420">
        <v>13603387.82</v>
      </c>
      <c r="FC227" s="1420">
        <v>507495.28</v>
      </c>
      <c r="FD227" s="1439"/>
      <c r="FE227" s="1420">
        <v>13101472.880000001</v>
      </c>
      <c r="FF227" s="1439"/>
      <c r="FG227" s="1422">
        <v>7777</v>
      </c>
      <c r="FH227" s="1439"/>
      <c r="FI227" s="1420">
        <v>115.99</v>
      </c>
      <c r="FJ227" s="1439"/>
      <c r="FK227" s="1422">
        <v>44703</v>
      </c>
      <c r="FL227" s="1439"/>
      <c r="FM227" s="1420">
        <v>125.98</v>
      </c>
      <c r="FN227" s="1439"/>
      <c r="FO227" s="1422">
        <v>47316</v>
      </c>
      <c r="FP227" s="1439"/>
      <c r="FQ227" s="1422">
        <v>1650000</v>
      </c>
      <c r="FR227" s="1439"/>
      <c r="FS227" s="1420">
        <v>31924.43</v>
      </c>
      <c r="FT227" s="1439"/>
      <c r="FU227" s="1422">
        <v>0</v>
      </c>
      <c r="FV227" s="1439"/>
      <c r="FW227" s="1420">
        <v>1618075.57</v>
      </c>
      <c r="FX227" s="1439"/>
      <c r="FY227" s="1420">
        <v>571843.27</v>
      </c>
      <c r="FZ227" s="1439"/>
      <c r="GA227" s="1422">
        <v>0</v>
      </c>
      <c r="GB227" s="1439"/>
    </row>
    <row r="228" spans="1:184" ht="12.75" customHeight="1" thickBot="1">
      <c r="A228" s="1418" t="s">
        <v>139</v>
      </c>
      <c r="B228" s="1418" t="s">
        <v>140</v>
      </c>
      <c r="C228" s="1420">
        <v>184.43</v>
      </c>
      <c r="D228" s="1439"/>
      <c r="E228" s="1420">
        <v>17592.330000000002</v>
      </c>
      <c r="F228" s="1439"/>
      <c r="G228" s="1421">
        <v>0.19</v>
      </c>
      <c r="H228" s="1439"/>
      <c r="I228" s="1420">
        <v>18678.349999999999</v>
      </c>
      <c r="J228" s="1439"/>
      <c r="K228" s="1420">
        <v>18087.87</v>
      </c>
      <c r="L228" s="1439"/>
      <c r="M228" s="1422">
        <v>1415539243</v>
      </c>
      <c r="N228" s="1439"/>
      <c r="O228" s="1422">
        <v>25</v>
      </c>
      <c r="P228" s="1439"/>
      <c r="Q228" s="1422">
        <v>25</v>
      </c>
      <c r="R228" s="1439"/>
      <c r="S228" s="1422">
        <v>0</v>
      </c>
      <c r="T228" s="1439"/>
      <c r="U228" s="1422">
        <v>0</v>
      </c>
      <c r="V228" s="1439"/>
      <c r="W228" s="1420">
        <v>13.6</v>
      </c>
      <c r="X228" s="1439"/>
      <c r="Y228" s="1420">
        <v>38.6</v>
      </c>
      <c r="Z228" s="1439"/>
      <c r="AA228" s="1422">
        <v>150285000</v>
      </c>
      <c r="AB228" s="1439"/>
      <c r="AC228" s="1420">
        <v>56516020.659999996</v>
      </c>
      <c r="AD228" s="1422">
        <v>58882000</v>
      </c>
      <c r="AE228" s="1420">
        <v>7827078.21</v>
      </c>
      <c r="AF228" s="1422">
        <v>2193000</v>
      </c>
      <c r="AG228" s="1420">
        <v>6420.25</v>
      </c>
      <c r="AH228" s="1422">
        <v>0</v>
      </c>
      <c r="AI228" s="1422">
        <v>71882262</v>
      </c>
      <c r="AJ228" s="1422">
        <v>80301373</v>
      </c>
      <c r="AK228" s="1422">
        <v>0</v>
      </c>
      <c r="AL228" s="1422">
        <v>0</v>
      </c>
      <c r="AM228" s="1422">
        <v>3584694</v>
      </c>
      <c r="AN228" s="1422">
        <v>0</v>
      </c>
      <c r="AO228" s="1422">
        <v>0</v>
      </c>
      <c r="AP228" s="1422">
        <v>0</v>
      </c>
      <c r="AQ228" s="1422">
        <v>0</v>
      </c>
      <c r="AR228" s="1422">
        <v>0</v>
      </c>
      <c r="AS228" s="1422">
        <v>0</v>
      </c>
      <c r="AT228" s="1422">
        <v>0</v>
      </c>
      <c r="AU228" s="1422">
        <v>0</v>
      </c>
      <c r="AV228" s="1422">
        <v>0</v>
      </c>
      <c r="AW228" s="1422">
        <v>0</v>
      </c>
      <c r="AX228" s="1422">
        <v>0</v>
      </c>
      <c r="AY228" s="1420">
        <v>139816475.12</v>
      </c>
      <c r="AZ228" s="1422">
        <v>141376373</v>
      </c>
      <c r="BA228" s="1422">
        <v>0</v>
      </c>
      <c r="BB228" s="1422">
        <v>0</v>
      </c>
      <c r="BC228" s="1422">
        <v>748114</v>
      </c>
      <c r="BD228" s="1422">
        <v>793219</v>
      </c>
      <c r="BE228" s="1420">
        <v>235747.1</v>
      </c>
      <c r="BF228" s="1422">
        <v>93200</v>
      </c>
      <c r="BG228" s="1422">
        <v>29653</v>
      </c>
      <c r="BH228" s="1422">
        <v>0</v>
      </c>
      <c r="BI228" s="1422">
        <v>1076532</v>
      </c>
      <c r="BJ228" s="1422">
        <v>1474086</v>
      </c>
      <c r="BK228" s="1422">
        <v>2332280</v>
      </c>
      <c r="BL228" s="1422">
        <v>2380040</v>
      </c>
      <c r="BM228" s="1422">
        <v>5659909</v>
      </c>
      <c r="BN228" s="1422">
        <v>6309570</v>
      </c>
      <c r="BO228" s="1420">
        <v>2331225.84</v>
      </c>
      <c r="BP228" s="1422">
        <v>2174736</v>
      </c>
      <c r="BQ228" s="1420">
        <v>83092.210000000006</v>
      </c>
      <c r="BR228" s="1422">
        <v>203956</v>
      </c>
      <c r="BS228" s="1420">
        <v>66936.100000000006</v>
      </c>
      <c r="BT228" s="1422">
        <v>0</v>
      </c>
      <c r="BU228" s="1422">
        <v>0</v>
      </c>
      <c r="BV228" s="1422">
        <v>0</v>
      </c>
      <c r="BW228" s="1420">
        <v>2631314.52</v>
      </c>
      <c r="BX228" s="1422">
        <v>2624400</v>
      </c>
      <c r="BY228" s="1422">
        <v>0</v>
      </c>
      <c r="BZ228" s="1422">
        <v>0</v>
      </c>
      <c r="CA228" s="1420">
        <v>5101224.83</v>
      </c>
      <c r="CB228" s="1422">
        <v>1127512</v>
      </c>
      <c r="CC228" s="1420">
        <v>20296028.600000001</v>
      </c>
      <c r="CD228" s="1422">
        <v>17180719</v>
      </c>
      <c r="CE228" s="1420">
        <v>24318021.48</v>
      </c>
      <c r="CF228" s="1420">
        <v>19438380.300000001</v>
      </c>
      <c r="CG228" s="1420">
        <v>12629312.189999999</v>
      </c>
      <c r="CH228" s="1422">
        <v>0</v>
      </c>
      <c r="CI228" s="1422">
        <v>0</v>
      </c>
      <c r="CJ228" s="1422">
        <v>0</v>
      </c>
      <c r="CK228" s="1420">
        <v>96400.66</v>
      </c>
      <c r="CL228" s="1422">
        <v>0</v>
      </c>
      <c r="CM228" s="1422">
        <v>526</v>
      </c>
      <c r="CN228" s="1422">
        <v>0</v>
      </c>
      <c r="CO228" s="1422">
        <v>0</v>
      </c>
      <c r="CP228" s="1422">
        <v>1290000</v>
      </c>
      <c r="CQ228" s="1422">
        <v>0</v>
      </c>
      <c r="CR228" s="1422">
        <v>0</v>
      </c>
      <c r="CS228" s="1420">
        <v>12726238.85</v>
      </c>
      <c r="CT228" s="1422">
        <v>1290000</v>
      </c>
      <c r="CU228" s="1420">
        <v>197156764.05000001</v>
      </c>
      <c r="CV228" s="1420">
        <v>179285472.30000001</v>
      </c>
      <c r="CW228" s="1420">
        <v>66545165.479999997</v>
      </c>
      <c r="CX228" s="1420">
        <v>66601466.07</v>
      </c>
      <c r="CY228" s="1420">
        <v>10913922.59</v>
      </c>
      <c r="CZ228" s="1420">
        <v>11100041.789999999</v>
      </c>
      <c r="DA228" s="1420">
        <v>4847323.63</v>
      </c>
      <c r="DB228" s="1420">
        <v>4923517.0999999996</v>
      </c>
      <c r="DC228" s="1422">
        <v>0</v>
      </c>
      <c r="DD228" s="1422">
        <v>0</v>
      </c>
      <c r="DE228" s="1420">
        <v>2399764.62</v>
      </c>
      <c r="DF228" s="1420">
        <v>3192096.13</v>
      </c>
      <c r="DG228" s="1420">
        <v>11717605.75</v>
      </c>
      <c r="DH228" s="1420">
        <v>11928266.880000001</v>
      </c>
      <c r="DI228" s="1420">
        <v>96423782.069999993</v>
      </c>
      <c r="DJ228" s="1420">
        <v>97745387.969999999</v>
      </c>
      <c r="DK228" s="1420">
        <v>1910783.88</v>
      </c>
      <c r="DL228" s="1420">
        <v>1873680.99</v>
      </c>
      <c r="DM228" s="1420">
        <v>2722024.64</v>
      </c>
      <c r="DN228" s="1420">
        <v>2533252.52</v>
      </c>
      <c r="DO228" s="1420">
        <v>16462243.17</v>
      </c>
      <c r="DP228" s="1420">
        <v>18930425.16</v>
      </c>
      <c r="DQ228" s="1420">
        <v>4991649.1500000004</v>
      </c>
      <c r="DR228" s="1420">
        <v>5413311.54</v>
      </c>
      <c r="DS228" s="1420">
        <v>228431.24</v>
      </c>
      <c r="DT228" s="1420">
        <v>111281.27</v>
      </c>
      <c r="DU228" s="1420">
        <v>26315132.079999998</v>
      </c>
      <c r="DV228" s="1420">
        <v>28861951.48</v>
      </c>
      <c r="DW228" s="1420">
        <v>6888340.6100000003</v>
      </c>
      <c r="DX228" s="1420">
        <v>6851414.8200000003</v>
      </c>
      <c r="DY228" s="1420">
        <v>14317745.18</v>
      </c>
      <c r="DZ228" s="1420">
        <v>13892243.689999999</v>
      </c>
      <c r="EA228" s="1420">
        <v>8450604.75</v>
      </c>
      <c r="EB228" s="1420">
        <v>8408440.9900000002</v>
      </c>
      <c r="EC228" s="1420">
        <v>29656690.539999999</v>
      </c>
      <c r="ED228" s="1420">
        <v>29152099.5</v>
      </c>
      <c r="EE228" s="1420">
        <v>8599990.0899999999</v>
      </c>
      <c r="EF228" s="1420">
        <v>7911959.6699999999</v>
      </c>
      <c r="EG228" s="1420">
        <v>69000.759999999995</v>
      </c>
      <c r="EH228" s="1422">
        <v>0</v>
      </c>
      <c r="EI228" s="1420">
        <v>40674.07</v>
      </c>
      <c r="EJ228" s="1420">
        <v>38312.1</v>
      </c>
      <c r="EK228" s="1422">
        <v>0</v>
      </c>
      <c r="EL228" s="1422">
        <v>0</v>
      </c>
      <c r="EM228" s="1420">
        <v>8709664.9199999999</v>
      </c>
      <c r="EN228" s="1420">
        <v>7950271.7699999996</v>
      </c>
      <c r="EO228" s="1420">
        <v>19977035.550000001</v>
      </c>
      <c r="EP228" s="1420">
        <v>959980.58</v>
      </c>
      <c r="EQ228" s="1420">
        <v>11819327.65</v>
      </c>
      <c r="ER228" s="1422">
        <v>10223353</v>
      </c>
      <c r="ES228" s="1420">
        <v>144898.32999999999</v>
      </c>
      <c r="ET228" s="1422">
        <v>0</v>
      </c>
      <c r="EU228" s="1420">
        <v>193046531.13999999</v>
      </c>
      <c r="EV228" s="1420">
        <v>174893044.30000001</v>
      </c>
      <c r="EW228" s="1420">
        <v>22365499.66</v>
      </c>
      <c r="EX228" s="1420">
        <v>2226276.81</v>
      </c>
      <c r="EY228" s="1420">
        <v>11819327.65</v>
      </c>
      <c r="EZ228" s="1422">
        <v>10223353</v>
      </c>
      <c r="FA228" s="1420">
        <v>158861703.83000001</v>
      </c>
      <c r="FB228" s="1420">
        <v>162443414.49000001</v>
      </c>
      <c r="FC228" s="1420">
        <v>7967215.71</v>
      </c>
      <c r="FD228" s="1439"/>
      <c r="FE228" s="1420">
        <v>150894488.12</v>
      </c>
      <c r="FF228" s="1439"/>
      <c r="FG228" s="1422">
        <v>8577</v>
      </c>
      <c r="FH228" s="1439"/>
      <c r="FI228" s="1420">
        <v>1129.9100000000001</v>
      </c>
      <c r="FJ228" s="1439"/>
      <c r="FK228" s="1422">
        <v>56359</v>
      </c>
      <c r="FL228" s="1439"/>
      <c r="FM228" s="1420">
        <v>1229.57</v>
      </c>
      <c r="FN228" s="1439"/>
      <c r="FO228" s="1422">
        <v>58679</v>
      </c>
      <c r="FP228" s="1439"/>
      <c r="FQ228" s="1420">
        <v>14057422.08</v>
      </c>
      <c r="FR228" s="1439"/>
      <c r="FS228" s="1420">
        <v>353005.17</v>
      </c>
      <c r="FT228" s="1439"/>
      <c r="FU228" s="1422">
        <v>0</v>
      </c>
      <c r="FV228" s="1439"/>
      <c r="FW228" s="1420">
        <v>13704416.91</v>
      </c>
      <c r="FX228" s="1439"/>
      <c r="FY228" s="1420">
        <v>26198597.399999999</v>
      </c>
      <c r="FZ228" s="1439"/>
      <c r="GA228" s="1422">
        <v>0</v>
      </c>
      <c r="GB228" s="1439"/>
    </row>
    <row r="229" spans="1:184" ht="12.75" customHeight="1" thickBot="1">
      <c r="A229" s="1418" t="s">
        <v>141</v>
      </c>
      <c r="B229" s="1418" t="s">
        <v>142</v>
      </c>
      <c r="C229" s="1420">
        <v>131.1</v>
      </c>
      <c r="D229" s="1439"/>
      <c r="E229" s="1420">
        <v>1158.33</v>
      </c>
      <c r="F229" s="1439"/>
      <c r="G229" s="1421">
        <v>-0.01</v>
      </c>
      <c r="H229" s="1439"/>
      <c r="I229" s="1420">
        <v>1222.3800000000001</v>
      </c>
      <c r="J229" s="1439"/>
      <c r="K229" s="1420">
        <v>1245.71</v>
      </c>
      <c r="L229" s="1439"/>
      <c r="M229" s="1422">
        <v>53802463</v>
      </c>
      <c r="N229" s="1439"/>
      <c r="O229" s="1422">
        <v>25</v>
      </c>
      <c r="P229" s="1439"/>
      <c r="Q229" s="1422">
        <v>25</v>
      </c>
      <c r="R229" s="1439"/>
      <c r="S229" s="1422">
        <v>0</v>
      </c>
      <c r="T229" s="1439"/>
      <c r="U229" s="1422">
        <v>0</v>
      </c>
      <c r="V229" s="1439"/>
      <c r="W229" s="1420">
        <v>13.6</v>
      </c>
      <c r="X229" s="1439"/>
      <c r="Y229" s="1420">
        <v>38.6</v>
      </c>
      <c r="Z229" s="1439"/>
      <c r="AA229" s="1422">
        <v>6070000</v>
      </c>
      <c r="AB229" s="1439"/>
      <c r="AC229" s="1420">
        <v>2078089.22</v>
      </c>
      <c r="AD229" s="1422">
        <v>2046232</v>
      </c>
      <c r="AE229" s="1420">
        <v>464376.61</v>
      </c>
      <c r="AF229" s="1422">
        <v>175550</v>
      </c>
      <c r="AG229" s="1420">
        <v>272.54000000000002</v>
      </c>
      <c r="AH229" s="1422">
        <v>0</v>
      </c>
      <c r="AI229" s="1422">
        <v>6122419</v>
      </c>
      <c r="AJ229" s="1422">
        <v>6202878</v>
      </c>
      <c r="AK229" s="1422">
        <v>16783</v>
      </c>
      <c r="AL229" s="1422">
        <v>0</v>
      </c>
      <c r="AM229" s="1422">
        <v>0</v>
      </c>
      <c r="AN229" s="1422">
        <v>0</v>
      </c>
      <c r="AO229" s="1422">
        <v>36499</v>
      </c>
      <c r="AP229" s="1422">
        <v>59412</v>
      </c>
      <c r="AQ229" s="1422">
        <v>0</v>
      </c>
      <c r="AR229" s="1422">
        <v>0</v>
      </c>
      <c r="AS229" s="1422">
        <v>0</v>
      </c>
      <c r="AT229" s="1422">
        <v>0</v>
      </c>
      <c r="AU229" s="1422">
        <v>45014</v>
      </c>
      <c r="AV229" s="1422">
        <v>36012</v>
      </c>
      <c r="AW229" s="1422">
        <v>0</v>
      </c>
      <c r="AX229" s="1422">
        <v>0</v>
      </c>
      <c r="AY229" s="1420">
        <v>8763453.3699999992</v>
      </c>
      <c r="AZ229" s="1422">
        <v>8520084</v>
      </c>
      <c r="BA229" s="1422">
        <v>0</v>
      </c>
      <c r="BB229" s="1422">
        <v>0</v>
      </c>
      <c r="BC229" s="1422">
        <v>51523</v>
      </c>
      <c r="BD229" s="1420">
        <v>59270.96</v>
      </c>
      <c r="BE229" s="1422">
        <v>2400</v>
      </c>
      <c r="BF229" s="1422">
        <v>0</v>
      </c>
      <c r="BG229" s="1422">
        <v>750</v>
      </c>
      <c r="BH229" s="1422">
        <v>0</v>
      </c>
      <c r="BI229" s="1422">
        <v>44571</v>
      </c>
      <c r="BJ229" s="1422">
        <v>48579</v>
      </c>
      <c r="BK229" s="1422">
        <v>0</v>
      </c>
      <c r="BL229" s="1422">
        <v>0</v>
      </c>
      <c r="BM229" s="1422">
        <v>310496</v>
      </c>
      <c r="BN229" s="1420">
        <v>328959.53000000003</v>
      </c>
      <c r="BO229" s="1420">
        <v>6435.22</v>
      </c>
      <c r="BP229" s="1422">
        <v>0</v>
      </c>
      <c r="BQ229" s="1422">
        <v>1625</v>
      </c>
      <c r="BR229" s="1422">
        <v>0</v>
      </c>
      <c r="BS229" s="1420">
        <v>4674.87</v>
      </c>
      <c r="BT229" s="1422">
        <v>5000</v>
      </c>
      <c r="BU229" s="1422">
        <v>0</v>
      </c>
      <c r="BV229" s="1422">
        <v>0</v>
      </c>
      <c r="BW229" s="1422">
        <v>0</v>
      </c>
      <c r="BX229" s="1422">
        <v>0</v>
      </c>
      <c r="BY229" s="1422">
        <v>0</v>
      </c>
      <c r="BZ229" s="1422">
        <v>0</v>
      </c>
      <c r="CA229" s="1422">
        <v>141534</v>
      </c>
      <c r="CB229" s="1422">
        <v>142018</v>
      </c>
      <c r="CC229" s="1420">
        <v>564009.09</v>
      </c>
      <c r="CD229" s="1420">
        <v>583827.49</v>
      </c>
      <c r="CE229" s="1420">
        <v>1688093.79</v>
      </c>
      <c r="CF229" s="1420">
        <v>1095177.78</v>
      </c>
      <c r="CG229" s="1420">
        <v>202566.44</v>
      </c>
      <c r="CH229" s="1422">
        <v>0</v>
      </c>
      <c r="CI229" s="1422">
        <v>0</v>
      </c>
      <c r="CJ229" s="1422">
        <v>0</v>
      </c>
      <c r="CK229" s="1422">
        <v>0</v>
      </c>
      <c r="CL229" s="1422">
        <v>0</v>
      </c>
      <c r="CM229" s="1422">
        <v>4000</v>
      </c>
      <c r="CN229" s="1422">
        <v>0</v>
      </c>
      <c r="CO229" s="1422">
        <v>0</v>
      </c>
      <c r="CP229" s="1422">
        <v>0</v>
      </c>
      <c r="CQ229" s="1422">
        <v>0</v>
      </c>
      <c r="CR229" s="1422">
        <v>0</v>
      </c>
      <c r="CS229" s="1420">
        <v>206566.44</v>
      </c>
      <c r="CT229" s="1422">
        <v>0</v>
      </c>
      <c r="CU229" s="1420">
        <v>11222122.689999999</v>
      </c>
      <c r="CV229" s="1420">
        <v>10199089.27</v>
      </c>
      <c r="CW229" s="1420">
        <v>4032958.97</v>
      </c>
      <c r="CX229" s="1420">
        <v>3788803.8</v>
      </c>
      <c r="CY229" s="1420">
        <v>652800.1</v>
      </c>
      <c r="CZ229" s="1420">
        <v>717758.29</v>
      </c>
      <c r="DA229" s="1420">
        <v>405755.27</v>
      </c>
      <c r="DB229" s="1420">
        <v>398154.75</v>
      </c>
      <c r="DC229" s="1422">
        <v>0</v>
      </c>
      <c r="DD229" s="1422">
        <v>0</v>
      </c>
      <c r="DE229" s="1420">
        <v>362974.32</v>
      </c>
      <c r="DF229" s="1420">
        <v>314807.78000000003</v>
      </c>
      <c r="DG229" s="1420">
        <v>387724.86</v>
      </c>
      <c r="DH229" s="1420">
        <v>392340.47999999998</v>
      </c>
      <c r="DI229" s="1420">
        <v>5842213.5199999996</v>
      </c>
      <c r="DJ229" s="1420">
        <v>5611865.0999999996</v>
      </c>
      <c r="DK229" s="1420">
        <v>193251.3</v>
      </c>
      <c r="DL229" s="1420">
        <v>183704.38</v>
      </c>
      <c r="DM229" s="1420">
        <v>463686.14</v>
      </c>
      <c r="DN229" s="1420">
        <v>284845.59999999998</v>
      </c>
      <c r="DO229" s="1420">
        <v>863568.21</v>
      </c>
      <c r="DP229" s="1420">
        <v>891132.93</v>
      </c>
      <c r="DQ229" s="1420">
        <v>665127.38</v>
      </c>
      <c r="DR229" s="1420">
        <v>535645.1</v>
      </c>
      <c r="DS229" s="1420">
        <v>45365.93</v>
      </c>
      <c r="DT229" s="1422">
        <v>25917</v>
      </c>
      <c r="DU229" s="1420">
        <v>2230998.96</v>
      </c>
      <c r="DV229" s="1420">
        <v>1921245.01</v>
      </c>
      <c r="DW229" s="1420">
        <v>566741.87</v>
      </c>
      <c r="DX229" s="1420">
        <v>588999.42000000004</v>
      </c>
      <c r="DY229" s="1420">
        <v>443182.07</v>
      </c>
      <c r="DZ229" s="1420">
        <v>565873.05000000005</v>
      </c>
      <c r="EA229" s="1420">
        <v>451385.32</v>
      </c>
      <c r="EB229" s="1420">
        <v>426329.44</v>
      </c>
      <c r="EC229" s="1420">
        <v>1461309.26</v>
      </c>
      <c r="ED229" s="1420">
        <v>1581201.91</v>
      </c>
      <c r="EE229" s="1420">
        <v>598577.5</v>
      </c>
      <c r="EF229" s="1420">
        <v>579431.77</v>
      </c>
      <c r="EG229" s="1422">
        <v>0</v>
      </c>
      <c r="EH229" s="1422">
        <v>0</v>
      </c>
      <c r="EI229" s="1420">
        <v>14779.3</v>
      </c>
      <c r="EJ229" s="1420">
        <v>3797.6</v>
      </c>
      <c r="EK229" s="1422">
        <v>0</v>
      </c>
      <c r="EL229" s="1422">
        <v>0</v>
      </c>
      <c r="EM229" s="1420">
        <v>613356.80000000005</v>
      </c>
      <c r="EN229" s="1420">
        <v>583229.37</v>
      </c>
      <c r="EO229" s="1420">
        <v>156985.22</v>
      </c>
      <c r="EP229" s="1422">
        <v>753340</v>
      </c>
      <c r="EQ229" s="1420">
        <v>317452.05</v>
      </c>
      <c r="ER229" s="1420">
        <v>452363.47</v>
      </c>
      <c r="ES229" s="1422">
        <v>0</v>
      </c>
      <c r="ET229" s="1422">
        <v>0</v>
      </c>
      <c r="EU229" s="1420">
        <v>10622315.810000001</v>
      </c>
      <c r="EV229" s="1420">
        <v>10903244.859999999</v>
      </c>
      <c r="EW229" s="1420">
        <v>416552.21</v>
      </c>
      <c r="EX229" s="1420">
        <v>813704.03</v>
      </c>
      <c r="EY229" s="1420">
        <v>317452.05</v>
      </c>
      <c r="EZ229" s="1420">
        <v>452363.47</v>
      </c>
      <c r="FA229" s="1420">
        <v>9888311.5500000007</v>
      </c>
      <c r="FB229" s="1420">
        <v>9637177.3599999994</v>
      </c>
      <c r="FC229" s="1420">
        <v>402642.54</v>
      </c>
      <c r="FD229" s="1439"/>
      <c r="FE229" s="1420">
        <v>9485669.0099999998</v>
      </c>
      <c r="FF229" s="1439"/>
      <c r="FG229" s="1422">
        <v>8189</v>
      </c>
      <c r="FH229" s="1439"/>
      <c r="FI229" s="1420">
        <v>86.63</v>
      </c>
      <c r="FJ229" s="1439"/>
      <c r="FK229" s="1422">
        <v>45342</v>
      </c>
      <c r="FL229" s="1439"/>
      <c r="FM229" s="1420">
        <v>90.91</v>
      </c>
      <c r="FN229" s="1439"/>
      <c r="FO229" s="1422">
        <v>47024</v>
      </c>
      <c r="FP229" s="1439"/>
      <c r="FQ229" s="1420">
        <v>1069396.8999999999</v>
      </c>
      <c r="FR229" s="1439"/>
      <c r="FS229" s="1420">
        <v>15023.49</v>
      </c>
      <c r="FT229" s="1439"/>
      <c r="FU229" s="1422">
        <v>0</v>
      </c>
      <c r="FV229" s="1439"/>
      <c r="FW229" s="1420">
        <v>1054373.4099999999</v>
      </c>
      <c r="FX229" s="1439"/>
      <c r="FY229" s="1420">
        <v>843915.05</v>
      </c>
      <c r="FZ229" s="1439"/>
      <c r="GA229" s="1422">
        <v>0</v>
      </c>
      <c r="GB229" s="1439"/>
    </row>
    <row r="230" spans="1:184" ht="12.75" customHeight="1" thickBot="1">
      <c r="A230" s="1418" t="s">
        <v>143</v>
      </c>
      <c r="B230" s="1418" t="s">
        <v>144</v>
      </c>
      <c r="C230" s="1420">
        <v>186.52</v>
      </c>
      <c r="D230" s="1439"/>
      <c r="E230" s="1420">
        <v>1220.3499999999999</v>
      </c>
      <c r="F230" s="1439"/>
      <c r="G230" s="1421">
        <v>-0.01</v>
      </c>
      <c r="H230" s="1439"/>
      <c r="I230" s="1420">
        <v>1291.47</v>
      </c>
      <c r="J230" s="1439"/>
      <c r="K230" s="1420">
        <v>1321.66</v>
      </c>
      <c r="L230" s="1439"/>
      <c r="M230" s="1422">
        <v>81849243</v>
      </c>
      <c r="N230" s="1439"/>
      <c r="O230" s="1422">
        <v>25</v>
      </c>
      <c r="P230" s="1439"/>
      <c r="Q230" s="1422">
        <v>25</v>
      </c>
      <c r="R230" s="1439"/>
      <c r="S230" s="1422">
        <v>0</v>
      </c>
      <c r="T230" s="1439"/>
      <c r="U230" s="1422">
        <v>0</v>
      </c>
      <c r="V230" s="1439"/>
      <c r="W230" s="1420">
        <v>13.5</v>
      </c>
      <c r="X230" s="1439"/>
      <c r="Y230" s="1420">
        <v>38.5</v>
      </c>
      <c r="Z230" s="1439"/>
      <c r="AA230" s="1420">
        <v>8044250.54</v>
      </c>
      <c r="AB230" s="1439"/>
      <c r="AC230" s="1420">
        <v>2679779.75</v>
      </c>
      <c r="AD230" s="1420">
        <v>2827575.45</v>
      </c>
      <c r="AE230" s="1420">
        <v>798988.42</v>
      </c>
      <c r="AF230" s="1420">
        <v>820607.76</v>
      </c>
      <c r="AG230" s="1420">
        <v>5959.12</v>
      </c>
      <c r="AH230" s="1420">
        <v>5896.97</v>
      </c>
      <c r="AI230" s="1422">
        <v>6176175</v>
      </c>
      <c r="AJ230" s="1422">
        <v>5818020</v>
      </c>
      <c r="AK230" s="1422">
        <v>36148</v>
      </c>
      <c r="AL230" s="1422">
        <v>0</v>
      </c>
      <c r="AM230" s="1422">
        <v>0</v>
      </c>
      <c r="AN230" s="1422">
        <v>0</v>
      </c>
      <c r="AO230" s="1422">
        <v>0</v>
      </c>
      <c r="AP230" s="1422">
        <v>80118</v>
      </c>
      <c r="AQ230" s="1422">
        <v>0</v>
      </c>
      <c r="AR230" s="1422">
        <v>0</v>
      </c>
      <c r="AS230" s="1422">
        <v>0</v>
      </c>
      <c r="AT230" s="1422">
        <v>0</v>
      </c>
      <c r="AU230" s="1422">
        <v>27886</v>
      </c>
      <c r="AV230" s="1422">
        <v>22309</v>
      </c>
      <c r="AW230" s="1422">
        <v>0</v>
      </c>
      <c r="AX230" s="1422">
        <v>0</v>
      </c>
      <c r="AY230" s="1420">
        <v>9724936.2899999991</v>
      </c>
      <c r="AZ230" s="1420">
        <v>9574527.1799999997</v>
      </c>
      <c r="BA230" s="1422">
        <v>0</v>
      </c>
      <c r="BB230" s="1422">
        <v>0</v>
      </c>
      <c r="BC230" s="1422">
        <v>54664</v>
      </c>
      <c r="BD230" s="1422">
        <v>54907</v>
      </c>
      <c r="BE230" s="1420">
        <v>8880.5499999999993</v>
      </c>
      <c r="BF230" s="1422">
        <v>800</v>
      </c>
      <c r="BG230" s="1422">
        <v>300</v>
      </c>
      <c r="BH230" s="1422">
        <v>0</v>
      </c>
      <c r="BI230" s="1422">
        <v>43962</v>
      </c>
      <c r="BJ230" s="1422">
        <v>30217</v>
      </c>
      <c r="BK230" s="1422">
        <v>4981</v>
      </c>
      <c r="BL230" s="1422">
        <v>0</v>
      </c>
      <c r="BM230" s="1422">
        <v>407712</v>
      </c>
      <c r="BN230" s="1422">
        <v>413402</v>
      </c>
      <c r="BO230" s="1420">
        <v>5414.36</v>
      </c>
      <c r="BP230" s="1422">
        <v>0</v>
      </c>
      <c r="BQ230" s="1420">
        <v>153229.6</v>
      </c>
      <c r="BR230" s="1420">
        <v>159792.12</v>
      </c>
      <c r="BS230" s="1420">
        <v>6646.48</v>
      </c>
      <c r="BT230" s="1422">
        <v>5150</v>
      </c>
      <c r="BU230" s="1422">
        <v>0</v>
      </c>
      <c r="BV230" s="1422">
        <v>0</v>
      </c>
      <c r="BW230" s="1422">
        <v>0</v>
      </c>
      <c r="BX230" s="1422">
        <v>0</v>
      </c>
      <c r="BY230" s="1422">
        <v>0</v>
      </c>
      <c r="BZ230" s="1422">
        <v>0</v>
      </c>
      <c r="CA230" s="1422">
        <v>166733</v>
      </c>
      <c r="CB230" s="1422">
        <v>1372437</v>
      </c>
      <c r="CC230" s="1420">
        <v>852522.99</v>
      </c>
      <c r="CD230" s="1420">
        <v>2036705.12</v>
      </c>
      <c r="CE230" s="1420">
        <v>2740804.19</v>
      </c>
      <c r="CF230" s="1420">
        <v>1551664.43</v>
      </c>
      <c r="CG230" s="1420">
        <v>-650788.49</v>
      </c>
      <c r="CH230" s="1422">
        <v>906500</v>
      </c>
      <c r="CI230" s="1422">
        <v>0</v>
      </c>
      <c r="CJ230" s="1422">
        <v>0</v>
      </c>
      <c r="CK230" s="1422">
        <v>19000</v>
      </c>
      <c r="CL230" s="1422">
        <v>7000</v>
      </c>
      <c r="CM230" s="1422">
        <v>1440</v>
      </c>
      <c r="CN230" s="1422">
        <v>0</v>
      </c>
      <c r="CO230" s="1422">
        <v>0</v>
      </c>
      <c r="CP230" s="1422">
        <v>0</v>
      </c>
      <c r="CQ230" s="1422">
        <v>0</v>
      </c>
      <c r="CR230" s="1422">
        <v>0</v>
      </c>
      <c r="CS230" s="1420">
        <v>-630348.49</v>
      </c>
      <c r="CT230" s="1422">
        <v>913500</v>
      </c>
      <c r="CU230" s="1420">
        <v>12687914.98</v>
      </c>
      <c r="CV230" s="1420">
        <v>14076396.73</v>
      </c>
      <c r="CW230" s="1420">
        <v>4253864.08</v>
      </c>
      <c r="CX230" s="1420">
        <v>4272980.8</v>
      </c>
      <c r="CY230" s="1420">
        <v>917999.71</v>
      </c>
      <c r="CZ230" s="1420">
        <v>840174.9</v>
      </c>
      <c r="DA230" s="1420">
        <v>404156.08</v>
      </c>
      <c r="DB230" s="1420">
        <v>355305.61</v>
      </c>
      <c r="DC230" s="1422">
        <v>0</v>
      </c>
      <c r="DD230" s="1422">
        <v>0</v>
      </c>
      <c r="DE230" s="1420">
        <v>1007276.58</v>
      </c>
      <c r="DF230" s="1420">
        <v>494784.79</v>
      </c>
      <c r="DG230" s="1420">
        <v>456526.06</v>
      </c>
      <c r="DH230" s="1420">
        <v>452022.66</v>
      </c>
      <c r="DI230" s="1420">
        <v>7039822.5099999998</v>
      </c>
      <c r="DJ230" s="1420">
        <v>6415268.7599999998</v>
      </c>
      <c r="DK230" s="1420">
        <v>255236.58</v>
      </c>
      <c r="DL230" s="1420">
        <v>254894.1</v>
      </c>
      <c r="DM230" s="1420">
        <v>299805.25</v>
      </c>
      <c r="DN230" s="1420">
        <v>341647.07</v>
      </c>
      <c r="DO230" s="1420">
        <v>1107116.54</v>
      </c>
      <c r="DP230" s="1420">
        <v>1198859.05</v>
      </c>
      <c r="DQ230" s="1420">
        <v>382923.15</v>
      </c>
      <c r="DR230" s="1420">
        <v>343438.57</v>
      </c>
      <c r="DS230" s="1420">
        <v>69595.72</v>
      </c>
      <c r="DT230" s="1422">
        <v>59800</v>
      </c>
      <c r="DU230" s="1420">
        <v>2114677.2400000002</v>
      </c>
      <c r="DV230" s="1420">
        <v>2198638.79</v>
      </c>
      <c r="DW230" s="1420">
        <v>483817.85</v>
      </c>
      <c r="DX230" s="1420">
        <v>466746.04</v>
      </c>
      <c r="DY230" s="1420">
        <v>878587.18</v>
      </c>
      <c r="DZ230" s="1420">
        <v>519977.1</v>
      </c>
      <c r="EA230" s="1420">
        <v>628561.94999999995</v>
      </c>
      <c r="EB230" s="1420">
        <v>611351.32999999996</v>
      </c>
      <c r="EC230" s="1420">
        <v>1990966.98</v>
      </c>
      <c r="ED230" s="1420">
        <v>1598074.47</v>
      </c>
      <c r="EE230" s="1420">
        <v>669355.31000000006</v>
      </c>
      <c r="EF230" s="1420">
        <v>657655.09</v>
      </c>
      <c r="EG230" s="1420">
        <v>68204.28</v>
      </c>
      <c r="EH230" s="1422">
        <v>4700</v>
      </c>
      <c r="EI230" s="1420">
        <v>189502.38</v>
      </c>
      <c r="EJ230" s="1420">
        <v>207016.41</v>
      </c>
      <c r="EK230" s="1422">
        <v>0</v>
      </c>
      <c r="EL230" s="1422">
        <v>0</v>
      </c>
      <c r="EM230" s="1420">
        <v>927061.97</v>
      </c>
      <c r="EN230" s="1420">
        <v>869371.5</v>
      </c>
      <c r="EO230" s="1420">
        <v>561479.1</v>
      </c>
      <c r="EP230" s="1422">
        <v>2007000</v>
      </c>
      <c r="EQ230" s="1420">
        <v>711630.13</v>
      </c>
      <c r="ER230" s="1420">
        <v>381147.74</v>
      </c>
      <c r="ES230" s="1422">
        <v>0</v>
      </c>
      <c r="ET230" s="1422">
        <v>0</v>
      </c>
      <c r="EU230" s="1420">
        <v>13345637.93</v>
      </c>
      <c r="EV230" s="1420">
        <v>13469501.26</v>
      </c>
      <c r="EW230" s="1420">
        <v>1236442.69</v>
      </c>
      <c r="EX230" s="1422">
        <v>2115850</v>
      </c>
      <c r="EY230" s="1420">
        <v>711630.13</v>
      </c>
      <c r="EZ230" s="1420">
        <v>381147.74</v>
      </c>
      <c r="FA230" s="1420">
        <v>11397565.109999999</v>
      </c>
      <c r="FB230" s="1420">
        <v>10972503.52</v>
      </c>
      <c r="FC230" s="1420">
        <v>673582.77</v>
      </c>
      <c r="FD230" s="1439"/>
      <c r="FE230" s="1420">
        <v>10723982.34</v>
      </c>
      <c r="FF230" s="1439"/>
      <c r="FG230" s="1422">
        <v>8787</v>
      </c>
      <c r="FH230" s="1439"/>
      <c r="FI230" s="1420">
        <v>95.13</v>
      </c>
      <c r="FJ230" s="1439"/>
      <c r="FK230" s="1422">
        <v>42021</v>
      </c>
      <c r="FL230" s="1439"/>
      <c r="FM230" s="1420">
        <v>102.5</v>
      </c>
      <c r="FN230" s="1439"/>
      <c r="FO230" s="1422">
        <v>44842</v>
      </c>
      <c r="FP230" s="1439"/>
      <c r="FQ230" s="1420">
        <v>3091306.45</v>
      </c>
      <c r="FR230" s="1439"/>
      <c r="FS230" s="1420">
        <v>36595.69</v>
      </c>
      <c r="FT230" s="1439"/>
      <c r="FU230" s="1422">
        <v>0</v>
      </c>
      <c r="FV230" s="1439"/>
      <c r="FW230" s="1420">
        <v>3054710.76</v>
      </c>
      <c r="FX230" s="1439"/>
      <c r="FY230" s="1420">
        <v>71403.48</v>
      </c>
      <c r="FZ230" s="1439"/>
      <c r="GA230" s="1422">
        <v>0</v>
      </c>
      <c r="GB230" s="1439"/>
    </row>
    <row r="231" spans="1:184" ht="12.75" customHeight="1" thickBot="1">
      <c r="A231" s="1418" t="s">
        <v>145</v>
      </c>
      <c r="B231" s="1418" t="s">
        <v>146</v>
      </c>
      <c r="C231" s="1420">
        <v>235.55</v>
      </c>
      <c r="D231" s="1439"/>
      <c r="E231" s="1420">
        <v>3072.19</v>
      </c>
      <c r="F231" s="1439"/>
      <c r="G231" s="1421">
        <v>0.12</v>
      </c>
      <c r="H231" s="1439"/>
      <c r="I231" s="1420">
        <v>3192.6</v>
      </c>
      <c r="J231" s="1439"/>
      <c r="K231" s="1420">
        <v>3200.25</v>
      </c>
      <c r="L231" s="1439"/>
      <c r="M231" s="1422">
        <v>175867012</v>
      </c>
      <c r="N231" s="1439"/>
      <c r="O231" s="1422">
        <v>25</v>
      </c>
      <c r="P231" s="1439"/>
      <c r="Q231" s="1422">
        <v>25</v>
      </c>
      <c r="R231" s="1439"/>
      <c r="S231" s="1422">
        <v>0</v>
      </c>
      <c r="T231" s="1439"/>
      <c r="U231" s="1422">
        <v>0</v>
      </c>
      <c r="V231" s="1439"/>
      <c r="W231" s="1420">
        <v>11.6</v>
      </c>
      <c r="X231" s="1439"/>
      <c r="Y231" s="1420">
        <v>36.6</v>
      </c>
      <c r="Z231" s="1439"/>
      <c r="AA231" s="1422">
        <v>17830000</v>
      </c>
      <c r="AB231" s="1439"/>
      <c r="AC231" s="1420">
        <v>5932794.8499999996</v>
      </c>
      <c r="AD231" s="1422">
        <v>6547982</v>
      </c>
      <c r="AE231" s="1420">
        <v>2567974.96</v>
      </c>
      <c r="AF231" s="1422">
        <v>1639179</v>
      </c>
      <c r="AG231" s="1422">
        <v>0</v>
      </c>
      <c r="AH231" s="1422">
        <v>0</v>
      </c>
      <c r="AI231" s="1422">
        <v>15202777</v>
      </c>
      <c r="AJ231" s="1422">
        <v>15339763</v>
      </c>
      <c r="AK231" s="1422">
        <v>92567</v>
      </c>
      <c r="AL231" s="1422">
        <v>90000</v>
      </c>
      <c r="AM231" s="1422">
        <v>21261</v>
      </c>
      <c r="AN231" s="1422">
        <v>0</v>
      </c>
      <c r="AO231" s="1422">
        <v>0</v>
      </c>
      <c r="AP231" s="1422">
        <v>0</v>
      </c>
      <c r="AQ231" s="1422">
        <v>0</v>
      </c>
      <c r="AR231" s="1422">
        <v>0</v>
      </c>
      <c r="AS231" s="1422">
        <v>0</v>
      </c>
      <c r="AT231" s="1422">
        <v>0</v>
      </c>
      <c r="AU231" s="1422">
        <v>111910</v>
      </c>
      <c r="AV231" s="1422">
        <v>89528</v>
      </c>
      <c r="AW231" s="1422">
        <v>0</v>
      </c>
      <c r="AX231" s="1422">
        <v>0</v>
      </c>
      <c r="AY231" s="1420">
        <v>23929284.809999999</v>
      </c>
      <c r="AZ231" s="1422">
        <v>23706452</v>
      </c>
      <c r="BA231" s="1422">
        <v>0</v>
      </c>
      <c r="BB231" s="1422">
        <v>0</v>
      </c>
      <c r="BC231" s="1422">
        <v>132362</v>
      </c>
      <c r="BD231" s="1422">
        <v>135566</v>
      </c>
      <c r="BE231" s="1422">
        <v>16200</v>
      </c>
      <c r="BF231" s="1422">
        <v>10200</v>
      </c>
      <c r="BG231" s="1422">
        <v>2750</v>
      </c>
      <c r="BH231" s="1422">
        <v>10000</v>
      </c>
      <c r="BI231" s="1422">
        <v>98081</v>
      </c>
      <c r="BJ231" s="1422">
        <v>110174</v>
      </c>
      <c r="BK231" s="1422">
        <v>9376</v>
      </c>
      <c r="BL231" s="1422">
        <v>0</v>
      </c>
      <c r="BM231" s="1422">
        <v>763840</v>
      </c>
      <c r="BN231" s="1422">
        <v>789866</v>
      </c>
      <c r="BO231" s="1420">
        <v>40869.599999999999</v>
      </c>
      <c r="BP231" s="1422">
        <v>0</v>
      </c>
      <c r="BQ231" s="1420">
        <v>67959.600000000006</v>
      </c>
      <c r="BR231" s="1422">
        <v>37375</v>
      </c>
      <c r="BS231" s="1420">
        <v>10165.77</v>
      </c>
      <c r="BT231" s="1422">
        <v>10500</v>
      </c>
      <c r="BU231" s="1422">
        <v>0</v>
      </c>
      <c r="BV231" s="1422">
        <v>0</v>
      </c>
      <c r="BW231" s="1422">
        <v>388314</v>
      </c>
      <c r="BX231" s="1422">
        <v>388800</v>
      </c>
      <c r="BY231" s="1422">
        <v>0</v>
      </c>
      <c r="BZ231" s="1422">
        <v>0</v>
      </c>
      <c r="CA231" s="1420">
        <v>1850118.77</v>
      </c>
      <c r="CB231" s="1420">
        <v>918577.65</v>
      </c>
      <c r="CC231" s="1420">
        <v>3380036.74</v>
      </c>
      <c r="CD231" s="1420">
        <v>2411058.65</v>
      </c>
      <c r="CE231" s="1420">
        <v>4360838.38</v>
      </c>
      <c r="CF231" s="1420">
        <v>2903227.29</v>
      </c>
      <c r="CG231" s="1420">
        <v>3549843.5</v>
      </c>
      <c r="CH231" s="1420">
        <v>3549843.5</v>
      </c>
      <c r="CI231" s="1422">
        <v>0</v>
      </c>
      <c r="CJ231" s="1422">
        <v>0</v>
      </c>
      <c r="CK231" s="1422">
        <v>0</v>
      </c>
      <c r="CL231" s="1422">
        <v>0</v>
      </c>
      <c r="CM231" s="1422">
        <v>0</v>
      </c>
      <c r="CN231" s="1422">
        <v>0</v>
      </c>
      <c r="CO231" s="1422">
        <v>0</v>
      </c>
      <c r="CP231" s="1422">
        <v>0</v>
      </c>
      <c r="CQ231" s="1422">
        <v>0</v>
      </c>
      <c r="CR231" s="1422">
        <v>0</v>
      </c>
      <c r="CS231" s="1420">
        <v>3549843.5</v>
      </c>
      <c r="CT231" s="1420">
        <v>3549843.5</v>
      </c>
      <c r="CU231" s="1420">
        <v>35220003.43</v>
      </c>
      <c r="CV231" s="1420">
        <v>32570581.440000001</v>
      </c>
      <c r="CW231" s="1420">
        <v>11017368.74</v>
      </c>
      <c r="CX231" s="1420">
        <v>11313919.83</v>
      </c>
      <c r="CY231" s="1420">
        <v>2045687.52</v>
      </c>
      <c r="CZ231" s="1420">
        <v>2142181.19</v>
      </c>
      <c r="DA231" s="1420">
        <v>743747.64</v>
      </c>
      <c r="DB231" s="1420">
        <v>746435.86</v>
      </c>
      <c r="DC231" s="1422">
        <v>0</v>
      </c>
      <c r="DD231" s="1422">
        <v>0</v>
      </c>
      <c r="DE231" s="1420">
        <v>595102.85</v>
      </c>
      <c r="DF231" s="1420">
        <v>607320.54</v>
      </c>
      <c r="DG231" s="1420">
        <v>1114313.95</v>
      </c>
      <c r="DH231" s="1420">
        <v>1226187.82</v>
      </c>
      <c r="DI231" s="1420">
        <v>15516220.699999999</v>
      </c>
      <c r="DJ231" s="1420">
        <v>16036045.24</v>
      </c>
      <c r="DK231" s="1420">
        <v>688709.34</v>
      </c>
      <c r="DL231" s="1420">
        <v>670124.98</v>
      </c>
      <c r="DM231" s="1420">
        <v>297480.39</v>
      </c>
      <c r="DN231" s="1420">
        <v>300521.27</v>
      </c>
      <c r="DO231" s="1420">
        <v>2763428.41</v>
      </c>
      <c r="DP231" s="1420">
        <v>3037907.31</v>
      </c>
      <c r="DQ231" s="1420">
        <v>1155020.55</v>
      </c>
      <c r="DR231" s="1420">
        <v>1121665.51</v>
      </c>
      <c r="DS231" s="1420">
        <v>60443.68</v>
      </c>
      <c r="DT231" s="1422">
        <v>15000</v>
      </c>
      <c r="DU231" s="1420">
        <v>4965082.37</v>
      </c>
      <c r="DV231" s="1420">
        <v>5145219.07</v>
      </c>
      <c r="DW231" s="1420">
        <v>1096097.67</v>
      </c>
      <c r="DX231" s="1420">
        <v>1115437.92</v>
      </c>
      <c r="DY231" s="1420">
        <v>1531326.11</v>
      </c>
      <c r="DZ231" s="1420">
        <v>1689254.73</v>
      </c>
      <c r="EA231" s="1420">
        <v>1611734.93</v>
      </c>
      <c r="EB231" s="1420">
        <v>1627853.6</v>
      </c>
      <c r="EC231" s="1420">
        <v>4239158.71</v>
      </c>
      <c r="ED231" s="1420">
        <v>4432546.25</v>
      </c>
      <c r="EE231" s="1420">
        <v>1733667.07</v>
      </c>
      <c r="EF231" s="1420">
        <v>1706106.21</v>
      </c>
      <c r="EG231" s="1420">
        <v>58398.21</v>
      </c>
      <c r="EH231" s="1422">
        <v>0</v>
      </c>
      <c r="EI231" s="1420">
        <v>426684.59</v>
      </c>
      <c r="EJ231" s="1420">
        <v>225823.48</v>
      </c>
      <c r="EK231" s="1422">
        <v>0</v>
      </c>
      <c r="EL231" s="1422">
        <v>0</v>
      </c>
      <c r="EM231" s="1420">
        <v>2218749.87</v>
      </c>
      <c r="EN231" s="1420">
        <v>1931929.69</v>
      </c>
      <c r="EO231" s="1420">
        <v>6360587.4100000001</v>
      </c>
      <c r="EP231" s="1420">
        <v>5879335.6500000004</v>
      </c>
      <c r="EQ231" s="1420">
        <v>1187970.31</v>
      </c>
      <c r="ER231" s="1420">
        <v>1680952.34</v>
      </c>
      <c r="ES231" s="1422">
        <v>82194</v>
      </c>
      <c r="ET231" s="1422">
        <v>0</v>
      </c>
      <c r="EU231" s="1420">
        <v>34569963.369999997</v>
      </c>
      <c r="EV231" s="1420">
        <v>35106028.240000002</v>
      </c>
      <c r="EW231" s="1420">
        <v>7284449.8200000003</v>
      </c>
      <c r="EX231" s="1420">
        <v>6530495.25</v>
      </c>
      <c r="EY231" s="1420">
        <v>1187970.31</v>
      </c>
      <c r="EZ231" s="1420">
        <v>1680952.34</v>
      </c>
      <c r="FA231" s="1420">
        <v>26097543.239999998</v>
      </c>
      <c r="FB231" s="1420">
        <v>26894580.649999999</v>
      </c>
      <c r="FC231" s="1420">
        <v>2220549.88</v>
      </c>
      <c r="FD231" s="1439"/>
      <c r="FE231" s="1420">
        <v>23876993.359999999</v>
      </c>
      <c r="FF231" s="1439"/>
      <c r="FG231" s="1422">
        <v>7771</v>
      </c>
      <c r="FH231" s="1439"/>
      <c r="FI231" s="1420">
        <v>213.57</v>
      </c>
      <c r="FJ231" s="1439"/>
      <c r="FK231" s="1422">
        <v>44378</v>
      </c>
      <c r="FL231" s="1439"/>
      <c r="FM231" s="1420">
        <v>234.57</v>
      </c>
      <c r="FN231" s="1439"/>
      <c r="FO231" s="1422">
        <v>47625</v>
      </c>
      <c r="FP231" s="1439"/>
      <c r="FQ231" s="1420">
        <v>3098153.63</v>
      </c>
      <c r="FR231" s="1439"/>
      <c r="FS231" s="1420">
        <v>52940.95</v>
      </c>
      <c r="FT231" s="1439"/>
      <c r="FU231" s="1422">
        <v>0</v>
      </c>
      <c r="FV231" s="1439"/>
      <c r="FW231" s="1420">
        <v>3045212.68</v>
      </c>
      <c r="FX231" s="1439"/>
      <c r="FY231" s="1420">
        <v>2887445.73</v>
      </c>
      <c r="FZ231" s="1439"/>
      <c r="GA231" s="1422">
        <v>0</v>
      </c>
      <c r="GB231" s="1439"/>
    </row>
    <row r="232" spans="1:184" ht="12.75" customHeight="1" thickBot="1">
      <c r="A232" s="1418" t="s">
        <v>147</v>
      </c>
      <c r="B232" s="1418" t="s">
        <v>148</v>
      </c>
      <c r="C232" s="1420">
        <v>92.65</v>
      </c>
      <c r="D232" s="1439"/>
      <c r="E232" s="1420">
        <v>455.69</v>
      </c>
      <c r="F232" s="1439"/>
      <c r="G232" s="1421">
        <v>-0.09</v>
      </c>
      <c r="H232" s="1439"/>
      <c r="I232" s="1420">
        <v>490.57</v>
      </c>
      <c r="J232" s="1439"/>
      <c r="K232" s="1420">
        <v>491.98</v>
      </c>
      <c r="L232" s="1439"/>
      <c r="M232" s="1422">
        <v>23038236</v>
      </c>
      <c r="N232" s="1439"/>
      <c r="O232" s="1422">
        <v>25</v>
      </c>
      <c r="P232" s="1439"/>
      <c r="Q232" s="1422">
        <v>25</v>
      </c>
      <c r="R232" s="1439"/>
      <c r="S232" s="1422">
        <v>0</v>
      </c>
      <c r="T232" s="1439"/>
      <c r="U232" s="1422">
        <v>0</v>
      </c>
      <c r="V232" s="1439"/>
      <c r="W232" s="1422">
        <v>12</v>
      </c>
      <c r="X232" s="1439"/>
      <c r="Y232" s="1422">
        <v>37</v>
      </c>
      <c r="Z232" s="1439"/>
      <c r="AA232" s="1422">
        <v>3220000</v>
      </c>
      <c r="AB232" s="1439"/>
      <c r="AC232" s="1420">
        <v>767205.49</v>
      </c>
      <c r="AD232" s="1422">
        <v>754000</v>
      </c>
      <c r="AE232" s="1420">
        <v>218274.92</v>
      </c>
      <c r="AF232" s="1422">
        <v>202420</v>
      </c>
      <c r="AG232" s="1420">
        <v>2276.1799999999998</v>
      </c>
      <c r="AH232" s="1422">
        <v>2500</v>
      </c>
      <c r="AI232" s="1422">
        <v>2427430</v>
      </c>
      <c r="AJ232" s="1422">
        <v>2450295</v>
      </c>
      <c r="AK232" s="1422">
        <v>43860</v>
      </c>
      <c r="AL232" s="1422">
        <v>45000</v>
      </c>
      <c r="AM232" s="1422">
        <v>0</v>
      </c>
      <c r="AN232" s="1422">
        <v>0</v>
      </c>
      <c r="AO232" s="1422">
        <v>27164</v>
      </c>
      <c r="AP232" s="1422">
        <v>3994</v>
      </c>
      <c r="AQ232" s="1422">
        <v>0</v>
      </c>
      <c r="AR232" s="1422">
        <v>0</v>
      </c>
      <c r="AS232" s="1422">
        <v>0</v>
      </c>
      <c r="AT232" s="1422">
        <v>0</v>
      </c>
      <c r="AU232" s="1422">
        <v>31731</v>
      </c>
      <c r="AV232" s="1422">
        <v>25384</v>
      </c>
      <c r="AW232" s="1422">
        <v>0</v>
      </c>
      <c r="AX232" s="1422">
        <v>0</v>
      </c>
      <c r="AY232" s="1420">
        <v>3517941.59</v>
      </c>
      <c r="AZ232" s="1422">
        <v>3483593</v>
      </c>
      <c r="BA232" s="1422">
        <v>0</v>
      </c>
      <c r="BB232" s="1422">
        <v>0</v>
      </c>
      <c r="BC232" s="1422">
        <v>20348</v>
      </c>
      <c r="BD232" s="1422">
        <v>20795</v>
      </c>
      <c r="BE232" s="1420">
        <v>1681.64</v>
      </c>
      <c r="BF232" s="1422">
        <v>4800</v>
      </c>
      <c r="BG232" s="1422">
        <v>1000</v>
      </c>
      <c r="BH232" s="1422">
        <v>0</v>
      </c>
      <c r="BI232" s="1422">
        <v>18568</v>
      </c>
      <c r="BJ232" s="1422">
        <v>0</v>
      </c>
      <c r="BK232" s="1422">
        <v>0</v>
      </c>
      <c r="BL232" s="1422">
        <v>0</v>
      </c>
      <c r="BM232" s="1422">
        <v>161200</v>
      </c>
      <c r="BN232" s="1422">
        <v>239508</v>
      </c>
      <c r="BO232" s="1420">
        <v>2015.46</v>
      </c>
      <c r="BP232" s="1422">
        <v>0</v>
      </c>
      <c r="BQ232" s="1422">
        <v>0</v>
      </c>
      <c r="BR232" s="1422">
        <v>0</v>
      </c>
      <c r="BS232" s="1422">
        <v>0</v>
      </c>
      <c r="BT232" s="1422">
        <v>0</v>
      </c>
      <c r="BU232" s="1422">
        <v>0</v>
      </c>
      <c r="BV232" s="1422">
        <v>0</v>
      </c>
      <c r="BW232" s="1422">
        <v>97200</v>
      </c>
      <c r="BX232" s="1422">
        <v>97200</v>
      </c>
      <c r="BY232" s="1422">
        <v>0</v>
      </c>
      <c r="BZ232" s="1422">
        <v>0</v>
      </c>
      <c r="CA232" s="1420">
        <v>2286035.2599999998</v>
      </c>
      <c r="CB232" s="1422">
        <v>473547</v>
      </c>
      <c r="CC232" s="1420">
        <v>2588048.36</v>
      </c>
      <c r="CD232" s="1422">
        <v>835850</v>
      </c>
      <c r="CE232" s="1420">
        <v>1035024.32</v>
      </c>
      <c r="CF232" s="1420">
        <v>1048167.96</v>
      </c>
      <c r="CG232" s="1422">
        <v>0</v>
      </c>
      <c r="CH232" s="1422">
        <v>0</v>
      </c>
      <c r="CI232" s="1422">
        <v>0</v>
      </c>
      <c r="CJ232" s="1422">
        <v>0</v>
      </c>
      <c r="CK232" s="1422">
        <v>0</v>
      </c>
      <c r="CL232" s="1422">
        <v>0</v>
      </c>
      <c r="CM232" s="1422">
        <v>0</v>
      </c>
      <c r="CN232" s="1422">
        <v>0</v>
      </c>
      <c r="CO232" s="1422">
        <v>0</v>
      </c>
      <c r="CP232" s="1422">
        <v>0</v>
      </c>
      <c r="CQ232" s="1422">
        <v>0</v>
      </c>
      <c r="CR232" s="1422">
        <v>0</v>
      </c>
      <c r="CS232" s="1422">
        <v>0</v>
      </c>
      <c r="CT232" s="1422">
        <v>0</v>
      </c>
      <c r="CU232" s="1420">
        <v>7141014.2699999996</v>
      </c>
      <c r="CV232" s="1420">
        <v>5367610.96</v>
      </c>
      <c r="CW232" s="1420">
        <v>1701226.69</v>
      </c>
      <c r="CX232" s="1420">
        <v>1882539.55</v>
      </c>
      <c r="CY232" s="1420">
        <v>206516.56</v>
      </c>
      <c r="CZ232" s="1420">
        <v>296089.36</v>
      </c>
      <c r="DA232" s="1420">
        <v>151828.60999999999</v>
      </c>
      <c r="DB232" s="1420">
        <v>158825.75</v>
      </c>
      <c r="DC232" s="1422">
        <v>0</v>
      </c>
      <c r="DD232" s="1422">
        <v>0</v>
      </c>
      <c r="DE232" s="1420">
        <v>726301.16</v>
      </c>
      <c r="DF232" s="1420">
        <v>377447.14</v>
      </c>
      <c r="DG232" s="1420">
        <v>50813.4</v>
      </c>
      <c r="DH232" s="1420">
        <v>89833.52</v>
      </c>
      <c r="DI232" s="1420">
        <v>2836686.42</v>
      </c>
      <c r="DJ232" s="1420">
        <v>2804735.32</v>
      </c>
      <c r="DK232" s="1420">
        <v>166633.14000000001</v>
      </c>
      <c r="DL232" s="1422">
        <v>178918</v>
      </c>
      <c r="DM232" s="1420">
        <v>146775.24</v>
      </c>
      <c r="DN232" s="1420">
        <v>157651.22</v>
      </c>
      <c r="DO232" s="1420">
        <v>376536.26</v>
      </c>
      <c r="DP232" s="1420">
        <v>413139.91</v>
      </c>
      <c r="DQ232" s="1420">
        <v>149929.56</v>
      </c>
      <c r="DR232" s="1420">
        <v>223574.64</v>
      </c>
      <c r="DS232" s="1420">
        <v>10062.469999999999</v>
      </c>
      <c r="DT232" s="1422">
        <v>19000</v>
      </c>
      <c r="DU232" s="1420">
        <v>849936.67</v>
      </c>
      <c r="DV232" s="1420">
        <v>992283.77</v>
      </c>
      <c r="DW232" s="1420">
        <v>183087.19</v>
      </c>
      <c r="DX232" s="1420">
        <v>199602.93</v>
      </c>
      <c r="DY232" s="1420">
        <v>243781.32</v>
      </c>
      <c r="DZ232" s="1420">
        <v>294164.46999999997</v>
      </c>
      <c r="EA232" s="1420">
        <v>204624.72</v>
      </c>
      <c r="EB232" s="1420">
        <v>207967.78</v>
      </c>
      <c r="EC232" s="1420">
        <v>631493.23</v>
      </c>
      <c r="ED232" s="1420">
        <v>701735.18</v>
      </c>
      <c r="EE232" s="1422">
        <v>273042</v>
      </c>
      <c r="EF232" s="1420">
        <v>276005.78999999998</v>
      </c>
      <c r="EG232" s="1422">
        <v>0</v>
      </c>
      <c r="EH232" s="1422">
        <v>0</v>
      </c>
      <c r="EI232" s="1422">
        <v>320</v>
      </c>
      <c r="EJ232" s="1422">
        <v>1000</v>
      </c>
      <c r="EK232" s="1422">
        <v>0</v>
      </c>
      <c r="EL232" s="1422">
        <v>0</v>
      </c>
      <c r="EM232" s="1422">
        <v>273362</v>
      </c>
      <c r="EN232" s="1420">
        <v>277005.78999999998</v>
      </c>
      <c r="EO232" s="1420">
        <v>4272512.25</v>
      </c>
      <c r="EP232" s="1420">
        <v>1126053.21</v>
      </c>
      <c r="EQ232" s="1422">
        <v>206715</v>
      </c>
      <c r="ER232" s="1422">
        <v>204880</v>
      </c>
      <c r="ES232" s="1422">
        <v>0</v>
      </c>
      <c r="ET232" s="1422">
        <v>0</v>
      </c>
      <c r="EU232" s="1420">
        <v>9070705.5700000003</v>
      </c>
      <c r="EV232" s="1420">
        <v>6106693.2699999996</v>
      </c>
      <c r="EW232" s="1420">
        <v>4336894.16</v>
      </c>
      <c r="EX232" s="1420">
        <v>1258326.48</v>
      </c>
      <c r="EY232" s="1422">
        <v>206715</v>
      </c>
      <c r="EZ232" s="1422">
        <v>204880</v>
      </c>
      <c r="FA232" s="1420">
        <v>4527096.41</v>
      </c>
      <c r="FB232" s="1420">
        <v>4643486.79</v>
      </c>
      <c r="FC232" s="1420">
        <v>222290.8</v>
      </c>
      <c r="FD232" s="1439"/>
      <c r="FE232" s="1420">
        <v>4304805.6100000003</v>
      </c>
      <c r="FF232" s="1439"/>
      <c r="FG232" s="1422">
        <v>9446</v>
      </c>
      <c r="FH232" s="1439"/>
      <c r="FI232" s="1420">
        <v>36.75</v>
      </c>
      <c r="FJ232" s="1439"/>
      <c r="FK232" s="1422">
        <v>37402</v>
      </c>
      <c r="FL232" s="1439"/>
      <c r="FM232" s="1420">
        <v>41.25</v>
      </c>
      <c r="FN232" s="1439"/>
      <c r="FO232" s="1422">
        <v>39720</v>
      </c>
      <c r="FP232" s="1439"/>
      <c r="FQ232" s="1420">
        <v>1448909.38</v>
      </c>
      <c r="FR232" s="1439"/>
      <c r="FS232" s="1420">
        <v>103454.63</v>
      </c>
      <c r="FT232" s="1439"/>
      <c r="FU232" s="1422">
        <v>0</v>
      </c>
      <c r="FV232" s="1439"/>
      <c r="FW232" s="1420">
        <v>1345454.75</v>
      </c>
      <c r="FX232" s="1439"/>
      <c r="FY232" s="1420">
        <v>689179.19</v>
      </c>
      <c r="FZ232" s="1439"/>
      <c r="GA232" s="1422">
        <v>0</v>
      </c>
      <c r="GB232" s="1439"/>
    </row>
    <row r="233" spans="1:184" ht="12.75" customHeight="1" thickBot="1">
      <c r="A233" s="1418" t="s">
        <v>149</v>
      </c>
      <c r="B233" s="1418" t="s">
        <v>150</v>
      </c>
      <c r="C233" s="1420">
        <v>59.32</v>
      </c>
      <c r="D233" s="1439"/>
      <c r="E233" s="1420">
        <v>629.77</v>
      </c>
      <c r="F233" s="1439"/>
      <c r="G233" s="1421">
        <v>-0.01</v>
      </c>
      <c r="H233" s="1439"/>
      <c r="I233" s="1420">
        <v>669.46</v>
      </c>
      <c r="J233" s="1439"/>
      <c r="K233" s="1420">
        <v>693.41</v>
      </c>
      <c r="L233" s="1439"/>
      <c r="M233" s="1422">
        <v>66874221</v>
      </c>
      <c r="N233" s="1439"/>
      <c r="O233" s="1422">
        <v>25</v>
      </c>
      <c r="P233" s="1439"/>
      <c r="Q233" s="1422">
        <v>25</v>
      </c>
      <c r="R233" s="1439"/>
      <c r="S233" s="1422">
        <v>0</v>
      </c>
      <c r="T233" s="1439"/>
      <c r="U233" s="1422">
        <v>0</v>
      </c>
      <c r="V233" s="1439"/>
      <c r="W233" s="1420">
        <v>13.1</v>
      </c>
      <c r="X233" s="1439"/>
      <c r="Y233" s="1420">
        <v>38.1</v>
      </c>
      <c r="Z233" s="1439"/>
      <c r="AA233" s="1422">
        <v>2645000</v>
      </c>
      <c r="AB233" s="1439"/>
      <c r="AC233" s="1420">
        <v>1934529.88</v>
      </c>
      <c r="AD233" s="1422">
        <v>2307000</v>
      </c>
      <c r="AE233" s="1420">
        <v>359414.58</v>
      </c>
      <c r="AF233" s="1422">
        <v>112975</v>
      </c>
      <c r="AG233" s="1420">
        <v>3068.52</v>
      </c>
      <c r="AH233" s="1422">
        <v>0</v>
      </c>
      <c r="AI233" s="1422">
        <v>3038890</v>
      </c>
      <c r="AJ233" s="1422">
        <v>2493913</v>
      </c>
      <c r="AK233" s="1422">
        <v>25268</v>
      </c>
      <c r="AL233" s="1422">
        <v>0</v>
      </c>
      <c r="AM233" s="1422">
        <v>0</v>
      </c>
      <c r="AN233" s="1422">
        <v>0</v>
      </c>
      <c r="AO233" s="1422">
        <v>0</v>
      </c>
      <c r="AP233" s="1422">
        <v>63990</v>
      </c>
      <c r="AQ233" s="1422">
        <v>0</v>
      </c>
      <c r="AR233" s="1422">
        <v>0</v>
      </c>
      <c r="AS233" s="1422">
        <v>0</v>
      </c>
      <c r="AT233" s="1422">
        <v>0</v>
      </c>
      <c r="AU233" s="1422">
        <v>43659</v>
      </c>
      <c r="AV233" s="1422">
        <v>34927</v>
      </c>
      <c r="AW233" s="1422">
        <v>0</v>
      </c>
      <c r="AX233" s="1422">
        <v>0</v>
      </c>
      <c r="AY233" s="1420">
        <v>5404829.9800000004</v>
      </c>
      <c r="AZ233" s="1422">
        <v>5012805</v>
      </c>
      <c r="BA233" s="1422">
        <v>0</v>
      </c>
      <c r="BB233" s="1422">
        <v>0</v>
      </c>
      <c r="BC233" s="1422">
        <v>28679</v>
      </c>
      <c r="BD233" s="1422">
        <v>28504</v>
      </c>
      <c r="BE233" s="1420">
        <v>4543.78</v>
      </c>
      <c r="BF233" s="1422">
        <v>2400</v>
      </c>
      <c r="BG233" s="1422">
        <v>1966</v>
      </c>
      <c r="BH233" s="1422">
        <v>1800</v>
      </c>
      <c r="BI233" s="1422">
        <v>34698</v>
      </c>
      <c r="BJ233" s="1422">
        <v>45844</v>
      </c>
      <c r="BK233" s="1422">
        <v>0</v>
      </c>
      <c r="BL233" s="1422">
        <v>0</v>
      </c>
      <c r="BM233" s="1422">
        <v>208816</v>
      </c>
      <c r="BN233" s="1422">
        <v>216568</v>
      </c>
      <c r="BO233" s="1420">
        <v>41625.99</v>
      </c>
      <c r="BP233" s="1422">
        <v>2500</v>
      </c>
      <c r="BQ233" s="1420">
        <v>29521.040000000001</v>
      </c>
      <c r="BR233" s="1420">
        <v>2708.22</v>
      </c>
      <c r="BS233" s="1420">
        <v>2652.49</v>
      </c>
      <c r="BT233" s="1422">
        <v>1750</v>
      </c>
      <c r="BU233" s="1422">
        <v>0</v>
      </c>
      <c r="BV233" s="1422">
        <v>0</v>
      </c>
      <c r="BW233" s="1422">
        <v>187596</v>
      </c>
      <c r="BX233" s="1422">
        <v>194400</v>
      </c>
      <c r="BY233" s="1422">
        <v>0</v>
      </c>
      <c r="BZ233" s="1422">
        <v>0</v>
      </c>
      <c r="CA233" s="1420">
        <v>239989.07</v>
      </c>
      <c r="CB233" s="1420">
        <v>405575.33</v>
      </c>
      <c r="CC233" s="1420">
        <v>780087.37</v>
      </c>
      <c r="CD233" s="1420">
        <v>902049.55</v>
      </c>
      <c r="CE233" s="1420">
        <v>1179584.99</v>
      </c>
      <c r="CF233" s="1420">
        <v>872506.09</v>
      </c>
      <c r="CG233" s="1420">
        <v>6071.93</v>
      </c>
      <c r="CH233" s="1422">
        <v>0</v>
      </c>
      <c r="CI233" s="1422">
        <v>0</v>
      </c>
      <c r="CJ233" s="1422">
        <v>0</v>
      </c>
      <c r="CK233" s="1422">
        <v>0</v>
      </c>
      <c r="CL233" s="1422">
        <v>0</v>
      </c>
      <c r="CM233" s="1422">
        <v>1202</v>
      </c>
      <c r="CN233" s="1422">
        <v>0</v>
      </c>
      <c r="CO233" s="1420">
        <v>8377.41</v>
      </c>
      <c r="CP233" s="1422">
        <v>0</v>
      </c>
      <c r="CQ233" s="1420">
        <v>47254.86</v>
      </c>
      <c r="CR233" s="1422">
        <v>40000</v>
      </c>
      <c r="CS233" s="1420">
        <v>62906.2</v>
      </c>
      <c r="CT233" s="1422">
        <v>40000</v>
      </c>
      <c r="CU233" s="1420">
        <v>7427408.54</v>
      </c>
      <c r="CV233" s="1420">
        <v>6827360.6399999997</v>
      </c>
      <c r="CW233" s="1420">
        <v>2480027.11</v>
      </c>
      <c r="CX233" s="1420">
        <v>2598543.75</v>
      </c>
      <c r="CY233" s="1420">
        <v>412151.09</v>
      </c>
      <c r="CZ233" s="1420">
        <v>458891.86</v>
      </c>
      <c r="DA233" s="1420">
        <v>195444.93</v>
      </c>
      <c r="DB233" s="1420">
        <v>207435.94</v>
      </c>
      <c r="DC233" s="1422">
        <v>0</v>
      </c>
      <c r="DD233" s="1422">
        <v>0</v>
      </c>
      <c r="DE233" s="1420">
        <v>122874.1</v>
      </c>
      <c r="DF233" s="1420">
        <v>103883.71</v>
      </c>
      <c r="DG233" s="1420">
        <v>292538.98</v>
      </c>
      <c r="DH233" s="1420">
        <v>286889.28000000003</v>
      </c>
      <c r="DI233" s="1420">
        <v>3503036.21</v>
      </c>
      <c r="DJ233" s="1420">
        <v>3655644.54</v>
      </c>
      <c r="DK233" s="1422">
        <v>210163</v>
      </c>
      <c r="DL233" s="1420">
        <v>250146.95</v>
      </c>
      <c r="DM233" s="1420">
        <v>154778.68</v>
      </c>
      <c r="DN233" s="1420">
        <v>184807.12</v>
      </c>
      <c r="DO233" s="1420">
        <v>583712.49</v>
      </c>
      <c r="DP233" s="1420">
        <v>764280.68</v>
      </c>
      <c r="DQ233" s="1420">
        <v>177612.53</v>
      </c>
      <c r="DR233" s="1422">
        <v>494381</v>
      </c>
      <c r="DS233" s="1420">
        <v>14940.3</v>
      </c>
      <c r="DT233" s="1422">
        <v>5500</v>
      </c>
      <c r="DU233" s="1422">
        <v>1141207</v>
      </c>
      <c r="DV233" s="1420">
        <v>1699115.75</v>
      </c>
      <c r="DW233" s="1420">
        <v>304653.03999999998</v>
      </c>
      <c r="DX233" s="1420">
        <v>291329.73</v>
      </c>
      <c r="DY233" s="1420">
        <v>471214.29</v>
      </c>
      <c r="DZ233" s="1420">
        <v>533686.87</v>
      </c>
      <c r="EA233" s="1420">
        <v>278843.71999999997</v>
      </c>
      <c r="EB233" s="1420">
        <v>278152.75</v>
      </c>
      <c r="EC233" s="1420">
        <v>1054711.05</v>
      </c>
      <c r="ED233" s="1420">
        <v>1103169.3500000001</v>
      </c>
      <c r="EE233" s="1420">
        <v>321410.88</v>
      </c>
      <c r="EF233" s="1420">
        <v>443818.87</v>
      </c>
      <c r="EG233" s="1420">
        <v>15663.38</v>
      </c>
      <c r="EH233" s="1422">
        <v>0</v>
      </c>
      <c r="EI233" s="1420">
        <v>393.82</v>
      </c>
      <c r="EJ233" s="1422">
        <v>1200</v>
      </c>
      <c r="EK233" s="1422">
        <v>0</v>
      </c>
      <c r="EL233" s="1422">
        <v>0</v>
      </c>
      <c r="EM233" s="1420">
        <v>337468.08</v>
      </c>
      <c r="EN233" s="1420">
        <v>445018.87</v>
      </c>
      <c r="EO233" s="1420">
        <v>534336.43000000005</v>
      </c>
      <c r="EP233" s="1420">
        <v>787619.82</v>
      </c>
      <c r="EQ233" s="1420">
        <v>207775.5</v>
      </c>
      <c r="ER233" s="1420">
        <v>73769.58</v>
      </c>
      <c r="ES233" s="1422">
        <v>0</v>
      </c>
      <c r="ET233" s="1422">
        <v>0</v>
      </c>
      <c r="EU233" s="1420">
        <v>6778534.2699999996</v>
      </c>
      <c r="EV233" s="1420">
        <v>7764337.9100000001</v>
      </c>
      <c r="EW233" s="1420">
        <v>632793.31000000006</v>
      </c>
      <c r="EX233" s="1422">
        <v>1243419</v>
      </c>
      <c r="EY233" s="1420">
        <v>207775.5</v>
      </c>
      <c r="EZ233" s="1420">
        <v>73769.58</v>
      </c>
      <c r="FA233" s="1420">
        <v>5937965.46</v>
      </c>
      <c r="FB233" s="1420">
        <v>6447149.3300000001</v>
      </c>
      <c r="FC233" s="1420">
        <v>504175.97</v>
      </c>
      <c r="FD233" s="1439"/>
      <c r="FE233" s="1420">
        <v>5433789.4900000002</v>
      </c>
      <c r="FF233" s="1439"/>
      <c r="FG233" s="1422">
        <v>8628</v>
      </c>
      <c r="FH233" s="1439"/>
      <c r="FI233" s="1420">
        <v>54.38</v>
      </c>
      <c r="FJ233" s="1439"/>
      <c r="FK233" s="1422">
        <v>40687</v>
      </c>
      <c r="FL233" s="1439"/>
      <c r="FM233" s="1420">
        <v>59.91</v>
      </c>
      <c r="FN233" s="1439"/>
      <c r="FO233" s="1422">
        <v>42701</v>
      </c>
      <c r="FP233" s="1439"/>
      <c r="FQ233" s="1420">
        <v>1203671.26</v>
      </c>
      <c r="FR233" s="1439"/>
      <c r="FS233" s="1420">
        <v>6406.01</v>
      </c>
      <c r="FT233" s="1439"/>
      <c r="FU233" s="1422">
        <v>0</v>
      </c>
      <c r="FV233" s="1439"/>
      <c r="FW233" s="1420">
        <v>1197265.25</v>
      </c>
      <c r="FX233" s="1439"/>
      <c r="FY233" s="1420">
        <v>724135.56</v>
      </c>
      <c r="FZ233" s="1439"/>
      <c r="GA233" s="1422">
        <v>0</v>
      </c>
      <c r="GB233" s="1439"/>
    </row>
    <row r="234" spans="1:184" ht="12.75" customHeight="1" thickBot="1">
      <c r="A234" s="1418" t="s">
        <v>151</v>
      </c>
      <c r="B234" s="1418" t="s">
        <v>152</v>
      </c>
      <c r="C234" s="1420">
        <v>185.56</v>
      </c>
      <c r="D234" s="1439"/>
      <c r="E234" s="1420">
        <v>1218.0899999999999</v>
      </c>
      <c r="F234" s="1439"/>
      <c r="G234" s="1421">
        <v>0.04</v>
      </c>
      <c r="H234" s="1439"/>
      <c r="I234" s="1420">
        <v>1293.56</v>
      </c>
      <c r="J234" s="1439"/>
      <c r="K234" s="1420">
        <v>1310.33</v>
      </c>
      <c r="L234" s="1439"/>
      <c r="M234" s="1422">
        <v>89592853</v>
      </c>
      <c r="N234" s="1439"/>
      <c r="O234" s="1420">
        <v>27.22</v>
      </c>
      <c r="P234" s="1439"/>
      <c r="Q234" s="1422">
        <v>25</v>
      </c>
      <c r="R234" s="1439"/>
      <c r="S234" s="1420">
        <v>2.2200000000000002</v>
      </c>
      <c r="T234" s="1439"/>
      <c r="U234" s="1422">
        <v>0</v>
      </c>
      <c r="V234" s="1439"/>
      <c r="W234" s="1420">
        <v>8.7799999999999994</v>
      </c>
      <c r="X234" s="1439"/>
      <c r="Y234" s="1422">
        <v>36</v>
      </c>
      <c r="Z234" s="1439"/>
      <c r="AA234" s="1422">
        <v>2775000</v>
      </c>
      <c r="AB234" s="1439"/>
      <c r="AC234" s="1420">
        <v>2984108.41</v>
      </c>
      <c r="AD234" s="1422">
        <v>2609940</v>
      </c>
      <c r="AE234" s="1420">
        <v>912588.22</v>
      </c>
      <c r="AF234" s="1422">
        <v>692025</v>
      </c>
      <c r="AG234" s="1420">
        <v>5914.85</v>
      </c>
      <c r="AH234" s="1422">
        <v>6000</v>
      </c>
      <c r="AI234" s="1422">
        <v>5784326</v>
      </c>
      <c r="AJ234" s="1422">
        <v>5767755</v>
      </c>
      <c r="AK234" s="1422">
        <v>43324</v>
      </c>
      <c r="AL234" s="1422">
        <v>40000</v>
      </c>
      <c r="AM234" s="1422">
        <v>10851</v>
      </c>
      <c r="AN234" s="1422">
        <v>0</v>
      </c>
      <c r="AO234" s="1422">
        <v>0</v>
      </c>
      <c r="AP234" s="1422">
        <v>35574</v>
      </c>
      <c r="AQ234" s="1422">
        <v>0</v>
      </c>
      <c r="AR234" s="1422">
        <v>0</v>
      </c>
      <c r="AS234" s="1422">
        <v>0</v>
      </c>
      <c r="AT234" s="1422">
        <v>0</v>
      </c>
      <c r="AU234" s="1422">
        <v>63981</v>
      </c>
      <c r="AV234" s="1422">
        <v>51185</v>
      </c>
      <c r="AW234" s="1422">
        <v>0</v>
      </c>
      <c r="AX234" s="1422">
        <v>0</v>
      </c>
      <c r="AY234" s="1420">
        <v>9805093.4800000004</v>
      </c>
      <c r="AZ234" s="1422">
        <v>9202479</v>
      </c>
      <c r="BA234" s="1422">
        <v>0</v>
      </c>
      <c r="BB234" s="1422">
        <v>0</v>
      </c>
      <c r="BC234" s="1422">
        <v>54195</v>
      </c>
      <c r="BD234" s="1422">
        <v>55041</v>
      </c>
      <c r="BE234" s="1422">
        <v>2400</v>
      </c>
      <c r="BF234" s="1422">
        <v>4800</v>
      </c>
      <c r="BG234" s="1422">
        <v>600</v>
      </c>
      <c r="BH234" s="1422">
        <v>600</v>
      </c>
      <c r="BI234" s="1422">
        <v>79188</v>
      </c>
      <c r="BJ234" s="1422">
        <v>79000</v>
      </c>
      <c r="BK234" s="1422">
        <v>14357</v>
      </c>
      <c r="BL234" s="1422">
        <v>14000</v>
      </c>
      <c r="BM234" s="1422">
        <v>901728</v>
      </c>
      <c r="BN234" s="1422">
        <v>933064</v>
      </c>
      <c r="BO234" s="1420">
        <v>5367.96</v>
      </c>
      <c r="BP234" s="1422">
        <v>2000</v>
      </c>
      <c r="BQ234" s="1420">
        <v>44812.84</v>
      </c>
      <c r="BR234" s="1422">
        <v>27897</v>
      </c>
      <c r="BS234" s="1420">
        <v>5459.41</v>
      </c>
      <c r="BT234" s="1422">
        <v>3500</v>
      </c>
      <c r="BU234" s="1422">
        <v>0</v>
      </c>
      <c r="BV234" s="1422">
        <v>0</v>
      </c>
      <c r="BW234" s="1422">
        <v>194400</v>
      </c>
      <c r="BX234" s="1422">
        <v>194400</v>
      </c>
      <c r="BY234" s="1422">
        <v>0</v>
      </c>
      <c r="BZ234" s="1422">
        <v>0</v>
      </c>
      <c r="CA234" s="1420">
        <v>381950.11</v>
      </c>
      <c r="CB234" s="1422">
        <v>216155</v>
      </c>
      <c r="CC234" s="1420">
        <v>1684458.32</v>
      </c>
      <c r="CD234" s="1422">
        <v>1530457</v>
      </c>
      <c r="CE234" s="1420">
        <v>2432498.66</v>
      </c>
      <c r="CF234" s="1422">
        <v>1977693</v>
      </c>
      <c r="CG234" s="1422">
        <v>0</v>
      </c>
      <c r="CH234" s="1422">
        <v>0</v>
      </c>
      <c r="CI234" s="1422">
        <v>0</v>
      </c>
      <c r="CJ234" s="1422">
        <v>0</v>
      </c>
      <c r="CK234" s="1422">
        <v>0</v>
      </c>
      <c r="CL234" s="1422">
        <v>0</v>
      </c>
      <c r="CM234" s="1422">
        <v>0</v>
      </c>
      <c r="CN234" s="1422">
        <v>0</v>
      </c>
      <c r="CO234" s="1422">
        <v>0</v>
      </c>
      <c r="CP234" s="1422">
        <v>0</v>
      </c>
      <c r="CQ234" s="1422">
        <v>0</v>
      </c>
      <c r="CR234" s="1422">
        <v>0</v>
      </c>
      <c r="CS234" s="1422">
        <v>0</v>
      </c>
      <c r="CT234" s="1422">
        <v>0</v>
      </c>
      <c r="CU234" s="1420">
        <v>13922050.460000001</v>
      </c>
      <c r="CV234" s="1422">
        <v>12710629</v>
      </c>
      <c r="CW234" s="1420">
        <v>4937337.18</v>
      </c>
      <c r="CX234" s="1422">
        <v>5062204</v>
      </c>
      <c r="CY234" s="1420">
        <v>606687.59</v>
      </c>
      <c r="CZ234" s="1422">
        <v>707852</v>
      </c>
      <c r="DA234" s="1420">
        <v>386540.44</v>
      </c>
      <c r="DB234" s="1422">
        <v>395745</v>
      </c>
      <c r="DC234" s="1422">
        <v>0</v>
      </c>
      <c r="DD234" s="1422">
        <v>0</v>
      </c>
      <c r="DE234" s="1420">
        <v>599354.16</v>
      </c>
      <c r="DF234" s="1422">
        <v>456376</v>
      </c>
      <c r="DG234" s="1420">
        <v>504316.93</v>
      </c>
      <c r="DH234" s="1422">
        <v>486199</v>
      </c>
      <c r="DI234" s="1420">
        <v>7034236.2999999998</v>
      </c>
      <c r="DJ234" s="1422">
        <v>7108376</v>
      </c>
      <c r="DK234" s="1420">
        <v>304577.18</v>
      </c>
      <c r="DL234" s="1422">
        <v>335316</v>
      </c>
      <c r="DM234" s="1420">
        <v>327717.69</v>
      </c>
      <c r="DN234" s="1422">
        <v>480350</v>
      </c>
      <c r="DO234" s="1420">
        <v>1247601.3899999999</v>
      </c>
      <c r="DP234" s="1422">
        <v>1314543</v>
      </c>
      <c r="DQ234" s="1420">
        <v>395141.4</v>
      </c>
      <c r="DR234" s="1422">
        <v>444207</v>
      </c>
      <c r="DS234" s="1420">
        <v>27617.62</v>
      </c>
      <c r="DT234" s="1422">
        <v>14977</v>
      </c>
      <c r="DU234" s="1420">
        <v>2302655.2799999998</v>
      </c>
      <c r="DV234" s="1422">
        <v>2589393</v>
      </c>
      <c r="DW234" s="1420">
        <v>592842.96</v>
      </c>
      <c r="DX234" s="1422">
        <v>679174</v>
      </c>
      <c r="DY234" s="1420">
        <v>516223.47</v>
      </c>
      <c r="DZ234" s="1420">
        <v>628735.64</v>
      </c>
      <c r="EA234" s="1420">
        <v>528235.55000000005</v>
      </c>
      <c r="EB234" s="1422">
        <v>568041</v>
      </c>
      <c r="EC234" s="1420">
        <v>1637301.98</v>
      </c>
      <c r="ED234" s="1420">
        <v>1875950.64</v>
      </c>
      <c r="EE234" s="1420">
        <v>1074120.26</v>
      </c>
      <c r="EF234" s="1422">
        <v>1135713</v>
      </c>
      <c r="EG234" s="1422">
        <v>0</v>
      </c>
      <c r="EH234" s="1422">
        <v>0</v>
      </c>
      <c r="EI234" s="1420">
        <v>152013.19</v>
      </c>
      <c r="EJ234" s="1422">
        <v>156551</v>
      </c>
      <c r="EK234" s="1422">
        <v>0</v>
      </c>
      <c r="EL234" s="1422">
        <v>0</v>
      </c>
      <c r="EM234" s="1420">
        <v>1226133.45</v>
      </c>
      <c r="EN234" s="1422">
        <v>1292264</v>
      </c>
      <c r="EO234" s="1420">
        <v>1006987.57</v>
      </c>
      <c r="EP234" s="1422">
        <v>1782441</v>
      </c>
      <c r="EQ234" s="1420">
        <v>447331.98</v>
      </c>
      <c r="ER234" s="1422">
        <v>447854</v>
      </c>
      <c r="ES234" s="1422">
        <v>0</v>
      </c>
      <c r="ET234" s="1422">
        <v>0</v>
      </c>
      <c r="EU234" s="1420">
        <v>13654646.560000001</v>
      </c>
      <c r="EV234" s="1420">
        <v>15096278.640000001</v>
      </c>
      <c r="EW234" s="1420">
        <v>1338378.1499999999</v>
      </c>
      <c r="EX234" s="1422">
        <v>2194253</v>
      </c>
      <c r="EY234" s="1420">
        <v>447331.98</v>
      </c>
      <c r="EZ234" s="1422">
        <v>447854</v>
      </c>
      <c r="FA234" s="1420">
        <v>11868936.43</v>
      </c>
      <c r="FB234" s="1420">
        <v>12454171.640000001</v>
      </c>
      <c r="FC234" s="1420">
        <v>775524.88</v>
      </c>
      <c r="FD234" s="1439"/>
      <c r="FE234" s="1420">
        <v>11093411.550000001</v>
      </c>
      <c r="FF234" s="1439"/>
      <c r="FG234" s="1422">
        <v>9107</v>
      </c>
      <c r="FH234" s="1439"/>
      <c r="FI234" s="1420">
        <v>84.5</v>
      </c>
      <c r="FJ234" s="1439"/>
      <c r="FK234" s="1422">
        <v>49869</v>
      </c>
      <c r="FL234" s="1439"/>
      <c r="FM234" s="1420">
        <v>90.35</v>
      </c>
      <c r="FN234" s="1439"/>
      <c r="FO234" s="1422">
        <v>52022</v>
      </c>
      <c r="FP234" s="1439"/>
      <c r="FQ234" s="1420">
        <v>8521956.8200000003</v>
      </c>
      <c r="FR234" s="1439"/>
      <c r="FS234" s="1420">
        <v>69254.720000000001</v>
      </c>
      <c r="FT234" s="1439"/>
      <c r="FU234" s="1422">
        <v>0</v>
      </c>
      <c r="FV234" s="1439"/>
      <c r="FW234" s="1420">
        <v>8452702.0999999996</v>
      </c>
      <c r="FX234" s="1439"/>
      <c r="FY234" s="1420">
        <v>274752.28999999998</v>
      </c>
      <c r="FZ234" s="1439"/>
      <c r="GA234" s="1420">
        <v>4070.68</v>
      </c>
      <c r="GB234" s="1439"/>
    </row>
    <row r="235" spans="1:184" ht="12.75" customHeight="1" thickBot="1">
      <c r="A235" s="1418" t="s">
        <v>153</v>
      </c>
      <c r="B235" s="1418" t="s">
        <v>154</v>
      </c>
      <c r="C235" s="1420">
        <v>105.9</v>
      </c>
      <c r="D235" s="1439"/>
      <c r="E235" s="1420">
        <v>709.8</v>
      </c>
      <c r="F235" s="1439"/>
      <c r="G235" s="1421">
        <v>0.04</v>
      </c>
      <c r="H235" s="1439"/>
      <c r="I235" s="1420">
        <v>745.23</v>
      </c>
      <c r="J235" s="1439"/>
      <c r="K235" s="1420">
        <v>736.66</v>
      </c>
      <c r="L235" s="1439"/>
      <c r="M235" s="1422">
        <v>78716660</v>
      </c>
      <c r="N235" s="1439"/>
      <c r="O235" s="1422">
        <v>25</v>
      </c>
      <c r="P235" s="1439"/>
      <c r="Q235" s="1422">
        <v>25</v>
      </c>
      <c r="R235" s="1439"/>
      <c r="S235" s="1422">
        <v>0</v>
      </c>
      <c r="T235" s="1439"/>
      <c r="U235" s="1422">
        <v>0</v>
      </c>
      <c r="V235" s="1439"/>
      <c r="W235" s="1420">
        <v>16.399999999999999</v>
      </c>
      <c r="X235" s="1439"/>
      <c r="Y235" s="1420">
        <v>41.4</v>
      </c>
      <c r="Z235" s="1439"/>
      <c r="AA235" s="1420">
        <v>11016131.17</v>
      </c>
      <c r="AB235" s="1439"/>
      <c r="AC235" s="1420">
        <v>2180381.9</v>
      </c>
      <c r="AD235" s="1422">
        <v>3223250</v>
      </c>
      <c r="AE235" s="1420">
        <v>669761.19999999995</v>
      </c>
      <c r="AF235" s="1422">
        <v>388327</v>
      </c>
      <c r="AG235" s="1420">
        <v>3308.39</v>
      </c>
      <c r="AH235" s="1422">
        <v>0</v>
      </c>
      <c r="AI235" s="1422">
        <v>3174721</v>
      </c>
      <c r="AJ235" s="1422">
        <v>2650367</v>
      </c>
      <c r="AK235" s="1422">
        <v>37919</v>
      </c>
      <c r="AL235" s="1422">
        <v>0</v>
      </c>
      <c r="AM235" s="1422">
        <v>52867</v>
      </c>
      <c r="AN235" s="1422">
        <v>0</v>
      </c>
      <c r="AO235" s="1422">
        <v>0</v>
      </c>
      <c r="AP235" s="1422">
        <v>0</v>
      </c>
      <c r="AQ235" s="1422">
        <v>0</v>
      </c>
      <c r="AR235" s="1422">
        <v>0</v>
      </c>
      <c r="AS235" s="1422">
        <v>0</v>
      </c>
      <c r="AT235" s="1422">
        <v>0</v>
      </c>
      <c r="AU235" s="1422">
        <v>60613</v>
      </c>
      <c r="AV235" s="1422">
        <v>48490</v>
      </c>
      <c r="AW235" s="1422">
        <v>0</v>
      </c>
      <c r="AX235" s="1422">
        <v>0</v>
      </c>
      <c r="AY235" s="1420">
        <v>6179571.4900000002</v>
      </c>
      <c r="AZ235" s="1422">
        <v>6310434</v>
      </c>
      <c r="BA235" s="1422">
        <v>0</v>
      </c>
      <c r="BB235" s="1422">
        <v>0</v>
      </c>
      <c r="BC235" s="1422">
        <v>30468</v>
      </c>
      <c r="BD235" s="1422">
        <v>31589</v>
      </c>
      <c r="BE235" s="1422">
        <v>0</v>
      </c>
      <c r="BF235" s="1422">
        <v>0</v>
      </c>
      <c r="BG235" s="1422">
        <v>100</v>
      </c>
      <c r="BH235" s="1422">
        <v>1000</v>
      </c>
      <c r="BI235" s="1422">
        <v>60579</v>
      </c>
      <c r="BJ235" s="1422">
        <v>28476</v>
      </c>
      <c r="BK235" s="1422">
        <v>0</v>
      </c>
      <c r="BL235" s="1422">
        <v>0</v>
      </c>
      <c r="BM235" s="1422">
        <v>210304</v>
      </c>
      <c r="BN235" s="1422">
        <v>219098</v>
      </c>
      <c r="BO235" s="1420">
        <v>3017.83</v>
      </c>
      <c r="BP235" s="1422">
        <v>0</v>
      </c>
      <c r="BQ235" s="1420">
        <v>81152.63</v>
      </c>
      <c r="BR235" s="1422">
        <v>32000</v>
      </c>
      <c r="BS235" s="1420">
        <v>2771.43</v>
      </c>
      <c r="BT235" s="1422">
        <v>3500</v>
      </c>
      <c r="BU235" s="1422">
        <v>0</v>
      </c>
      <c r="BV235" s="1422">
        <v>0</v>
      </c>
      <c r="BW235" s="1422">
        <v>131220</v>
      </c>
      <c r="BX235" s="1422">
        <v>131220</v>
      </c>
      <c r="BY235" s="1422">
        <v>0</v>
      </c>
      <c r="BZ235" s="1422">
        <v>0</v>
      </c>
      <c r="CA235" s="1420">
        <v>1204406.67</v>
      </c>
      <c r="CB235" s="1422">
        <v>14093</v>
      </c>
      <c r="CC235" s="1420">
        <v>1724019.56</v>
      </c>
      <c r="CD235" s="1422">
        <v>460976</v>
      </c>
      <c r="CE235" s="1420">
        <v>1143877.19</v>
      </c>
      <c r="CF235" s="1422">
        <v>963583</v>
      </c>
      <c r="CG235" s="1420">
        <v>2171371.9300000002</v>
      </c>
      <c r="CH235" s="1422">
        <v>0</v>
      </c>
      <c r="CI235" s="1422">
        <v>0</v>
      </c>
      <c r="CJ235" s="1422">
        <v>0</v>
      </c>
      <c r="CK235" s="1422">
        <v>4002</v>
      </c>
      <c r="CL235" s="1422">
        <v>0</v>
      </c>
      <c r="CM235" s="1420">
        <v>14987.67</v>
      </c>
      <c r="CN235" s="1422">
        <v>4020</v>
      </c>
      <c r="CO235" s="1420">
        <v>18735.689999999999</v>
      </c>
      <c r="CP235" s="1422">
        <v>5671</v>
      </c>
      <c r="CQ235" s="1422">
        <v>0</v>
      </c>
      <c r="CR235" s="1422">
        <v>20832</v>
      </c>
      <c r="CS235" s="1420">
        <v>2209097.29</v>
      </c>
      <c r="CT235" s="1422">
        <v>30523</v>
      </c>
      <c r="CU235" s="1420">
        <v>11256565.529999999</v>
      </c>
      <c r="CV235" s="1422">
        <v>7765516</v>
      </c>
      <c r="CW235" s="1420">
        <v>3014047.44</v>
      </c>
      <c r="CX235" s="1422">
        <v>2916343</v>
      </c>
      <c r="CY235" s="1420">
        <v>344017.71</v>
      </c>
      <c r="CZ235" s="1422">
        <v>485488</v>
      </c>
      <c r="DA235" s="1420">
        <v>324183.96000000002</v>
      </c>
      <c r="DB235" s="1422">
        <v>323281</v>
      </c>
      <c r="DC235" s="1422">
        <v>0</v>
      </c>
      <c r="DD235" s="1422">
        <v>0</v>
      </c>
      <c r="DE235" s="1420">
        <v>155712.6</v>
      </c>
      <c r="DF235" s="1422">
        <v>194651</v>
      </c>
      <c r="DG235" s="1420">
        <v>170441.95</v>
      </c>
      <c r="DH235" s="1422">
        <v>143388</v>
      </c>
      <c r="DI235" s="1420">
        <v>4008403.66</v>
      </c>
      <c r="DJ235" s="1422">
        <v>4063151</v>
      </c>
      <c r="DK235" s="1420">
        <v>181623.82</v>
      </c>
      <c r="DL235" s="1422">
        <v>217374</v>
      </c>
      <c r="DM235" s="1420">
        <v>141466.78</v>
      </c>
      <c r="DN235" s="1422">
        <v>184844</v>
      </c>
      <c r="DO235" s="1420">
        <v>586463.02</v>
      </c>
      <c r="DP235" s="1422">
        <v>815971</v>
      </c>
      <c r="DQ235" s="1420">
        <v>306607.65000000002</v>
      </c>
      <c r="DR235" s="1422">
        <v>268811</v>
      </c>
      <c r="DS235" s="1422">
        <v>4002</v>
      </c>
      <c r="DT235" s="1422">
        <v>0</v>
      </c>
      <c r="DU235" s="1420">
        <v>1220163.27</v>
      </c>
      <c r="DV235" s="1422">
        <v>1487000</v>
      </c>
      <c r="DW235" s="1420">
        <v>309305.32</v>
      </c>
      <c r="DX235" s="1422">
        <v>349792</v>
      </c>
      <c r="DY235" s="1420">
        <v>539519.44999999995</v>
      </c>
      <c r="DZ235" s="1422">
        <v>544769</v>
      </c>
      <c r="EA235" s="1420">
        <v>331377.40000000002</v>
      </c>
      <c r="EB235" s="1422">
        <v>358440</v>
      </c>
      <c r="EC235" s="1420">
        <v>1180202.17</v>
      </c>
      <c r="ED235" s="1422">
        <v>1253001</v>
      </c>
      <c r="EE235" s="1420">
        <v>410948.39</v>
      </c>
      <c r="EF235" s="1422">
        <v>491176</v>
      </c>
      <c r="EG235" s="1420">
        <v>168.57</v>
      </c>
      <c r="EH235" s="1422">
        <v>0</v>
      </c>
      <c r="EI235" s="1420">
        <v>199146.36</v>
      </c>
      <c r="EJ235" s="1422">
        <v>224870</v>
      </c>
      <c r="EK235" s="1422">
        <v>0</v>
      </c>
      <c r="EL235" s="1422">
        <v>0</v>
      </c>
      <c r="EM235" s="1420">
        <v>610263.31999999995</v>
      </c>
      <c r="EN235" s="1422">
        <v>716046</v>
      </c>
      <c r="EO235" s="1420">
        <v>5087828.67</v>
      </c>
      <c r="EP235" s="1422">
        <v>2140335</v>
      </c>
      <c r="EQ235" s="1422">
        <v>623301</v>
      </c>
      <c r="ER235" s="1422">
        <v>754803</v>
      </c>
      <c r="ES235" s="1422">
        <v>0</v>
      </c>
      <c r="ET235" s="1422">
        <v>0</v>
      </c>
      <c r="EU235" s="1420">
        <v>12730162.09</v>
      </c>
      <c r="EV235" s="1422">
        <v>10414336</v>
      </c>
      <c r="EW235" s="1420">
        <v>5262302.66</v>
      </c>
      <c r="EX235" s="1422">
        <v>2252433</v>
      </c>
      <c r="EY235" s="1422">
        <v>623301</v>
      </c>
      <c r="EZ235" s="1422">
        <v>754803</v>
      </c>
      <c r="FA235" s="1420">
        <v>6844558.4299999997</v>
      </c>
      <c r="FB235" s="1422">
        <v>7407100</v>
      </c>
      <c r="FC235" s="1420">
        <v>744600.76</v>
      </c>
      <c r="FD235" s="1439"/>
      <c r="FE235" s="1420">
        <v>6099957.6699999999</v>
      </c>
      <c r="FF235" s="1439"/>
      <c r="FG235" s="1422">
        <v>8593</v>
      </c>
      <c r="FH235" s="1439"/>
      <c r="FI235" s="1420">
        <v>58.91</v>
      </c>
      <c r="FJ235" s="1439"/>
      <c r="FK235" s="1422">
        <v>43359</v>
      </c>
      <c r="FL235" s="1439"/>
      <c r="FM235" s="1420">
        <v>64.540000000000006</v>
      </c>
      <c r="FN235" s="1439"/>
      <c r="FO235" s="1422">
        <v>46148</v>
      </c>
      <c r="FP235" s="1439"/>
      <c r="FQ235" s="1420">
        <v>946980.4</v>
      </c>
      <c r="FR235" s="1439"/>
      <c r="FS235" s="1420">
        <v>25814.880000000001</v>
      </c>
      <c r="FT235" s="1439"/>
      <c r="FU235" s="1422">
        <v>0</v>
      </c>
      <c r="FV235" s="1439"/>
      <c r="FW235" s="1420">
        <v>921165.52</v>
      </c>
      <c r="FX235" s="1439"/>
      <c r="FY235" s="1420">
        <v>2212651.88</v>
      </c>
      <c r="FZ235" s="1439"/>
      <c r="GA235" s="1422">
        <v>0</v>
      </c>
      <c r="GB235" s="1439"/>
    </row>
    <row r="236" spans="1:184" ht="12.75" customHeight="1" thickBot="1">
      <c r="A236" s="1418" t="s">
        <v>155</v>
      </c>
      <c r="B236" s="1418" t="s">
        <v>156</v>
      </c>
      <c r="C236" s="1420">
        <v>116.68</v>
      </c>
      <c r="D236" s="1439"/>
      <c r="E236" s="1420">
        <v>779.47</v>
      </c>
      <c r="F236" s="1439"/>
      <c r="G236" s="1421">
        <v>0.02</v>
      </c>
      <c r="H236" s="1439"/>
      <c r="I236" s="1420">
        <v>815.1</v>
      </c>
      <c r="J236" s="1439"/>
      <c r="K236" s="1420">
        <v>815.56</v>
      </c>
      <c r="L236" s="1439"/>
      <c r="M236" s="1422">
        <v>64501096</v>
      </c>
      <c r="N236" s="1439"/>
      <c r="O236" s="1422">
        <v>25</v>
      </c>
      <c r="P236" s="1439"/>
      <c r="Q236" s="1422">
        <v>25</v>
      </c>
      <c r="R236" s="1439"/>
      <c r="S236" s="1422">
        <v>0</v>
      </c>
      <c r="T236" s="1439"/>
      <c r="U236" s="1422">
        <v>0</v>
      </c>
      <c r="V236" s="1439"/>
      <c r="W236" s="1420">
        <v>14.3</v>
      </c>
      <c r="X236" s="1439"/>
      <c r="Y236" s="1420">
        <v>39.299999999999997</v>
      </c>
      <c r="Z236" s="1439"/>
      <c r="AA236" s="1422">
        <v>5205000</v>
      </c>
      <c r="AB236" s="1439"/>
      <c r="AC236" s="1420">
        <v>1918675.31</v>
      </c>
      <c r="AD236" s="1422">
        <v>2281403</v>
      </c>
      <c r="AE236" s="1420">
        <v>485355.83</v>
      </c>
      <c r="AF236" s="1422">
        <v>134448</v>
      </c>
      <c r="AG236" s="1422">
        <v>0</v>
      </c>
      <c r="AH236" s="1422">
        <v>0</v>
      </c>
      <c r="AI236" s="1422">
        <v>3802080</v>
      </c>
      <c r="AJ236" s="1422">
        <v>3439288</v>
      </c>
      <c r="AK236" s="1422">
        <v>0</v>
      </c>
      <c r="AL236" s="1422">
        <v>0</v>
      </c>
      <c r="AM236" s="1422">
        <v>22511</v>
      </c>
      <c r="AN236" s="1422">
        <v>0</v>
      </c>
      <c r="AO236" s="1422">
        <v>0</v>
      </c>
      <c r="AP236" s="1422">
        <v>0</v>
      </c>
      <c r="AQ236" s="1422">
        <v>0</v>
      </c>
      <c r="AR236" s="1422">
        <v>0</v>
      </c>
      <c r="AS236" s="1422">
        <v>0</v>
      </c>
      <c r="AT236" s="1422">
        <v>0</v>
      </c>
      <c r="AU236" s="1422">
        <v>32840</v>
      </c>
      <c r="AV236" s="1422">
        <v>26272</v>
      </c>
      <c r="AW236" s="1422">
        <v>0</v>
      </c>
      <c r="AX236" s="1422">
        <v>0</v>
      </c>
      <c r="AY236" s="1420">
        <v>6261462.1399999997</v>
      </c>
      <c r="AZ236" s="1422">
        <v>5881411</v>
      </c>
      <c r="BA236" s="1422">
        <v>0</v>
      </c>
      <c r="BB236" s="1422">
        <v>0</v>
      </c>
      <c r="BC236" s="1422">
        <v>33732</v>
      </c>
      <c r="BD236" s="1422">
        <v>34628</v>
      </c>
      <c r="BE236" s="1420">
        <v>4692.1899999999996</v>
      </c>
      <c r="BF236" s="1422">
        <v>1200</v>
      </c>
      <c r="BG236" s="1422">
        <v>50</v>
      </c>
      <c r="BH236" s="1422">
        <v>0</v>
      </c>
      <c r="BI236" s="1422">
        <v>32220</v>
      </c>
      <c r="BJ236" s="1422">
        <v>13927</v>
      </c>
      <c r="BK236" s="1422">
        <v>8497</v>
      </c>
      <c r="BL236" s="1422">
        <v>7000</v>
      </c>
      <c r="BM236" s="1422">
        <v>212784</v>
      </c>
      <c r="BN236" s="1422">
        <v>222134</v>
      </c>
      <c r="BO236" s="1420">
        <v>3341.08</v>
      </c>
      <c r="BP236" s="1422">
        <v>0</v>
      </c>
      <c r="BQ236" s="1420">
        <v>15708.88</v>
      </c>
      <c r="BR236" s="1422">
        <v>13000</v>
      </c>
      <c r="BS236" s="1420">
        <v>2982.57</v>
      </c>
      <c r="BT236" s="1422">
        <v>0</v>
      </c>
      <c r="BU236" s="1422">
        <v>0</v>
      </c>
      <c r="BV236" s="1422">
        <v>0</v>
      </c>
      <c r="BW236" s="1422">
        <v>105494</v>
      </c>
      <c r="BX236" s="1422">
        <v>104480</v>
      </c>
      <c r="BY236" s="1422">
        <v>0</v>
      </c>
      <c r="BZ236" s="1422">
        <v>0</v>
      </c>
      <c r="CA236" s="1420">
        <v>346189.53</v>
      </c>
      <c r="CB236" s="1422">
        <v>39378</v>
      </c>
      <c r="CC236" s="1420">
        <v>765691.25</v>
      </c>
      <c r="CD236" s="1422">
        <v>435747</v>
      </c>
      <c r="CE236" s="1420">
        <v>1455922.27</v>
      </c>
      <c r="CF236" s="1420">
        <v>1265630.96</v>
      </c>
      <c r="CG236" s="1422">
        <v>0</v>
      </c>
      <c r="CH236" s="1422">
        <v>0</v>
      </c>
      <c r="CI236" s="1422">
        <v>0</v>
      </c>
      <c r="CJ236" s="1422">
        <v>0</v>
      </c>
      <c r="CK236" s="1422">
        <v>0</v>
      </c>
      <c r="CL236" s="1422">
        <v>0</v>
      </c>
      <c r="CM236" s="1422">
        <v>200</v>
      </c>
      <c r="CN236" s="1422">
        <v>0</v>
      </c>
      <c r="CO236" s="1422">
        <v>0</v>
      </c>
      <c r="CP236" s="1422">
        <v>0</v>
      </c>
      <c r="CQ236" s="1422">
        <v>0</v>
      </c>
      <c r="CR236" s="1422">
        <v>0</v>
      </c>
      <c r="CS236" s="1422">
        <v>200</v>
      </c>
      <c r="CT236" s="1422">
        <v>0</v>
      </c>
      <c r="CU236" s="1420">
        <v>8483275.6600000001</v>
      </c>
      <c r="CV236" s="1420">
        <v>7582788.96</v>
      </c>
      <c r="CW236" s="1420">
        <v>2750105.34</v>
      </c>
      <c r="CX236" s="1422">
        <v>2680059</v>
      </c>
      <c r="CY236" s="1420">
        <v>406552.15</v>
      </c>
      <c r="CZ236" s="1420">
        <v>528362.27</v>
      </c>
      <c r="DA236" s="1420">
        <v>334220.09999999998</v>
      </c>
      <c r="DB236" s="1422">
        <v>338315</v>
      </c>
      <c r="DC236" s="1422">
        <v>0</v>
      </c>
      <c r="DD236" s="1422">
        <v>0</v>
      </c>
      <c r="DE236" s="1420">
        <v>203841.34</v>
      </c>
      <c r="DF236" s="1420">
        <v>263643.24</v>
      </c>
      <c r="DG236" s="1420">
        <v>350237.89</v>
      </c>
      <c r="DH236" s="1422">
        <v>387775</v>
      </c>
      <c r="DI236" s="1420">
        <v>4044956.82</v>
      </c>
      <c r="DJ236" s="1420">
        <v>4198154.51</v>
      </c>
      <c r="DK236" s="1420">
        <v>161590.22</v>
      </c>
      <c r="DL236" s="1422">
        <v>170571</v>
      </c>
      <c r="DM236" s="1420">
        <v>150281.01</v>
      </c>
      <c r="DN236" s="1422">
        <v>147409</v>
      </c>
      <c r="DO236" s="1420">
        <v>681446.75</v>
      </c>
      <c r="DP236" s="1420">
        <v>985321.92</v>
      </c>
      <c r="DQ236" s="1420">
        <v>379979.44</v>
      </c>
      <c r="DR236" s="1422">
        <v>508083</v>
      </c>
      <c r="DS236" s="1420">
        <v>90262.6</v>
      </c>
      <c r="DT236" s="1422">
        <v>16213</v>
      </c>
      <c r="DU236" s="1420">
        <v>1463560.02</v>
      </c>
      <c r="DV236" s="1420">
        <v>1827597.92</v>
      </c>
      <c r="DW236" s="1420">
        <v>225592.18</v>
      </c>
      <c r="DX236" s="1422">
        <v>298127</v>
      </c>
      <c r="DY236" s="1420">
        <v>769070.79</v>
      </c>
      <c r="DZ236" s="1422">
        <v>535447</v>
      </c>
      <c r="EA236" s="1420">
        <v>257688.35</v>
      </c>
      <c r="EB236" s="1422">
        <v>251742</v>
      </c>
      <c r="EC236" s="1420">
        <v>1252351.32</v>
      </c>
      <c r="ED236" s="1422">
        <v>1085316</v>
      </c>
      <c r="EE236" s="1420">
        <v>398153.22</v>
      </c>
      <c r="EF236" s="1422">
        <v>397742</v>
      </c>
      <c r="EG236" s="1420">
        <v>467.98</v>
      </c>
      <c r="EH236" s="1422">
        <v>0</v>
      </c>
      <c r="EI236" s="1420">
        <v>37009.379999999997</v>
      </c>
      <c r="EJ236" s="1422">
        <v>3000</v>
      </c>
      <c r="EK236" s="1422">
        <v>0</v>
      </c>
      <c r="EL236" s="1422">
        <v>0</v>
      </c>
      <c r="EM236" s="1420">
        <v>435630.58</v>
      </c>
      <c r="EN236" s="1422">
        <v>400742</v>
      </c>
      <c r="EO236" s="1420">
        <v>451942.27</v>
      </c>
      <c r="EP236" s="1420">
        <v>167323.53</v>
      </c>
      <c r="EQ236" s="1420">
        <v>330207.5</v>
      </c>
      <c r="ER236" s="1422">
        <v>218834</v>
      </c>
      <c r="ES236" s="1422">
        <v>74194</v>
      </c>
      <c r="ET236" s="1422">
        <v>0</v>
      </c>
      <c r="EU236" s="1420">
        <v>8052842.5099999998</v>
      </c>
      <c r="EV236" s="1420">
        <v>7897967.96</v>
      </c>
      <c r="EW236" s="1420">
        <v>603249.75</v>
      </c>
      <c r="EX236" s="1420">
        <v>437493.53</v>
      </c>
      <c r="EY236" s="1420">
        <v>330207.5</v>
      </c>
      <c r="EZ236" s="1422">
        <v>218834</v>
      </c>
      <c r="FA236" s="1420">
        <v>7119385.2599999998</v>
      </c>
      <c r="FB236" s="1420">
        <v>7241640.4299999997</v>
      </c>
      <c r="FC236" s="1420">
        <v>593204.18000000005</v>
      </c>
      <c r="FD236" s="1439"/>
      <c r="FE236" s="1420">
        <v>6526181.0800000001</v>
      </c>
      <c r="FF236" s="1439"/>
      <c r="FG236" s="1422">
        <v>8372</v>
      </c>
      <c r="FH236" s="1439"/>
      <c r="FI236" s="1420">
        <v>58.88</v>
      </c>
      <c r="FJ236" s="1439"/>
      <c r="FK236" s="1422">
        <v>43021</v>
      </c>
      <c r="FL236" s="1439"/>
      <c r="FM236" s="1420">
        <v>61.05</v>
      </c>
      <c r="FN236" s="1439"/>
      <c r="FO236" s="1422">
        <v>44322</v>
      </c>
      <c r="FP236" s="1439"/>
      <c r="FQ236" s="1420">
        <v>1848723.02</v>
      </c>
      <c r="FR236" s="1439"/>
      <c r="FS236" s="1420">
        <v>125725.98</v>
      </c>
      <c r="FT236" s="1439"/>
      <c r="FU236" s="1422">
        <v>0</v>
      </c>
      <c r="FV236" s="1439"/>
      <c r="FW236" s="1420">
        <v>1722997.04</v>
      </c>
      <c r="FX236" s="1439"/>
      <c r="FY236" s="1420">
        <v>1333248.47</v>
      </c>
      <c r="FZ236" s="1439"/>
      <c r="GA236" s="1422">
        <v>0</v>
      </c>
      <c r="GB236" s="1439"/>
    </row>
    <row r="237" spans="1:184" ht="12.75" customHeight="1" thickBot="1">
      <c r="A237" s="1418" t="s">
        <v>157</v>
      </c>
      <c r="B237" s="1418" t="s">
        <v>158</v>
      </c>
      <c r="C237" s="1420">
        <v>161.97</v>
      </c>
      <c r="D237" s="1439"/>
      <c r="E237" s="1420">
        <v>3767.43</v>
      </c>
      <c r="F237" s="1439"/>
      <c r="G237" s="1421">
        <v>0.03</v>
      </c>
      <c r="H237" s="1439"/>
      <c r="I237" s="1420">
        <v>3997.96</v>
      </c>
      <c r="J237" s="1439"/>
      <c r="K237" s="1420">
        <v>3951.29</v>
      </c>
      <c r="L237" s="1439"/>
      <c r="M237" s="1422">
        <v>518047883</v>
      </c>
      <c r="N237" s="1439"/>
      <c r="O237" s="1422">
        <v>25</v>
      </c>
      <c r="P237" s="1439"/>
      <c r="Q237" s="1422">
        <v>25</v>
      </c>
      <c r="R237" s="1439"/>
      <c r="S237" s="1422">
        <v>0</v>
      </c>
      <c r="T237" s="1439"/>
      <c r="U237" s="1422">
        <v>0</v>
      </c>
      <c r="V237" s="1439"/>
      <c r="W237" s="1420">
        <v>10.7</v>
      </c>
      <c r="X237" s="1439"/>
      <c r="Y237" s="1420">
        <v>35.700000000000003</v>
      </c>
      <c r="Z237" s="1439"/>
      <c r="AA237" s="1422">
        <v>25925000</v>
      </c>
      <c r="AB237" s="1439"/>
      <c r="AC237" s="1420">
        <v>16657380.4</v>
      </c>
      <c r="AD237" s="1422">
        <v>16841772</v>
      </c>
      <c r="AE237" s="1420">
        <v>1777785.61</v>
      </c>
      <c r="AF237" s="1422">
        <v>984300</v>
      </c>
      <c r="AG237" s="1420">
        <v>17815.63</v>
      </c>
      <c r="AH237" s="1422">
        <v>0</v>
      </c>
      <c r="AI237" s="1422">
        <v>12256647</v>
      </c>
      <c r="AJ237" s="1422">
        <v>11852243</v>
      </c>
      <c r="AK237" s="1422">
        <v>221899</v>
      </c>
      <c r="AL237" s="1422">
        <v>0</v>
      </c>
      <c r="AM237" s="1422">
        <v>223739</v>
      </c>
      <c r="AN237" s="1422">
        <v>58664</v>
      </c>
      <c r="AO237" s="1422">
        <v>0</v>
      </c>
      <c r="AP237" s="1422">
        <v>0</v>
      </c>
      <c r="AQ237" s="1422">
        <v>0</v>
      </c>
      <c r="AR237" s="1422">
        <v>0</v>
      </c>
      <c r="AS237" s="1422">
        <v>0</v>
      </c>
      <c r="AT237" s="1422">
        <v>0</v>
      </c>
      <c r="AU237" s="1422">
        <v>0</v>
      </c>
      <c r="AV237" s="1422">
        <v>0</v>
      </c>
      <c r="AW237" s="1422">
        <v>0</v>
      </c>
      <c r="AX237" s="1422">
        <v>0</v>
      </c>
      <c r="AY237" s="1420">
        <v>31155266.640000001</v>
      </c>
      <c r="AZ237" s="1422">
        <v>29736979</v>
      </c>
      <c r="BA237" s="1422">
        <v>0</v>
      </c>
      <c r="BB237" s="1422">
        <v>0</v>
      </c>
      <c r="BC237" s="1422">
        <v>163425</v>
      </c>
      <c r="BD237" s="1422">
        <v>169721</v>
      </c>
      <c r="BE237" s="1420">
        <v>10906.16</v>
      </c>
      <c r="BF237" s="1422">
        <v>17200</v>
      </c>
      <c r="BG237" s="1422">
        <v>5900</v>
      </c>
      <c r="BH237" s="1422">
        <v>0</v>
      </c>
      <c r="BI237" s="1422">
        <v>49244</v>
      </c>
      <c r="BJ237" s="1422">
        <v>45000</v>
      </c>
      <c r="BK237" s="1422">
        <v>24612</v>
      </c>
      <c r="BL237" s="1422">
        <v>20000</v>
      </c>
      <c r="BM237" s="1422">
        <v>875440</v>
      </c>
      <c r="BN237" s="1422">
        <v>902704</v>
      </c>
      <c r="BO237" s="1420">
        <v>40339.129999999997</v>
      </c>
      <c r="BP237" s="1422">
        <v>0</v>
      </c>
      <c r="BQ237" s="1420">
        <v>119708.88</v>
      </c>
      <c r="BR237" s="1422">
        <v>0</v>
      </c>
      <c r="BS237" s="1420">
        <v>13190.11</v>
      </c>
      <c r="BT237" s="1422">
        <v>8500</v>
      </c>
      <c r="BU237" s="1422">
        <v>0</v>
      </c>
      <c r="BV237" s="1422">
        <v>0</v>
      </c>
      <c r="BW237" s="1422">
        <v>0</v>
      </c>
      <c r="BX237" s="1422">
        <v>0</v>
      </c>
      <c r="BY237" s="1422">
        <v>0</v>
      </c>
      <c r="BZ237" s="1422">
        <v>0</v>
      </c>
      <c r="CA237" s="1422">
        <v>37839</v>
      </c>
      <c r="CB237" s="1422">
        <v>19790</v>
      </c>
      <c r="CC237" s="1420">
        <v>1340604.28</v>
      </c>
      <c r="CD237" s="1422">
        <v>1182915</v>
      </c>
      <c r="CE237" s="1422">
        <v>5899472</v>
      </c>
      <c r="CF237" s="1420">
        <v>3291942.58</v>
      </c>
      <c r="CG237" s="1420">
        <v>3224.27</v>
      </c>
      <c r="CH237" s="1422">
        <v>0</v>
      </c>
      <c r="CI237" s="1422">
        <v>0</v>
      </c>
      <c r="CJ237" s="1422">
        <v>0</v>
      </c>
      <c r="CK237" s="1420">
        <v>10879.98</v>
      </c>
      <c r="CL237" s="1422">
        <v>18115</v>
      </c>
      <c r="CM237" s="1422">
        <v>0</v>
      </c>
      <c r="CN237" s="1422">
        <v>0</v>
      </c>
      <c r="CO237" s="1420">
        <v>594334.97</v>
      </c>
      <c r="CP237" s="1422">
        <v>0</v>
      </c>
      <c r="CQ237" s="1422">
        <v>0</v>
      </c>
      <c r="CR237" s="1422">
        <v>0</v>
      </c>
      <c r="CS237" s="1420">
        <v>608439.22</v>
      </c>
      <c r="CT237" s="1422">
        <v>18115</v>
      </c>
      <c r="CU237" s="1420">
        <v>39003782.140000001</v>
      </c>
      <c r="CV237" s="1420">
        <v>34229951.579999998</v>
      </c>
      <c r="CW237" s="1420">
        <v>13279769.310000001</v>
      </c>
      <c r="CX237" s="1420">
        <v>13443640.99</v>
      </c>
      <c r="CY237" s="1420">
        <v>2184524.92</v>
      </c>
      <c r="CZ237" s="1420">
        <v>2495385.6000000001</v>
      </c>
      <c r="DA237" s="1420">
        <v>762769.49</v>
      </c>
      <c r="DB237" s="1420">
        <v>834846.15</v>
      </c>
      <c r="DC237" s="1422">
        <v>0</v>
      </c>
      <c r="DD237" s="1422">
        <v>0</v>
      </c>
      <c r="DE237" s="1420">
        <v>1268337.45</v>
      </c>
      <c r="DF237" s="1420">
        <v>1417541.2</v>
      </c>
      <c r="DG237" s="1420">
        <v>532447.06000000006</v>
      </c>
      <c r="DH237" s="1420">
        <v>501093.43</v>
      </c>
      <c r="DI237" s="1420">
        <v>18027848.23</v>
      </c>
      <c r="DJ237" s="1420">
        <v>18692507.370000001</v>
      </c>
      <c r="DK237" s="1420">
        <v>807386.7</v>
      </c>
      <c r="DL237" s="1420">
        <v>892960.14</v>
      </c>
      <c r="DM237" s="1420">
        <v>213615.61</v>
      </c>
      <c r="DN237" s="1422">
        <v>293440</v>
      </c>
      <c r="DO237" s="1422">
        <v>2665432</v>
      </c>
      <c r="DP237" s="1420">
        <v>3920651.2</v>
      </c>
      <c r="DQ237" s="1420">
        <v>1182898.25</v>
      </c>
      <c r="DR237" s="1420">
        <v>1459292.94</v>
      </c>
      <c r="DS237" s="1420">
        <v>158936.04</v>
      </c>
      <c r="DT237" s="1420">
        <v>169600.5</v>
      </c>
      <c r="DU237" s="1420">
        <v>5028268.5999999996</v>
      </c>
      <c r="DV237" s="1420">
        <v>6735944.7800000003</v>
      </c>
      <c r="DW237" s="1420">
        <v>1137784.31</v>
      </c>
      <c r="DX237" s="1420">
        <v>1268661.68</v>
      </c>
      <c r="DY237" s="1420">
        <v>2100745.06</v>
      </c>
      <c r="DZ237" s="1420">
        <v>2387519.4700000002</v>
      </c>
      <c r="EA237" s="1420">
        <v>1819694.1</v>
      </c>
      <c r="EB237" s="1420">
        <v>1816644.65</v>
      </c>
      <c r="EC237" s="1420">
        <v>5058223.47</v>
      </c>
      <c r="ED237" s="1420">
        <v>5472825.7999999998</v>
      </c>
      <c r="EE237" s="1420">
        <v>1974554.51</v>
      </c>
      <c r="EF237" s="1420">
        <v>1954449.96</v>
      </c>
      <c r="EG237" s="1420">
        <v>152874.07999999999</v>
      </c>
      <c r="EH237" s="1422">
        <v>0</v>
      </c>
      <c r="EI237" s="1420">
        <v>2179.92</v>
      </c>
      <c r="EJ237" s="1422">
        <v>16000</v>
      </c>
      <c r="EK237" s="1422">
        <v>0</v>
      </c>
      <c r="EL237" s="1422">
        <v>0</v>
      </c>
      <c r="EM237" s="1420">
        <v>2129608.5099999998</v>
      </c>
      <c r="EN237" s="1420">
        <v>1970449.96</v>
      </c>
      <c r="EO237" s="1420">
        <v>6667848.0300000003</v>
      </c>
      <c r="EP237" s="1422">
        <v>1505357</v>
      </c>
      <c r="EQ237" s="1420">
        <v>1885528.13</v>
      </c>
      <c r="ER237" s="1422">
        <v>2541472</v>
      </c>
      <c r="ES237" s="1420">
        <v>53451.42</v>
      </c>
      <c r="ET237" s="1422">
        <v>0</v>
      </c>
      <c r="EU237" s="1420">
        <v>38850776.390000001</v>
      </c>
      <c r="EV237" s="1420">
        <v>36918556.909999996</v>
      </c>
      <c r="EW237" s="1420">
        <v>7097637.29</v>
      </c>
      <c r="EX237" s="1422">
        <v>2089371</v>
      </c>
      <c r="EY237" s="1420">
        <v>1885528.13</v>
      </c>
      <c r="EZ237" s="1422">
        <v>2541472</v>
      </c>
      <c r="FA237" s="1420">
        <v>29867610.969999999</v>
      </c>
      <c r="FB237" s="1420">
        <v>32287713.91</v>
      </c>
      <c r="FC237" s="1420">
        <v>1290218.06</v>
      </c>
      <c r="FD237" s="1439"/>
      <c r="FE237" s="1420">
        <v>28577392.91</v>
      </c>
      <c r="FF237" s="1439"/>
      <c r="FG237" s="1422">
        <v>7585</v>
      </c>
      <c r="FH237" s="1439"/>
      <c r="FI237" s="1420">
        <v>236.16</v>
      </c>
      <c r="FJ237" s="1439"/>
      <c r="FK237" s="1422">
        <v>49594</v>
      </c>
      <c r="FL237" s="1439"/>
      <c r="FM237" s="1420">
        <v>262.29000000000002</v>
      </c>
      <c r="FN237" s="1439"/>
      <c r="FO237" s="1422">
        <v>51865</v>
      </c>
      <c r="FP237" s="1439"/>
      <c r="FQ237" s="1420">
        <v>13045607.82</v>
      </c>
      <c r="FR237" s="1439"/>
      <c r="FS237" s="1420">
        <v>430819.09</v>
      </c>
      <c r="FT237" s="1439"/>
      <c r="FU237" s="1422">
        <v>0</v>
      </c>
      <c r="FV237" s="1439"/>
      <c r="FW237" s="1420">
        <v>12614788.73</v>
      </c>
      <c r="FX237" s="1439"/>
      <c r="FY237" s="1420">
        <v>6963447.1500000004</v>
      </c>
      <c r="FZ237" s="1439"/>
      <c r="GA237" s="1420">
        <v>1705723.5</v>
      </c>
      <c r="GB237" s="1439"/>
    </row>
    <row r="238" spans="1:184" ht="12.75" customHeight="1" thickBot="1">
      <c r="A238" s="1418" t="s">
        <v>159</v>
      </c>
      <c r="B238" s="1418" t="s">
        <v>160</v>
      </c>
      <c r="C238" s="1420">
        <v>363.79</v>
      </c>
      <c r="D238" s="1439"/>
      <c r="E238" s="1420">
        <v>445.81</v>
      </c>
      <c r="F238" s="1439"/>
      <c r="G238" s="1421">
        <v>-0.28000000000000003</v>
      </c>
      <c r="H238" s="1439"/>
      <c r="I238" s="1420">
        <v>477.26</v>
      </c>
      <c r="J238" s="1439"/>
      <c r="K238" s="1420">
        <v>490.15</v>
      </c>
      <c r="L238" s="1439"/>
      <c r="M238" s="1422">
        <v>46502330</v>
      </c>
      <c r="N238" s="1439"/>
      <c r="O238" s="1422">
        <v>25</v>
      </c>
      <c r="P238" s="1439"/>
      <c r="Q238" s="1422">
        <v>25</v>
      </c>
      <c r="R238" s="1439"/>
      <c r="S238" s="1422">
        <v>0</v>
      </c>
      <c r="T238" s="1439"/>
      <c r="U238" s="1422">
        <v>0</v>
      </c>
      <c r="V238" s="1439"/>
      <c r="W238" s="1420">
        <v>7.5</v>
      </c>
      <c r="X238" s="1439"/>
      <c r="Y238" s="1420">
        <v>32.5</v>
      </c>
      <c r="Z238" s="1439"/>
      <c r="AA238" s="1422">
        <v>2226900</v>
      </c>
      <c r="AB238" s="1439"/>
      <c r="AC238" s="1420">
        <v>1426833.35</v>
      </c>
      <c r="AD238" s="1422">
        <v>1471023</v>
      </c>
      <c r="AE238" s="1420">
        <v>319967.98</v>
      </c>
      <c r="AF238" s="1420">
        <v>206596.4</v>
      </c>
      <c r="AG238" s="1422">
        <v>0</v>
      </c>
      <c r="AH238" s="1422">
        <v>0</v>
      </c>
      <c r="AI238" s="1422">
        <v>1761131</v>
      </c>
      <c r="AJ238" s="1422">
        <v>1765412</v>
      </c>
      <c r="AK238" s="1422">
        <v>23515</v>
      </c>
      <c r="AL238" s="1422">
        <v>0</v>
      </c>
      <c r="AM238" s="1422">
        <v>0</v>
      </c>
      <c r="AN238" s="1422">
        <v>0</v>
      </c>
      <c r="AO238" s="1422">
        <v>0</v>
      </c>
      <c r="AP238" s="1422">
        <v>43500</v>
      </c>
      <c r="AQ238" s="1422">
        <v>0</v>
      </c>
      <c r="AR238" s="1422">
        <v>0</v>
      </c>
      <c r="AS238" s="1422">
        <v>19857</v>
      </c>
      <c r="AT238" s="1422">
        <v>20000</v>
      </c>
      <c r="AU238" s="1422">
        <v>0</v>
      </c>
      <c r="AV238" s="1422">
        <v>0</v>
      </c>
      <c r="AW238" s="1422">
        <v>0</v>
      </c>
      <c r="AX238" s="1422">
        <v>0</v>
      </c>
      <c r="AY238" s="1420">
        <v>3551304.33</v>
      </c>
      <c r="AZ238" s="1420">
        <v>3506531.4</v>
      </c>
      <c r="BA238" s="1422">
        <v>0</v>
      </c>
      <c r="BB238" s="1422">
        <v>0</v>
      </c>
      <c r="BC238" s="1422">
        <v>20273</v>
      </c>
      <c r="BD238" s="1422">
        <v>20172</v>
      </c>
      <c r="BE238" s="1420">
        <v>293084.81</v>
      </c>
      <c r="BF238" s="1422">
        <v>8700</v>
      </c>
      <c r="BG238" s="1422">
        <v>1000</v>
      </c>
      <c r="BH238" s="1422">
        <v>0</v>
      </c>
      <c r="BI238" s="1422">
        <v>0</v>
      </c>
      <c r="BJ238" s="1422">
        <v>17989</v>
      </c>
      <c r="BK238" s="1422">
        <v>293</v>
      </c>
      <c r="BL238" s="1422">
        <v>0</v>
      </c>
      <c r="BM238" s="1422">
        <v>417632</v>
      </c>
      <c r="BN238" s="1422">
        <v>420992</v>
      </c>
      <c r="BO238" s="1420">
        <v>2007.97</v>
      </c>
      <c r="BP238" s="1422">
        <v>0</v>
      </c>
      <c r="BQ238" s="1422">
        <v>0</v>
      </c>
      <c r="BR238" s="1422">
        <v>0</v>
      </c>
      <c r="BS238" s="1420">
        <v>2474.62</v>
      </c>
      <c r="BT238" s="1422">
        <v>2000</v>
      </c>
      <c r="BU238" s="1422">
        <v>0</v>
      </c>
      <c r="BV238" s="1422">
        <v>0</v>
      </c>
      <c r="BW238" s="1422">
        <v>291114</v>
      </c>
      <c r="BX238" s="1420">
        <v>287894.31</v>
      </c>
      <c r="BY238" s="1422">
        <v>0</v>
      </c>
      <c r="BZ238" s="1422">
        <v>0</v>
      </c>
      <c r="CA238" s="1422">
        <v>39829</v>
      </c>
      <c r="CB238" s="1422">
        <v>17022</v>
      </c>
      <c r="CC238" s="1420">
        <v>1067708.3999999999</v>
      </c>
      <c r="CD238" s="1420">
        <v>774769.31</v>
      </c>
      <c r="CE238" s="1420">
        <v>2647816.6</v>
      </c>
      <c r="CF238" s="1420">
        <v>1757953.46</v>
      </c>
      <c r="CG238" s="1420">
        <v>-2765.55</v>
      </c>
      <c r="CH238" s="1422">
        <v>0</v>
      </c>
      <c r="CI238" s="1422">
        <v>0</v>
      </c>
      <c r="CJ238" s="1422">
        <v>0</v>
      </c>
      <c r="CK238" s="1420">
        <v>16127.79</v>
      </c>
      <c r="CL238" s="1422">
        <v>46000</v>
      </c>
      <c r="CM238" s="1422">
        <v>6951</v>
      </c>
      <c r="CN238" s="1422">
        <v>0</v>
      </c>
      <c r="CO238" s="1422">
        <v>0</v>
      </c>
      <c r="CP238" s="1422">
        <v>0</v>
      </c>
      <c r="CQ238" s="1422">
        <v>0</v>
      </c>
      <c r="CR238" s="1422">
        <v>0</v>
      </c>
      <c r="CS238" s="1420">
        <v>20313.240000000002</v>
      </c>
      <c r="CT238" s="1422">
        <v>46000</v>
      </c>
      <c r="CU238" s="1420">
        <v>7287142.5700000003</v>
      </c>
      <c r="CV238" s="1420">
        <v>6085254.1699999999</v>
      </c>
      <c r="CW238" s="1420">
        <v>2459396.34</v>
      </c>
      <c r="CX238" s="1420">
        <v>2041776.95</v>
      </c>
      <c r="CY238" s="1420">
        <v>322134.34999999998</v>
      </c>
      <c r="CZ238" s="1420">
        <v>319202.07</v>
      </c>
      <c r="DA238" s="1420">
        <v>155547.41</v>
      </c>
      <c r="DB238" s="1420">
        <v>159846.79999999999</v>
      </c>
      <c r="DC238" s="1422">
        <v>0</v>
      </c>
      <c r="DD238" s="1422">
        <v>0</v>
      </c>
      <c r="DE238" s="1420">
        <v>464842.19</v>
      </c>
      <c r="DF238" s="1420">
        <v>479832.91</v>
      </c>
      <c r="DG238" s="1420">
        <v>59259.91</v>
      </c>
      <c r="DH238" s="1420">
        <v>49733.59</v>
      </c>
      <c r="DI238" s="1420">
        <v>3461180.2</v>
      </c>
      <c r="DJ238" s="1420">
        <v>3050392.32</v>
      </c>
      <c r="DK238" s="1420">
        <v>378375.7</v>
      </c>
      <c r="DL238" s="1420">
        <v>341941.95</v>
      </c>
      <c r="DM238" s="1420">
        <v>359134.19</v>
      </c>
      <c r="DN238" s="1420">
        <v>111434.04</v>
      </c>
      <c r="DO238" s="1420">
        <v>725281.24</v>
      </c>
      <c r="DP238" s="1420">
        <v>642589.34</v>
      </c>
      <c r="DQ238" s="1420">
        <v>239028.74</v>
      </c>
      <c r="DR238" s="1420">
        <v>213220.04</v>
      </c>
      <c r="DS238" s="1420">
        <v>17781.5</v>
      </c>
      <c r="DT238" s="1422">
        <v>46000</v>
      </c>
      <c r="DU238" s="1420">
        <v>1719601.37</v>
      </c>
      <c r="DV238" s="1420">
        <v>1355185.37</v>
      </c>
      <c r="DW238" s="1420">
        <v>183818.89</v>
      </c>
      <c r="DX238" s="1420">
        <v>200575.06</v>
      </c>
      <c r="DY238" s="1420">
        <v>1021607.25</v>
      </c>
      <c r="DZ238" s="1420">
        <v>664620.76</v>
      </c>
      <c r="EA238" s="1420">
        <v>246713.78</v>
      </c>
      <c r="EB238" s="1420">
        <v>225201.62</v>
      </c>
      <c r="EC238" s="1420">
        <v>1452139.92</v>
      </c>
      <c r="ED238" s="1420">
        <v>1090397.44</v>
      </c>
      <c r="EE238" s="1420">
        <v>360768.76</v>
      </c>
      <c r="EF238" s="1420">
        <v>345336.86</v>
      </c>
      <c r="EG238" s="1422">
        <v>0</v>
      </c>
      <c r="EH238" s="1422">
        <v>0</v>
      </c>
      <c r="EI238" s="1422">
        <v>0</v>
      </c>
      <c r="EJ238" s="1422">
        <v>5242</v>
      </c>
      <c r="EK238" s="1422">
        <v>0</v>
      </c>
      <c r="EL238" s="1422">
        <v>0</v>
      </c>
      <c r="EM238" s="1420">
        <v>360768.76</v>
      </c>
      <c r="EN238" s="1420">
        <v>350578.86</v>
      </c>
      <c r="EO238" s="1422">
        <v>0</v>
      </c>
      <c r="EP238" s="1422">
        <v>0</v>
      </c>
      <c r="EQ238" s="1420">
        <v>240958.45</v>
      </c>
      <c r="ER238" s="1420">
        <v>215993.75</v>
      </c>
      <c r="ES238" s="1422">
        <v>0</v>
      </c>
      <c r="ET238" s="1422">
        <v>0</v>
      </c>
      <c r="EU238" s="1420">
        <v>7234648.7000000002</v>
      </c>
      <c r="EV238" s="1420">
        <v>6062547.7400000002</v>
      </c>
      <c r="EW238" s="1420">
        <v>26343.95</v>
      </c>
      <c r="EX238" s="1422">
        <v>10768</v>
      </c>
      <c r="EY238" s="1420">
        <v>240958.45</v>
      </c>
      <c r="EZ238" s="1420">
        <v>215993.75</v>
      </c>
      <c r="FA238" s="1420">
        <v>6967346.2999999998</v>
      </c>
      <c r="FB238" s="1420">
        <v>5835785.9900000002</v>
      </c>
      <c r="FC238" s="1420">
        <v>449293.74</v>
      </c>
      <c r="FD238" s="1439"/>
      <c r="FE238" s="1420">
        <v>6518052.5599999996</v>
      </c>
      <c r="FF238" s="1439"/>
      <c r="FG238" s="1422">
        <v>14620</v>
      </c>
      <c r="FH238" s="1439"/>
      <c r="FI238" s="1420">
        <v>36.840000000000003</v>
      </c>
      <c r="FJ238" s="1439"/>
      <c r="FK238" s="1422">
        <v>38295</v>
      </c>
      <c r="FL238" s="1439"/>
      <c r="FM238" s="1420">
        <v>39.950000000000003</v>
      </c>
      <c r="FN238" s="1439"/>
      <c r="FO238" s="1422">
        <v>42274</v>
      </c>
      <c r="FP238" s="1439"/>
      <c r="FQ238" s="1420">
        <v>579372.86</v>
      </c>
      <c r="FR238" s="1439"/>
      <c r="FS238" s="1420">
        <v>54942.71</v>
      </c>
      <c r="FT238" s="1439"/>
      <c r="FU238" s="1422">
        <v>0</v>
      </c>
      <c r="FV238" s="1439"/>
      <c r="FW238" s="1420">
        <v>524430.15</v>
      </c>
      <c r="FX238" s="1439"/>
      <c r="FY238" s="1422">
        <v>0</v>
      </c>
      <c r="FZ238" s="1439"/>
      <c r="GA238" s="1422">
        <v>0</v>
      </c>
      <c r="GB238" s="1439"/>
    </row>
    <row r="239" spans="1:184" ht="12.75" customHeight="1" thickBot="1">
      <c r="A239" s="1418" t="s">
        <v>161</v>
      </c>
      <c r="B239" s="1418" t="s">
        <v>162</v>
      </c>
      <c r="C239" s="1420">
        <v>181.23</v>
      </c>
      <c r="D239" s="1439"/>
      <c r="E239" s="1420">
        <v>636.28</v>
      </c>
      <c r="F239" s="1439"/>
      <c r="G239" s="1421">
        <v>7.0000000000000007E-2</v>
      </c>
      <c r="H239" s="1439"/>
      <c r="I239" s="1420">
        <v>670.79</v>
      </c>
      <c r="J239" s="1439"/>
      <c r="K239" s="1420">
        <v>655.25</v>
      </c>
      <c r="L239" s="1439"/>
      <c r="M239" s="1422">
        <v>43318560</v>
      </c>
      <c r="N239" s="1439"/>
      <c r="O239" s="1422">
        <v>25</v>
      </c>
      <c r="P239" s="1439"/>
      <c r="Q239" s="1422">
        <v>25</v>
      </c>
      <c r="R239" s="1439"/>
      <c r="S239" s="1422">
        <v>0</v>
      </c>
      <c r="T239" s="1439"/>
      <c r="U239" s="1422">
        <v>0</v>
      </c>
      <c r="V239" s="1439"/>
      <c r="W239" s="1420">
        <v>10.7</v>
      </c>
      <c r="X239" s="1439"/>
      <c r="Y239" s="1420">
        <v>35.700000000000003</v>
      </c>
      <c r="Z239" s="1439"/>
      <c r="AA239" s="1422">
        <v>2360000</v>
      </c>
      <c r="AB239" s="1439"/>
      <c r="AC239" s="1422">
        <v>1480161</v>
      </c>
      <c r="AD239" s="1422">
        <v>1060305</v>
      </c>
      <c r="AE239" s="1420">
        <v>345965.52</v>
      </c>
      <c r="AF239" s="1422">
        <v>115600</v>
      </c>
      <c r="AG239" s="1422">
        <v>0</v>
      </c>
      <c r="AH239" s="1422">
        <v>0</v>
      </c>
      <c r="AI239" s="1422">
        <v>2889052</v>
      </c>
      <c r="AJ239" s="1422">
        <v>3063137</v>
      </c>
      <c r="AK239" s="1422">
        <v>35877</v>
      </c>
      <c r="AL239" s="1422">
        <v>0</v>
      </c>
      <c r="AM239" s="1422">
        <v>121224</v>
      </c>
      <c r="AN239" s="1422">
        <v>0</v>
      </c>
      <c r="AO239" s="1422">
        <v>0</v>
      </c>
      <c r="AP239" s="1422">
        <v>0</v>
      </c>
      <c r="AQ239" s="1422">
        <v>0</v>
      </c>
      <c r="AR239" s="1422">
        <v>0</v>
      </c>
      <c r="AS239" s="1422">
        <v>0</v>
      </c>
      <c r="AT239" s="1422">
        <v>0</v>
      </c>
      <c r="AU239" s="1422">
        <v>0</v>
      </c>
      <c r="AV239" s="1422">
        <v>0</v>
      </c>
      <c r="AW239" s="1422">
        <v>0</v>
      </c>
      <c r="AX239" s="1422">
        <v>0</v>
      </c>
      <c r="AY239" s="1420">
        <v>4872279.5199999996</v>
      </c>
      <c r="AZ239" s="1422">
        <v>4239042</v>
      </c>
      <c r="BA239" s="1422">
        <v>0</v>
      </c>
      <c r="BB239" s="1422">
        <v>0</v>
      </c>
      <c r="BC239" s="1422">
        <v>27101</v>
      </c>
      <c r="BD239" s="1422">
        <v>28560</v>
      </c>
      <c r="BE239" s="1420">
        <v>3756.71</v>
      </c>
      <c r="BF239" s="1422">
        <v>2000</v>
      </c>
      <c r="BG239" s="1422">
        <v>300</v>
      </c>
      <c r="BH239" s="1422">
        <v>0</v>
      </c>
      <c r="BI239" s="1422">
        <v>54282</v>
      </c>
      <c r="BJ239" s="1422">
        <v>34694</v>
      </c>
      <c r="BK239" s="1422">
        <v>0</v>
      </c>
      <c r="BL239" s="1422">
        <v>0</v>
      </c>
      <c r="BM239" s="1422">
        <v>208320</v>
      </c>
      <c r="BN239" s="1422">
        <v>224158</v>
      </c>
      <c r="BO239" s="1420">
        <v>22162.68</v>
      </c>
      <c r="BP239" s="1422">
        <v>0</v>
      </c>
      <c r="BQ239" s="1422">
        <v>0</v>
      </c>
      <c r="BR239" s="1422">
        <v>0</v>
      </c>
      <c r="BS239" s="1420">
        <v>2812.19</v>
      </c>
      <c r="BT239" s="1422">
        <v>2800</v>
      </c>
      <c r="BU239" s="1422">
        <v>0</v>
      </c>
      <c r="BV239" s="1422">
        <v>0</v>
      </c>
      <c r="BW239" s="1422">
        <v>91368</v>
      </c>
      <c r="BX239" s="1422">
        <v>97200</v>
      </c>
      <c r="BY239" s="1422">
        <v>0</v>
      </c>
      <c r="BZ239" s="1422">
        <v>0</v>
      </c>
      <c r="CA239" s="1422">
        <v>46458</v>
      </c>
      <c r="CB239" s="1420">
        <v>661983.39</v>
      </c>
      <c r="CC239" s="1420">
        <v>456560.58</v>
      </c>
      <c r="CD239" s="1420">
        <v>1051395.3899999999</v>
      </c>
      <c r="CE239" s="1420">
        <v>1061952.47</v>
      </c>
      <c r="CF239" s="1420">
        <v>829077.07</v>
      </c>
      <c r="CG239" s="1422">
        <v>0</v>
      </c>
      <c r="CH239" s="1420">
        <v>603819.6</v>
      </c>
      <c r="CI239" s="1422">
        <v>0</v>
      </c>
      <c r="CJ239" s="1422">
        <v>0</v>
      </c>
      <c r="CK239" s="1422">
        <v>0</v>
      </c>
      <c r="CL239" s="1422">
        <v>0</v>
      </c>
      <c r="CM239" s="1422">
        <v>0</v>
      </c>
      <c r="CN239" s="1422">
        <v>0</v>
      </c>
      <c r="CO239" s="1420">
        <v>9091.77</v>
      </c>
      <c r="CP239" s="1420">
        <v>11551.77</v>
      </c>
      <c r="CQ239" s="1422">
        <v>0</v>
      </c>
      <c r="CR239" s="1422">
        <v>0</v>
      </c>
      <c r="CS239" s="1420">
        <v>9091.77</v>
      </c>
      <c r="CT239" s="1420">
        <v>615371.37</v>
      </c>
      <c r="CU239" s="1420">
        <v>6399884.3399999999</v>
      </c>
      <c r="CV239" s="1420">
        <v>6734885.8300000001</v>
      </c>
      <c r="CW239" s="1420">
        <v>2747833.7</v>
      </c>
      <c r="CX239" s="1420">
        <v>2469158.77</v>
      </c>
      <c r="CY239" s="1420">
        <v>389088.17</v>
      </c>
      <c r="CZ239" s="1420">
        <v>388506.44</v>
      </c>
      <c r="DA239" s="1420">
        <v>195728.64000000001</v>
      </c>
      <c r="DB239" s="1420">
        <v>192950.3</v>
      </c>
      <c r="DC239" s="1422">
        <v>0</v>
      </c>
      <c r="DD239" s="1422">
        <v>0</v>
      </c>
      <c r="DE239" s="1420">
        <v>186928.11</v>
      </c>
      <c r="DF239" s="1420">
        <v>147583.93</v>
      </c>
      <c r="DG239" s="1420">
        <v>123059.41</v>
      </c>
      <c r="DH239" s="1420">
        <v>137425.17000000001</v>
      </c>
      <c r="DI239" s="1420">
        <v>3642638.03</v>
      </c>
      <c r="DJ239" s="1420">
        <v>3335624.61</v>
      </c>
      <c r="DK239" s="1420">
        <v>224062.69</v>
      </c>
      <c r="DL239" s="1420">
        <v>203474.18</v>
      </c>
      <c r="DM239" s="1420">
        <v>80906.53</v>
      </c>
      <c r="DN239" s="1420">
        <v>66922.100000000006</v>
      </c>
      <c r="DO239" s="1420">
        <v>457665.57</v>
      </c>
      <c r="DP239" s="1420">
        <v>443581.12</v>
      </c>
      <c r="DQ239" s="1420">
        <v>267132.74</v>
      </c>
      <c r="DR239" s="1420">
        <v>155950.18</v>
      </c>
      <c r="DS239" s="1420">
        <v>24499.7</v>
      </c>
      <c r="DT239" s="1422">
        <v>6000</v>
      </c>
      <c r="DU239" s="1420">
        <v>1054267.23</v>
      </c>
      <c r="DV239" s="1420">
        <v>875927.58</v>
      </c>
      <c r="DW239" s="1420">
        <v>195382.76</v>
      </c>
      <c r="DX239" s="1420">
        <v>209486.53</v>
      </c>
      <c r="DY239" s="1420">
        <v>333959.59000000003</v>
      </c>
      <c r="DZ239" s="1420">
        <v>331814.95</v>
      </c>
      <c r="EA239" s="1420">
        <v>239434.92</v>
      </c>
      <c r="EB239" s="1420">
        <v>232636.27</v>
      </c>
      <c r="EC239" s="1420">
        <v>768777.27</v>
      </c>
      <c r="ED239" s="1420">
        <v>773937.75</v>
      </c>
      <c r="EE239" s="1420">
        <v>362989.44</v>
      </c>
      <c r="EF239" s="1420">
        <v>355672.39</v>
      </c>
      <c r="EG239" s="1422">
        <v>0</v>
      </c>
      <c r="EH239" s="1422">
        <v>0</v>
      </c>
      <c r="EI239" s="1420">
        <v>3018.49</v>
      </c>
      <c r="EJ239" s="1422">
        <v>1000</v>
      </c>
      <c r="EK239" s="1422">
        <v>0</v>
      </c>
      <c r="EL239" s="1422">
        <v>0</v>
      </c>
      <c r="EM239" s="1420">
        <v>366007.93</v>
      </c>
      <c r="EN239" s="1420">
        <v>356672.39</v>
      </c>
      <c r="EO239" s="1420">
        <v>7421.59</v>
      </c>
      <c r="EP239" s="1420">
        <v>1624196.36</v>
      </c>
      <c r="EQ239" s="1420">
        <v>233120.26</v>
      </c>
      <c r="ER239" s="1420">
        <v>139381.04999999999</v>
      </c>
      <c r="ES239" s="1420">
        <v>3452.65</v>
      </c>
      <c r="ET239" s="1422">
        <v>0</v>
      </c>
      <c r="EU239" s="1420">
        <v>6075684.96</v>
      </c>
      <c r="EV239" s="1420">
        <v>7105739.7400000002</v>
      </c>
      <c r="EW239" s="1420">
        <v>268943.74</v>
      </c>
      <c r="EX239" s="1420">
        <v>1646796.36</v>
      </c>
      <c r="EY239" s="1420">
        <v>233120.26</v>
      </c>
      <c r="EZ239" s="1420">
        <v>139381.04999999999</v>
      </c>
      <c r="FA239" s="1420">
        <v>5573620.96</v>
      </c>
      <c r="FB239" s="1420">
        <v>5319562.33</v>
      </c>
      <c r="FC239" s="1420">
        <v>399526.87</v>
      </c>
      <c r="FD239" s="1439"/>
      <c r="FE239" s="1420">
        <v>5174094.09</v>
      </c>
      <c r="FF239" s="1439"/>
      <c r="FG239" s="1422">
        <v>8131</v>
      </c>
      <c r="FH239" s="1439"/>
      <c r="FI239" s="1420">
        <v>49.98</v>
      </c>
      <c r="FJ239" s="1439"/>
      <c r="FK239" s="1422">
        <v>42805</v>
      </c>
      <c r="FL239" s="1439"/>
      <c r="FM239" s="1420">
        <v>53.42</v>
      </c>
      <c r="FN239" s="1439"/>
      <c r="FO239" s="1422">
        <v>45104</v>
      </c>
      <c r="FP239" s="1439"/>
      <c r="FQ239" s="1420">
        <v>2526809.37</v>
      </c>
      <c r="FR239" s="1439"/>
      <c r="FS239" s="1420">
        <v>104659.93</v>
      </c>
      <c r="FT239" s="1439"/>
      <c r="FU239" s="1422">
        <v>0</v>
      </c>
      <c r="FV239" s="1439"/>
      <c r="FW239" s="1420">
        <v>2422149.44</v>
      </c>
      <c r="FX239" s="1439"/>
      <c r="FY239" s="1422">
        <v>0</v>
      </c>
      <c r="FZ239" s="1439"/>
      <c r="GA239" s="1422">
        <v>0</v>
      </c>
      <c r="GB239" s="1439"/>
    </row>
    <row r="240" spans="1:184" ht="12.75" customHeight="1" thickBot="1">
      <c r="A240" s="1418" t="s">
        <v>163</v>
      </c>
      <c r="B240" s="1418" t="s">
        <v>164</v>
      </c>
      <c r="C240" s="1420">
        <v>148.08000000000001</v>
      </c>
      <c r="D240" s="1439"/>
      <c r="E240" s="1420">
        <v>839.92</v>
      </c>
      <c r="F240" s="1439"/>
      <c r="G240" s="1421">
        <v>-0.01</v>
      </c>
      <c r="H240" s="1439"/>
      <c r="I240" s="1420">
        <v>876.61</v>
      </c>
      <c r="J240" s="1439"/>
      <c r="K240" s="1420">
        <v>902.1</v>
      </c>
      <c r="L240" s="1439"/>
      <c r="M240" s="1422">
        <v>42706771</v>
      </c>
      <c r="N240" s="1439"/>
      <c r="O240" s="1422">
        <v>25</v>
      </c>
      <c r="P240" s="1439"/>
      <c r="Q240" s="1422">
        <v>25</v>
      </c>
      <c r="R240" s="1439"/>
      <c r="S240" s="1422">
        <v>0</v>
      </c>
      <c r="T240" s="1439"/>
      <c r="U240" s="1422">
        <v>0</v>
      </c>
      <c r="V240" s="1439"/>
      <c r="W240" s="1422">
        <v>6</v>
      </c>
      <c r="X240" s="1439"/>
      <c r="Y240" s="1422">
        <v>31</v>
      </c>
      <c r="Z240" s="1439"/>
      <c r="AA240" s="1420">
        <v>1635374.81</v>
      </c>
      <c r="AB240" s="1439"/>
      <c r="AC240" s="1420">
        <v>1151466.17</v>
      </c>
      <c r="AD240" s="1422">
        <v>1040989</v>
      </c>
      <c r="AE240" s="1420">
        <v>308627.8</v>
      </c>
      <c r="AF240" s="1422">
        <v>248150</v>
      </c>
      <c r="AG240" s="1422">
        <v>0</v>
      </c>
      <c r="AH240" s="1422">
        <v>0</v>
      </c>
      <c r="AI240" s="1422">
        <v>4401309</v>
      </c>
      <c r="AJ240" s="1422">
        <v>4225597</v>
      </c>
      <c r="AK240" s="1422">
        <v>36327</v>
      </c>
      <c r="AL240" s="1422">
        <v>10000</v>
      </c>
      <c r="AM240" s="1422">
        <v>0</v>
      </c>
      <c r="AN240" s="1422">
        <v>0</v>
      </c>
      <c r="AO240" s="1422">
        <v>0</v>
      </c>
      <c r="AP240" s="1422">
        <v>81439</v>
      </c>
      <c r="AQ240" s="1422">
        <v>0</v>
      </c>
      <c r="AR240" s="1422">
        <v>0</v>
      </c>
      <c r="AS240" s="1422">
        <v>0</v>
      </c>
      <c r="AT240" s="1422">
        <v>0</v>
      </c>
      <c r="AU240" s="1422">
        <v>30373</v>
      </c>
      <c r="AV240" s="1422">
        <v>24298</v>
      </c>
      <c r="AW240" s="1422">
        <v>0</v>
      </c>
      <c r="AX240" s="1422">
        <v>0</v>
      </c>
      <c r="AY240" s="1420">
        <v>5928102.9699999997</v>
      </c>
      <c r="AZ240" s="1422">
        <v>5630473</v>
      </c>
      <c r="BA240" s="1422">
        <v>0</v>
      </c>
      <c r="BB240" s="1422">
        <v>0</v>
      </c>
      <c r="BC240" s="1422">
        <v>37311</v>
      </c>
      <c r="BD240" s="1422">
        <v>37108</v>
      </c>
      <c r="BE240" s="1420">
        <v>10775.79</v>
      </c>
      <c r="BF240" s="1422">
        <v>3800</v>
      </c>
      <c r="BG240" s="1422">
        <v>50</v>
      </c>
      <c r="BH240" s="1422">
        <v>0</v>
      </c>
      <c r="BI240" s="1422">
        <v>11336</v>
      </c>
      <c r="BJ240" s="1422">
        <v>11565</v>
      </c>
      <c r="BK240" s="1422">
        <v>87021</v>
      </c>
      <c r="BL240" s="1422">
        <v>88803</v>
      </c>
      <c r="BM240" s="1422">
        <v>669600</v>
      </c>
      <c r="BN240" s="1422">
        <v>673992</v>
      </c>
      <c r="BO240" s="1420">
        <v>163950.91</v>
      </c>
      <c r="BP240" s="1422">
        <v>180239</v>
      </c>
      <c r="BQ240" s="1420">
        <v>36562.519999999997</v>
      </c>
      <c r="BR240" s="1422">
        <v>40625</v>
      </c>
      <c r="BS240" s="1420">
        <v>3454.91</v>
      </c>
      <c r="BT240" s="1422">
        <v>3400</v>
      </c>
      <c r="BU240" s="1422">
        <v>0</v>
      </c>
      <c r="BV240" s="1422">
        <v>0</v>
      </c>
      <c r="BW240" s="1422">
        <v>189552</v>
      </c>
      <c r="BX240" s="1422">
        <v>194400</v>
      </c>
      <c r="BY240" s="1422">
        <v>0</v>
      </c>
      <c r="BZ240" s="1422">
        <v>0</v>
      </c>
      <c r="CA240" s="1422">
        <v>42284</v>
      </c>
      <c r="CB240" s="1422">
        <v>35059</v>
      </c>
      <c r="CC240" s="1420">
        <v>1251898.1299999999</v>
      </c>
      <c r="CD240" s="1422">
        <v>1268991</v>
      </c>
      <c r="CE240" s="1420">
        <v>1337350.94</v>
      </c>
      <c r="CF240" s="1422">
        <v>1232628</v>
      </c>
      <c r="CG240" s="1420">
        <v>1047.56</v>
      </c>
      <c r="CH240" s="1422">
        <v>0</v>
      </c>
      <c r="CI240" s="1422">
        <v>0</v>
      </c>
      <c r="CJ240" s="1422">
        <v>0</v>
      </c>
      <c r="CK240" s="1422">
        <v>0</v>
      </c>
      <c r="CL240" s="1422">
        <v>0</v>
      </c>
      <c r="CM240" s="1422">
        <v>0</v>
      </c>
      <c r="CN240" s="1422">
        <v>0</v>
      </c>
      <c r="CO240" s="1422">
        <v>0</v>
      </c>
      <c r="CP240" s="1422">
        <v>0</v>
      </c>
      <c r="CQ240" s="1422">
        <v>0</v>
      </c>
      <c r="CR240" s="1422">
        <v>0</v>
      </c>
      <c r="CS240" s="1420">
        <v>1047.56</v>
      </c>
      <c r="CT240" s="1422">
        <v>0</v>
      </c>
      <c r="CU240" s="1420">
        <v>8518399.5999999996</v>
      </c>
      <c r="CV240" s="1422">
        <v>8132092</v>
      </c>
      <c r="CW240" s="1420">
        <v>3002830.69</v>
      </c>
      <c r="CX240" s="1420">
        <v>2784681.7</v>
      </c>
      <c r="CY240" s="1420">
        <v>685068.9</v>
      </c>
      <c r="CZ240" s="1420">
        <v>720874.37</v>
      </c>
      <c r="DA240" s="1420">
        <v>374755.49</v>
      </c>
      <c r="DB240" s="1420">
        <v>346888.14</v>
      </c>
      <c r="DC240" s="1422">
        <v>0</v>
      </c>
      <c r="DD240" s="1422">
        <v>0</v>
      </c>
      <c r="DE240" s="1420">
        <v>229172.77</v>
      </c>
      <c r="DF240" s="1420">
        <v>342963.74</v>
      </c>
      <c r="DG240" s="1420">
        <v>693073.63</v>
      </c>
      <c r="DH240" s="1420">
        <v>691560.5</v>
      </c>
      <c r="DI240" s="1420">
        <v>4984901.4800000004</v>
      </c>
      <c r="DJ240" s="1420">
        <v>4886968.45</v>
      </c>
      <c r="DK240" s="1420">
        <v>203296.7</v>
      </c>
      <c r="DL240" s="1420">
        <v>183149.72</v>
      </c>
      <c r="DM240" s="1420">
        <v>310567.34999999998</v>
      </c>
      <c r="DN240" s="1420">
        <v>269748.3</v>
      </c>
      <c r="DO240" s="1420">
        <v>761243.46</v>
      </c>
      <c r="DP240" s="1420">
        <v>586909.17000000004</v>
      </c>
      <c r="DQ240" s="1420">
        <v>335148.64</v>
      </c>
      <c r="DR240" s="1420">
        <v>255328.73</v>
      </c>
      <c r="DS240" s="1420">
        <v>46106.29</v>
      </c>
      <c r="DT240" s="1422">
        <v>38560</v>
      </c>
      <c r="DU240" s="1420">
        <v>1656362.44</v>
      </c>
      <c r="DV240" s="1420">
        <v>1333695.92</v>
      </c>
      <c r="DW240" s="1420">
        <v>327159.03000000003</v>
      </c>
      <c r="DX240" s="1420">
        <v>369208.09</v>
      </c>
      <c r="DY240" s="1420">
        <v>556886.23</v>
      </c>
      <c r="DZ240" s="1420">
        <v>646382.30000000005</v>
      </c>
      <c r="EA240" s="1420">
        <v>324523.90000000002</v>
      </c>
      <c r="EB240" s="1420">
        <v>274589.28000000003</v>
      </c>
      <c r="EC240" s="1420">
        <v>1208569.1599999999</v>
      </c>
      <c r="ED240" s="1420">
        <v>1290179.67</v>
      </c>
      <c r="EE240" s="1420">
        <v>499127.88</v>
      </c>
      <c r="EF240" s="1420">
        <v>518068.85</v>
      </c>
      <c r="EG240" s="1420">
        <v>14414.83</v>
      </c>
      <c r="EH240" s="1422">
        <v>12000</v>
      </c>
      <c r="EI240" s="1422">
        <v>0</v>
      </c>
      <c r="EJ240" s="1422">
        <v>3365</v>
      </c>
      <c r="EK240" s="1422">
        <v>0</v>
      </c>
      <c r="EL240" s="1422">
        <v>0</v>
      </c>
      <c r="EM240" s="1420">
        <v>513542.71</v>
      </c>
      <c r="EN240" s="1420">
        <v>533433.85</v>
      </c>
      <c r="EO240" s="1420">
        <v>116315.52</v>
      </c>
      <c r="EP240" s="1422">
        <v>30000</v>
      </c>
      <c r="EQ240" s="1420">
        <v>240177.39</v>
      </c>
      <c r="ER240" s="1422">
        <v>213043</v>
      </c>
      <c r="ES240" s="1420">
        <v>3644.71</v>
      </c>
      <c r="ET240" s="1422">
        <v>0</v>
      </c>
      <c r="EU240" s="1420">
        <v>8723513.4100000001</v>
      </c>
      <c r="EV240" s="1420">
        <v>8287320.8899999997</v>
      </c>
      <c r="EW240" s="1420">
        <v>280845.58</v>
      </c>
      <c r="EX240" s="1422">
        <v>66648</v>
      </c>
      <c r="EY240" s="1420">
        <v>240177.39</v>
      </c>
      <c r="EZ240" s="1422">
        <v>213043</v>
      </c>
      <c r="FA240" s="1420">
        <v>8202490.4400000004</v>
      </c>
      <c r="FB240" s="1420">
        <v>8007629.8899999997</v>
      </c>
      <c r="FC240" s="1420">
        <v>389642.68</v>
      </c>
      <c r="FD240" s="1439"/>
      <c r="FE240" s="1420">
        <v>7812847.7599999998</v>
      </c>
      <c r="FF240" s="1439"/>
      <c r="FG240" s="1422">
        <v>9301</v>
      </c>
      <c r="FH240" s="1439"/>
      <c r="FI240" s="1420">
        <v>72.819999999999993</v>
      </c>
      <c r="FJ240" s="1439"/>
      <c r="FK240" s="1422">
        <v>39157</v>
      </c>
      <c r="FL240" s="1439"/>
      <c r="FM240" s="1420">
        <v>78.05</v>
      </c>
      <c r="FN240" s="1439"/>
      <c r="FO240" s="1422">
        <v>41485</v>
      </c>
      <c r="FP240" s="1439"/>
      <c r="FQ240" s="1420">
        <v>1031401.21</v>
      </c>
      <c r="FR240" s="1439"/>
      <c r="FS240" s="1420">
        <v>208078.06</v>
      </c>
      <c r="FT240" s="1439"/>
      <c r="FU240" s="1422">
        <v>0</v>
      </c>
      <c r="FV240" s="1439"/>
      <c r="FW240" s="1420">
        <v>823323.15</v>
      </c>
      <c r="FX240" s="1439"/>
      <c r="FY240" s="1420">
        <v>153074.98000000001</v>
      </c>
      <c r="FZ240" s="1439"/>
      <c r="GA240" s="1422">
        <v>0</v>
      </c>
      <c r="GB240" s="1439"/>
    </row>
    <row r="241" spans="1:184" ht="12.75" customHeight="1" thickBot="1">
      <c r="A241" s="1418" t="s">
        <v>165</v>
      </c>
      <c r="B241" s="1418" t="s">
        <v>166</v>
      </c>
      <c r="C241" s="1420">
        <v>186.55</v>
      </c>
      <c r="D241" s="1439"/>
      <c r="E241" s="1420">
        <v>1871.78</v>
      </c>
      <c r="F241" s="1439"/>
      <c r="G241" s="1421">
        <v>0.12</v>
      </c>
      <c r="H241" s="1439"/>
      <c r="I241" s="1420">
        <v>1934.12</v>
      </c>
      <c r="J241" s="1439"/>
      <c r="K241" s="1420">
        <v>1951.63</v>
      </c>
      <c r="L241" s="1439"/>
      <c r="M241" s="1422">
        <v>94087692</v>
      </c>
      <c r="N241" s="1439"/>
      <c r="O241" s="1422">
        <v>25</v>
      </c>
      <c r="P241" s="1439"/>
      <c r="Q241" s="1422">
        <v>25</v>
      </c>
      <c r="R241" s="1439"/>
      <c r="S241" s="1422">
        <v>0</v>
      </c>
      <c r="T241" s="1439"/>
      <c r="U241" s="1422">
        <v>0</v>
      </c>
      <c r="V241" s="1439"/>
      <c r="W241" s="1420">
        <v>8.6999999999999993</v>
      </c>
      <c r="X241" s="1439"/>
      <c r="Y241" s="1420">
        <v>33.700000000000003</v>
      </c>
      <c r="Z241" s="1439"/>
      <c r="AA241" s="1422">
        <v>3785000</v>
      </c>
      <c r="AB241" s="1439"/>
      <c r="AC241" s="1420">
        <v>2919933.93</v>
      </c>
      <c r="AD241" s="1422">
        <v>3057000</v>
      </c>
      <c r="AE241" s="1420">
        <v>417840.02</v>
      </c>
      <c r="AF241" s="1422">
        <v>320680</v>
      </c>
      <c r="AG241" s="1422">
        <v>0</v>
      </c>
      <c r="AH241" s="1422">
        <v>0</v>
      </c>
      <c r="AI241" s="1422">
        <v>9539796</v>
      </c>
      <c r="AJ241" s="1422">
        <v>9565488</v>
      </c>
      <c r="AK241" s="1422">
        <v>66084</v>
      </c>
      <c r="AL241" s="1422">
        <v>65000</v>
      </c>
      <c r="AM241" s="1422">
        <v>9592</v>
      </c>
      <c r="AN241" s="1422">
        <v>0</v>
      </c>
      <c r="AO241" s="1422">
        <v>0</v>
      </c>
      <c r="AP241" s="1422">
        <v>35973</v>
      </c>
      <c r="AQ241" s="1422">
        <v>0</v>
      </c>
      <c r="AR241" s="1422">
        <v>0</v>
      </c>
      <c r="AS241" s="1422">
        <v>0</v>
      </c>
      <c r="AT241" s="1422">
        <v>0</v>
      </c>
      <c r="AU241" s="1422">
        <v>80375</v>
      </c>
      <c r="AV241" s="1422">
        <v>64300</v>
      </c>
      <c r="AW241" s="1422">
        <v>0</v>
      </c>
      <c r="AX241" s="1422">
        <v>0</v>
      </c>
      <c r="AY241" s="1420">
        <v>13033620.949999999</v>
      </c>
      <c r="AZ241" s="1422">
        <v>13108441</v>
      </c>
      <c r="BA241" s="1422">
        <v>0</v>
      </c>
      <c r="BB241" s="1422">
        <v>0</v>
      </c>
      <c r="BC241" s="1422">
        <v>80719</v>
      </c>
      <c r="BD241" s="1422">
        <v>82214</v>
      </c>
      <c r="BE241" s="1422">
        <v>18600</v>
      </c>
      <c r="BF241" s="1422">
        <v>10000</v>
      </c>
      <c r="BG241" s="1422">
        <v>4555</v>
      </c>
      <c r="BH241" s="1422">
        <v>650</v>
      </c>
      <c r="BI241" s="1422">
        <v>81463</v>
      </c>
      <c r="BJ241" s="1422">
        <v>83017</v>
      </c>
      <c r="BK241" s="1422">
        <v>142105</v>
      </c>
      <c r="BL241" s="1422">
        <v>145015</v>
      </c>
      <c r="BM241" s="1422">
        <v>634384</v>
      </c>
      <c r="BN241" s="1422">
        <v>669438</v>
      </c>
      <c r="BO241" s="1420">
        <v>82739.97</v>
      </c>
      <c r="BP241" s="1422">
        <v>75000</v>
      </c>
      <c r="BQ241" s="1420">
        <v>78541.759999999995</v>
      </c>
      <c r="BR241" s="1422">
        <v>82063</v>
      </c>
      <c r="BS241" s="1420">
        <v>7571.34</v>
      </c>
      <c r="BT241" s="1422">
        <v>7500</v>
      </c>
      <c r="BU241" s="1422">
        <v>0</v>
      </c>
      <c r="BV241" s="1422">
        <v>0</v>
      </c>
      <c r="BW241" s="1422">
        <v>0</v>
      </c>
      <c r="BX241" s="1422">
        <v>0</v>
      </c>
      <c r="BY241" s="1422">
        <v>0</v>
      </c>
      <c r="BZ241" s="1422">
        <v>0</v>
      </c>
      <c r="CA241" s="1420">
        <v>202758.2</v>
      </c>
      <c r="CB241" s="1422">
        <v>121611</v>
      </c>
      <c r="CC241" s="1420">
        <v>1333437.27</v>
      </c>
      <c r="CD241" s="1422">
        <v>1276508</v>
      </c>
      <c r="CE241" s="1420">
        <v>2591603.56</v>
      </c>
      <c r="CF241" s="1422">
        <v>2201333</v>
      </c>
      <c r="CG241" s="1422">
        <v>0</v>
      </c>
      <c r="CH241" s="1422">
        <v>0</v>
      </c>
      <c r="CI241" s="1422">
        <v>0</v>
      </c>
      <c r="CJ241" s="1422">
        <v>0</v>
      </c>
      <c r="CK241" s="1420">
        <v>7471.25</v>
      </c>
      <c r="CL241" s="1422">
        <v>0</v>
      </c>
      <c r="CM241" s="1422">
        <v>0</v>
      </c>
      <c r="CN241" s="1422">
        <v>0</v>
      </c>
      <c r="CO241" s="1422">
        <v>0</v>
      </c>
      <c r="CP241" s="1422">
        <v>0</v>
      </c>
      <c r="CQ241" s="1422">
        <v>0</v>
      </c>
      <c r="CR241" s="1422">
        <v>0</v>
      </c>
      <c r="CS241" s="1420">
        <v>7471.25</v>
      </c>
      <c r="CT241" s="1422">
        <v>0</v>
      </c>
      <c r="CU241" s="1420">
        <v>16966133.030000001</v>
      </c>
      <c r="CV241" s="1422">
        <v>16586282</v>
      </c>
      <c r="CW241" s="1420">
        <v>7140739.9000000004</v>
      </c>
      <c r="CX241" s="1420">
        <v>7506521.8899999997</v>
      </c>
      <c r="CY241" s="1420">
        <v>1309697.92</v>
      </c>
      <c r="CZ241" s="1420">
        <v>1172338.72</v>
      </c>
      <c r="DA241" s="1420">
        <v>425987.49</v>
      </c>
      <c r="DB241" s="1420">
        <v>445978.09</v>
      </c>
      <c r="DC241" s="1422">
        <v>0</v>
      </c>
      <c r="DD241" s="1422">
        <v>0</v>
      </c>
      <c r="DE241" s="1420">
        <v>408055.43</v>
      </c>
      <c r="DF241" s="1422">
        <v>507786</v>
      </c>
      <c r="DG241" s="1420">
        <v>942666.46</v>
      </c>
      <c r="DH241" s="1420">
        <v>896503.07</v>
      </c>
      <c r="DI241" s="1420">
        <v>10227147.199999999</v>
      </c>
      <c r="DJ241" s="1420">
        <v>10529127.77</v>
      </c>
      <c r="DK241" s="1420">
        <v>279369.24</v>
      </c>
      <c r="DL241" s="1420">
        <v>238885.5</v>
      </c>
      <c r="DM241" s="1420">
        <v>336712.36</v>
      </c>
      <c r="DN241" s="1422">
        <v>358346</v>
      </c>
      <c r="DO241" s="1420">
        <v>1382200.5</v>
      </c>
      <c r="DP241" s="1422">
        <v>1419216</v>
      </c>
      <c r="DQ241" s="1420">
        <v>491444.24</v>
      </c>
      <c r="DR241" s="1422">
        <v>537496</v>
      </c>
      <c r="DS241" s="1420">
        <v>88106.71</v>
      </c>
      <c r="DT241" s="1422">
        <v>76500</v>
      </c>
      <c r="DU241" s="1420">
        <v>2577833.0499999998</v>
      </c>
      <c r="DV241" s="1420">
        <v>2630443.5</v>
      </c>
      <c r="DW241" s="1420">
        <v>632611.89</v>
      </c>
      <c r="DX241" s="1420">
        <v>495454.4</v>
      </c>
      <c r="DY241" s="1420">
        <v>701825.46</v>
      </c>
      <c r="DZ241" s="1420">
        <v>604795.5</v>
      </c>
      <c r="EA241" s="1420">
        <v>1013230.7</v>
      </c>
      <c r="EB241" s="1422">
        <v>1033763</v>
      </c>
      <c r="EC241" s="1420">
        <v>2347668.0499999998</v>
      </c>
      <c r="ED241" s="1420">
        <v>2134012.9</v>
      </c>
      <c r="EE241" s="1420">
        <v>958741.99</v>
      </c>
      <c r="EF241" s="1422">
        <v>894745</v>
      </c>
      <c r="EG241" s="1422">
        <v>0</v>
      </c>
      <c r="EH241" s="1422">
        <v>0</v>
      </c>
      <c r="EI241" s="1422">
        <v>0</v>
      </c>
      <c r="EJ241" s="1422">
        <v>0</v>
      </c>
      <c r="EK241" s="1422">
        <v>0</v>
      </c>
      <c r="EL241" s="1422">
        <v>0</v>
      </c>
      <c r="EM241" s="1420">
        <v>958741.99</v>
      </c>
      <c r="EN241" s="1422">
        <v>894745</v>
      </c>
      <c r="EO241" s="1422">
        <v>217044</v>
      </c>
      <c r="EP241" s="1422">
        <v>0</v>
      </c>
      <c r="EQ241" s="1420">
        <v>404786.42</v>
      </c>
      <c r="ER241" s="1422">
        <v>406800</v>
      </c>
      <c r="ES241" s="1422">
        <v>13929</v>
      </c>
      <c r="ET241" s="1422">
        <v>0</v>
      </c>
      <c r="EU241" s="1420">
        <v>16747149.710000001</v>
      </c>
      <c r="EV241" s="1420">
        <v>16595129.17</v>
      </c>
      <c r="EW241" s="1420">
        <v>448060.39</v>
      </c>
      <c r="EX241" s="1422">
        <v>183822</v>
      </c>
      <c r="EY241" s="1420">
        <v>404786.42</v>
      </c>
      <c r="EZ241" s="1422">
        <v>406800</v>
      </c>
      <c r="FA241" s="1420">
        <v>15894302.9</v>
      </c>
      <c r="FB241" s="1420">
        <v>16004507.17</v>
      </c>
      <c r="FC241" s="1420">
        <v>369732.49</v>
      </c>
      <c r="FD241" s="1439"/>
      <c r="FE241" s="1420">
        <v>15524570.41</v>
      </c>
      <c r="FF241" s="1439"/>
      <c r="FG241" s="1422">
        <v>8294</v>
      </c>
      <c r="FH241" s="1439"/>
      <c r="FI241" s="1420">
        <v>138.27000000000001</v>
      </c>
      <c r="FJ241" s="1439"/>
      <c r="FK241" s="1422">
        <v>46295</v>
      </c>
      <c r="FL241" s="1439"/>
      <c r="FM241" s="1420">
        <v>149.81</v>
      </c>
      <c r="FN241" s="1439"/>
      <c r="FO241" s="1422">
        <v>48527</v>
      </c>
      <c r="FP241" s="1439"/>
      <c r="FQ241" s="1420">
        <v>5272678.79</v>
      </c>
      <c r="FR241" s="1439"/>
      <c r="FS241" s="1420">
        <v>19837.75</v>
      </c>
      <c r="FT241" s="1439"/>
      <c r="FU241" s="1422">
        <v>0</v>
      </c>
      <c r="FV241" s="1439"/>
      <c r="FW241" s="1420">
        <v>5252841.04</v>
      </c>
      <c r="FX241" s="1439"/>
      <c r="FY241" s="1422">
        <v>0</v>
      </c>
      <c r="FZ241" s="1439"/>
      <c r="GA241" s="1422">
        <v>0</v>
      </c>
      <c r="GB241" s="1439"/>
    </row>
    <row r="242" spans="1:184" ht="12.75" customHeight="1" thickBot="1">
      <c r="A242" s="1418" t="s">
        <v>167</v>
      </c>
      <c r="B242" s="1418" t="s">
        <v>168</v>
      </c>
      <c r="C242" s="1420">
        <v>158.80000000000001</v>
      </c>
      <c r="D242" s="1439"/>
      <c r="E242" s="1420">
        <v>450.81</v>
      </c>
      <c r="F242" s="1439"/>
      <c r="G242" s="1421">
        <v>0.08</v>
      </c>
      <c r="H242" s="1439"/>
      <c r="I242" s="1420">
        <v>475.25</v>
      </c>
      <c r="J242" s="1439"/>
      <c r="K242" s="1420">
        <v>499.85</v>
      </c>
      <c r="L242" s="1439"/>
      <c r="M242" s="1422">
        <v>37177236</v>
      </c>
      <c r="N242" s="1439"/>
      <c r="O242" s="1422">
        <v>25</v>
      </c>
      <c r="P242" s="1439"/>
      <c r="Q242" s="1422">
        <v>25</v>
      </c>
      <c r="R242" s="1439"/>
      <c r="S242" s="1422">
        <v>0</v>
      </c>
      <c r="T242" s="1439"/>
      <c r="U242" s="1422">
        <v>0</v>
      </c>
      <c r="V242" s="1439"/>
      <c r="W242" s="1420">
        <v>13.8</v>
      </c>
      <c r="X242" s="1439"/>
      <c r="Y242" s="1420">
        <v>38.799999999999997</v>
      </c>
      <c r="Z242" s="1439"/>
      <c r="AA242" s="1420">
        <v>2765637.5</v>
      </c>
      <c r="AB242" s="1439"/>
      <c r="AC242" s="1420">
        <v>1559926.23</v>
      </c>
      <c r="AD242" s="1422">
        <v>1559932</v>
      </c>
      <c r="AE242" s="1420">
        <v>247193.63</v>
      </c>
      <c r="AF242" s="1422">
        <v>46660</v>
      </c>
      <c r="AG242" s="1422">
        <v>0</v>
      </c>
      <c r="AH242" s="1422">
        <v>0</v>
      </c>
      <c r="AI242" s="1422">
        <v>1745644</v>
      </c>
      <c r="AJ242" s="1422">
        <v>1774468</v>
      </c>
      <c r="AK242" s="1422">
        <v>3608</v>
      </c>
      <c r="AL242" s="1422">
        <v>3600</v>
      </c>
      <c r="AM242" s="1422">
        <v>13909</v>
      </c>
      <c r="AN242" s="1422">
        <v>0</v>
      </c>
      <c r="AO242" s="1422">
        <v>0</v>
      </c>
      <c r="AP242" s="1422">
        <v>73421</v>
      </c>
      <c r="AQ242" s="1422">
        <v>0</v>
      </c>
      <c r="AR242" s="1422">
        <v>0</v>
      </c>
      <c r="AS242" s="1422">
        <v>0</v>
      </c>
      <c r="AT242" s="1422">
        <v>0</v>
      </c>
      <c r="AU242" s="1422">
        <v>19013</v>
      </c>
      <c r="AV242" s="1422">
        <v>15210</v>
      </c>
      <c r="AW242" s="1422">
        <v>0</v>
      </c>
      <c r="AX242" s="1422">
        <v>0</v>
      </c>
      <c r="AY242" s="1420">
        <v>3589293.86</v>
      </c>
      <c r="AZ242" s="1422">
        <v>3473291</v>
      </c>
      <c r="BA242" s="1422">
        <v>0</v>
      </c>
      <c r="BB242" s="1422">
        <v>0</v>
      </c>
      <c r="BC242" s="1422">
        <v>20674</v>
      </c>
      <c r="BD242" s="1422">
        <v>20171</v>
      </c>
      <c r="BE242" s="1420">
        <v>5393.02</v>
      </c>
      <c r="BF242" s="1422">
        <v>5200</v>
      </c>
      <c r="BG242" s="1422">
        <v>1300</v>
      </c>
      <c r="BH242" s="1422">
        <v>0</v>
      </c>
      <c r="BI242" s="1422">
        <v>20193</v>
      </c>
      <c r="BJ242" s="1422">
        <v>18528</v>
      </c>
      <c r="BK242" s="1422">
        <v>32816</v>
      </c>
      <c r="BL242" s="1422">
        <v>0</v>
      </c>
      <c r="BM242" s="1422">
        <v>387872</v>
      </c>
      <c r="BN242" s="1422">
        <v>374440</v>
      </c>
      <c r="BO242" s="1420">
        <v>43229.95</v>
      </c>
      <c r="BP242" s="1422">
        <v>0</v>
      </c>
      <c r="BQ242" s="1420">
        <v>6500.32</v>
      </c>
      <c r="BR242" s="1422">
        <v>0</v>
      </c>
      <c r="BS242" s="1420">
        <v>2343.0500000000002</v>
      </c>
      <c r="BT242" s="1422">
        <v>0</v>
      </c>
      <c r="BU242" s="1422">
        <v>0</v>
      </c>
      <c r="BV242" s="1422">
        <v>0</v>
      </c>
      <c r="BW242" s="1422">
        <v>126872</v>
      </c>
      <c r="BX242" s="1422">
        <v>145800</v>
      </c>
      <c r="BY242" s="1422">
        <v>0</v>
      </c>
      <c r="BZ242" s="1422">
        <v>0</v>
      </c>
      <c r="CA242" s="1420">
        <v>575623.81999999995</v>
      </c>
      <c r="CB242" s="1422">
        <v>8228</v>
      </c>
      <c r="CC242" s="1420">
        <v>1222817.1599999999</v>
      </c>
      <c r="CD242" s="1422">
        <v>572367</v>
      </c>
      <c r="CE242" s="1420">
        <v>1063598.03</v>
      </c>
      <c r="CF242" s="1420">
        <v>720794.24</v>
      </c>
      <c r="CG242" s="1422">
        <v>0</v>
      </c>
      <c r="CH242" s="1422">
        <v>174000</v>
      </c>
      <c r="CI242" s="1422">
        <v>0</v>
      </c>
      <c r="CJ242" s="1422">
        <v>0</v>
      </c>
      <c r="CK242" s="1422">
        <v>0</v>
      </c>
      <c r="CL242" s="1422">
        <v>0</v>
      </c>
      <c r="CM242" s="1422">
        <v>0</v>
      </c>
      <c r="CN242" s="1422">
        <v>0</v>
      </c>
      <c r="CO242" s="1422">
        <v>0</v>
      </c>
      <c r="CP242" s="1422">
        <v>0</v>
      </c>
      <c r="CQ242" s="1422">
        <v>0</v>
      </c>
      <c r="CR242" s="1422">
        <v>0</v>
      </c>
      <c r="CS242" s="1422">
        <v>0</v>
      </c>
      <c r="CT242" s="1422">
        <v>174000</v>
      </c>
      <c r="CU242" s="1420">
        <v>5875709.0499999998</v>
      </c>
      <c r="CV242" s="1420">
        <v>4940452.24</v>
      </c>
      <c r="CW242" s="1420">
        <v>1988766.36</v>
      </c>
      <c r="CX242" s="1420">
        <v>1503207.32</v>
      </c>
      <c r="CY242" s="1420">
        <v>380991.75</v>
      </c>
      <c r="CZ242" s="1420">
        <v>355489.33</v>
      </c>
      <c r="DA242" s="1420">
        <v>127681.99</v>
      </c>
      <c r="DB242" s="1420">
        <v>129300.56</v>
      </c>
      <c r="DC242" s="1422">
        <v>0</v>
      </c>
      <c r="DD242" s="1422">
        <v>0</v>
      </c>
      <c r="DE242" s="1420">
        <v>215567.98</v>
      </c>
      <c r="DF242" s="1420">
        <v>498932.33</v>
      </c>
      <c r="DG242" s="1420">
        <v>104055.4</v>
      </c>
      <c r="DH242" s="1420">
        <v>91790.22</v>
      </c>
      <c r="DI242" s="1420">
        <v>2817063.48</v>
      </c>
      <c r="DJ242" s="1420">
        <v>2578719.7599999998</v>
      </c>
      <c r="DK242" s="1420">
        <v>187205.86</v>
      </c>
      <c r="DL242" s="1420">
        <v>192169.78</v>
      </c>
      <c r="DM242" s="1420">
        <v>166652.26</v>
      </c>
      <c r="DN242" s="1420">
        <v>152243.39000000001</v>
      </c>
      <c r="DO242" s="1420">
        <v>438141.95</v>
      </c>
      <c r="DP242" s="1420">
        <v>377083.27</v>
      </c>
      <c r="DQ242" s="1420">
        <v>291781.92</v>
      </c>
      <c r="DR242" s="1420">
        <v>202287.64</v>
      </c>
      <c r="DS242" s="1420">
        <v>10898.39</v>
      </c>
      <c r="DT242" s="1422">
        <v>11000</v>
      </c>
      <c r="DU242" s="1420">
        <v>1094680.3799999999</v>
      </c>
      <c r="DV242" s="1420">
        <v>934784.08</v>
      </c>
      <c r="DW242" s="1420">
        <v>214556.93</v>
      </c>
      <c r="DX242" s="1420">
        <v>189864.36</v>
      </c>
      <c r="DY242" s="1420">
        <v>515957.14</v>
      </c>
      <c r="DZ242" s="1420">
        <v>313652.52</v>
      </c>
      <c r="EA242" s="1420">
        <v>231307.51999999999</v>
      </c>
      <c r="EB242" s="1420">
        <v>225595.96</v>
      </c>
      <c r="EC242" s="1420">
        <v>961821.59</v>
      </c>
      <c r="ED242" s="1420">
        <v>729112.84</v>
      </c>
      <c r="EE242" s="1420">
        <v>313880.24</v>
      </c>
      <c r="EF242" s="1420">
        <v>120374.27</v>
      </c>
      <c r="EG242" s="1422">
        <v>0</v>
      </c>
      <c r="EH242" s="1422">
        <v>0</v>
      </c>
      <c r="EI242" s="1422">
        <v>0</v>
      </c>
      <c r="EJ242" s="1422">
        <v>0</v>
      </c>
      <c r="EK242" s="1422">
        <v>0</v>
      </c>
      <c r="EL242" s="1422">
        <v>0</v>
      </c>
      <c r="EM242" s="1420">
        <v>313880.24</v>
      </c>
      <c r="EN242" s="1420">
        <v>120374.27</v>
      </c>
      <c r="EO242" s="1420">
        <v>735709.56</v>
      </c>
      <c r="EP242" s="1422">
        <v>68925</v>
      </c>
      <c r="EQ242" s="1420">
        <v>230401.07</v>
      </c>
      <c r="ER242" s="1422">
        <v>210739</v>
      </c>
      <c r="ES242" s="1422">
        <v>0</v>
      </c>
      <c r="ET242" s="1422">
        <v>0</v>
      </c>
      <c r="EU242" s="1420">
        <v>6153556.3200000003</v>
      </c>
      <c r="EV242" s="1420">
        <v>4642654.95</v>
      </c>
      <c r="EW242" s="1420">
        <v>1025782.52</v>
      </c>
      <c r="EX242" s="1422">
        <v>395572</v>
      </c>
      <c r="EY242" s="1420">
        <v>230401.07</v>
      </c>
      <c r="EZ242" s="1422">
        <v>210739</v>
      </c>
      <c r="FA242" s="1420">
        <v>4897372.7300000004</v>
      </c>
      <c r="FB242" s="1420">
        <v>4036343.95</v>
      </c>
      <c r="FC242" s="1420">
        <v>316058.05</v>
      </c>
      <c r="FD242" s="1439"/>
      <c r="FE242" s="1420">
        <v>4581314.68</v>
      </c>
      <c r="FF242" s="1439"/>
      <c r="FG242" s="1422">
        <v>10162</v>
      </c>
      <c r="FH242" s="1439"/>
      <c r="FI242" s="1420">
        <v>46.63</v>
      </c>
      <c r="FJ242" s="1439"/>
      <c r="FK242" s="1422">
        <v>35697</v>
      </c>
      <c r="FL242" s="1439"/>
      <c r="FM242" s="1420">
        <v>49.63</v>
      </c>
      <c r="FN242" s="1439"/>
      <c r="FO242" s="1422">
        <v>38172</v>
      </c>
      <c r="FP242" s="1439"/>
      <c r="FQ242" s="1420">
        <v>706782.2</v>
      </c>
      <c r="FR242" s="1439"/>
      <c r="FS242" s="1420">
        <v>100013.22</v>
      </c>
      <c r="FT242" s="1439"/>
      <c r="FU242" s="1422">
        <v>0</v>
      </c>
      <c r="FV242" s="1439"/>
      <c r="FW242" s="1420">
        <v>606768.98</v>
      </c>
      <c r="FX242" s="1439"/>
      <c r="FY242" s="1422">
        <v>0</v>
      </c>
      <c r="FZ242" s="1439"/>
      <c r="GA242" s="1422">
        <v>0</v>
      </c>
      <c r="GB242" s="1439"/>
    </row>
    <row r="243" spans="1:184" ht="12.75" customHeight="1" thickBot="1">
      <c r="A243" s="1418" t="s">
        <v>169</v>
      </c>
      <c r="B243" s="1418" t="s">
        <v>170</v>
      </c>
      <c r="C243" s="1420">
        <v>614.95000000000005</v>
      </c>
      <c r="D243" s="1439"/>
      <c r="E243" s="1420">
        <v>821.07</v>
      </c>
      <c r="F243" s="1439"/>
      <c r="G243" s="1421">
        <v>-0.14000000000000001</v>
      </c>
      <c r="H243" s="1439"/>
      <c r="I243" s="1420">
        <v>887.45</v>
      </c>
      <c r="J243" s="1439"/>
      <c r="K243" s="1420">
        <v>891.04</v>
      </c>
      <c r="L243" s="1439"/>
      <c r="M243" s="1422">
        <v>64347516</v>
      </c>
      <c r="N243" s="1439"/>
      <c r="O243" s="1422">
        <v>25</v>
      </c>
      <c r="P243" s="1439"/>
      <c r="Q243" s="1422">
        <v>25</v>
      </c>
      <c r="R243" s="1439"/>
      <c r="S243" s="1422">
        <v>0</v>
      </c>
      <c r="T243" s="1439"/>
      <c r="U243" s="1422">
        <v>0</v>
      </c>
      <c r="V243" s="1439"/>
      <c r="W243" s="1420">
        <v>10.6</v>
      </c>
      <c r="X243" s="1439"/>
      <c r="Y243" s="1420">
        <v>35.6</v>
      </c>
      <c r="Z243" s="1439"/>
      <c r="AA243" s="1420">
        <v>6451196.4199999999</v>
      </c>
      <c r="AB243" s="1439"/>
      <c r="AC243" s="1420">
        <v>1936716.74</v>
      </c>
      <c r="AD243" s="1422">
        <v>2315180</v>
      </c>
      <c r="AE243" s="1420">
        <v>400260.44</v>
      </c>
      <c r="AF243" s="1422">
        <v>138568</v>
      </c>
      <c r="AG243" s="1422">
        <v>0</v>
      </c>
      <c r="AH243" s="1422">
        <v>0</v>
      </c>
      <c r="AI243" s="1422">
        <v>2967775</v>
      </c>
      <c r="AJ243" s="1422">
        <v>2939478</v>
      </c>
      <c r="AK243" s="1422">
        <v>55568</v>
      </c>
      <c r="AL243" s="1422">
        <v>0</v>
      </c>
      <c r="AM243" s="1422">
        <v>0</v>
      </c>
      <c r="AN243" s="1422">
        <v>0</v>
      </c>
      <c r="AO243" s="1422">
        <v>146931</v>
      </c>
      <c r="AP243" s="1422">
        <v>0</v>
      </c>
      <c r="AQ243" s="1422">
        <v>0</v>
      </c>
      <c r="AR243" s="1422">
        <v>0</v>
      </c>
      <c r="AS243" s="1422">
        <v>47416</v>
      </c>
      <c r="AT243" s="1422">
        <v>40986</v>
      </c>
      <c r="AU243" s="1422">
        <v>40926</v>
      </c>
      <c r="AV243" s="1422">
        <v>32741</v>
      </c>
      <c r="AW243" s="1422">
        <v>0</v>
      </c>
      <c r="AX243" s="1422">
        <v>0</v>
      </c>
      <c r="AY243" s="1420">
        <v>5595593.1799999997</v>
      </c>
      <c r="AZ243" s="1422">
        <v>5466953</v>
      </c>
      <c r="BA243" s="1422">
        <v>0</v>
      </c>
      <c r="BB243" s="1422">
        <v>0</v>
      </c>
      <c r="BC243" s="1422">
        <v>36853</v>
      </c>
      <c r="BD243" s="1422">
        <v>37840</v>
      </c>
      <c r="BE243" s="1422">
        <v>3910</v>
      </c>
      <c r="BF243" s="1422">
        <v>3400</v>
      </c>
      <c r="BG243" s="1422">
        <v>0</v>
      </c>
      <c r="BH243" s="1422">
        <v>0</v>
      </c>
      <c r="BI243" s="1422">
        <v>91905</v>
      </c>
      <c r="BJ243" s="1422">
        <v>83895</v>
      </c>
      <c r="BK243" s="1422">
        <v>21389</v>
      </c>
      <c r="BL243" s="1422">
        <v>21827</v>
      </c>
      <c r="BM243" s="1422">
        <v>710272</v>
      </c>
      <c r="BN243" s="1422">
        <v>694232</v>
      </c>
      <c r="BO243" s="1420">
        <v>76270.539999999994</v>
      </c>
      <c r="BP243" s="1422">
        <v>65730</v>
      </c>
      <c r="BQ243" s="1420">
        <v>15167.12</v>
      </c>
      <c r="BR243" s="1420">
        <v>84889.75</v>
      </c>
      <c r="BS243" s="1420">
        <v>3875.98</v>
      </c>
      <c r="BT243" s="1422">
        <v>0</v>
      </c>
      <c r="BU243" s="1422">
        <v>0</v>
      </c>
      <c r="BV243" s="1422">
        <v>0</v>
      </c>
      <c r="BW243" s="1420">
        <v>388912.72</v>
      </c>
      <c r="BX243" s="1422">
        <v>381457</v>
      </c>
      <c r="BY243" s="1422">
        <v>0</v>
      </c>
      <c r="BZ243" s="1422">
        <v>0</v>
      </c>
      <c r="CA243" s="1420">
        <v>330843.96999999997</v>
      </c>
      <c r="CB243" s="1422">
        <v>85924</v>
      </c>
      <c r="CC243" s="1420">
        <v>1679399.33</v>
      </c>
      <c r="CD243" s="1420">
        <v>1459194.75</v>
      </c>
      <c r="CE243" s="1420">
        <v>3082099.3</v>
      </c>
      <c r="CF243" s="1420">
        <v>2486398.2400000002</v>
      </c>
      <c r="CG243" s="1422">
        <v>0</v>
      </c>
      <c r="CH243" s="1422">
        <v>0</v>
      </c>
      <c r="CI243" s="1422">
        <v>0</v>
      </c>
      <c r="CJ243" s="1422">
        <v>0</v>
      </c>
      <c r="CK243" s="1420">
        <v>23579.09</v>
      </c>
      <c r="CL243" s="1420">
        <v>28225.58</v>
      </c>
      <c r="CM243" s="1422">
        <v>0</v>
      </c>
      <c r="CN243" s="1422">
        <v>0</v>
      </c>
      <c r="CO243" s="1420">
        <v>10485.44</v>
      </c>
      <c r="CP243" s="1422">
        <v>0</v>
      </c>
      <c r="CQ243" s="1422">
        <v>0</v>
      </c>
      <c r="CR243" s="1422">
        <v>0</v>
      </c>
      <c r="CS243" s="1420">
        <v>34064.53</v>
      </c>
      <c r="CT243" s="1420">
        <v>28225.58</v>
      </c>
      <c r="CU243" s="1420">
        <v>10391156.34</v>
      </c>
      <c r="CV243" s="1420">
        <v>9440771.5700000003</v>
      </c>
      <c r="CW243" s="1420">
        <v>3236824.05</v>
      </c>
      <c r="CX243" s="1420">
        <v>2838062.51</v>
      </c>
      <c r="CY243" s="1420">
        <v>585818.56000000006</v>
      </c>
      <c r="CZ243" s="1422">
        <v>579578</v>
      </c>
      <c r="DA243" s="1420">
        <v>315542.93</v>
      </c>
      <c r="DB243" s="1420">
        <v>304354.75</v>
      </c>
      <c r="DC243" s="1422">
        <v>0</v>
      </c>
      <c r="DD243" s="1422">
        <v>0</v>
      </c>
      <c r="DE243" s="1420">
        <v>792558.79</v>
      </c>
      <c r="DF243" s="1422">
        <v>810567</v>
      </c>
      <c r="DG243" s="1420">
        <v>490863.45</v>
      </c>
      <c r="DH243" s="1420">
        <v>483628.41</v>
      </c>
      <c r="DI243" s="1420">
        <v>5421607.7800000003</v>
      </c>
      <c r="DJ243" s="1420">
        <v>5016190.67</v>
      </c>
      <c r="DK243" s="1420">
        <v>190912.46</v>
      </c>
      <c r="DL243" s="1422">
        <v>172815</v>
      </c>
      <c r="DM243" s="1420">
        <v>170042.51</v>
      </c>
      <c r="DN243" s="1422">
        <v>170560</v>
      </c>
      <c r="DO243" s="1420">
        <v>975116.93</v>
      </c>
      <c r="DP243" s="1420">
        <v>832519.81</v>
      </c>
      <c r="DQ243" s="1420">
        <v>426017.78</v>
      </c>
      <c r="DR243" s="1422">
        <v>475133</v>
      </c>
      <c r="DS243" s="1420">
        <v>41919.49</v>
      </c>
      <c r="DT243" s="1420">
        <v>56192.58</v>
      </c>
      <c r="DU243" s="1420">
        <v>1804009.17</v>
      </c>
      <c r="DV243" s="1420">
        <v>1707220.39</v>
      </c>
      <c r="DW243" s="1420">
        <v>616264.87</v>
      </c>
      <c r="DX243" s="1420">
        <v>647593.56000000006</v>
      </c>
      <c r="DY243" s="1420">
        <v>940933.61</v>
      </c>
      <c r="DZ243" s="1420">
        <v>867362.33</v>
      </c>
      <c r="EA243" s="1420">
        <v>496119.57</v>
      </c>
      <c r="EB243" s="1422">
        <v>469974</v>
      </c>
      <c r="EC243" s="1420">
        <v>2053318.05</v>
      </c>
      <c r="ED243" s="1420">
        <v>1984929.89</v>
      </c>
      <c r="EE243" s="1420">
        <v>722711.52</v>
      </c>
      <c r="EF243" s="1420">
        <v>699582.67</v>
      </c>
      <c r="EG243" s="1420">
        <v>35230.959999999999</v>
      </c>
      <c r="EH243" s="1422">
        <v>0</v>
      </c>
      <c r="EI243" s="1422">
        <v>0</v>
      </c>
      <c r="EJ243" s="1422">
        <v>5000</v>
      </c>
      <c r="EK243" s="1422">
        <v>0</v>
      </c>
      <c r="EL243" s="1422">
        <v>0</v>
      </c>
      <c r="EM243" s="1420">
        <v>757942.48</v>
      </c>
      <c r="EN243" s="1420">
        <v>704582.67</v>
      </c>
      <c r="EO243" s="1420">
        <v>1556523.19</v>
      </c>
      <c r="EP243" s="1422">
        <v>112500</v>
      </c>
      <c r="EQ243" s="1420">
        <v>533999.26</v>
      </c>
      <c r="ER243" s="1422">
        <v>393439</v>
      </c>
      <c r="ES243" s="1420">
        <v>733.13</v>
      </c>
      <c r="ET243" s="1422">
        <v>0</v>
      </c>
      <c r="EU243" s="1420">
        <v>12128133.060000001</v>
      </c>
      <c r="EV243" s="1420">
        <v>9918862.6199999992</v>
      </c>
      <c r="EW243" s="1420">
        <v>1982379.16</v>
      </c>
      <c r="EX243" s="1422">
        <v>292839</v>
      </c>
      <c r="EY243" s="1420">
        <v>533999.26</v>
      </c>
      <c r="EZ243" s="1422">
        <v>393439</v>
      </c>
      <c r="FA243" s="1420">
        <v>9611754.6400000006</v>
      </c>
      <c r="FB243" s="1420">
        <v>9232584.6199999992</v>
      </c>
      <c r="FC243" s="1420">
        <v>659100.1</v>
      </c>
      <c r="FD243" s="1439"/>
      <c r="FE243" s="1420">
        <v>8952654.5399999991</v>
      </c>
      <c r="FF243" s="1439"/>
      <c r="FG243" s="1422">
        <v>10903</v>
      </c>
      <c r="FH243" s="1439"/>
      <c r="FI243" s="1420">
        <v>65.17</v>
      </c>
      <c r="FJ243" s="1439"/>
      <c r="FK243" s="1422">
        <v>42712</v>
      </c>
      <c r="FL243" s="1439"/>
      <c r="FM243" s="1420">
        <v>70.64</v>
      </c>
      <c r="FN243" s="1439"/>
      <c r="FO243" s="1422">
        <v>46235</v>
      </c>
      <c r="FP243" s="1439"/>
      <c r="FQ243" s="1420">
        <v>1166042.23</v>
      </c>
      <c r="FR243" s="1439"/>
      <c r="FS243" s="1420">
        <v>311395.36</v>
      </c>
      <c r="FT243" s="1439"/>
      <c r="FU243" s="1422">
        <v>0</v>
      </c>
      <c r="FV243" s="1439"/>
      <c r="FW243" s="1420">
        <v>854646.87</v>
      </c>
      <c r="FX243" s="1439"/>
      <c r="FY243" s="1420">
        <v>1867927.19</v>
      </c>
      <c r="FZ243" s="1439"/>
      <c r="GA243" s="1422">
        <v>0</v>
      </c>
      <c r="GB243" s="1439"/>
    </row>
    <row r="244" spans="1:184" ht="12.75" customHeight="1">
      <c r="CU244" s="1459">
        <f>SUM(CU2:CU243)</f>
        <v>5299980409.2199984</v>
      </c>
    </row>
    <row r="247" spans="1:184" ht="12.75" customHeight="1">
      <c r="A247" s="2038">
        <v>40941</v>
      </c>
      <c r="B247" s="1978"/>
      <c r="C247" s="1978"/>
      <c r="D247" s="1978"/>
      <c r="E247" s="1978"/>
      <c r="F247" s="1978"/>
      <c r="G247" s="1978"/>
      <c r="H247" s="1978"/>
      <c r="I247" s="1978"/>
      <c r="J247" s="1978"/>
      <c r="K247" s="1978"/>
      <c r="L247" s="1978"/>
      <c r="M247" s="1978"/>
      <c r="N247" s="1978"/>
      <c r="O247" s="1978"/>
      <c r="P247" s="1978"/>
      <c r="Q247" s="1978"/>
      <c r="R247" s="1978"/>
      <c r="S247" s="1978"/>
      <c r="T247" s="1978"/>
      <c r="U247" s="1978"/>
      <c r="V247" s="1978"/>
      <c r="W247" s="1978"/>
      <c r="X247" s="1978"/>
      <c r="Y247" s="1978"/>
      <c r="Z247" s="1978"/>
      <c r="AA247" s="1978"/>
      <c r="AB247" s="1978"/>
      <c r="AC247" s="1978"/>
      <c r="AD247" s="1978"/>
      <c r="AE247" s="1978"/>
      <c r="AF247" s="1978"/>
      <c r="AG247" s="1978"/>
      <c r="AH247" s="1978"/>
      <c r="AI247" s="1978"/>
      <c r="AJ247" s="1978"/>
      <c r="AK247" s="1978"/>
      <c r="AL247" s="1978"/>
      <c r="AM247" s="1978"/>
      <c r="AN247" s="1978"/>
      <c r="AO247" s="1978"/>
      <c r="AP247" s="1978"/>
      <c r="AQ247" s="1978"/>
      <c r="AR247" s="1978"/>
      <c r="AS247" s="1978"/>
      <c r="AT247" s="1978"/>
      <c r="AU247" s="1978"/>
      <c r="AV247" s="1978"/>
      <c r="AW247" s="1978"/>
      <c r="AX247" s="1978"/>
      <c r="AY247" s="1978"/>
      <c r="AZ247" s="1978"/>
      <c r="BA247" s="1978"/>
      <c r="BB247" s="1978"/>
      <c r="BC247" s="1978"/>
      <c r="BD247" s="1978"/>
      <c r="BE247" s="1978"/>
      <c r="BF247" s="1978"/>
      <c r="BG247" s="1978"/>
      <c r="BH247" s="1978"/>
      <c r="BI247" s="1978"/>
      <c r="BJ247" s="1978"/>
      <c r="BK247" s="1978"/>
      <c r="BL247" s="1978"/>
      <c r="BM247" s="1978"/>
      <c r="BN247" s="1978"/>
      <c r="BO247" s="2039" t="s">
        <v>172</v>
      </c>
      <c r="BP247" s="1978"/>
      <c r="BQ247" s="1978"/>
      <c r="BR247" s="1978"/>
      <c r="BS247" s="1978"/>
      <c r="BT247" s="1978"/>
      <c r="BU247" s="1978"/>
      <c r="BV247" s="1978"/>
      <c r="BW247" s="1978"/>
      <c r="BX247" s="1978"/>
      <c r="BY247" s="1978"/>
      <c r="BZ247" s="1978"/>
      <c r="CA247" s="1978"/>
      <c r="CB247" s="1978"/>
      <c r="CC247" s="1978"/>
      <c r="CD247" s="1978"/>
      <c r="CE247" s="1978"/>
      <c r="CF247" s="1978"/>
      <c r="CG247" s="1978"/>
      <c r="CH247" s="1978"/>
      <c r="CI247" s="1978"/>
      <c r="CJ247" s="1978"/>
      <c r="CK247" s="1978"/>
      <c r="CL247" s="1978"/>
      <c r="CM247" s="1978"/>
      <c r="CN247" s="1978"/>
      <c r="CO247" s="1978"/>
      <c r="CP247" s="1978"/>
      <c r="CQ247" s="1978"/>
      <c r="CR247" s="1978"/>
      <c r="CS247" s="1978"/>
      <c r="CT247" s="1978"/>
      <c r="CU247" s="1978"/>
      <c r="CV247" s="1978"/>
      <c r="CW247" s="1978"/>
      <c r="CX247" s="1978"/>
      <c r="CY247" s="1978"/>
      <c r="CZ247" s="1978"/>
      <c r="DA247" s="1978"/>
      <c r="DB247" s="1978"/>
      <c r="DC247" s="1978"/>
      <c r="DD247" s="1978"/>
      <c r="DE247" s="1978"/>
      <c r="DF247" s="1978"/>
      <c r="DG247" s="1978"/>
      <c r="DH247" s="1978"/>
      <c r="DI247" s="1978"/>
      <c r="DJ247" s="1978"/>
      <c r="DK247" s="1978"/>
      <c r="DL247" s="1978"/>
      <c r="DM247" s="1978"/>
      <c r="DN247" s="1978"/>
      <c r="DO247" s="1978"/>
      <c r="DP247" s="1978"/>
      <c r="DQ247" s="1978"/>
      <c r="DR247" s="1978"/>
      <c r="DS247" s="1978"/>
      <c r="DT247" s="1978"/>
      <c r="DU247" s="1978"/>
      <c r="DV247" s="1978"/>
      <c r="DW247" s="1978"/>
      <c r="DX247" s="1978"/>
      <c r="DY247" s="1978"/>
      <c r="DZ247" s="1978"/>
      <c r="EA247" s="1978"/>
      <c r="EB247" s="2040">
        <v>0.38394675</v>
      </c>
      <c r="EC247" s="1978"/>
      <c r="ED247" s="1978"/>
      <c r="EE247" s="1978"/>
      <c r="EF247" s="1978"/>
      <c r="EG247" s="1978"/>
      <c r="EH247" s="1978"/>
      <c r="EI247" s="1978"/>
      <c r="EJ247" s="1978"/>
      <c r="EK247" s="1978"/>
      <c r="EL247" s="1978"/>
      <c r="EM247" s="1978"/>
      <c r="EN247" s="1978"/>
      <c r="EO247" s="1978"/>
      <c r="EP247" s="1978"/>
      <c r="EQ247" s="1978"/>
      <c r="ER247" s="1978"/>
      <c r="ES247" s="1978"/>
      <c r="ET247" s="1978"/>
      <c r="EU247" s="1978"/>
      <c r="EV247" s="1978"/>
      <c r="EW247" s="1978"/>
      <c r="EX247" s="1978"/>
      <c r="EY247" s="1978"/>
      <c r="EZ247" s="1978"/>
      <c r="FA247" s="1978"/>
      <c r="FB247" s="1978"/>
      <c r="FC247" s="1978"/>
      <c r="FD247" s="1978"/>
      <c r="FE247" s="1978"/>
      <c r="FF247" s="1978"/>
      <c r="FG247" s="1978"/>
      <c r="FH247" s="1978"/>
      <c r="FI247" s="1978"/>
      <c r="FJ247" s="1978"/>
      <c r="FK247" s="1978"/>
      <c r="FL247" s="1978"/>
      <c r="FM247" s="1978"/>
      <c r="FN247" s="1978"/>
      <c r="FO247" s="1978"/>
      <c r="FP247" s="1978"/>
      <c r="FQ247" s="1978"/>
      <c r="FR247" s="1978"/>
      <c r="FS247" s="1978"/>
      <c r="FT247" s="1978"/>
      <c r="FU247" s="1978"/>
      <c r="FV247" s="1978"/>
      <c r="FW247" s="1978"/>
      <c r="FX247" s="1978"/>
      <c r="FY247" s="1978"/>
      <c r="FZ247" s="1978"/>
      <c r="GA247" s="1978"/>
      <c r="GB247" s="1978"/>
    </row>
  </sheetData>
  <mergeCells count="187">
    <mergeCell ref="M1:AD1"/>
    <mergeCell ref="A2:B4"/>
    <mergeCell ref="C2:D2"/>
    <mergeCell ref="E2:F2"/>
    <mergeCell ref="G2:H2"/>
    <mergeCell ref="I2:J2"/>
    <mergeCell ref="K2:L2"/>
    <mergeCell ref="M2:N2"/>
    <mergeCell ref="O2:P2"/>
    <mergeCell ref="Q2:R2"/>
    <mergeCell ref="M3:N3"/>
    <mergeCell ref="O3:P3"/>
    <mergeCell ref="Q3:R3"/>
    <mergeCell ref="S3:T3"/>
    <mergeCell ref="U3:V3"/>
    <mergeCell ref="W3:X3"/>
    <mergeCell ref="Y3:Z3"/>
    <mergeCell ref="AA3:AB3"/>
    <mergeCell ref="AC3:AD3"/>
    <mergeCell ref="AE2:AF2"/>
    <mergeCell ref="AG2:AH2"/>
    <mergeCell ref="AI2:AJ2"/>
    <mergeCell ref="AK2:AL2"/>
    <mergeCell ref="AM2:AN2"/>
    <mergeCell ref="AO2:AP2"/>
    <mergeCell ref="S2:T2"/>
    <mergeCell ref="U2:V2"/>
    <mergeCell ref="W2:X2"/>
    <mergeCell ref="Y2:Z2"/>
    <mergeCell ref="AA2:AB2"/>
    <mergeCell ref="AC2:AD2"/>
    <mergeCell ref="BC2:BD2"/>
    <mergeCell ref="BE2:BF2"/>
    <mergeCell ref="BG2:BH2"/>
    <mergeCell ref="BI2:BJ2"/>
    <mergeCell ref="BK2:BL2"/>
    <mergeCell ref="BM2:BN2"/>
    <mergeCell ref="AQ2:AR2"/>
    <mergeCell ref="AS2:AT2"/>
    <mergeCell ref="AU2:AV2"/>
    <mergeCell ref="AW2:AX2"/>
    <mergeCell ref="AY2:AZ2"/>
    <mergeCell ref="BA2:BB2"/>
    <mergeCell ref="CA2:CB2"/>
    <mergeCell ref="CC2:CD2"/>
    <mergeCell ref="CE2:CF2"/>
    <mergeCell ref="CG2:CH2"/>
    <mergeCell ref="CI2:CJ2"/>
    <mergeCell ref="CK2:CL2"/>
    <mergeCell ref="BO2:BP2"/>
    <mergeCell ref="BQ2:BR2"/>
    <mergeCell ref="BS2:BT2"/>
    <mergeCell ref="BU2:BV2"/>
    <mergeCell ref="BW2:BX2"/>
    <mergeCell ref="BY2:BZ2"/>
    <mergeCell ref="DC2:DD2"/>
    <mergeCell ref="DE2:DF2"/>
    <mergeCell ref="DG2:DH2"/>
    <mergeCell ref="DI2:DJ2"/>
    <mergeCell ref="CM2:CN2"/>
    <mergeCell ref="CO2:CP2"/>
    <mergeCell ref="CQ2:CR2"/>
    <mergeCell ref="CS2:CT2"/>
    <mergeCell ref="CU2:CV2"/>
    <mergeCell ref="CW2:CX2"/>
    <mergeCell ref="FY2:FZ2"/>
    <mergeCell ref="GA2:GB2"/>
    <mergeCell ref="C3:D3"/>
    <mergeCell ref="E3:F3"/>
    <mergeCell ref="G3:H3"/>
    <mergeCell ref="I3:J3"/>
    <mergeCell ref="K3:L3"/>
    <mergeCell ref="FG2:FH2"/>
    <mergeCell ref="FI2:FJ2"/>
    <mergeCell ref="FK2:FL2"/>
    <mergeCell ref="FM2:FN2"/>
    <mergeCell ref="FO2:FP2"/>
    <mergeCell ref="FQ2:FR2"/>
    <mergeCell ref="EU2:EV2"/>
    <mergeCell ref="EW2:EX2"/>
    <mergeCell ref="EY2:EZ2"/>
    <mergeCell ref="FA2:FB2"/>
    <mergeCell ref="FC2:FD2"/>
    <mergeCell ref="FE2:FF2"/>
    <mergeCell ref="EI2:EJ2"/>
    <mergeCell ref="EK2:EL2"/>
    <mergeCell ref="EM2:EN2"/>
    <mergeCell ref="EO2:EP2"/>
    <mergeCell ref="EQ2:ER2"/>
    <mergeCell ref="FS2:FT2"/>
    <mergeCell ref="FU2:FV2"/>
    <mergeCell ref="FW2:FX2"/>
    <mergeCell ref="ES2:ET2"/>
    <mergeCell ref="DW2:DX2"/>
    <mergeCell ref="DY2:DZ2"/>
    <mergeCell ref="EA2:EB2"/>
    <mergeCell ref="EC2:ED2"/>
    <mergeCell ref="EE2:EF2"/>
    <mergeCell ref="EG2:EH2"/>
    <mergeCell ref="DK2:DL2"/>
    <mergeCell ref="DM2:DN2"/>
    <mergeCell ref="DO2:DP2"/>
    <mergeCell ref="DQ2:DR2"/>
    <mergeCell ref="DS2:DT2"/>
    <mergeCell ref="DU2:DV2"/>
    <mergeCell ref="CY2:CZ2"/>
    <mergeCell ref="DA2:DB2"/>
    <mergeCell ref="AK3:AL3"/>
    <mergeCell ref="AM3:AN3"/>
    <mergeCell ref="AO3:AP3"/>
    <mergeCell ref="AQ3:AR3"/>
    <mergeCell ref="AS3:AT3"/>
    <mergeCell ref="AU3:AV3"/>
    <mergeCell ref="CG3:CH3"/>
    <mergeCell ref="CI3:CJ3"/>
    <mergeCell ref="CK3:CL3"/>
    <mergeCell ref="CM3:CN3"/>
    <mergeCell ref="CO3:CP3"/>
    <mergeCell ref="CQ3:CR3"/>
    <mergeCell ref="BU3:BV3"/>
    <mergeCell ref="BW3:BX3"/>
    <mergeCell ref="BY3:BZ3"/>
    <mergeCell ref="CA3:CB3"/>
    <mergeCell ref="AE3:AF3"/>
    <mergeCell ref="AG3:AH3"/>
    <mergeCell ref="AI3:AJ3"/>
    <mergeCell ref="BI3:BJ3"/>
    <mergeCell ref="BK3:BL3"/>
    <mergeCell ref="BM3:BN3"/>
    <mergeCell ref="BO3:BP3"/>
    <mergeCell ref="BQ3:BR3"/>
    <mergeCell ref="BS3:BT3"/>
    <mergeCell ref="AW3:AX3"/>
    <mergeCell ref="AY3:AZ3"/>
    <mergeCell ref="BA3:BB3"/>
    <mergeCell ref="BC3:BD3"/>
    <mergeCell ref="BE3:BF3"/>
    <mergeCell ref="BG3:BH3"/>
    <mergeCell ref="CC3:CD3"/>
    <mergeCell ref="CE3:CF3"/>
    <mergeCell ref="DE3:DF3"/>
    <mergeCell ref="DG3:DH3"/>
    <mergeCell ref="DI3:DJ3"/>
    <mergeCell ref="DK3:DL3"/>
    <mergeCell ref="DM3:DN3"/>
    <mergeCell ref="DO3:DP3"/>
    <mergeCell ref="CS3:CT3"/>
    <mergeCell ref="CU3:CV3"/>
    <mergeCell ref="CW3:CX3"/>
    <mergeCell ref="CY3:CZ3"/>
    <mergeCell ref="DA3:DB3"/>
    <mergeCell ref="DC3:DD3"/>
    <mergeCell ref="EE3:EF3"/>
    <mergeCell ref="EG3:EH3"/>
    <mergeCell ref="EI3:EJ3"/>
    <mergeCell ref="EK3:EL3"/>
    <mergeCell ref="EM3:EN3"/>
    <mergeCell ref="DQ3:DR3"/>
    <mergeCell ref="DS3:DT3"/>
    <mergeCell ref="DU3:DV3"/>
    <mergeCell ref="DW3:DX3"/>
    <mergeCell ref="DY3:DZ3"/>
    <mergeCell ref="EA3:EB3"/>
    <mergeCell ref="FY3:FZ3"/>
    <mergeCell ref="GA3:GB3"/>
    <mergeCell ref="A247:BN247"/>
    <mergeCell ref="BO247:EA247"/>
    <mergeCell ref="EB247:GB247"/>
    <mergeCell ref="FM3:FN3"/>
    <mergeCell ref="FO3:FP3"/>
    <mergeCell ref="FQ3:FR3"/>
    <mergeCell ref="FS3:FT3"/>
    <mergeCell ref="FU3:FV3"/>
    <mergeCell ref="FW3:FX3"/>
    <mergeCell ref="FA3:FB3"/>
    <mergeCell ref="FC3:FD3"/>
    <mergeCell ref="FE3:FF3"/>
    <mergeCell ref="FG3:FH3"/>
    <mergeCell ref="FI3:FJ3"/>
    <mergeCell ref="FK3:FL3"/>
    <mergeCell ref="EO3:EP3"/>
    <mergeCell ref="EQ3:ER3"/>
    <mergeCell ref="ES3:ET3"/>
    <mergeCell ref="EU3:EV3"/>
    <mergeCell ref="EW3:EX3"/>
    <mergeCell ref="EY3:EZ3"/>
    <mergeCell ref="EC3:ED3"/>
  </mergeCells>
  <pageMargins left="0.7" right="0.7" top="0.75" bottom="0.75" header="0.3" footer="0.3"/>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G37"/>
  <sheetViews>
    <sheetView workbookViewId="0"/>
  </sheetViews>
  <sheetFormatPr baseColWidth="10" defaultColWidth="8.83203125" defaultRowHeight="12" x14ac:dyDescent="0"/>
  <cols>
    <col min="1" max="1" width="64.5" style="1466" customWidth="1"/>
    <col min="2" max="2" width="20.6640625" style="1467" customWidth="1"/>
    <col min="3" max="3" width="49.1640625" style="1464" customWidth="1"/>
    <col min="4" max="4" width="20.6640625" style="1464" customWidth="1"/>
    <col min="5" max="7" width="20.6640625" style="1465" customWidth="1"/>
    <col min="8" max="16384" width="8.83203125" style="359"/>
  </cols>
  <sheetData>
    <row r="1" spans="1:7" ht="14">
      <c r="A1" s="1462" t="s">
        <v>96</v>
      </c>
      <c r="B1" s="1463" t="s">
        <v>1374</v>
      </c>
    </row>
    <row r="2" spans="1:7" ht="14">
      <c r="A2" s="1466" t="s">
        <v>97</v>
      </c>
      <c r="B2" s="1467">
        <v>603</v>
      </c>
      <c r="C2" s="1463"/>
      <c r="D2" s="1463"/>
      <c r="E2" s="1463"/>
      <c r="F2" s="1463"/>
      <c r="G2" s="1463"/>
    </row>
    <row r="3" spans="1:7">
      <c r="A3" s="1466" t="s">
        <v>98</v>
      </c>
      <c r="B3" s="1467">
        <v>500</v>
      </c>
    </row>
    <row r="4" spans="1:7">
      <c r="A4" s="1468" t="s">
        <v>99</v>
      </c>
      <c r="B4" s="1467">
        <v>728</v>
      </c>
    </row>
    <row r="5" spans="1:7">
      <c r="A5" s="1468" t="s">
        <v>100</v>
      </c>
      <c r="B5" s="1467">
        <v>164</v>
      </c>
    </row>
    <row r="6" spans="1:7">
      <c r="A6" s="1468" t="s">
        <v>101</v>
      </c>
      <c r="B6" s="1467">
        <v>264</v>
      </c>
    </row>
    <row r="7" spans="1:7">
      <c r="A7" s="1468" t="s">
        <v>102</v>
      </c>
      <c r="B7" s="1467">
        <v>362</v>
      </c>
    </row>
    <row r="8" spans="1:7">
      <c r="A8" s="1468" t="s">
        <v>103</v>
      </c>
      <c r="B8" s="1467">
        <v>502</v>
      </c>
    </row>
    <row r="9" spans="1:7">
      <c r="A9" s="1468" t="s">
        <v>104</v>
      </c>
      <c r="B9" s="1467">
        <v>367</v>
      </c>
    </row>
    <row r="10" spans="1:7">
      <c r="A10" s="1466" t="s">
        <v>105</v>
      </c>
      <c r="B10" s="1467">
        <v>280</v>
      </c>
    </row>
    <row r="11" spans="1:7">
      <c r="A11" s="1466" t="s">
        <v>106</v>
      </c>
      <c r="B11" s="1467">
        <v>67</v>
      </c>
    </row>
    <row r="12" spans="1:7">
      <c r="A12" s="1468" t="s">
        <v>107</v>
      </c>
      <c r="B12" s="1467">
        <v>394</v>
      </c>
    </row>
    <row r="13" spans="1:7">
      <c r="A13" s="1466" t="s">
        <v>108</v>
      </c>
      <c r="B13" s="1467">
        <v>577</v>
      </c>
    </row>
    <row r="14" spans="1:7">
      <c r="A14" s="1466" t="s">
        <v>109</v>
      </c>
      <c r="B14" s="1467">
        <v>476</v>
      </c>
    </row>
    <row r="15" spans="1:7">
      <c r="A15" s="1466" t="s">
        <v>110</v>
      </c>
      <c r="B15" s="1467">
        <v>428</v>
      </c>
    </row>
    <row r="16" spans="1:7">
      <c r="A16" s="1468" t="s">
        <v>111</v>
      </c>
      <c r="B16" s="1467">
        <v>81</v>
      </c>
    </row>
    <row r="17" spans="1:2" s="359" customFormat="1">
      <c r="A17" s="1466" t="s">
        <v>112</v>
      </c>
      <c r="B17" s="1467">
        <v>386</v>
      </c>
    </row>
    <row r="18" spans="1:2" s="359" customFormat="1">
      <c r="A18" s="1466" t="s">
        <v>113</v>
      </c>
      <c r="B18" s="1467">
        <v>98</v>
      </c>
    </row>
    <row r="19" spans="1:2" s="359" customFormat="1">
      <c r="A19" s="1468"/>
      <c r="B19" s="1467"/>
    </row>
    <row r="20" spans="1:2" s="359" customFormat="1">
      <c r="A20" s="1468"/>
      <c r="B20" s="1467"/>
    </row>
    <row r="21" spans="1:2" s="359" customFormat="1">
      <c r="A21" s="1469" t="s">
        <v>114</v>
      </c>
      <c r="B21" s="1467"/>
    </row>
    <row r="22" spans="1:2" s="359" customFormat="1">
      <c r="A22" s="1466" t="s">
        <v>8</v>
      </c>
      <c r="B22" s="1467">
        <v>85</v>
      </c>
    </row>
    <row r="23" spans="1:2" s="359" customFormat="1">
      <c r="A23" s="1466" t="s">
        <v>9</v>
      </c>
      <c r="B23" s="1467">
        <v>29</v>
      </c>
    </row>
    <row r="24" spans="1:2" s="359" customFormat="1">
      <c r="A24" s="1466" t="s">
        <v>10</v>
      </c>
      <c r="B24" s="1467">
        <v>82</v>
      </c>
    </row>
    <row r="25" spans="1:2" s="359" customFormat="1">
      <c r="A25" s="1466" t="s">
        <v>11</v>
      </c>
      <c r="B25" s="1467">
        <v>174</v>
      </c>
    </row>
    <row r="26" spans="1:2" s="359" customFormat="1" ht="24">
      <c r="A26" s="1466" t="s">
        <v>12</v>
      </c>
      <c r="B26" s="1467">
        <v>593</v>
      </c>
    </row>
    <row r="27" spans="1:2" s="359" customFormat="1">
      <c r="A27" s="1466" t="s">
        <v>13</v>
      </c>
      <c r="B27" s="1467">
        <v>120</v>
      </c>
    </row>
    <row r="28" spans="1:2" s="359" customFormat="1">
      <c r="A28" s="1466" t="s">
        <v>14</v>
      </c>
      <c r="B28" s="1467">
        <v>486</v>
      </c>
    </row>
    <row r="29" spans="1:2" s="359" customFormat="1">
      <c r="A29" s="1466" t="s">
        <v>15</v>
      </c>
      <c r="B29" s="1467">
        <v>1194</v>
      </c>
    </row>
    <row r="30" spans="1:2" s="359" customFormat="1" ht="24">
      <c r="A30" s="1466" t="s">
        <v>16</v>
      </c>
      <c r="B30" s="1467">
        <v>466</v>
      </c>
    </row>
    <row r="31" spans="1:2" s="359" customFormat="1">
      <c r="A31" s="1466" t="s">
        <v>17</v>
      </c>
      <c r="B31" s="1467">
        <v>453</v>
      </c>
    </row>
    <row r="32" spans="1:2" s="359" customFormat="1">
      <c r="A32" s="1466" t="s">
        <v>18</v>
      </c>
      <c r="B32" s="1467">
        <v>110</v>
      </c>
    </row>
    <row r="33" spans="1:2" s="359" customFormat="1">
      <c r="A33" s="1466" t="s">
        <v>19</v>
      </c>
      <c r="B33" s="1467">
        <v>78</v>
      </c>
    </row>
    <row r="34" spans="1:2" s="359" customFormat="1">
      <c r="A34" s="1468"/>
      <c r="B34" s="1467"/>
    </row>
    <row r="35" spans="1:2" s="359" customFormat="1">
      <c r="A35" s="1466"/>
      <c r="B35" s="1467">
        <f>SUM(B22:B33)</f>
        <v>3870</v>
      </c>
    </row>
    <row r="37" spans="1:2" s="359" customFormat="1" ht="11">
      <c r="A37" s="1470"/>
      <c r="B37" s="1471"/>
    </row>
  </sheetData>
  <phoneticPr fontId="153" type="noConversion"/>
  <pageMargins left="0.7" right="0.7" top="0.75" bottom="0.75" header="0.3" footer="0.3"/>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R261"/>
  <sheetViews>
    <sheetView workbookViewId="0">
      <selection sqref="A1:R1"/>
    </sheetView>
  </sheetViews>
  <sheetFormatPr baseColWidth="10" defaultColWidth="8.83203125" defaultRowHeight="12.75" customHeight="1" x14ac:dyDescent="0"/>
  <cols>
    <col min="1" max="1" width="18.1640625" style="1313" bestFit="1" customWidth="1"/>
    <col min="2" max="2" width="28.5" style="1313" bestFit="1" customWidth="1"/>
    <col min="3" max="3" width="10.1640625" style="1313" bestFit="1" customWidth="1"/>
    <col min="4" max="15" width="7.83203125" style="1313" bestFit="1" customWidth="1"/>
    <col min="16" max="16" width="4.5" style="1313" bestFit="1" customWidth="1"/>
    <col min="17" max="17" width="7.83203125" style="1313" bestFit="1" customWidth="1"/>
    <col min="18" max="18" width="11.33203125" style="1313" bestFit="1" customWidth="1"/>
    <col min="19" max="16384" width="8.83203125" style="1313"/>
  </cols>
  <sheetData>
    <row r="1" spans="1:18" ht="21.75" customHeight="1" thickBot="1">
      <c r="A1" s="2056" t="s">
        <v>20</v>
      </c>
      <c r="B1" s="1978"/>
      <c r="C1" s="1978"/>
      <c r="D1" s="1978"/>
      <c r="E1" s="1978"/>
      <c r="F1" s="1978"/>
      <c r="G1" s="1978"/>
      <c r="H1" s="1978"/>
      <c r="I1" s="1978"/>
      <c r="J1" s="1978"/>
      <c r="K1" s="1978"/>
      <c r="L1" s="1978"/>
      <c r="M1" s="1978"/>
      <c r="N1" s="1978"/>
      <c r="O1" s="1978"/>
      <c r="P1" s="1978"/>
      <c r="Q1" s="1978"/>
      <c r="R1" s="1978"/>
    </row>
    <row r="2" spans="1:18" ht="12" thickBot="1">
      <c r="A2" s="1472" t="s">
        <v>21</v>
      </c>
      <c r="B2" s="1472" t="s">
        <v>22</v>
      </c>
      <c r="C2" s="1472" t="s">
        <v>23</v>
      </c>
      <c r="D2" s="1472" t="s">
        <v>24</v>
      </c>
      <c r="E2" s="1472" t="s">
        <v>25</v>
      </c>
      <c r="F2" s="1472" t="s">
        <v>26</v>
      </c>
      <c r="G2" s="1472" t="s">
        <v>27</v>
      </c>
      <c r="H2" s="1472" t="s">
        <v>28</v>
      </c>
      <c r="I2" s="1472" t="s">
        <v>29</v>
      </c>
      <c r="J2" s="1472" t="s">
        <v>30</v>
      </c>
      <c r="K2" s="1472" t="s">
        <v>31</v>
      </c>
      <c r="L2" s="1472" t="s">
        <v>32</v>
      </c>
      <c r="M2" s="1472" t="s">
        <v>33</v>
      </c>
      <c r="N2" s="1472" t="s">
        <v>34</v>
      </c>
      <c r="O2" s="1472" t="s">
        <v>35</v>
      </c>
      <c r="P2" s="1472" t="s">
        <v>36</v>
      </c>
      <c r="Q2" s="1472" t="s">
        <v>37</v>
      </c>
      <c r="R2" s="1472" t="s">
        <v>38</v>
      </c>
    </row>
    <row r="3" spans="1:18" ht="12" thickBot="1">
      <c r="A3" s="1473" t="s">
        <v>753</v>
      </c>
      <c r="B3" s="1473" t="s">
        <v>770</v>
      </c>
      <c r="C3" s="1419">
        <v>53</v>
      </c>
      <c r="D3" s="1419">
        <v>51</v>
      </c>
      <c r="E3" s="1419">
        <v>55</v>
      </c>
      <c r="F3" s="1419">
        <v>41</v>
      </c>
      <c r="G3" s="1419">
        <v>39</v>
      </c>
      <c r="H3" s="1419">
        <v>50</v>
      </c>
      <c r="I3" s="1419">
        <v>48</v>
      </c>
      <c r="J3" s="1419">
        <v>48</v>
      </c>
      <c r="K3" s="1419">
        <v>47</v>
      </c>
      <c r="L3" s="1419">
        <v>52</v>
      </c>
      <c r="M3" s="1419">
        <v>49</v>
      </c>
      <c r="N3" s="1419">
        <v>44</v>
      </c>
      <c r="O3" s="1419">
        <v>26</v>
      </c>
      <c r="P3" s="1419">
        <v>0</v>
      </c>
      <c r="Q3" s="1419">
        <v>0</v>
      </c>
      <c r="R3" s="1419">
        <v>603</v>
      </c>
    </row>
    <row r="4" spans="1:18" ht="12" thickBot="1">
      <c r="A4" s="1473" t="s">
        <v>511</v>
      </c>
      <c r="B4" s="1473" t="s">
        <v>512</v>
      </c>
      <c r="C4" s="1419">
        <v>238</v>
      </c>
      <c r="D4" s="1419">
        <v>239</v>
      </c>
      <c r="E4" s="1419">
        <v>265</v>
      </c>
      <c r="F4" s="1419">
        <v>287</v>
      </c>
      <c r="G4" s="1419">
        <v>242</v>
      </c>
      <c r="H4" s="1419">
        <v>269</v>
      </c>
      <c r="I4" s="1419">
        <v>288</v>
      </c>
      <c r="J4" s="1419">
        <v>264</v>
      </c>
      <c r="K4" s="1419">
        <v>266</v>
      </c>
      <c r="L4" s="1419">
        <v>312</v>
      </c>
      <c r="M4" s="1419">
        <v>245</v>
      </c>
      <c r="N4" s="1419">
        <v>259</v>
      </c>
      <c r="O4" s="1419">
        <v>241</v>
      </c>
      <c r="P4" s="1419">
        <v>0</v>
      </c>
      <c r="Q4" s="1419">
        <v>0</v>
      </c>
      <c r="R4" s="1419">
        <v>3415</v>
      </c>
    </row>
    <row r="5" spans="1:18" ht="12" thickBot="1">
      <c r="A5" s="1473" t="s">
        <v>613</v>
      </c>
      <c r="B5" s="1473" t="s">
        <v>614</v>
      </c>
      <c r="C5" s="1419">
        <v>46</v>
      </c>
      <c r="D5" s="1419">
        <v>52</v>
      </c>
      <c r="E5" s="1419">
        <v>44</v>
      </c>
      <c r="F5" s="1419">
        <v>44</v>
      </c>
      <c r="G5" s="1419">
        <v>48</v>
      </c>
      <c r="H5" s="1419">
        <v>34</v>
      </c>
      <c r="I5" s="1419">
        <v>45</v>
      </c>
      <c r="J5" s="1419">
        <v>51</v>
      </c>
      <c r="K5" s="1419">
        <v>38</v>
      </c>
      <c r="L5" s="1419">
        <v>29</v>
      </c>
      <c r="M5" s="1419">
        <v>44</v>
      </c>
      <c r="N5" s="1419">
        <v>44</v>
      </c>
      <c r="O5" s="1419">
        <v>42</v>
      </c>
      <c r="P5" s="1419">
        <v>0</v>
      </c>
      <c r="Q5" s="1419">
        <v>0</v>
      </c>
      <c r="R5" s="1419">
        <v>561</v>
      </c>
    </row>
    <row r="6" spans="1:18" ht="12" thickBot="1">
      <c r="A6" s="1473" t="s">
        <v>39</v>
      </c>
      <c r="B6" s="1473" t="s">
        <v>40</v>
      </c>
      <c r="C6" s="1419">
        <v>8</v>
      </c>
      <c r="D6" s="1419">
        <v>4</v>
      </c>
      <c r="E6" s="1419">
        <v>2</v>
      </c>
      <c r="F6" s="1419">
        <v>3</v>
      </c>
      <c r="G6" s="1419">
        <v>9</v>
      </c>
      <c r="H6" s="1419">
        <v>5</v>
      </c>
      <c r="I6" s="1419">
        <v>2</v>
      </c>
      <c r="J6" s="1419">
        <v>7</v>
      </c>
      <c r="K6" s="1419">
        <v>9</v>
      </c>
      <c r="L6" s="1419">
        <v>2</v>
      </c>
      <c r="M6" s="1419">
        <v>6</v>
      </c>
      <c r="N6" s="1419">
        <v>4</v>
      </c>
      <c r="O6" s="1419">
        <v>13</v>
      </c>
      <c r="P6" s="1419">
        <v>0</v>
      </c>
      <c r="Q6" s="1419">
        <v>14</v>
      </c>
      <c r="R6" s="1419">
        <v>88</v>
      </c>
    </row>
    <row r="7" spans="1:18" ht="12" thickBot="1">
      <c r="A7" s="1473" t="s">
        <v>41</v>
      </c>
      <c r="B7" s="1473" t="s">
        <v>42</v>
      </c>
      <c r="C7" s="1419">
        <v>8</v>
      </c>
      <c r="D7" s="1419">
        <v>12</v>
      </c>
      <c r="E7" s="1419">
        <v>4</v>
      </c>
      <c r="F7" s="1419">
        <v>5</v>
      </c>
      <c r="G7" s="1419">
        <v>11</v>
      </c>
      <c r="H7" s="1419">
        <v>10</v>
      </c>
      <c r="I7" s="1419">
        <v>6</v>
      </c>
      <c r="J7" s="1419">
        <v>9</v>
      </c>
      <c r="K7" s="1419">
        <v>9</v>
      </c>
      <c r="L7" s="1419">
        <v>9</v>
      </c>
      <c r="M7" s="1419">
        <v>8</v>
      </c>
      <c r="N7" s="1419">
        <v>19</v>
      </c>
      <c r="O7" s="1419">
        <v>10</v>
      </c>
      <c r="P7" s="1419">
        <v>0</v>
      </c>
      <c r="Q7" s="1419">
        <v>0</v>
      </c>
      <c r="R7" s="1419">
        <v>120</v>
      </c>
    </row>
    <row r="8" spans="1:18" ht="12" thickBot="1">
      <c r="A8" s="1473" t="s">
        <v>641</v>
      </c>
      <c r="B8" s="1473" t="s">
        <v>642</v>
      </c>
      <c r="C8" s="1419">
        <v>153</v>
      </c>
      <c r="D8" s="1419">
        <v>176</v>
      </c>
      <c r="E8" s="1419">
        <v>162</v>
      </c>
      <c r="F8" s="1419">
        <v>137</v>
      </c>
      <c r="G8" s="1419">
        <v>173</v>
      </c>
      <c r="H8" s="1419">
        <v>147</v>
      </c>
      <c r="I8" s="1419">
        <v>149</v>
      </c>
      <c r="J8" s="1419">
        <v>155</v>
      </c>
      <c r="K8" s="1419">
        <v>127</v>
      </c>
      <c r="L8" s="1419">
        <v>163</v>
      </c>
      <c r="M8" s="1419">
        <v>158</v>
      </c>
      <c r="N8" s="1419">
        <v>125</v>
      </c>
      <c r="O8" s="1419">
        <v>128</v>
      </c>
      <c r="P8" s="1419">
        <v>0</v>
      </c>
      <c r="Q8" s="1419">
        <v>0</v>
      </c>
      <c r="R8" s="1419">
        <v>1953</v>
      </c>
    </row>
    <row r="9" spans="1:18" ht="12" thickBot="1">
      <c r="A9" s="1473" t="s">
        <v>756</v>
      </c>
      <c r="B9" s="1473" t="s">
        <v>773</v>
      </c>
      <c r="C9" s="1419">
        <v>66</v>
      </c>
      <c r="D9" s="1419">
        <v>64</v>
      </c>
      <c r="E9" s="1419">
        <v>67</v>
      </c>
      <c r="F9" s="1419">
        <v>60</v>
      </c>
      <c r="G9" s="1419">
        <v>65</v>
      </c>
      <c r="H9" s="1419">
        <v>64</v>
      </c>
      <c r="I9" s="1419">
        <v>47</v>
      </c>
      <c r="J9" s="1419">
        <v>32</v>
      </c>
      <c r="K9" s="1419">
        <v>35</v>
      </c>
      <c r="L9" s="1419">
        <v>0</v>
      </c>
      <c r="M9" s="1419">
        <v>0</v>
      </c>
      <c r="N9" s="1419">
        <v>0</v>
      </c>
      <c r="O9" s="1419">
        <v>0</v>
      </c>
      <c r="P9" s="1419">
        <v>0</v>
      </c>
      <c r="Q9" s="1419">
        <v>0</v>
      </c>
      <c r="R9" s="1419">
        <v>500</v>
      </c>
    </row>
    <row r="10" spans="1:18" ht="12" thickBot="1">
      <c r="A10" s="1473" t="s">
        <v>344</v>
      </c>
      <c r="B10" s="1473" t="s">
        <v>345</v>
      </c>
      <c r="C10" s="1419">
        <v>28</v>
      </c>
      <c r="D10" s="1419">
        <v>45</v>
      </c>
      <c r="E10" s="1419">
        <v>29</v>
      </c>
      <c r="F10" s="1419">
        <v>33</v>
      </c>
      <c r="G10" s="1419">
        <v>36</v>
      </c>
      <c r="H10" s="1419">
        <v>40</v>
      </c>
      <c r="I10" s="1419">
        <v>37</v>
      </c>
      <c r="J10" s="1419">
        <v>33</v>
      </c>
      <c r="K10" s="1419">
        <v>45</v>
      </c>
      <c r="L10" s="1419">
        <v>44</v>
      </c>
      <c r="M10" s="1419">
        <v>32</v>
      </c>
      <c r="N10" s="1419">
        <v>30</v>
      </c>
      <c r="O10" s="1419">
        <v>25</v>
      </c>
      <c r="P10" s="1419">
        <v>0</v>
      </c>
      <c r="Q10" s="1419">
        <v>0</v>
      </c>
      <c r="R10" s="1419">
        <v>457</v>
      </c>
    </row>
    <row r="11" spans="1:18" ht="12" thickBot="1">
      <c r="A11" s="1473" t="s">
        <v>312</v>
      </c>
      <c r="B11" s="1473" t="s">
        <v>313</v>
      </c>
      <c r="C11" s="1419">
        <v>115</v>
      </c>
      <c r="D11" s="1419">
        <v>119</v>
      </c>
      <c r="E11" s="1419">
        <v>110</v>
      </c>
      <c r="F11" s="1419">
        <v>116</v>
      </c>
      <c r="G11" s="1419">
        <v>104</v>
      </c>
      <c r="H11" s="1419">
        <v>108</v>
      </c>
      <c r="I11" s="1419">
        <v>107</v>
      </c>
      <c r="J11" s="1419">
        <v>130</v>
      </c>
      <c r="K11" s="1419">
        <v>133</v>
      </c>
      <c r="L11" s="1419">
        <v>124</v>
      </c>
      <c r="M11" s="1419">
        <v>120</v>
      </c>
      <c r="N11" s="1419">
        <v>124</v>
      </c>
      <c r="O11" s="1419">
        <v>99</v>
      </c>
      <c r="P11" s="1419">
        <v>0</v>
      </c>
      <c r="Q11" s="1419">
        <v>0</v>
      </c>
      <c r="R11" s="1419">
        <v>1509</v>
      </c>
    </row>
    <row r="12" spans="1:18" ht="12" thickBot="1">
      <c r="A12" s="1473" t="s">
        <v>235</v>
      </c>
      <c r="B12" s="1473" t="s">
        <v>236</v>
      </c>
      <c r="C12" s="1419">
        <v>78</v>
      </c>
      <c r="D12" s="1419">
        <v>70</v>
      </c>
      <c r="E12" s="1419">
        <v>72</v>
      </c>
      <c r="F12" s="1419">
        <v>66</v>
      </c>
      <c r="G12" s="1419">
        <v>71</v>
      </c>
      <c r="H12" s="1419">
        <v>79</v>
      </c>
      <c r="I12" s="1419">
        <v>74</v>
      </c>
      <c r="J12" s="1419">
        <v>98</v>
      </c>
      <c r="K12" s="1419">
        <v>69</v>
      </c>
      <c r="L12" s="1419">
        <v>92</v>
      </c>
      <c r="M12" s="1419">
        <v>72</v>
      </c>
      <c r="N12" s="1419">
        <v>66</v>
      </c>
      <c r="O12" s="1419">
        <v>61</v>
      </c>
      <c r="P12" s="1419">
        <v>0</v>
      </c>
      <c r="Q12" s="1419">
        <v>0</v>
      </c>
      <c r="R12" s="1419">
        <v>968</v>
      </c>
    </row>
    <row r="13" spans="1:18" ht="12" thickBot="1">
      <c r="A13" s="1473" t="s">
        <v>159</v>
      </c>
      <c r="B13" s="1473" t="s">
        <v>160</v>
      </c>
      <c r="C13" s="1419">
        <v>39</v>
      </c>
      <c r="D13" s="1419">
        <v>27</v>
      </c>
      <c r="E13" s="1419">
        <v>27</v>
      </c>
      <c r="F13" s="1419">
        <v>40</v>
      </c>
      <c r="G13" s="1419">
        <v>32</v>
      </c>
      <c r="H13" s="1419">
        <v>33</v>
      </c>
      <c r="I13" s="1419">
        <v>43</v>
      </c>
      <c r="J13" s="1419">
        <v>36</v>
      </c>
      <c r="K13" s="1419">
        <v>37</v>
      </c>
      <c r="L13" s="1419">
        <v>49</v>
      </c>
      <c r="M13" s="1419">
        <v>39</v>
      </c>
      <c r="N13" s="1419">
        <v>40</v>
      </c>
      <c r="O13" s="1419">
        <v>34</v>
      </c>
      <c r="P13" s="1419">
        <v>0</v>
      </c>
      <c r="Q13" s="1419">
        <v>0</v>
      </c>
      <c r="R13" s="1419">
        <v>476</v>
      </c>
    </row>
    <row r="14" spans="1:18" ht="12" thickBot="1">
      <c r="A14" s="1473" t="s">
        <v>143</v>
      </c>
      <c r="B14" s="1473" t="s">
        <v>144</v>
      </c>
      <c r="C14" s="1419">
        <v>93</v>
      </c>
      <c r="D14" s="1419">
        <v>107</v>
      </c>
      <c r="E14" s="1419">
        <v>83</v>
      </c>
      <c r="F14" s="1419">
        <v>116</v>
      </c>
      <c r="G14" s="1419">
        <v>112</v>
      </c>
      <c r="H14" s="1419">
        <v>108</v>
      </c>
      <c r="I14" s="1419">
        <v>113</v>
      </c>
      <c r="J14" s="1419">
        <v>111</v>
      </c>
      <c r="K14" s="1419">
        <v>95</v>
      </c>
      <c r="L14" s="1419">
        <v>87</v>
      </c>
      <c r="M14" s="1419">
        <v>106</v>
      </c>
      <c r="N14" s="1419">
        <v>91</v>
      </c>
      <c r="O14" s="1419">
        <v>81</v>
      </c>
      <c r="P14" s="1419">
        <v>0</v>
      </c>
      <c r="Q14" s="1419">
        <v>0</v>
      </c>
      <c r="R14" s="1419">
        <v>1303</v>
      </c>
    </row>
    <row r="15" spans="1:18" ht="12" thickBot="1">
      <c r="A15" s="1473" t="s">
        <v>384</v>
      </c>
      <c r="B15" s="1473" t="s">
        <v>385</v>
      </c>
      <c r="C15" s="1419">
        <v>53</v>
      </c>
      <c r="D15" s="1419">
        <v>56</v>
      </c>
      <c r="E15" s="1419">
        <v>54</v>
      </c>
      <c r="F15" s="1419">
        <v>55</v>
      </c>
      <c r="G15" s="1419">
        <v>71</v>
      </c>
      <c r="H15" s="1419">
        <v>58</v>
      </c>
      <c r="I15" s="1419">
        <v>61</v>
      </c>
      <c r="J15" s="1419">
        <v>59</v>
      </c>
      <c r="K15" s="1419">
        <v>60</v>
      </c>
      <c r="L15" s="1419">
        <v>68</v>
      </c>
      <c r="M15" s="1419">
        <v>63</v>
      </c>
      <c r="N15" s="1419">
        <v>65</v>
      </c>
      <c r="O15" s="1419">
        <v>66</v>
      </c>
      <c r="P15" s="1419">
        <v>0</v>
      </c>
      <c r="Q15" s="1419">
        <v>0</v>
      </c>
      <c r="R15" s="1419">
        <v>789</v>
      </c>
    </row>
    <row r="16" spans="1:18" ht="12" thickBot="1">
      <c r="A16" s="1473" t="s">
        <v>438</v>
      </c>
      <c r="B16" s="1473" t="s">
        <v>439</v>
      </c>
      <c r="C16" s="1419">
        <v>272</v>
      </c>
      <c r="D16" s="1419">
        <v>259</v>
      </c>
      <c r="E16" s="1419">
        <v>241</v>
      </c>
      <c r="F16" s="1419">
        <v>232</v>
      </c>
      <c r="G16" s="1419">
        <v>236</v>
      </c>
      <c r="H16" s="1419">
        <v>231</v>
      </c>
      <c r="I16" s="1419">
        <v>223</v>
      </c>
      <c r="J16" s="1419">
        <v>221</v>
      </c>
      <c r="K16" s="1419">
        <v>228</v>
      </c>
      <c r="L16" s="1419">
        <v>232</v>
      </c>
      <c r="M16" s="1419">
        <v>215</v>
      </c>
      <c r="N16" s="1419">
        <v>204</v>
      </c>
      <c r="O16" s="1419">
        <v>170</v>
      </c>
      <c r="P16" s="1419">
        <v>0</v>
      </c>
      <c r="Q16" s="1419">
        <v>0</v>
      </c>
      <c r="R16" s="1419">
        <v>2964</v>
      </c>
    </row>
    <row r="17" spans="1:18" ht="12" thickBot="1">
      <c r="A17" s="1473" t="s">
        <v>265</v>
      </c>
      <c r="B17" s="1473" t="s">
        <v>266</v>
      </c>
      <c r="C17" s="1419">
        <v>117</v>
      </c>
      <c r="D17" s="1419">
        <v>107</v>
      </c>
      <c r="E17" s="1419">
        <v>114</v>
      </c>
      <c r="F17" s="1419">
        <v>109</v>
      </c>
      <c r="G17" s="1419">
        <v>117</v>
      </c>
      <c r="H17" s="1419">
        <v>99</v>
      </c>
      <c r="I17" s="1419">
        <v>128</v>
      </c>
      <c r="J17" s="1419">
        <v>130</v>
      </c>
      <c r="K17" s="1419">
        <v>121</v>
      </c>
      <c r="L17" s="1419">
        <v>134</v>
      </c>
      <c r="M17" s="1419">
        <v>106</v>
      </c>
      <c r="N17" s="1419">
        <v>111</v>
      </c>
      <c r="O17" s="1419">
        <v>97</v>
      </c>
      <c r="P17" s="1419">
        <v>0</v>
      </c>
      <c r="Q17" s="1419">
        <v>0</v>
      </c>
      <c r="R17" s="1419">
        <v>1490</v>
      </c>
    </row>
    <row r="18" spans="1:18" ht="12" thickBot="1">
      <c r="A18" s="1473" t="s">
        <v>495</v>
      </c>
      <c r="B18" s="1473" t="s">
        <v>496</v>
      </c>
      <c r="C18" s="1419">
        <v>49</v>
      </c>
      <c r="D18" s="1419">
        <v>41</v>
      </c>
      <c r="E18" s="1419">
        <v>39</v>
      </c>
      <c r="F18" s="1419">
        <v>45</v>
      </c>
      <c r="G18" s="1419">
        <v>46</v>
      </c>
      <c r="H18" s="1419">
        <v>37</v>
      </c>
      <c r="I18" s="1419">
        <v>48</v>
      </c>
      <c r="J18" s="1419">
        <v>35</v>
      </c>
      <c r="K18" s="1419">
        <v>48</v>
      </c>
      <c r="L18" s="1419">
        <v>43</v>
      </c>
      <c r="M18" s="1419">
        <v>49</v>
      </c>
      <c r="N18" s="1419">
        <v>37</v>
      </c>
      <c r="O18" s="1419">
        <v>41</v>
      </c>
      <c r="P18" s="1419">
        <v>0</v>
      </c>
      <c r="Q18" s="1419">
        <v>0</v>
      </c>
      <c r="R18" s="1419">
        <v>558</v>
      </c>
    </row>
    <row r="19" spans="1:18" ht="12" thickBot="1">
      <c r="A19" s="1473" t="s">
        <v>372</v>
      </c>
      <c r="B19" s="1473" t="s">
        <v>373</v>
      </c>
      <c r="C19" s="1419">
        <v>38</v>
      </c>
      <c r="D19" s="1419">
        <v>37</v>
      </c>
      <c r="E19" s="1419">
        <v>36</v>
      </c>
      <c r="F19" s="1419">
        <v>37</v>
      </c>
      <c r="G19" s="1419">
        <v>45</v>
      </c>
      <c r="H19" s="1419">
        <v>46</v>
      </c>
      <c r="I19" s="1419">
        <v>41</v>
      </c>
      <c r="J19" s="1419">
        <v>45</v>
      </c>
      <c r="K19" s="1419">
        <v>53</v>
      </c>
      <c r="L19" s="1419">
        <v>55</v>
      </c>
      <c r="M19" s="1419">
        <v>36</v>
      </c>
      <c r="N19" s="1419">
        <v>47</v>
      </c>
      <c r="O19" s="1419">
        <v>45</v>
      </c>
      <c r="P19" s="1419">
        <v>0</v>
      </c>
      <c r="Q19" s="1419">
        <v>0</v>
      </c>
      <c r="R19" s="1419">
        <v>561</v>
      </c>
    </row>
    <row r="20" spans="1:18" ht="12" thickBot="1">
      <c r="A20" s="1473" t="s">
        <v>145</v>
      </c>
      <c r="B20" s="1473" t="s">
        <v>146</v>
      </c>
      <c r="C20" s="1419">
        <v>252</v>
      </c>
      <c r="D20" s="1419">
        <v>289</v>
      </c>
      <c r="E20" s="1419">
        <v>241</v>
      </c>
      <c r="F20" s="1419">
        <v>226</v>
      </c>
      <c r="G20" s="1419">
        <v>266</v>
      </c>
      <c r="H20" s="1419">
        <v>226</v>
      </c>
      <c r="I20" s="1419">
        <v>274</v>
      </c>
      <c r="J20" s="1419">
        <v>252</v>
      </c>
      <c r="K20" s="1419">
        <v>263</v>
      </c>
      <c r="L20" s="1419">
        <v>245</v>
      </c>
      <c r="M20" s="1419">
        <v>262</v>
      </c>
      <c r="N20" s="1419">
        <v>200</v>
      </c>
      <c r="O20" s="1419">
        <v>206</v>
      </c>
      <c r="P20" s="1419">
        <v>0</v>
      </c>
      <c r="Q20" s="1419">
        <v>2</v>
      </c>
      <c r="R20" s="1419">
        <v>3204</v>
      </c>
    </row>
    <row r="21" spans="1:18" ht="12" thickBot="1">
      <c r="A21" s="1473" t="s">
        <v>749</v>
      </c>
      <c r="B21" s="1473" t="s">
        <v>766</v>
      </c>
      <c r="C21" s="1419">
        <v>57</v>
      </c>
      <c r="D21" s="1419">
        <v>57</v>
      </c>
      <c r="E21" s="1419">
        <v>57</v>
      </c>
      <c r="F21" s="1419">
        <v>60</v>
      </c>
      <c r="G21" s="1419">
        <v>61</v>
      </c>
      <c r="H21" s="1419">
        <v>59</v>
      </c>
      <c r="I21" s="1419">
        <v>61</v>
      </c>
      <c r="J21" s="1419">
        <v>57</v>
      </c>
      <c r="K21" s="1419">
        <v>60</v>
      </c>
      <c r="L21" s="1419">
        <v>63</v>
      </c>
      <c r="M21" s="1419">
        <v>51</v>
      </c>
      <c r="N21" s="1419">
        <v>46</v>
      </c>
      <c r="O21" s="1419">
        <v>39</v>
      </c>
      <c r="P21" s="1419">
        <v>0</v>
      </c>
      <c r="Q21" s="1419">
        <v>0</v>
      </c>
      <c r="R21" s="1419">
        <v>728</v>
      </c>
    </row>
    <row r="22" spans="1:18" ht="12" thickBot="1">
      <c r="A22" s="1473" t="s">
        <v>267</v>
      </c>
      <c r="B22" s="1473" t="s">
        <v>268</v>
      </c>
      <c r="C22" s="1419">
        <v>389</v>
      </c>
      <c r="D22" s="1419">
        <v>371</v>
      </c>
      <c r="E22" s="1419">
        <v>346</v>
      </c>
      <c r="F22" s="1419">
        <v>334</v>
      </c>
      <c r="G22" s="1419">
        <v>372</v>
      </c>
      <c r="H22" s="1419">
        <v>375</v>
      </c>
      <c r="I22" s="1419">
        <v>370</v>
      </c>
      <c r="J22" s="1419">
        <v>387</v>
      </c>
      <c r="K22" s="1419">
        <v>379</v>
      </c>
      <c r="L22" s="1419">
        <v>363</v>
      </c>
      <c r="M22" s="1419">
        <v>357</v>
      </c>
      <c r="N22" s="1419">
        <v>355</v>
      </c>
      <c r="O22" s="1419">
        <v>268</v>
      </c>
      <c r="P22" s="1419">
        <v>0</v>
      </c>
      <c r="Q22" s="1419">
        <v>0</v>
      </c>
      <c r="R22" s="1419">
        <v>4666</v>
      </c>
    </row>
    <row r="23" spans="1:18" ht="12" thickBot="1">
      <c r="A23" s="1473" t="s">
        <v>599</v>
      </c>
      <c r="B23" s="1473" t="s">
        <v>600</v>
      </c>
      <c r="C23" s="1419">
        <v>1202</v>
      </c>
      <c r="D23" s="1419">
        <v>1163</v>
      </c>
      <c r="E23" s="1419">
        <v>1192</v>
      </c>
      <c r="F23" s="1419">
        <v>1173</v>
      </c>
      <c r="G23" s="1419">
        <v>1135</v>
      </c>
      <c r="H23" s="1419">
        <v>1113</v>
      </c>
      <c r="I23" s="1419">
        <v>1082</v>
      </c>
      <c r="J23" s="1419">
        <v>1001</v>
      </c>
      <c r="K23" s="1419">
        <v>971</v>
      </c>
      <c r="L23" s="1419">
        <v>1058</v>
      </c>
      <c r="M23" s="1419">
        <v>832</v>
      </c>
      <c r="N23" s="1419">
        <v>816</v>
      </c>
      <c r="O23" s="1419">
        <v>782</v>
      </c>
      <c r="P23" s="1419">
        <v>0</v>
      </c>
      <c r="Q23" s="1419">
        <v>10</v>
      </c>
      <c r="R23" s="1419">
        <v>13530</v>
      </c>
    </row>
    <row r="24" spans="1:18" ht="12" thickBot="1">
      <c r="A24" s="1473" t="s">
        <v>615</v>
      </c>
      <c r="B24" s="1473" t="s">
        <v>616</v>
      </c>
      <c r="C24" s="1419">
        <v>72</v>
      </c>
      <c r="D24" s="1419">
        <v>81</v>
      </c>
      <c r="E24" s="1419">
        <v>84</v>
      </c>
      <c r="F24" s="1419">
        <v>73</v>
      </c>
      <c r="G24" s="1419">
        <v>76</v>
      </c>
      <c r="H24" s="1419">
        <v>84</v>
      </c>
      <c r="I24" s="1419">
        <v>96</v>
      </c>
      <c r="J24" s="1419">
        <v>84</v>
      </c>
      <c r="K24" s="1419">
        <v>87</v>
      </c>
      <c r="L24" s="1419">
        <v>76</v>
      </c>
      <c r="M24" s="1419">
        <v>94</v>
      </c>
      <c r="N24" s="1419">
        <v>74</v>
      </c>
      <c r="O24" s="1419">
        <v>83</v>
      </c>
      <c r="P24" s="1419">
        <v>0</v>
      </c>
      <c r="Q24" s="1419">
        <v>0</v>
      </c>
      <c r="R24" s="1419">
        <v>1064</v>
      </c>
    </row>
    <row r="25" spans="1:18" ht="12" thickBot="1">
      <c r="A25" s="1473" t="s">
        <v>631</v>
      </c>
      <c r="B25" s="1473" t="s">
        <v>632</v>
      </c>
      <c r="C25" s="1419">
        <v>147</v>
      </c>
      <c r="D25" s="1419">
        <v>152</v>
      </c>
      <c r="E25" s="1419">
        <v>143</v>
      </c>
      <c r="F25" s="1419">
        <v>144</v>
      </c>
      <c r="G25" s="1419">
        <v>151</v>
      </c>
      <c r="H25" s="1419">
        <v>151</v>
      </c>
      <c r="I25" s="1419">
        <v>169</v>
      </c>
      <c r="J25" s="1419">
        <v>139</v>
      </c>
      <c r="K25" s="1419">
        <v>142</v>
      </c>
      <c r="L25" s="1419">
        <v>144</v>
      </c>
      <c r="M25" s="1419">
        <v>137</v>
      </c>
      <c r="N25" s="1419">
        <v>114</v>
      </c>
      <c r="O25" s="1419">
        <v>134</v>
      </c>
      <c r="P25" s="1419">
        <v>0</v>
      </c>
      <c r="Q25" s="1419">
        <v>0</v>
      </c>
      <c r="R25" s="1419">
        <v>1867</v>
      </c>
    </row>
    <row r="26" spans="1:18" ht="12" thickBot="1">
      <c r="A26" s="1473" t="s">
        <v>422</v>
      </c>
      <c r="B26" s="1473" t="s">
        <v>423</v>
      </c>
      <c r="C26" s="1419">
        <v>56</v>
      </c>
      <c r="D26" s="1419">
        <v>68</v>
      </c>
      <c r="E26" s="1419">
        <v>68</v>
      </c>
      <c r="F26" s="1419">
        <v>75</v>
      </c>
      <c r="G26" s="1419">
        <v>69</v>
      </c>
      <c r="H26" s="1419">
        <v>89</v>
      </c>
      <c r="I26" s="1419">
        <v>73</v>
      </c>
      <c r="J26" s="1419">
        <v>74</v>
      </c>
      <c r="K26" s="1419">
        <v>94</v>
      </c>
      <c r="L26" s="1419">
        <v>77</v>
      </c>
      <c r="M26" s="1419">
        <v>77</v>
      </c>
      <c r="N26" s="1419">
        <v>72</v>
      </c>
      <c r="O26" s="1419">
        <v>69</v>
      </c>
      <c r="P26" s="1419">
        <v>0</v>
      </c>
      <c r="Q26" s="1419">
        <v>0</v>
      </c>
      <c r="R26" s="1419">
        <v>961</v>
      </c>
    </row>
    <row r="27" spans="1:18" ht="12" thickBot="1">
      <c r="A27" s="1473" t="s">
        <v>416</v>
      </c>
      <c r="B27" s="1473" t="s">
        <v>417</v>
      </c>
      <c r="C27" s="1419">
        <v>33</v>
      </c>
      <c r="D27" s="1419">
        <v>33</v>
      </c>
      <c r="E27" s="1419">
        <v>39</v>
      </c>
      <c r="F27" s="1419">
        <v>44</v>
      </c>
      <c r="G27" s="1419">
        <v>40</v>
      </c>
      <c r="H27" s="1419">
        <v>33</v>
      </c>
      <c r="I27" s="1419">
        <v>47</v>
      </c>
      <c r="J27" s="1419">
        <v>54</v>
      </c>
      <c r="K27" s="1419">
        <v>44</v>
      </c>
      <c r="L27" s="1419">
        <v>55</v>
      </c>
      <c r="M27" s="1419">
        <v>45</v>
      </c>
      <c r="N27" s="1419">
        <v>57</v>
      </c>
      <c r="O27" s="1419">
        <v>32</v>
      </c>
      <c r="P27" s="1419">
        <v>0</v>
      </c>
      <c r="Q27" s="1419">
        <v>0</v>
      </c>
      <c r="R27" s="1419">
        <v>556</v>
      </c>
    </row>
    <row r="28" spans="1:18" ht="12" thickBot="1">
      <c r="A28" s="1473" t="s">
        <v>346</v>
      </c>
      <c r="B28" s="1473" t="s">
        <v>347</v>
      </c>
      <c r="C28" s="1419">
        <v>232</v>
      </c>
      <c r="D28" s="1419">
        <v>221</v>
      </c>
      <c r="E28" s="1419">
        <v>246</v>
      </c>
      <c r="F28" s="1419">
        <v>254</v>
      </c>
      <c r="G28" s="1419">
        <v>277</v>
      </c>
      <c r="H28" s="1419">
        <v>194</v>
      </c>
      <c r="I28" s="1419">
        <v>222</v>
      </c>
      <c r="J28" s="1419">
        <v>240</v>
      </c>
      <c r="K28" s="1419">
        <v>210</v>
      </c>
      <c r="L28" s="1419">
        <v>237</v>
      </c>
      <c r="M28" s="1419">
        <v>246</v>
      </c>
      <c r="N28" s="1419">
        <v>172</v>
      </c>
      <c r="O28" s="1419">
        <v>174</v>
      </c>
      <c r="P28" s="1419">
        <v>0</v>
      </c>
      <c r="Q28" s="1419">
        <v>9</v>
      </c>
      <c r="R28" s="1419">
        <v>2934</v>
      </c>
    </row>
    <row r="29" spans="1:18" ht="12" thickBot="1">
      <c r="A29" s="1473" t="s">
        <v>316</v>
      </c>
      <c r="B29" s="1473" t="s">
        <v>317</v>
      </c>
      <c r="C29" s="1419">
        <v>107</v>
      </c>
      <c r="D29" s="1419">
        <v>108</v>
      </c>
      <c r="E29" s="1419">
        <v>106</v>
      </c>
      <c r="F29" s="1419">
        <v>108</v>
      </c>
      <c r="G29" s="1419">
        <v>115</v>
      </c>
      <c r="H29" s="1419">
        <v>116</v>
      </c>
      <c r="I29" s="1419">
        <v>100</v>
      </c>
      <c r="J29" s="1419">
        <v>108</v>
      </c>
      <c r="K29" s="1419">
        <v>98</v>
      </c>
      <c r="L29" s="1419">
        <v>111</v>
      </c>
      <c r="M29" s="1419">
        <v>99</v>
      </c>
      <c r="N29" s="1419">
        <v>95</v>
      </c>
      <c r="O29" s="1419">
        <v>95</v>
      </c>
      <c r="P29" s="1419">
        <v>0</v>
      </c>
      <c r="Q29" s="1419">
        <v>0</v>
      </c>
      <c r="R29" s="1419">
        <v>1366</v>
      </c>
    </row>
    <row r="30" spans="1:18" ht="12" thickBot="1">
      <c r="A30" s="1473" t="s">
        <v>147</v>
      </c>
      <c r="B30" s="1473" t="s">
        <v>148</v>
      </c>
      <c r="C30" s="1419">
        <v>29</v>
      </c>
      <c r="D30" s="1419">
        <v>32</v>
      </c>
      <c r="E30" s="1419">
        <v>41</v>
      </c>
      <c r="F30" s="1419">
        <v>37</v>
      </c>
      <c r="G30" s="1419">
        <v>32</v>
      </c>
      <c r="H30" s="1419">
        <v>46</v>
      </c>
      <c r="I30" s="1419">
        <v>42</v>
      </c>
      <c r="J30" s="1419">
        <v>36</v>
      </c>
      <c r="K30" s="1419">
        <v>41</v>
      </c>
      <c r="L30" s="1419">
        <v>42</v>
      </c>
      <c r="M30" s="1419">
        <v>43</v>
      </c>
      <c r="N30" s="1419">
        <v>38</v>
      </c>
      <c r="O30" s="1419">
        <v>34</v>
      </c>
      <c r="P30" s="1419">
        <v>0</v>
      </c>
      <c r="Q30" s="1419">
        <v>0</v>
      </c>
      <c r="R30" s="1419">
        <v>493</v>
      </c>
    </row>
    <row r="31" spans="1:18" ht="12" thickBot="1">
      <c r="A31" s="1473" t="s">
        <v>470</v>
      </c>
      <c r="B31" s="1473" t="s">
        <v>471</v>
      </c>
      <c r="C31" s="1419">
        <v>22</v>
      </c>
      <c r="D31" s="1419">
        <v>32</v>
      </c>
      <c r="E31" s="1419">
        <v>25</v>
      </c>
      <c r="F31" s="1419">
        <v>28</v>
      </c>
      <c r="G31" s="1419">
        <v>29</v>
      </c>
      <c r="H31" s="1419">
        <v>31</v>
      </c>
      <c r="I31" s="1419">
        <v>36</v>
      </c>
      <c r="J31" s="1419">
        <v>30</v>
      </c>
      <c r="K31" s="1419">
        <v>34</v>
      </c>
      <c r="L31" s="1419">
        <v>34</v>
      </c>
      <c r="M31" s="1419">
        <v>30</v>
      </c>
      <c r="N31" s="1419">
        <v>26</v>
      </c>
      <c r="O31" s="1419">
        <v>33</v>
      </c>
      <c r="P31" s="1419">
        <v>0</v>
      </c>
      <c r="Q31" s="1419">
        <v>0</v>
      </c>
      <c r="R31" s="1419">
        <v>390</v>
      </c>
    </row>
    <row r="32" spans="1:18" ht="12" thickBot="1">
      <c r="A32" s="1473" t="s">
        <v>356</v>
      </c>
      <c r="B32" s="1473" t="s">
        <v>357</v>
      </c>
      <c r="C32" s="1419">
        <v>47</v>
      </c>
      <c r="D32" s="1419">
        <v>55</v>
      </c>
      <c r="E32" s="1419">
        <v>48</v>
      </c>
      <c r="F32" s="1419">
        <v>32</v>
      </c>
      <c r="G32" s="1419">
        <v>46</v>
      </c>
      <c r="H32" s="1419">
        <v>40</v>
      </c>
      <c r="I32" s="1419">
        <v>58</v>
      </c>
      <c r="J32" s="1419">
        <v>53</v>
      </c>
      <c r="K32" s="1419">
        <v>44</v>
      </c>
      <c r="L32" s="1419">
        <v>53</v>
      </c>
      <c r="M32" s="1419">
        <v>45</v>
      </c>
      <c r="N32" s="1419">
        <v>73</v>
      </c>
      <c r="O32" s="1419">
        <v>39</v>
      </c>
      <c r="P32" s="1419">
        <v>0</v>
      </c>
      <c r="Q32" s="1419">
        <v>0</v>
      </c>
      <c r="R32" s="1419">
        <v>633</v>
      </c>
    </row>
    <row r="33" spans="1:18" ht="12" thickBot="1">
      <c r="A33" s="1473" t="s">
        <v>499</v>
      </c>
      <c r="B33" s="1473" t="s">
        <v>500</v>
      </c>
      <c r="C33" s="1419">
        <v>142</v>
      </c>
      <c r="D33" s="1419">
        <v>143</v>
      </c>
      <c r="E33" s="1419">
        <v>155</v>
      </c>
      <c r="F33" s="1419">
        <v>125</v>
      </c>
      <c r="G33" s="1419">
        <v>122</v>
      </c>
      <c r="H33" s="1419">
        <v>140</v>
      </c>
      <c r="I33" s="1419">
        <v>129</v>
      </c>
      <c r="J33" s="1419">
        <v>122</v>
      </c>
      <c r="K33" s="1419">
        <v>135</v>
      </c>
      <c r="L33" s="1419">
        <v>113</v>
      </c>
      <c r="M33" s="1419">
        <v>107</v>
      </c>
      <c r="N33" s="1419">
        <v>103</v>
      </c>
      <c r="O33" s="1419">
        <v>88</v>
      </c>
      <c r="P33" s="1419">
        <v>0</v>
      </c>
      <c r="Q33" s="1419">
        <v>0</v>
      </c>
      <c r="R33" s="1419">
        <v>1624</v>
      </c>
    </row>
    <row r="34" spans="1:18" ht="12" thickBot="1">
      <c r="A34" s="1473" t="s">
        <v>269</v>
      </c>
      <c r="B34" s="1473" t="s">
        <v>270</v>
      </c>
      <c r="C34" s="1419">
        <v>627</v>
      </c>
      <c r="D34" s="1419">
        <v>638</v>
      </c>
      <c r="E34" s="1419">
        <v>624</v>
      </c>
      <c r="F34" s="1419">
        <v>580</v>
      </c>
      <c r="G34" s="1419">
        <v>603</v>
      </c>
      <c r="H34" s="1419">
        <v>629</v>
      </c>
      <c r="I34" s="1419">
        <v>666</v>
      </c>
      <c r="J34" s="1419">
        <v>633</v>
      </c>
      <c r="K34" s="1419">
        <v>630</v>
      </c>
      <c r="L34" s="1419">
        <v>647</v>
      </c>
      <c r="M34" s="1419">
        <v>653</v>
      </c>
      <c r="N34" s="1419">
        <v>544</v>
      </c>
      <c r="O34" s="1419">
        <v>475</v>
      </c>
      <c r="P34" s="1419">
        <v>0</v>
      </c>
      <c r="Q34" s="1419">
        <v>0</v>
      </c>
      <c r="R34" s="1419">
        <v>7949</v>
      </c>
    </row>
    <row r="35" spans="1:18" ht="12" thickBot="1">
      <c r="A35" s="1473" t="s">
        <v>501</v>
      </c>
      <c r="B35" s="1473" t="s">
        <v>502</v>
      </c>
      <c r="C35" s="1419">
        <v>78</v>
      </c>
      <c r="D35" s="1419">
        <v>63</v>
      </c>
      <c r="E35" s="1419">
        <v>70</v>
      </c>
      <c r="F35" s="1419">
        <v>69</v>
      </c>
      <c r="G35" s="1419">
        <v>79</v>
      </c>
      <c r="H35" s="1419">
        <v>66</v>
      </c>
      <c r="I35" s="1419">
        <v>60</v>
      </c>
      <c r="J35" s="1419">
        <v>79</v>
      </c>
      <c r="K35" s="1419">
        <v>65</v>
      </c>
      <c r="L35" s="1419">
        <v>52</v>
      </c>
      <c r="M35" s="1419">
        <v>59</v>
      </c>
      <c r="N35" s="1419">
        <v>61</v>
      </c>
      <c r="O35" s="1419">
        <v>35</v>
      </c>
      <c r="P35" s="1419">
        <v>0</v>
      </c>
      <c r="Q35" s="1419">
        <v>0</v>
      </c>
      <c r="R35" s="1419">
        <v>836</v>
      </c>
    </row>
    <row r="36" spans="1:18" ht="12" thickBot="1">
      <c r="A36" s="1473" t="s">
        <v>330</v>
      </c>
      <c r="B36" s="1473" t="s">
        <v>331</v>
      </c>
      <c r="C36" s="1419">
        <v>756</v>
      </c>
      <c r="D36" s="1419">
        <v>794</v>
      </c>
      <c r="E36" s="1419">
        <v>819</v>
      </c>
      <c r="F36" s="1419">
        <v>808</v>
      </c>
      <c r="G36" s="1419">
        <v>850</v>
      </c>
      <c r="H36" s="1419">
        <v>786</v>
      </c>
      <c r="I36" s="1419">
        <v>788</v>
      </c>
      <c r="J36" s="1419">
        <v>769</v>
      </c>
      <c r="K36" s="1419">
        <v>803</v>
      </c>
      <c r="L36" s="1419">
        <v>746</v>
      </c>
      <c r="M36" s="1419">
        <v>764</v>
      </c>
      <c r="N36" s="1419">
        <v>703</v>
      </c>
      <c r="O36" s="1419">
        <v>666</v>
      </c>
      <c r="P36" s="1419">
        <v>0</v>
      </c>
      <c r="Q36" s="1419">
        <v>0</v>
      </c>
      <c r="R36" s="1419">
        <v>10052</v>
      </c>
    </row>
    <row r="37" spans="1:18" ht="12" thickBot="1">
      <c r="A37" s="1473" t="s">
        <v>360</v>
      </c>
      <c r="B37" s="1473" t="s">
        <v>361</v>
      </c>
      <c r="C37" s="1419">
        <v>36</v>
      </c>
      <c r="D37" s="1419">
        <v>42</v>
      </c>
      <c r="E37" s="1419">
        <v>45</v>
      </c>
      <c r="F37" s="1419">
        <v>42</v>
      </c>
      <c r="G37" s="1419">
        <v>40</v>
      </c>
      <c r="H37" s="1419">
        <v>46</v>
      </c>
      <c r="I37" s="1419">
        <v>41</v>
      </c>
      <c r="J37" s="1419">
        <v>58</v>
      </c>
      <c r="K37" s="1419">
        <v>51</v>
      </c>
      <c r="L37" s="1419">
        <v>54</v>
      </c>
      <c r="M37" s="1419">
        <v>37</v>
      </c>
      <c r="N37" s="1419">
        <v>40</v>
      </c>
      <c r="O37" s="1419">
        <v>30</v>
      </c>
      <c r="P37" s="1419">
        <v>0</v>
      </c>
      <c r="Q37" s="1419">
        <v>6</v>
      </c>
      <c r="R37" s="1419">
        <v>568</v>
      </c>
    </row>
    <row r="38" spans="1:18" ht="12" thickBot="1">
      <c r="A38" s="1473" t="s">
        <v>446</v>
      </c>
      <c r="B38" s="1473" t="s">
        <v>447</v>
      </c>
      <c r="C38" s="1419">
        <v>43</v>
      </c>
      <c r="D38" s="1419">
        <v>33</v>
      </c>
      <c r="E38" s="1419">
        <v>37</v>
      </c>
      <c r="F38" s="1419">
        <v>33</v>
      </c>
      <c r="G38" s="1419">
        <v>39</v>
      </c>
      <c r="H38" s="1419">
        <v>28</v>
      </c>
      <c r="I38" s="1419">
        <v>42</v>
      </c>
      <c r="J38" s="1419">
        <v>34</v>
      </c>
      <c r="K38" s="1419">
        <v>15</v>
      </c>
      <c r="L38" s="1419">
        <v>27</v>
      </c>
      <c r="M38" s="1419">
        <v>27</v>
      </c>
      <c r="N38" s="1419">
        <v>20</v>
      </c>
      <c r="O38" s="1419">
        <v>40</v>
      </c>
      <c r="P38" s="1419">
        <v>0</v>
      </c>
      <c r="Q38" s="1419">
        <v>0</v>
      </c>
      <c r="R38" s="1419">
        <v>418</v>
      </c>
    </row>
    <row r="39" spans="1:18" ht="12" thickBot="1">
      <c r="A39" s="1473" t="s">
        <v>374</v>
      </c>
      <c r="B39" s="1473" t="s">
        <v>375</v>
      </c>
      <c r="C39" s="1419">
        <v>206</v>
      </c>
      <c r="D39" s="1419">
        <v>188</v>
      </c>
      <c r="E39" s="1419">
        <v>193</v>
      </c>
      <c r="F39" s="1419">
        <v>179</v>
      </c>
      <c r="G39" s="1419">
        <v>202</v>
      </c>
      <c r="H39" s="1419">
        <v>180</v>
      </c>
      <c r="I39" s="1419">
        <v>169</v>
      </c>
      <c r="J39" s="1419">
        <v>178</v>
      </c>
      <c r="K39" s="1419">
        <v>183</v>
      </c>
      <c r="L39" s="1419">
        <v>203</v>
      </c>
      <c r="M39" s="1419">
        <v>202</v>
      </c>
      <c r="N39" s="1419">
        <v>182</v>
      </c>
      <c r="O39" s="1419">
        <v>173</v>
      </c>
      <c r="P39" s="1419">
        <v>0</v>
      </c>
      <c r="Q39" s="1419">
        <v>0</v>
      </c>
      <c r="R39" s="1419">
        <v>2438</v>
      </c>
    </row>
    <row r="40" spans="1:18" ht="12" thickBot="1">
      <c r="A40" s="1473" t="s">
        <v>328</v>
      </c>
      <c r="B40" s="1473" t="s">
        <v>329</v>
      </c>
      <c r="C40" s="1419">
        <v>53</v>
      </c>
      <c r="D40" s="1419">
        <v>54</v>
      </c>
      <c r="E40" s="1419">
        <v>54</v>
      </c>
      <c r="F40" s="1419">
        <v>62</v>
      </c>
      <c r="G40" s="1419">
        <v>53</v>
      </c>
      <c r="H40" s="1419">
        <v>60</v>
      </c>
      <c r="I40" s="1419">
        <v>63</v>
      </c>
      <c r="J40" s="1419">
        <v>61</v>
      </c>
      <c r="K40" s="1419">
        <v>56</v>
      </c>
      <c r="L40" s="1419">
        <v>70</v>
      </c>
      <c r="M40" s="1419">
        <v>56</v>
      </c>
      <c r="N40" s="1419">
        <v>68</v>
      </c>
      <c r="O40" s="1419">
        <v>46</v>
      </c>
      <c r="P40" s="1419">
        <v>0</v>
      </c>
      <c r="Q40" s="1419">
        <v>2</v>
      </c>
      <c r="R40" s="1419">
        <v>758</v>
      </c>
    </row>
    <row r="41" spans="1:18" ht="12" thickBot="1">
      <c r="A41" s="1473" t="s">
        <v>295</v>
      </c>
      <c r="B41" s="1473" t="s">
        <v>296</v>
      </c>
      <c r="C41" s="1419">
        <v>103</v>
      </c>
      <c r="D41" s="1419">
        <v>118</v>
      </c>
      <c r="E41" s="1419">
        <v>92</v>
      </c>
      <c r="F41" s="1419">
        <v>105</v>
      </c>
      <c r="G41" s="1419">
        <v>95</v>
      </c>
      <c r="H41" s="1419">
        <v>84</v>
      </c>
      <c r="I41" s="1419">
        <v>122</v>
      </c>
      <c r="J41" s="1419">
        <v>92</v>
      </c>
      <c r="K41" s="1419">
        <v>118</v>
      </c>
      <c r="L41" s="1419">
        <v>117</v>
      </c>
      <c r="M41" s="1419">
        <v>118</v>
      </c>
      <c r="N41" s="1419">
        <v>98</v>
      </c>
      <c r="O41" s="1419">
        <v>94</v>
      </c>
      <c r="P41" s="1419">
        <v>0</v>
      </c>
      <c r="Q41" s="1419">
        <v>0</v>
      </c>
      <c r="R41" s="1419">
        <v>1356</v>
      </c>
    </row>
    <row r="42" spans="1:18" ht="12" thickBot="1">
      <c r="A42" s="1473" t="s">
        <v>444</v>
      </c>
      <c r="B42" s="1473" t="s">
        <v>445</v>
      </c>
      <c r="C42" s="1419">
        <v>66</v>
      </c>
      <c r="D42" s="1419">
        <v>57</v>
      </c>
      <c r="E42" s="1419">
        <v>53</v>
      </c>
      <c r="F42" s="1419">
        <v>66</v>
      </c>
      <c r="G42" s="1419">
        <v>67</v>
      </c>
      <c r="H42" s="1419">
        <v>71</v>
      </c>
      <c r="I42" s="1419">
        <v>62</v>
      </c>
      <c r="J42" s="1419">
        <v>72</v>
      </c>
      <c r="K42" s="1419">
        <v>70</v>
      </c>
      <c r="L42" s="1419">
        <v>75</v>
      </c>
      <c r="M42" s="1419">
        <v>56</v>
      </c>
      <c r="N42" s="1419">
        <v>60</v>
      </c>
      <c r="O42" s="1419">
        <v>58</v>
      </c>
      <c r="P42" s="1419">
        <v>0</v>
      </c>
      <c r="Q42" s="1419">
        <v>0</v>
      </c>
      <c r="R42" s="1419">
        <v>833</v>
      </c>
    </row>
    <row r="43" spans="1:18" ht="12" thickBot="1">
      <c r="A43" s="1473" t="s">
        <v>513</v>
      </c>
      <c r="B43" s="1473" t="s">
        <v>514</v>
      </c>
      <c r="C43" s="1419">
        <v>53</v>
      </c>
      <c r="D43" s="1419">
        <v>66</v>
      </c>
      <c r="E43" s="1419">
        <v>57</v>
      </c>
      <c r="F43" s="1419">
        <v>67</v>
      </c>
      <c r="G43" s="1419">
        <v>58</v>
      </c>
      <c r="H43" s="1419">
        <v>88</v>
      </c>
      <c r="I43" s="1419">
        <v>79</v>
      </c>
      <c r="J43" s="1419">
        <v>66</v>
      </c>
      <c r="K43" s="1419">
        <v>65</v>
      </c>
      <c r="L43" s="1419">
        <v>77</v>
      </c>
      <c r="M43" s="1419">
        <v>89</v>
      </c>
      <c r="N43" s="1419">
        <v>92</v>
      </c>
      <c r="O43" s="1419">
        <v>77</v>
      </c>
      <c r="P43" s="1419">
        <v>0</v>
      </c>
      <c r="Q43" s="1419">
        <v>0</v>
      </c>
      <c r="R43" s="1419">
        <v>934</v>
      </c>
    </row>
    <row r="44" spans="1:18" ht="12" thickBot="1">
      <c r="A44" s="1473" t="s">
        <v>390</v>
      </c>
      <c r="B44" s="1473" t="s">
        <v>391</v>
      </c>
      <c r="C44" s="1419">
        <v>90</v>
      </c>
      <c r="D44" s="1419">
        <v>80</v>
      </c>
      <c r="E44" s="1419">
        <v>71</v>
      </c>
      <c r="F44" s="1419">
        <v>89</v>
      </c>
      <c r="G44" s="1419">
        <v>69</v>
      </c>
      <c r="H44" s="1419">
        <v>63</v>
      </c>
      <c r="I44" s="1419">
        <v>81</v>
      </c>
      <c r="J44" s="1419">
        <v>80</v>
      </c>
      <c r="K44" s="1419">
        <v>98</v>
      </c>
      <c r="L44" s="1419">
        <v>71</v>
      </c>
      <c r="M44" s="1419">
        <v>76</v>
      </c>
      <c r="N44" s="1419">
        <v>93</v>
      </c>
      <c r="O44" s="1419">
        <v>68</v>
      </c>
      <c r="P44" s="1419">
        <v>0</v>
      </c>
      <c r="Q44" s="1419">
        <v>0</v>
      </c>
      <c r="R44" s="1419">
        <v>1029</v>
      </c>
    </row>
    <row r="45" spans="1:18" ht="12" thickBot="1">
      <c r="A45" s="1473" t="s">
        <v>553</v>
      </c>
      <c r="B45" s="1473" t="s">
        <v>554</v>
      </c>
      <c r="C45" s="1419">
        <v>56</v>
      </c>
      <c r="D45" s="1419">
        <v>60</v>
      </c>
      <c r="E45" s="1419">
        <v>56</v>
      </c>
      <c r="F45" s="1419">
        <v>70</v>
      </c>
      <c r="G45" s="1419">
        <v>72</v>
      </c>
      <c r="H45" s="1419">
        <v>66</v>
      </c>
      <c r="I45" s="1419">
        <v>63</v>
      </c>
      <c r="J45" s="1419">
        <v>80</v>
      </c>
      <c r="K45" s="1419">
        <v>72</v>
      </c>
      <c r="L45" s="1419">
        <v>73</v>
      </c>
      <c r="M45" s="1419">
        <v>62</v>
      </c>
      <c r="N45" s="1419">
        <v>84</v>
      </c>
      <c r="O45" s="1419">
        <v>65</v>
      </c>
      <c r="P45" s="1419">
        <v>0</v>
      </c>
      <c r="Q45" s="1419">
        <v>0</v>
      </c>
      <c r="R45" s="1419">
        <v>879</v>
      </c>
    </row>
    <row r="46" spans="1:18" ht="12" thickBot="1">
      <c r="A46" s="1473" t="s">
        <v>358</v>
      </c>
      <c r="B46" s="1473" t="s">
        <v>359</v>
      </c>
      <c r="C46" s="1419">
        <v>41</v>
      </c>
      <c r="D46" s="1419">
        <v>41</v>
      </c>
      <c r="E46" s="1419">
        <v>33</v>
      </c>
      <c r="F46" s="1419">
        <v>36</v>
      </c>
      <c r="G46" s="1419">
        <v>37</v>
      </c>
      <c r="H46" s="1419">
        <v>43</v>
      </c>
      <c r="I46" s="1419">
        <v>45</v>
      </c>
      <c r="J46" s="1419">
        <v>48</v>
      </c>
      <c r="K46" s="1419">
        <v>45</v>
      </c>
      <c r="L46" s="1419">
        <v>50</v>
      </c>
      <c r="M46" s="1419">
        <v>41</v>
      </c>
      <c r="N46" s="1419">
        <v>31</v>
      </c>
      <c r="O46" s="1419">
        <v>48</v>
      </c>
      <c r="P46" s="1419">
        <v>0</v>
      </c>
      <c r="Q46" s="1419">
        <v>0</v>
      </c>
      <c r="R46" s="1419">
        <v>539</v>
      </c>
    </row>
    <row r="47" spans="1:18" ht="12" thickBot="1">
      <c r="A47" s="1473" t="s">
        <v>464</v>
      </c>
      <c r="B47" s="1473" t="s">
        <v>465</v>
      </c>
      <c r="C47" s="1419">
        <v>208</v>
      </c>
      <c r="D47" s="1419">
        <v>240</v>
      </c>
      <c r="E47" s="1419">
        <v>222</v>
      </c>
      <c r="F47" s="1419">
        <v>209</v>
      </c>
      <c r="G47" s="1419">
        <v>217</v>
      </c>
      <c r="H47" s="1419">
        <v>203</v>
      </c>
      <c r="I47" s="1419">
        <v>192</v>
      </c>
      <c r="J47" s="1419">
        <v>191</v>
      </c>
      <c r="K47" s="1419">
        <v>207</v>
      </c>
      <c r="L47" s="1419">
        <v>180</v>
      </c>
      <c r="M47" s="1419">
        <v>177</v>
      </c>
      <c r="N47" s="1419">
        <v>138</v>
      </c>
      <c r="O47" s="1419">
        <v>131</v>
      </c>
      <c r="P47" s="1419">
        <v>0</v>
      </c>
      <c r="Q47" s="1419">
        <v>0</v>
      </c>
      <c r="R47" s="1419">
        <v>2515</v>
      </c>
    </row>
    <row r="48" spans="1:18" ht="12" thickBot="1">
      <c r="A48" s="1473" t="s">
        <v>483</v>
      </c>
      <c r="B48" s="1473" t="s">
        <v>484</v>
      </c>
      <c r="C48" s="1419">
        <v>65</v>
      </c>
      <c r="D48" s="1419">
        <v>68</v>
      </c>
      <c r="E48" s="1419">
        <v>65</v>
      </c>
      <c r="F48" s="1419">
        <v>72</v>
      </c>
      <c r="G48" s="1419">
        <v>74</v>
      </c>
      <c r="H48" s="1419">
        <v>69</v>
      </c>
      <c r="I48" s="1419">
        <v>76</v>
      </c>
      <c r="J48" s="1419">
        <v>64</v>
      </c>
      <c r="K48" s="1419">
        <v>58</v>
      </c>
      <c r="L48" s="1419">
        <v>60</v>
      </c>
      <c r="M48" s="1419">
        <v>62</v>
      </c>
      <c r="N48" s="1419">
        <v>58</v>
      </c>
      <c r="O48" s="1419">
        <v>51</v>
      </c>
      <c r="P48" s="1419">
        <v>0</v>
      </c>
      <c r="Q48" s="1419">
        <v>0</v>
      </c>
      <c r="R48" s="1419">
        <v>842</v>
      </c>
    </row>
    <row r="49" spans="1:18" ht="12" thickBot="1">
      <c r="A49" s="1473" t="s">
        <v>121</v>
      </c>
      <c r="B49" s="1473" t="s">
        <v>122</v>
      </c>
      <c r="C49" s="1419">
        <v>114</v>
      </c>
      <c r="D49" s="1419">
        <v>113</v>
      </c>
      <c r="E49" s="1419">
        <v>105</v>
      </c>
      <c r="F49" s="1419">
        <v>107</v>
      </c>
      <c r="G49" s="1419">
        <v>101</v>
      </c>
      <c r="H49" s="1419">
        <v>100</v>
      </c>
      <c r="I49" s="1419">
        <v>97</v>
      </c>
      <c r="J49" s="1419">
        <v>80</v>
      </c>
      <c r="K49" s="1419">
        <v>108</v>
      </c>
      <c r="L49" s="1419">
        <v>109</v>
      </c>
      <c r="M49" s="1419">
        <v>105</v>
      </c>
      <c r="N49" s="1419">
        <v>113</v>
      </c>
      <c r="O49" s="1419">
        <v>87</v>
      </c>
      <c r="P49" s="1419">
        <v>0</v>
      </c>
      <c r="Q49" s="1419">
        <v>0</v>
      </c>
      <c r="R49" s="1419">
        <v>1339</v>
      </c>
    </row>
    <row r="50" spans="1:18" ht="12" thickBot="1">
      <c r="A50" s="1473" t="s">
        <v>651</v>
      </c>
      <c r="B50" s="1473" t="s">
        <v>652</v>
      </c>
      <c r="C50" s="1419">
        <v>35</v>
      </c>
      <c r="D50" s="1419">
        <v>37</v>
      </c>
      <c r="E50" s="1419">
        <v>36</v>
      </c>
      <c r="F50" s="1419">
        <v>48</v>
      </c>
      <c r="G50" s="1419">
        <v>37</v>
      </c>
      <c r="H50" s="1419">
        <v>35</v>
      </c>
      <c r="I50" s="1419">
        <v>39</v>
      </c>
      <c r="J50" s="1419">
        <v>25</v>
      </c>
      <c r="K50" s="1419">
        <v>39</v>
      </c>
      <c r="L50" s="1419">
        <v>36</v>
      </c>
      <c r="M50" s="1419">
        <v>34</v>
      </c>
      <c r="N50" s="1419">
        <v>28</v>
      </c>
      <c r="O50" s="1419">
        <v>23</v>
      </c>
      <c r="P50" s="1419">
        <v>0</v>
      </c>
      <c r="Q50" s="1419">
        <v>0</v>
      </c>
      <c r="R50" s="1419">
        <v>452</v>
      </c>
    </row>
    <row r="51" spans="1:18" ht="12" thickBot="1">
      <c r="A51" s="1473" t="s">
        <v>541</v>
      </c>
      <c r="B51" s="1473" t="s">
        <v>542</v>
      </c>
      <c r="C51" s="1419">
        <v>810</v>
      </c>
      <c r="D51" s="1419">
        <v>770</v>
      </c>
      <c r="E51" s="1419">
        <v>719</v>
      </c>
      <c r="F51" s="1419">
        <v>749</v>
      </c>
      <c r="G51" s="1419">
        <v>744</v>
      </c>
      <c r="H51" s="1419">
        <v>678</v>
      </c>
      <c r="I51" s="1419">
        <v>714</v>
      </c>
      <c r="J51" s="1419">
        <v>693</v>
      </c>
      <c r="K51" s="1419">
        <v>706</v>
      </c>
      <c r="L51" s="1419">
        <v>750</v>
      </c>
      <c r="M51" s="1419">
        <v>663</v>
      </c>
      <c r="N51" s="1419">
        <v>639</v>
      </c>
      <c r="O51" s="1419">
        <v>621</v>
      </c>
      <c r="P51" s="1419">
        <v>0</v>
      </c>
      <c r="Q51" s="1419">
        <v>0</v>
      </c>
      <c r="R51" s="1419">
        <v>9256</v>
      </c>
    </row>
    <row r="52" spans="1:18" ht="12" thickBot="1">
      <c r="A52" s="1473" t="s">
        <v>645</v>
      </c>
      <c r="B52" s="1473" t="s">
        <v>646</v>
      </c>
      <c r="C52" s="1419">
        <v>91</v>
      </c>
      <c r="D52" s="1419">
        <v>77</v>
      </c>
      <c r="E52" s="1419">
        <v>86</v>
      </c>
      <c r="F52" s="1419">
        <v>63</v>
      </c>
      <c r="G52" s="1419">
        <v>87</v>
      </c>
      <c r="H52" s="1419">
        <v>76</v>
      </c>
      <c r="I52" s="1419">
        <v>86</v>
      </c>
      <c r="J52" s="1419">
        <v>71</v>
      </c>
      <c r="K52" s="1419">
        <v>69</v>
      </c>
      <c r="L52" s="1419">
        <v>95</v>
      </c>
      <c r="M52" s="1419">
        <v>74</v>
      </c>
      <c r="N52" s="1419">
        <v>71</v>
      </c>
      <c r="O52" s="1419">
        <v>88</v>
      </c>
      <c r="P52" s="1419">
        <v>0</v>
      </c>
      <c r="Q52" s="1419">
        <v>2</v>
      </c>
      <c r="R52" s="1419">
        <v>1036</v>
      </c>
    </row>
    <row r="53" spans="1:18" ht="12" thickBot="1">
      <c r="A53" s="1473" t="s">
        <v>233</v>
      </c>
      <c r="B53" s="1473" t="s">
        <v>234</v>
      </c>
      <c r="C53" s="1419">
        <v>91</v>
      </c>
      <c r="D53" s="1419">
        <v>90</v>
      </c>
      <c r="E53" s="1419">
        <v>87</v>
      </c>
      <c r="F53" s="1419">
        <v>90</v>
      </c>
      <c r="G53" s="1419">
        <v>91</v>
      </c>
      <c r="H53" s="1419">
        <v>91</v>
      </c>
      <c r="I53" s="1419">
        <v>83</v>
      </c>
      <c r="J53" s="1419">
        <v>88</v>
      </c>
      <c r="K53" s="1419">
        <v>88</v>
      </c>
      <c r="L53" s="1419">
        <v>86</v>
      </c>
      <c r="M53" s="1419">
        <v>86</v>
      </c>
      <c r="N53" s="1419">
        <v>81</v>
      </c>
      <c r="O53" s="1419">
        <v>85</v>
      </c>
      <c r="P53" s="1419">
        <v>0</v>
      </c>
      <c r="Q53" s="1419">
        <v>6</v>
      </c>
      <c r="R53" s="1419">
        <v>1143</v>
      </c>
    </row>
    <row r="54" spans="1:18" ht="12" thickBot="1">
      <c r="A54" s="1473" t="s">
        <v>593</v>
      </c>
      <c r="B54" s="1473" t="s">
        <v>594</v>
      </c>
      <c r="C54" s="1419">
        <v>55</v>
      </c>
      <c r="D54" s="1419">
        <v>44</v>
      </c>
      <c r="E54" s="1419">
        <v>54</v>
      </c>
      <c r="F54" s="1419">
        <v>46</v>
      </c>
      <c r="G54" s="1419">
        <v>54</v>
      </c>
      <c r="H54" s="1419">
        <v>62</v>
      </c>
      <c r="I54" s="1419">
        <v>52</v>
      </c>
      <c r="J54" s="1419">
        <v>53</v>
      </c>
      <c r="K54" s="1419">
        <v>54</v>
      </c>
      <c r="L54" s="1419">
        <v>57</v>
      </c>
      <c r="M54" s="1419">
        <v>49</v>
      </c>
      <c r="N54" s="1419">
        <v>38</v>
      </c>
      <c r="O54" s="1419">
        <v>45</v>
      </c>
      <c r="P54" s="1419">
        <v>0</v>
      </c>
      <c r="Q54" s="1419">
        <v>0</v>
      </c>
      <c r="R54" s="1419">
        <v>663</v>
      </c>
    </row>
    <row r="55" spans="1:18" ht="12" thickBot="1">
      <c r="A55" s="1473" t="s">
        <v>555</v>
      </c>
      <c r="B55" s="1473" t="s">
        <v>556</v>
      </c>
      <c r="C55" s="1419">
        <v>38</v>
      </c>
      <c r="D55" s="1419">
        <v>33</v>
      </c>
      <c r="E55" s="1419">
        <v>30</v>
      </c>
      <c r="F55" s="1419">
        <v>33</v>
      </c>
      <c r="G55" s="1419">
        <v>39</v>
      </c>
      <c r="H55" s="1419">
        <v>35</v>
      </c>
      <c r="I55" s="1419">
        <v>35</v>
      </c>
      <c r="J55" s="1419">
        <v>31</v>
      </c>
      <c r="K55" s="1419">
        <v>46</v>
      </c>
      <c r="L55" s="1419">
        <v>38</v>
      </c>
      <c r="M55" s="1419">
        <v>55</v>
      </c>
      <c r="N55" s="1419">
        <v>35</v>
      </c>
      <c r="O55" s="1419">
        <v>37</v>
      </c>
      <c r="P55" s="1419">
        <v>0</v>
      </c>
      <c r="Q55" s="1419">
        <v>0</v>
      </c>
      <c r="R55" s="1419">
        <v>485</v>
      </c>
    </row>
    <row r="56" spans="1:18" ht="12" thickBot="1">
      <c r="A56" s="1473" t="s">
        <v>757</v>
      </c>
      <c r="B56" s="1473" t="s">
        <v>774</v>
      </c>
      <c r="C56" s="1419">
        <v>0</v>
      </c>
      <c r="D56" s="1419">
        <v>0</v>
      </c>
      <c r="E56" s="1419">
        <v>0</v>
      </c>
      <c r="F56" s="1419">
        <v>0</v>
      </c>
      <c r="G56" s="1419">
        <v>0</v>
      </c>
      <c r="H56" s="1419">
        <v>0</v>
      </c>
      <c r="I56" s="1419">
        <v>37</v>
      </c>
      <c r="J56" s="1419">
        <v>39</v>
      </c>
      <c r="K56" s="1419">
        <v>52</v>
      </c>
      <c r="L56" s="1419">
        <v>22</v>
      </c>
      <c r="M56" s="1419">
        <v>14</v>
      </c>
      <c r="N56" s="1419">
        <v>0</v>
      </c>
      <c r="O56" s="1419">
        <v>0</v>
      </c>
      <c r="P56" s="1419">
        <v>0</v>
      </c>
      <c r="Q56" s="1419">
        <v>0</v>
      </c>
      <c r="R56" s="1419">
        <v>164</v>
      </c>
    </row>
    <row r="57" spans="1:18" ht="12" thickBot="1">
      <c r="A57" s="1473" t="s">
        <v>527</v>
      </c>
      <c r="B57" s="1473" t="s">
        <v>528</v>
      </c>
      <c r="C57" s="1419">
        <v>42</v>
      </c>
      <c r="D57" s="1419">
        <v>46</v>
      </c>
      <c r="E57" s="1419">
        <v>34</v>
      </c>
      <c r="F57" s="1419">
        <v>51</v>
      </c>
      <c r="G57" s="1419">
        <v>42</v>
      </c>
      <c r="H57" s="1419">
        <v>43</v>
      </c>
      <c r="I57" s="1419">
        <v>43</v>
      </c>
      <c r="J57" s="1419">
        <v>49</v>
      </c>
      <c r="K57" s="1419">
        <v>54</v>
      </c>
      <c r="L57" s="1419">
        <v>49</v>
      </c>
      <c r="M57" s="1419">
        <v>67</v>
      </c>
      <c r="N57" s="1419">
        <v>47</v>
      </c>
      <c r="O57" s="1419">
        <v>56</v>
      </c>
      <c r="P57" s="1419">
        <v>0</v>
      </c>
      <c r="Q57" s="1419">
        <v>5</v>
      </c>
      <c r="R57" s="1419">
        <v>628</v>
      </c>
    </row>
    <row r="58" spans="1:18" ht="12" thickBot="1">
      <c r="A58" s="1473" t="s">
        <v>589</v>
      </c>
      <c r="B58" s="1473" t="s">
        <v>590</v>
      </c>
      <c r="C58" s="1419">
        <v>125</v>
      </c>
      <c r="D58" s="1419">
        <v>166</v>
      </c>
      <c r="E58" s="1419">
        <v>156</v>
      </c>
      <c r="F58" s="1419">
        <v>130</v>
      </c>
      <c r="G58" s="1419">
        <v>132</v>
      </c>
      <c r="H58" s="1419">
        <v>140</v>
      </c>
      <c r="I58" s="1419">
        <v>141</v>
      </c>
      <c r="J58" s="1419">
        <v>147</v>
      </c>
      <c r="K58" s="1419">
        <v>157</v>
      </c>
      <c r="L58" s="1419">
        <v>171</v>
      </c>
      <c r="M58" s="1419">
        <v>154</v>
      </c>
      <c r="N58" s="1419">
        <v>121</v>
      </c>
      <c r="O58" s="1419">
        <v>131</v>
      </c>
      <c r="P58" s="1419">
        <v>0</v>
      </c>
      <c r="Q58" s="1419">
        <v>2</v>
      </c>
      <c r="R58" s="1419">
        <v>1873</v>
      </c>
    </row>
    <row r="59" spans="1:18" ht="12" thickBot="1">
      <c r="A59" s="1473" t="s">
        <v>565</v>
      </c>
      <c r="B59" s="1473" t="s">
        <v>566</v>
      </c>
      <c r="C59" s="1419">
        <v>42</v>
      </c>
      <c r="D59" s="1419">
        <v>53</v>
      </c>
      <c r="E59" s="1419">
        <v>50</v>
      </c>
      <c r="F59" s="1419">
        <v>41</v>
      </c>
      <c r="G59" s="1419">
        <v>42</v>
      </c>
      <c r="H59" s="1419">
        <v>47</v>
      </c>
      <c r="I59" s="1419">
        <v>49</v>
      </c>
      <c r="J59" s="1419">
        <v>46</v>
      </c>
      <c r="K59" s="1419">
        <v>48</v>
      </c>
      <c r="L59" s="1419">
        <v>59</v>
      </c>
      <c r="M59" s="1419">
        <v>54</v>
      </c>
      <c r="N59" s="1419">
        <v>45</v>
      </c>
      <c r="O59" s="1419">
        <v>64</v>
      </c>
      <c r="P59" s="1419">
        <v>0</v>
      </c>
      <c r="Q59" s="1419">
        <v>0</v>
      </c>
      <c r="R59" s="1419">
        <v>640</v>
      </c>
    </row>
    <row r="60" spans="1:18" ht="12" thickBot="1">
      <c r="A60" s="1473" t="s">
        <v>163</v>
      </c>
      <c r="B60" s="1473" t="s">
        <v>164</v>
      </c>
      <c r="C60" s="1419">
        <v>82</v>
      </c>
      <c r="D60" s="1419">
        <v>95</v>
      </c>
      <c r="E60" s="1419">
        <v>65</v>
      </c>
      <c r="F60" s="1419">
        <v>63</v>
      </c>
      <c r="G60" s="1419">
        <v>82</v>
      </c>
      <c r="H60" s="1419">
        <v>61</v>
      </c>
      <c r="I60" s="1419">
        <v>65</v>
      </c>
      <c r="J60" s="1419">
        <v>61</v>
      </c>
      <c r="K60" s="1419">
        <v>49</v>
      </c>
      <c r="L60" s="1419">
        <v>58</v>
      </c>
      <c r="M60" s="1419">
        <v>76</v>
      </c>
      <c r="N60" s="1419">
        <v>65</v>
      </c>
      <c r="O60" s="1419">
        <v>57</v>
      </c>
      <c r="P60" s="1419">
        <v>0</v>
      </c>
      <c r="Q60" s="1419">
        <v>0</v>
      </c>
      <c r="R60" s="1419">
        <v>879</v>
      </c>
    </row>
    <row r="61" spans="1:18" ht="12" thickBot="1">
      <c r="A61" s="1473" t="s">
        <v>165</v>
      </c>
      <c r="B61" s="1473" t="s">
        <v>166</v>
      </c>
      <c r="C61" s="1419">
        <v>165</v>
      </c>
      <c r="D61" s="1419">
        <v>183</v>
      </c>
      <c r="E61" s="1419">
        <v>159</v>
      </c>
      <c r="F61" s="1419">
        <v>184</v>
      </c>
      <c r="G61" s="1419">
        <v>152</v>
      </c>
      <c r="H61" s="1419">
        <v>146</v>
      </c>
      <c r="I61" s="1419">
        <v>143</v>
      </c>
      <c r="J61" s="1419">
        <v>157</v>
      </c>
      <c r="K61" s="1419">
        <v>154</v>
      </c>
      <c r="L61" s="1419">
        <v>166</v>
      </c>
      <c r="M61" s="1419">
        <v>151</v>
      </c>
      <c r="N61" s="1419">
        <v>100</v>
      </c>
      <c r="O61" s="1419">
        <v>109</v>
      </c>
      <c r="P61" s="1419">
        <v>0</v>
      </c>
      <c r="Q61" s="1419">
        <v>0</v>
      </c>
      <c r="R61" s="1419">
        <v>1969</v>
      </c>
    </row>
    <row r="62" spans="1:18" ht="12" thickBot="1">
      <c r="A62" s="1473" t="s">
        <v>601</v>
      </c>
      <c r="B62" s="1473" t="s">
        <v>602</v>
      </c>
      <c r="C62" s="1419">
        <v>40</v>
      </c>
      <c r="D62" s="1419">
        <v>56</v>
      </c>
      <c r="E62" s="1419">
        <v>51</v>
      </c>
      <c r="F62" s="1419">
        <v>38</v>
      </c>
      <c r="G62" s="1419">
        <v>49</v>
      </c>
      <c r="H62" s="1419">
        <v>35</v>
      </c>
      <c r="I62" s="1419">
        <v>32</v>
      </c>
      <c r="J62" s="1419">
        <v>39</v>
      </c>
      <c r="K62" s="1419">
        <v>43</v>
      </c>
      <c r="L62" s="1419">
        <v>33</v>
      </c>
      <c r="M62" s="1419">
        <v>32</v>
      </c>
      <c r="N62" s="1419">
        <v>25</v>
      </c>
      <c r="O62" s="1419">
        <v>22</v>
      </c>
      <c r="P62" s="1419">
        <v>0</v>
      </c>
      <c r="Q62" s="1419">
        <v>0</v>
      </c>
      <c r="R62" s="1419">
        <v>495</v>
      </c>
    </row>
    <row r="63" spans="1:18" ht="12" thickBot="1">
      <c r="A63" s="1473" t="s">
        <v>370</v>
      </c>
      <c r="B63" s="1473" t="s">
        <v>371</v>
      </c>
      <c r="C63" s="1419">
        <v>25</v>
      </c>
      <c r="D63" s="1419">
        <v>31</v>
      </c>
      <c r="E63" s="1419">
        <v>29</v>
      </c>
      <c r="F63" s="1419">
        <v>27</v>
      </c>
      <c r="G63" s="1419">
        <v>25</v>
      </c>
      <c r="H63" s="1419">
        <v>35</v>
      </c>
      <c r="I63" s="1419">
        <v>30</v>
      </c>
      <c r="J63" s="1419">
        <v>30</v>
      </c>
      <c r="K63" s="1419">
        <v>27</v>
      </c>
      <c r="L63" s="1419">
        <v>26</v>
      </c>
      <c r="M63" s="1419">
        <v>27</v>
      </c>
      <c r="N63" s="1419">
        <v>24</v>
      </c>
      <c r="O63" s="1419">
        <v>27</v>
      </c>
      <c r="P63" s="1419">
        <v>0</v>
      </c>
      <c r="Q63" s="1419">
        <v>0</v>
      </c>
      <c r="R63" s="1419">
        <v>363</v>
      </c>
    </row>
    <row r="64" spans="1:18" ht="12" thickBot="1">
      <c r="A64" s="1473" t="s">
        <v>291</v>
      </c>
      <c r="B64" s="1473" t="s">
        <v>292</v>
      </c>
      <c r="C64" s="1419">
        <v>215</v>
      </c>
      <c r="D64" s="1419">
        <v>196</v>
      </c>
      <c r="E64" s="1419">
        <v>216</v>
      </c>
      <c r="F64" s="1419">
        <v>198</v>
      </c>
      <c r="G64" s="1419">
        <v>218</v>
      </c>
      <c r="H64" s="1419">
        <v>166</v>
      </c>
      <c r="I64" s="1419">
        <v>189</v>
      </c>
      <c r="J64" s="1419">
        <v>195</v>
      </c>
      <c r="K64" s="1419">
        <v>162</v>
      </c>
      <c r="L64" s="1419">
        <v>189</v>
      </c>
      <c r="M64" s="1419">
        <v>151</v>
      </c>
      <c r="N64" s="1419">
        <v>148</v>
      </c>
      <c r="O64" s="1419">
        <v>140</v>
      </c>
      <c r="P64" s="1419">
        <v>0</v>
      </c>
      <c r="Q64" s="1419">
        <v>0</v>
      </c>
      <c r="R64" s="1419">
        <v>2383</v>
      </c>
    </row>
    <row r="65" spans="1:18" ht="12" thickBot="1">
      <c r="A65" s="1473" t="s">
        <v>637</v>
      </c>
      <c r="B65" s="1473" t="s">
        <v>638</v>
      </c>
      <c r="C65" s="1419">
        <v>33</v>
      </c>
      <c r="D65" s="1419">
        <v>34</v>
      </c>
      <c r="E65" s="1419">
        <v>23</v>
      </c>
      <c r="F65" s="1419">
        <v>22</v>
      </c>
      <c r="G65" s="1419">
        <v>30</v>
      </c>
      <c r="H65" s="1419">
        <v>34</v>
      </c>
      <c r="I65" s="1419">
        <v>37</v>
      </c>
      <c r="J65" s="1419">
        <v>34</v>
      </c>
      <c r="K65" s="1419">
        <v>33</v>
      </c>
      <c r="L65" s="1419">
        <v>36</v>
      </c>
      <c r="M65" s="1419">
        <v>25</v>
      </c>
      <c r="N65" s="1419">
        <v>37</v>
      </c>
      <c r="O65" s="1419">
        <v>40</v>
      </c>
      <c r="P65" s="1419">
        <v>0</v>
      </c>
      <c r="Q65" s="1419">
        <v>0</v>
      </c>
      <c r="R65" s="1419">
        <v>418</v>
      </c>
    </row>
    <row r="66" spans="1:18" ht="12" thickBot="1">
      <c r="A66" s="1473" t="s">
        <v>245</v>
      </c>
      <c r="B66" s="1473" t="s">
        <v>246</v>
      </c>
      <c r="C66" s="1419">
        <v>33</v>
      </c>
      <c r="D66" s="1419">
        <v>44</v>
      </c>
      <c r="E66" s="1419">
        <v>40</v>
      </c>
      <c r="F66" s="1419">
        <v>36</v>
      </c>
      <c r="G66" s="1419">
        <v>43</v>
      </c>
      <c r="H66" s="1419">
        <v>47</v>
      </c>
      <c r="I66" s="1419">
        <v>42</v>
      </c>
      <c r="J66" s="1419">
        <v>49</v>
      </c>
      <c r="K66" s="1419">
        <v>52</v>
      </c>
      <c r="L66" s="1419">
        <v>59</v>
      </c>
      <c r="M66" s="1419">
        <v>55</v>
      </c>
      <c r="N66" s="1419">
        <v>48</v>
      </c>
      <c r="O66" s="1419">
        <v>46</v>
      </c>
      <c r="P66" s="1419">
        <v>0</v>
      </c>
      <c r="Q66" s="1419">
        <v>0</v>
      </c>
      <c r="R66" s="1419">
        <v>594</v>
      </c>
    </row>
    <row r="67" spans="1:18" ht="12" thickBot="1">
      <c r="A67" s="1473" t="s">
        <v>585</v>
      </c>
      <c r="B67" s="1473" t="s">
        <v>586</v>
      </c>
      <c r="C67" s="1419">
        <v>90</v>
      </c>
      <c r="D67" s="1419">
        <v>107</v>
      </c>
      <c r="E67" s="1419">
        <v>84</v>
      </c>
      <c r="F67" s="1419">
        <v>103</v>
      </c>
      <c r="G67" s="1419">
        <v>104</v>
      </c>
      <c r="H67" s="1419">
        <v>123</v>
      </c>
      <c r="I67" s="1419">
        <v>110</v>
      </c>
      <c r="J67" s="1419">
        <v>122</v>
      </c>
      <c r="K67" s="1419">
        <v>109</v>
      </c>
      <c r="L67" s="1419">
        <v>109</v>
      </c>
      <c r="M67" s="1419">
        <v>106</v>
      </c>
      <c r="N67" s="1419">
        <v>89</v>
      </c>
      <c r="O67" s="1419">
        <v>92</v>
      </c>
      <c r="P67" s="1419">
        <v>0</v>
      </c>
      <c r="Q67" s="1419">
        <v>0</v>
      </c>
      <c r="R67" s="1419">
        <v>1348</v>
      </c>
    </row>
    <row r="68" spans="1:18" ht="12" thickBot="1">
      <c r="A68" s="1473" t="s">
        <v>432</v>
      </c>
      <c r="B68" s="1473" t="s">
        <v>433</v>
      </c>
      <c r="C68" s="1419">
        <v>46</v>
      </c>
      <c r="D68" s="1419">
        <v>40</v>
      </c>
      <c r="E68" s="1419">
        <v>38</v>
      </c>
      <c r="F68" s="1419">
        <v>40</v>
      </c>
      <c r="G68" s="1419">
        <v>55</v>
      </c>
      <c r="H68" s="1419">
        <v>37</v>
      </c>
      <c r="I68" s="1419">
        <v>40</v>
      </c>
      <c r="J68" s="1419">
        <v>40</v>
      </c>
      <c r="K68" s="1419">
        <v>42</v>
      </c>
      <c r="L68" s="1419">
        <v>50</v>
      </c>
      <c r="M68" s="1419">
        <v>42</v>
      </c>
      <c r="N68" s="1419">
        <v>33</v>
      </c>
      <c r="O68" s="1419">
        <v>47</v>
      </c>
      <c r="P68" s="1419">
        <v>0</v>
      </c>
      <c r="Q68" s="1419">
        <v>0</v>
      </c>
      <c r="R68" s="1419">
        <v>550</v>
      </c>
    </row>
    <row r="69" spans="1:18" ht="12" thickBot="1">
      <c r="A69" s="1473" t="s">
        <v>456</v>
      </c>
      <c r="B69" s="1473" t="s">
        <v>457</v>
      </c>
      <c r="C69" s="1419">
        <v>121</v>
      </c>
      <c r="D69" s="1419">
        <v>134</v>
      </c>
      <c r="E69" s="1419">
        <v>108</v>
      </c>
      <c r="F69" s="1419">
        <v>115</v>
      </c>
      <c r="G69" s="1419">
        <v>108</v>
      </c>
      <c r="H69" s="1419">
        <v>94</v>
      </c>
      <c r="I69" s="1419">
        <v>135</v>
      </c>
      <c r="J69" s="1419">
        <v>112</v>
      </c>
      <c r="K69" s="1419">
        <v>122</v>
      </c>
      <c r="L69" s="1419">
        <v>119</v>
      </c>
      <c r="M69" s="1419">
        <v>100</v>
      </c>
      <c r="N69" s="1419">
        <v>121</v>
      </c>
      <c r="O69" s="1419">
        <v>134</v>
      </c>
      <c r="P69" s="1419">
        <v>0</v>
      </c>
      <c r="Q69" s="1419">
        <v>2</v>
      </c>
      <c r="R69" s="1419">
        <v>1525</v>
      </c>
    </row>
    <row r="70" spans="1:18" ht="12" thickBot="1">
      <c r="A70" s="1473" t="s">
        <v>237</v>
      </c>
      <c r="B70" s="1473" t="s">
        <v>238</v>
      </c>
      <c r="C70" s="1419">
        <v>103</v>
      </c>
      <c r="D70" s="1419">
        <v>106</v>
      </c>
      <c r="E70" s="1419">
        <v>107</v>
      </c>
      <c r="F70" s="1419">
        <v>104</v>
      </c>
      <c r="G70" s="1419">
        <v>114</v>
      </c>
      <c r="H70" s="1419">
        <v>99</v>
      </c>
      <c r="I70" s="1419">
        <v>118</v>
      </c>
      <c r="J70" s="1419">
        <v>124</v>
      </c>
      <c r="K70" s="1419">
        <v>105</v>
      </c>
      <c r="L70" s="1419">
        <v>103</v>
      </c>
      <c r="M70" s="1419">
        <v>106</v>
      </c>
      <c r="N70" s="1419">
        <v>93</v>
      </c>
      <c r="O70" s="1419">
        <v>91</v>
      </c>
      <c r="P70" s="1419">
        <v>0</v>
      </c>
      <c r="Q70" s="1419">
        <v>10</v>
      </c>
      <c r="R70" s="1419">
        <v>1383</v>
      </c>
    </row>
    <row r="71" spans="1:18" ht="12" thickBot="1">
      <c r="A71" s="1473" t="s">
        <v>755</v>
      </c>
      <c r="B71" s="1473" t="s">
        <v>772</v>
      </c>
      <c r="C71" s="1419">
        <v>40</v>
      </c>
      <c r="D71" s="1419">
        <v>50</v>
      </c>
      <c r="E71" s="1419">
        <v>42</v>
      </c>
      <c r="F71" s="1419">
        <v>47</v>
      </c>
      <c r="G71" s="1419">
        <v>38</v>
      </c>
      <c r="H71" s="1419">
        <v>47</v>
      </c>
      <c r="I71" s="1419">
        <v>0</v>
      </c>
      <c r="J71" s="1419">
        <v>0</v>
      </c>
      <c r="K71" s="1419">
        <v>0</v>
      </c>
      <c r="L71" s="1419">
        <v>0</v>
      </c>
      <c r="M71" s="1419">
        <v>0</v>
      </c>
      <c r="N71" s="1419">
        <v>0</v>
      </c>
      <c r="O71" s="1419">
        <v>0</v>
      </c>
      <c r="P71" s="1419">
        <v>0</v>
      </c>
      <c r="Q71" s="1419">
        <v>0</v>
      </c>
      <c r="R71" s="1419">
        <v>264</v>
      </c>
    </row>
    <row r="72" spans="1:18" ht="12" thickBot="1">
      <c r="A72" s="1473" t="s">
        <v>537</v>
      </c>
      <c r="B72" s="1473" t="s">
        <v>538</v>
      </c>
      <c r="C72" s="1419">
        <v>62</v>
      </c>
      <c r="D72" s="1419">
        <v>63</v>
      </c>
      <c r="E72" s="1419">
        <v>77</v>
      </c>
      <c r="F72" s="1419">
        <v>67</v>
      </c>
      <c r="G72" s="1419">
        <v>70</v>
      </c>
      <c r="H72" s="1419">
        <v>99</v>
      </c>
      <c r="I72" s="1419">
        <v>66</v>
      </c>
      <c r="J72" s="1419">
        <v>91</v>
      </c>
      <c r="K72" s="1419">
        <v>77</v>
      </c>
      <c r="L72" s="1419">
        <v>89</v>
      </c>
      <c r="M72" s="1419">
        <v>55</v>
      </c>
      <c r="N72" s="1419">
        <v>69</v>
      </c>
      <c r="O72" s="1419">
        <v>79</v>
      </c>
      <c r="P72" s="1419">
        <v>0</v>
      </c>
      <c r="Q72" s="1419">
        <v>8</v>
      </c>
      <c r="R72" s="1419">
        <v>972</v>
      </c>
    </row>
    <row r="73" spans="1:18" ht="12" thickBot="1">
      <c r="A73" s="1473" t="s">
        <v>533</v>
      </c>
      <c r="B73" s="1473" t="s">
        <v>534</v>
      </c>
      <c r="C73" s="1419">
        <v>101</v>
      </c>
      <c r="D73" s="1419">
        <v>100</v>
      </c>
      <c r="E73" s="1419">
        <v>122</v>
      </c>
      <c r="F73" s="1419">
        <v>137</v>
      </c>
      <c r="G73" s="1419">
        <v>123</v>
      </c>
      <c r="H73" s="1419">
        <v>122</v>
      </c>
      <c r="I73" s="1419">
        <v>120</v>
      </c>
      <c r="J73" s="1419">
        <v>108</v>
      </c>
      <c r="K73" s="1419">
        <v>111</v>
      </c>
      <c r="L73" s="1419">
        <v>117</v>
      </c>
      <c r="M73" s="1419">
        <v>96</v>
      </c>
      <c r="N73" s="1419">
        <v>102</v>
      </c>
      <c r="O73" s="1419">
        <v>100</v>
      </c>
      <c r="P73" s="1419">
        <v>0</v>
      </c>
      <c r="Q73" s="1419">
        <v>0</v>
      </c>
      <c r="R73" s="1419">
        <v>1459</v>
      </c>
    </row>
    <row r="74" spans="1:18" ht="12" thickBot="1">
      <c r="A74" s="1473" t="s">
        <v>521</v>
      </c>
      <c r="B74" s="1473" t="s">
        <v>522</v>
      </c>
      <c r="C74" s="1419">
        <v>49</v>
      </c>
      <c r="D74" s="1419">
        <v>60</v>
      </c>
      <c r="E74" s="1419">
        <v>46</v>
      </c>
      <c r="F74" s="1419">
        <v>61</v>
      </c>
      <c r="G74" s="1419">
        <v>51</v>
      </c>
      <c r="H74" s="1419">
        <v>49</v>
      </c>
      <c r="I74" s="1419">
        <v>55</v>
      </c>
      <c r="J74" s="1419">
        <v>59</v>
      </c>
      <c r="K74" s="1419">
        <v>42</v>
      </c>
      <c r="L74" s="1419">
        <v>56</v>
      </c>
      <c r="M74" s="1419">
        <v>46</v>
      </c>
      <c r="N74" s="1419">
        <v>63</v>
      </c>
      <c r="O74" s="1419">
        <v>64</v>
      </c>
      <c r="P74" s="1419">
        <v>0</v>
      </c>
      <c r="Q74" s="1419">
        <v>0</v>
      </c>
      <c r="R74" s="1419">
        <v>701</v>
      </c>
    </row>
    <row r="75" spans="1:18" ht="12" thickBot="1">
      <c r="A75" s="1473" t="s">
        <v>380</v>
      </c>
      <c r="B75" s="1473" t="s">
        <v>381</v>
      </c>
      <c r="C75" s="1419">
        <v>41</v>
      </c>
      <c r="D75" s="1419">
        <v>43</v>
      </c>
      <c r="E75" s="1419">
        <v>41</v>
      </c>
      <c r="F75" s="1419">
        <v>52</v>
      </c>
      <c r="G75" s="1419">
        <v>46</v>
      </c>
      <c r="H75" s="1419">
        <v>42</v>
      </c>
      <c r="I75" s="1419">
        <v>52</v>
      </c>
      <c r="J75" s="1419">
        <v>45</v>
      </c>
      <c r="K75" s="1419">
        <v>51</v>
      </c>
      <c r="L75" s="1419">
        <v>59</v>
      </c>
      <c r="M75" s="1419">
        <v>66</v>
      </c>
      <c r="N75" s="1419">
        <v>53</v>
      </c>
      <c r="O75" s="1419">
        <v>48</v>
      </c>
      <c r="P75" s="1419">
        <v>0</v>
      </c>
      <c r="Q75" s="1419">
        <v>0</v>
      </c>
      <c r="R75" s="1419">
        <v>639</v>
      </c>
    </row>
    <row r="76" spans="1:18" ht="12" thickBot="1">
      <c r="A76" s="1473" t="s">
        <v>227</v>
      </c>
      <c r="B76" s="1473" t="s">
        <v>228</v>
      </c>
      <c r="C76" s="1419">
        <v>54</v>
      </c>
      <c r="D76" s="1419">
        <v>51</v>
      </c>
      <c r="E76" s="1419">
        <v>57</v>
      </c>
      <c r="F76" s="1419">
        <v>64</v>
      </c>
      <c r="G76" s="1419">
        <v>52</v>
      </c>
      <c r="H76" s="1419">
        <v>58</v>
      </c>
      <c r="I76" s="1419">
        <v>59</v>
      </c>
      <c r="J76" s="1419">
        <v>52</v>
      </c>
      <c r="K76" s="1419">
        <v>54</v>
      </c>
      <c r="L76" s="1419">
        <v>52</v>
      </c>
      <c r="M76" s="1419">
        <v>70</v>
      </c>
      <c r="N76" s="1419">
        <v>55</v>
      </c>
      <c r="O76" s="1419">
        <v>42</v>
      </c>
      <c r="P76" s="1419">
        <v>0</v>
      </c>
      <c r="Q76" s="1419">
        <v>0</v>
      </c>
      <c r="R76" s="1419">
        <v>720</v>
      </c>
    </row>
    <row r="77" spans="1:18" ht="12" thickBot="1">
      <c r="A77" s="1473" t="s">
        <v>301</v>
      </c>
      <c r="B77" s="1473" t="s">
        <v>302</v>
      </c>
      <c r="C77" s="1419">
        <v>385</v>
      </c>
      <c r="D77" s="1419">
        <v>387</v>
      </c>
      <c r="E77" s="1419">
        <v>354</v>
      </c>
      <c r="F77" s="1419">
        <v>369</v>
      </c>
      <c r="G77" s="1419">
        <v>345</v>
      </c>
      <c r="H77" s="1419">
        <v>369</v>
      </c>
      <c r="I77" s="1419">
        <v>358</v>
      </c>
      <c r="J77" s="1419">
        <v>357</v>
      </c>
      <c r="K77" s="1419">
        <v>321</v>
      </c>
      <c r="L77" s="1419">
        <v>429</v>
      </c>
      <c r="M77" s="1419">
        <v>324</v>
      </c>
      <c r="N77" s="1419">
        <v>294</v>
      </c>
      <c r="O77" s="1419">
        <v>294</v>
      </c>
      <c r="P77" s="1419">
        <v>0</v>
      </c>
      <c r="Q77" s="1419">
        <v>60</v>
      </c>
      <c r="R77" s="1419">
        <v>4646</v>
      </c>
    </row>
    <row r="78" spans="1:18" ht="12" thickBot="1">
      <c r="A78" s="1473" t="s">
        <v>127</v>
      </c>
      <c r="B78" s="1473" t="s">
        <v>128</v>
      </c>
      <c r="C78" s="1419">
        <v>89</v>
      </c>
      <c r="D78" s="1419">
        <v>75</v>
      </c>
      <c r="E78" s="1419">
        <v>88</v>
      </c>
      <c r="F78" s="1419">
        <v>86</v>
      </c>
      <c r="G78" s="1419">
        <v>95</v>
      </c>
      <c r="H78" s="1419">
        <v>99</v>
      </c>
      <c r="I78" s="1419">
        <v>87</v>
      </c>
      <c r="J78" s="1419">
        <v>96</v>
      </c>
      <c r="K78" s="1419">
        <v>83</v>
      </c>
      <c r="L78" s="1419">
        <v>94</v>
      </c>
      <c r="M78" s="1419">
        <v>88</v>
      </c>
      <c r="N78" s="1419">
        <v>89</v>
      </c>
      <c r="O78" s="1419">
        <v>82</v>
      </c>
      <c r="P78" s="1419">
        <v>0</v>
      </c>
      <c r="Q78" s="1419">
        <v>0</v>
      </c>
      <c r="R78" s="1419">
        <v>1151</v>
      </c>
    </row>
    <row r="79" spans="1:18" ht="12" thickBot="1">
      <c r="A79" s="1473" t="s">
        <v>487</v>
      </c>
      <c r="B79" s="1473" t="s">
        <v>488</v>
      </c>
      <c r="C79" s="1419">
        <v>46</v>
      </c>
      <c r="D79" s="1419">
        <v>38</v>
      </c>
      <c r="E79" s="1419">
        <v>60</v>
      </c>
      <c r="F79" s="1419">
        <v>35</v>
      </c>
      <c r="G79" s="1419">
        <v>48</v>
      </c>
      <c r="H79" s="1419">
        <v>56</v>
      </c>
      <c r="I79" s="1419">
        <v>42</v>
      </c>
      <c r="J79" s="1419">
        <v>53</v>
      </c>
      <c r="K79" s="1419">
        <v>45</v>
      </c>
      <c r="L79" s="1419">
        <v>50</v>
      </c>
      <c r="M79" s="1419">
        <v>53</v>
      </c>
      <c r="N79" s="1419">
        <v>46</v>
      </c>
      <c r="O79" s="1419">
        <v>40</v>
      </c>
      <c r="P79" s="1419">
        <v>0</v>
      </c>
      <c r="Q79" s="1419">
        <v>0</v>
      </c>
      <c r="R79" s="1419">
        <v>612</v>
      </c>
    </row>
    <row r="80" spans="1:18" ht="12" thickBot="1">
      <c r="A80" s="1473" t="s">
        <v>326</v>
      </c>
      <c r="B80" s="1473" t="s">
        <v>327</v>
      </c>
      <c r="C80" s="1419">
        <v>69</v>
      </c>
      <c r="D80" s="1419">
        <v>53</v>
      </c>
      <c r="E80" s="1419">
        <v>55</v>
      </c>
      <c r="F80" s="1419">
        <v>53</v>
      </c>
      <c r="G80" s="1419">
        <v>70</v>
      </c>
      <c r="H80" s="1419">
        <v>48</v>
      </c>
      <c r="I80" s="1419">
        <v>60</v>
      </c>
      <c r="J80" s="1419">
        <v>55</v>
      </c>
      <c r="K80" s="1419">
        <v>53</v>
      </c>
      <c r="L80" s="1419">
        <v>75</v>
      </c>
      <c r="M80" s="1419">
        <v>48</v>
      </c>
      <c r="N80" s="1419">
        <v>55</v>
      </c>
      <c r="O80" s="1419">
        <v>63</v>
      </c>
      <c r="P80" s="1419">
        <v>0</v>
      </c>
      <c r="Q80" s="1419">
        <v>0</v>
      </c>
      <c r="R80" s="1419">
        <v>757</v>
      </c>
    </row>
    <row r="81" spans="1:18" ht="12" thickBot="1">
      <c r="A81" s="1473" t="s">
        <v>758</v>
      </c>
      <c r="B81" s="1473" t="s">
        <v>775</v>
      </c>
      <c r="C81" s="1419">
        <v>61</v>
      </c>
      <c r="D81" s="1419">
        <v>63</v>
      </c>
      <c r="E81" s="1419">
        <v>72</v>
      </c>
      <c r="F81" s="1419">
        <v>79</v>
      </c>
      <c r="G81" s="1419">
        <v>87</v>
      </c>
      <c r="H81" s="1419">
        <v>0</v>
      </c>
      <c r="I81" s="1419">
        <v>0</v>
      </c>
      <c r="J81" s="1419">
        <v>0</v>
      </c>
      <c r="K81" s="1419">
        <v>0</v>
      </c>
      <c r="L81" s="1419">
        <v>0</v>
      </c>
      <c r="M81" s="1419">
        <v>0</v>
      </c>
      <c r="N81" s="1419">
        <v>0</v>
      </c>
      <c r="O81" s="1419">
        <v>0</v>
      </c>
      <c r="P81" s="1419">
        <v>0</v>
      </c>
      <c r="Q81" s="1419">
        <v>0</v>
      </c>
      <c r="R81" s="1419">
        <v>362</v>
      </c>
    </row>
    <row r="82" spans="1:18" ht="12" thickBot="1">
      <c r="A82" s="1473" t="s">
        <v>760</v>
      </c>
      <c r="B82" s="1473" t="s">
        <v>777</v>
      </c>
      <c r="C82" s="1419">
        <v>0</v>
      </c>
      <c r="D82" s="1419">
        <v>0</v>
      </c>
      <c r="E82" s="1419">
        <v>0</v>
      </c>
      <c r="F82" s="1419">
        <v>0</v>
      </c>
      <c r="G82" s="1419">
        <v>0</v>
      </c>
      <c r="H82" s="1419">
        <v>0</v>
      </c>
      <c r="I82" s="1419">
        <v>0</v>
      </c>
      <c r="J82" s="1419">
        <v>0</v>
      </c>
      <c r="K82" s="1419">
        <v>0</v>
      </c>
      <c r="L82" s="1419">
        <v>151</v>
      </c>
      <c r="M82" s="1419">
        <v>124</v>
      </c>
      <c r="N82" s="1419">
        <v>92</v>
      </c>
      <c r="O82" s="1419">
        <v>0</v>
      </c>
      <c r="P82" s="1419">
        <v>0</v>
      </c>
      <c r="Q82" s="1419">
        <v>0</v>
      </c>
      <c r="R82" s="1419">
        <v>367</v>
      </c>
    </row>
    <row r="83" spans="1:18" ht="12" thickBot="1">
      <c r="A83" s="1473" t="s">
        <v>759</v>
      </c>
      <c r="B83" s="1473" t="s">
        <v>776</v>
      </c>
      <c r="C83" s="1419">
        <v>0</v>
      </c>
      <c r="D83" s="1419">
        <v>0</v>
      </c>
      <c r="E83" s="1419">
        <v>0</v>
      </c>
      <c r="F83" s="1419">
        <v>0</v>
      </c>
      <c r="G83" s="1419">
        <v>0</v>
      </c>
      <c r="H83" s="1419">
        <v>124</v>
      </c>
      <c r="I83" s="1419">
        <v>127</v>
      </c>
      <c r="J83" s="1419">
        <v>127</v>
      </c>
      <c r="K83" s="1419">
        <v>124</v>
      </c>
      <c r="L83" s="1419">
        <v>0</v>
      </c>
      <c r="M83" s="1419">
        <v>0</v>
      </c>
      <c r="N83" s="1419">
        <v>0</v>
      </c>
      <c r="O83" s="1419">
        <v>0</v>
      </c>
      <c r="P83" s="1419">
        <v>0</v>
      </c>
      <c r="Q83" s="1419">
        <v>0</v>
      </c>
      <c r="R83" s="1419">
        <v>502</v>
      </c>
    </row>
    <row r="84" spans="1:18" ht="12" thickBot="1">
      <c r="A84" s="1473" t="s">
        <v>633</v>
      </c>
      <c r="B84" s="1473" t="s">
        <v>634</v>
      </c>
      <c r="C84" s="1419">
        <v>53</v>
      </c>
      <c r="D84" s="1419">
        <v>41</v>
      </c>
      <c r="E84" s="1419">
        <v>42</v>
      </c>
      <c r="F84" s="1419">
        <v>55</v>
      </c>
      <c r="G84" s="1419">
        <v>50</v>
      </c>
      <c r="H84" s="1419">
        <v>52</v>
      </c>
      <c r="I84" s="1419">
        <v>46</v>
      </c>
      <c r="J84" s="1419">
        <v>37</v>
      </c>
      <c r="K84" s="1419">
        <v>60</v>
      </c>
      <c r="L84" s="1419">
        <v>54</v>
      </c>
      <c r="M84" s="1419">
        <v>53</v>
      </c>
      <c r="N84" s="1419">
        <v>43</v>
      </c>
      <c r="O84" s="1419">
        <v>64</v>
      </c>
      <c r="P84" s="1419">
        <v>0</v>
      </c>
      <c r="Q84" s="1419">
        <v>0</v>
      </c>
      <c r="R84" s="1419">
        <v>650</v>
      </c>
    </row>
    <row r="85" spans="1:18" ht="12" thickBot="1">
      <c r="A85" s="1473" t="s">
        <v>129</v>
      </c>
      <c r="B85" s="1473" t="s">
        <v>130</v>
      </c>
      <c r="C85" s="1419">
        <v>160</v>
      </c>
      <c r="D85" s="1419">
        <v>154</v>
      </c>
      <c r="E85" s="1419">
        <v>174</v>
      </c>
      <c r="F85" s="1419">
        <v>181</v>
      </c>
      <c r="G85" s="1419">
        <v>167</v>
      </c>
      <c r="H85" s="1419">
        <v>156</v>
      </c>
      <c r="I85" s="1419">
        <v>187</v>
      </c>
      <c r="J85" s="1419">
        <v>176</v>
      </c>
      <c r="K85" s="1419">
        <v>187</v>
      </c>
      <c r="L85" s="1419">
        <v>159</v>
      </c>
      <c r="M85" s="1419">
        <v>172</v>
      </c>
      <c r="N85" s="1419">
        <v>157</v>
      </c>
      <c r="O85" s="1419">
        <v>147</v>
      </c>
      <c r="P85" s="1419">
        <v>0</v>
      </c>
      <c r="Q85" s="1419">
        <v>0</v>
      </c>
      <c r="R85" s="1419">
        <v>2177</v>
      </c>
    </row>
    <row r="86" spans="1:18" ht="12" thickBot="1">
      <c r="A86" s="1473" t="s">
        <v>131</v>
      </c>
      <c r="B86" s="1473" t="s">
        <v>132</v>
      </c>
      <c r="C86" s="1419">
        <v>819</v>
      </c>
      <c r="D86" s="1419">
        <v>772</v>
      </c>
      <c r="E86" s="1419">
        <v>759</v>
      </c>
      <c r="F86" s="1419">
        <v>722</v>
      </c>
      <c r="G86" s="1419">
        <v>673</v>
      </c>
      <c r="H86" s="1419">
        <v>685</v>
      </c>
      <c r="I86" s="1419">
        <v>670</v>
      </c>
      <c r="J86" s="1419">
        <v>613</v>
      </c>
      <c r="K86" s="1419">
        <v>709</v>
      </c>
      <c r="L86" s="1419">
        <v>627</v>
      </c>
      <c r="M86" s="1419">
        <v>626</v>
      </c>
      <c r="N86" s="1419">
        <v>590</v>
      </c>
      <c r="O86" s="1419">
        <v>573</v>
      </c>
      <c r="P86" s="1419">
        <v>0</v>
      </c>
      <c r="Q86" s="1419">
        <v>0</v>
      </c>
      <c r="R86" s="1419">
        <v>8838</v>
      </c>
    </row>
    <row r="87" spans="1:18" ht="12" thickBot="1">
      <c r="A87" s="1473" t="s">
        <v>334</v>
      </c>
      <c r="B87" s="1473" t="s">
        <v>335</v>
      </c>
      <c r="C87" s="1419">
        <v>67</v>
      </c>
      <c r="D87" s="1419">
        <v>63</v>
      </c>
      <c r="E87" s="1419">
        <v>69</v>
      </c>
      <c r="F87" s="1419">
        <v>62</v>
      </c>
      <c r="G87" s="1419">
        <v>48</v>
      </c>
      <c r="H87" s="1419">
        <v>53</v>
      </c>
      <c r="I87" s="1419">
        <v>48</v>
      </c>
      <c r="J87" s="1419">
        <v>71</v>
      </c>
      <c r="K87" s="1419">
        <v>61</v>
      </c>
      <c r="L87" s="1419">
        <v>69</v>
      </c>
      <c r="M87" s="1419">
        <v>88</v>
      </c>
      <c r="N87" s="1419">
        <v>60</v>
      </c>
      <c r="O87" s="1419">
        <v>66</v>
      </c>
      <c r="P87" s="1419">
        <v>0</v>
      </c>
      <c r="Q87" s="1419">
        <v>0</v>
      </c>
      <c r="R87" s="1419">
        <v>825</v>
      </c>
    </row>
    <row r="88" spans="1:18" ht="12" thickBot="1">
      <c r="A88" s="1473" t="s">
        <v>531</v>
      </c>
      <c r="B88" s="1473" t="s">
        <v>532</v>
      </c>
      <c r="C88" s="1419">
        <v>85</v>
      </c>
      <c r="D88" s="1419">
        <v>78</v>
      </c>
      <c r="E88" s="1419">
        <v>68</v>
      </c>
      <c r="F88" s="1419">
        <v>75</v>
      </c>
      <c r="G88" s="1419">
        <v>61</v>
      </c>
      <c r="H88" s="1419">
        <v>66</v>
      </c>
      <c r="I88" s="1419">
        <v>82</v>
      </c>
      <c r="J88" s="1419">
        <v>88</v>
      </c>
      <c r="K88" s="1419">
        <v>59</v>
      </c>
      <c r="L88" s="1419">
        <v>83</v>
      </c>
      <c r="M88" s="1419">
        <v>71</v>
      </c>
      <c r="N88" s="1419">
        <v>61</v>
      </c>
      <c r="O88" s="1419">
        <v>72</v>
      </c>
      <c r="P88" s="1419">
        <v>0</v>
      </c>
      <c r="Q88" s="1419">
        <v>0</v>
      </c>
      <c r="R88" s="1419">
        <v>949</v>
      </c>
    </row>
    <row r="89" spans="1:18" ht="12" thickBot="1">
      <c r="A89" s="1473" t="s">
        <v>314</v>
      </c>
      <c r="B89" s="1473" t="s">
        <v>315</v>
      </c>
      <c r="C89" s="1419">
        <v>36</v>
      </c>
      <c r="D89" s="1419">
        <v>40</v>
      </c>
      <c r="E89" s="1419">
        <v>52</v>
      </c>
      <c r="F89" s="1419">
        <v>45</v>
      </c>
      <c r="G89" s="1419">
        <v>44</v>
      </c>
      <c r="H89" s="1419">
        <v>43</v>
      </c>
      <c r="I89" s="1419">
        <v>43</v>
      </c>
      <c r="J89" s="1419">
        <v>43</v>
      </c>
      <c r="K89" s="1419">
        <v>44</v>
      </c>
      <c r="L89" s="1419">
        <v>49</v>
      </c>
      <c r="M89" s="1419">
        <v>33</v>
      </c>
      <c r="N89" s="1419">
        <v>46</v>
      </c>
      <c r="O89" s="1419">
        <v>30</v>
      </c>
      <c r="P89" s="1419">
        <v>0</v>
      </c>
      <c r="Q89" s="1419">
        <v>0</v>
      </c>
      <c r="R89" s="1419">
        <v>548</v>
      </c>
    </row>
    <row r="90" spans="1:18" ht="12" thickBot="1">
      <c r="A90" s="1473" t="s">
        <v>259</v>
      </c>
      <c r="B90" s="1473" t="s">
        <v>260</v>
      </c>
      <c r="C90" s="1419">
        <v>213</v>
      </c>
      <c r="D90" s="1419">
        <v>250</v>
      </c>
      <c r="E90" s="1419">
        <v>229</v>
      </c>
      <c r="F90" s="1419">
        <v>254</v>
      </c>
      <c r="G90" s="1419">
        <v>269</v>
      </c>
      <c r="H90" s="1419">
        <v>237</v>
      </c>
      <c r="I90" s="1419">
        <v>241</v>
      </c>
      <c r="J90" s="1419">
        <v>261</v>
      </c>
      <c r="K90" s="1419">
        <v>239</v>
      </c>
      <c r="L90" s="1419">
        <v>325</v>
      </c>
      <c r="M90" s="1419">
        <v>218</v>
      </c>
      <c r="N90" s="1419">
        <v>231</v>
      </c>
      <c r="O90" s="1419">
        <v>195</v>
      </c>
      <c r="P90" s="1419">
        <v>0</v>
      </c>
      <c r="Q90" s="1419">
        <v>13</v>
      </c>
      <c r="R90" s="1419">
        <v>3175</v>
      </c>
    </row>
    <row r="91" spans="1:18" ht="12" thickBot="1">
      <c r="A91" s="1473" t="s">
        <v>279</v>
      </c>
      <c r="B91" s="1473" t="s">
        <v>280</v>
      </c>
      <c r="C91" s="1419">
        <v>1146</v>
      </c>
      <c r="D91" s="1419">
        <v>1082</v>
      </c>
      <c r="E91" s="1419">
        <v>1132</v>
      </c>
      <c r="F91" s="1419">
        <v>1112</v>
      </c>
      <c r="G91" s="1419">
        <v>1071</v>
      </c>
      <c r="H91" s="1419">
        <v>1135</v>
      </c>
      <c r="I91" s="1419">
        <v>1027</v>
      </c>
      <c r="J91" s="1419">
        <v>1060</v>
      </c>
      <c r="K91" s="1419">
        <v>1090</v>
      </c>
      <c r="L91" s="1419">
        <v>1077</v>
      </c>
      <c r="M91" s="1419">
        <v>1035</v>
      </c>
      <c r="N91" s="1419">
        <v>982</v>
      </c>
      <c r="O91" s="1419">
        <v>906</v>
      </c>
      <c r="P91" s="1419">
        <v>0</v>
      </c>
      <c r="Q91" s="1419">
        <v>4</v>
      </c>
      <c r="R91" s="1419">
        <v>13859</v>
      </c>
    </row>
    <row r="92" spans="1:18" ht="12" thickBot="1">
      <c r="A92" s="1473" t="s">
        <v>340</v>
      </c>
      <c r="B92" s="1473" t="s">
        <v>341</v>
      </c>
      <c r="C92" s="1419">
        <v>76</v>
      </c>
      <c r="D92" s="1419">
        <v>79</v>
      </c>
      <c r="E92" s="1419">
        <v>82</v>
      </c>
      <c r="F92" s="1419">
        <v>85</v>
      </c>
      <c r="G92" s="1419">
        <v>78</v>
      </c>
      <c r="H92" s="1419">
        <v>90</v>
      </c>
      <c r="I92" s="1419">
        <v>91</v>
      </c>
      <c r="J92" s="1419">
        <v>77</v>
      </c>
      <c r="K92" s="1419">
        <v>83</v>
      </c>
      <c r="L92" s="1419">
        <v>89</v>
      </c>
      <c r="M92" s="1419">
        <v>88</v>
      </c>
      <c r="N92" s="1419">
        <v>66</v>
      </c>
      <c r="O92" s="1419">
        <v>58</v>
      </c>
      <c r="P92" s="1419">
        <v>0</v>
      </c>
      <c r="Q92" s="1419">
        <v>0</v>
      </c>
      <c r="R92" s="1419">
        <v>1042</v>
      </c>
    </row>
    <row r="93" spans="1:18" ht="12" thickBot="1">
      <c r="A93" s="1473" t="s">
        <v>567</v>
      </c>
      <c r="B93" s="1473" t="s">
        <v>395</v>
      </c>
      <c r="C93" s="1419">
        <v>73</v>
      </c>
      <c r="D93" s="1419">
        <v>83</v>
      </c>
      <c r="E93" s="1419">
        <v>85</v>
      </c>
      <c r="F93" s="1419">
        <v>92</v>
      </c>
      <c r="G93" s="1419">
        <v>89</v>
      </c>
      <c r="H93" s="1419">
        <v>98</v>
      </c>
      <c r="I93" s="1419">
        <v>99</v>
      </c>
      <c r="J93" s="1419">
        <v>94</v>
      </c>
      <c r="K93" s="1419">
        <v>114</v>
      </c>
      <c r="L93" s="1419">
        <v>106</v>
      </c>
      <c r="M93" s="1419">
        <v>105</v>
      </c>
      <c r="N93" s="1419">
        <v>89</v>
      </c>
      <c r="O93" s="1419">
        <v>86</v>
      </c>
      <c r="P93" s="1419">
        <v>0</v>
      </c>
      <c r="Q93" s="1419">
        <v>0</v>
      </c>
      <c r="R93" s="1419">
        <v>1213</v>
      </c>
    </row>
    <row r="94" spans="1:18" ht="12" thickBot="1">
      <c r="A94" s="1473" t="s">
        <v>338</v>
      </c>
      <c r="B94" s="1473" t="s">
        <v>339</v>
      </c>
      <c r="C94" s="1419">
        <v>77</v>
      </c>
      <c r="D94" s="1419">
        <v>71</v>
      </c>
      <c r="E94" s="1419">
        <v>63</v>
      </c>
      <c r="F94" s="1419">
        <v>56</v>
      </c>
      <c r="G94" s="1419">
        <v>79</v>
      </c>
      <c r="H94" s="1419">
        <v>85</v>
      </c>
      <c r="I94" s="1419">
        <v>72</v>
      </c>
      <c r="J94" s="1419">
        <v>72</v>
      </c>
      <c r="K94" s="1419">
        <v>73</v>
      </c>
      <c r="L94" s="1419">
        <v>90</v>
      </c>
      <c r="M94" s="1419">
        <v>75</v>
      </c>
      <c r="N94" s="1419">
        <v>77</v>
      </c>
      <c r="O94" s="1419">
        <v>42</v>
      </c>
      <c r="P94" s="1419">
        <v>0</v>
      </c>
      <c r="Q94" s="1419">
        <v>0</v>
      </c>
      <c r="R94" s="1419">
        <v>932</v>
      </c>
    </row>
    <row r="95" spans="1:18" ht="12" thickBot="1">
      <c r="A95" s="1473" t="s">
        <v>603</v>
      </c>
      <c r="B95" s="1473" t="s">
        <v>604</v>
      </c>
      <c r="C95" s="1419">
        <v>113</v>
      </c>
      <c r="D95" s="1419">
        <v>99</v>
      </c>
      <c r="E95" s="1419">
        <v>104</v>
      </c>
      <c r="F95" s="1419">
        <v>126</v>
      </c>
      <c r="G95" s="1419">
        <v>129</v>
      </c>
      <c r="H95" s="1419">
        <v>115</v>
      </c>
      <c r="I95" s="1419">
        <v>116</v>
      </c>
      <c r="J95" s="1419">
        <v>132</v>
      </c>
      <c r="K95" s="1419">
        <v>110</v>
      </c>
      <c r="L95" s="1419">
        <v>126</v>
      </c>
      <c r="M95" s="1419">
        <v>84</v>
      </c>
      <c r="N95" s="1419">
        <v>74</v>
      </c>
      <c r="O95" s="1419">
        <v>103</v>
      </c>
      <c r="P95" s="1419">
        <v>0</v>
      </c>
      <c r="Q95" s="1419">
        <v>0</v>
      </c>
      <c r="R95" s="1419">
        <v>1431</v>
      </c>
    </row>
    <row r="96" spans="1:18" ht="12" thickBot="1">
      <c r="A96" s="1473" t="s">
        <v>424</v>
      </c>
      <c r="B96" s="1473" t="s">
        <v>425</v>
      </c>
      <c r="C96" s="1419">
        <v>64</v>
      </c>
      <c r="D96" s="1419">
        <v>70</v>
      </c>
      <c r="E96" s="1419">
        <v>57</v>
      </c>
      <c r="F96" s="1419">
        <v>73</v>
      </c>
      <c r="G96" s="1419">
        <v>63</v>
      </c>
      <c r="H96" s="1419">
        <v>80</v>
      </c>
      <c r="I96" s="1419">
        <v>74</v>
      </c>
      <c r="J96" s="1419">
        <v>67</v>
      </c>
      <c r="K96" s="1419">
        <v>87</v>
      </c>
      <c r="L96" s="1419">
        <v>79</v>
      </c>
      <c r="M96" s="1419">
        <v>77</v>
      </c>
      <c r="N96" s="1419">
        <v>67</v>
      </c>
      <c r="O96" s="1419">
        <v>85</v>
      </c>
      <c r="P96" s="1419">
        <v>0</v>
      </c>
      <c r="Q96" s="1419">
        <v>0</v>
      </c>
      <c r="R96" s="1419">
        <v>943</v>
      </c>
    </row>
    <row r="97" spans="1:18" ht="12" thickBot="1">
      <c r="A97" s="1473" t="s">
        <v>350</v>
      </c>
      <c r="B97" s="1473" t="s">
        <v>351</v>
      </c>
      <c r="C97" s="1419">
        <v>102</v>
      </c>
      <c r="D97" s="1419">
        <v>99</v>
      </c>
      <c r="E97" s="1419">
        <v>120</v>
      </c>
      <c r="F97" s="1419">
        <v>92</v>
      </c>
      <c r="G97" s="1419">
        <v>109</v>
      </c>
      <c r="H97" s="1419">
        <v>118</v>
      </c>
      <c r="I97" s="1419">
        <v>123</v>
      </c>
      <c r="J97" s="1419">
        <v>129</v>
      </c>
      <c r="K97" s="1419">
        <v>124</v>
      </c>
      <c r="L97" s="1419">
        <v>109</v>
      </c>
      <c r="M97" s="1419">
        <v>112</v>
      </c>
      <c r="N97" s="1419">
        <v>110</v>
      </c>
      <c r="O97" s="1419">
        <v>91</v>
      </c>
      <c r="P97" s="1419">
        <v>0</v>
      </c>
      <c r="Q97" s="1419">
        <v>0</v>
      </c>
      <c r="R97" s="1419">
        <v>1438</v>
      </c>
    </row>
    <row r="98" spans="1:18" ht="12" thickBot="1">
      <c r="A98" s="1473" t="s">
        <v>605</v>
      </c>
      <c r="B98" s="1473" t="s">
        <v>606</v>
      </c>
      <c r="C98" s="1419">
        <v>125</v>
      </c>
      <c r="D98" s="1419">
        <v>127</v>
      </c>
      <c r="E98" s="1419">
        <v>123</v>
      </c>
      <c r="F98" s="1419">
        <v>133</v>
      </c>
      <c r="G98" s="1419">
        <v>134</v>
      </c>
      <c r="H98" s="1419">
        <v>155</v>
      </c>
      <c r="I98" s="1419">
        <v>145</v>
      </c>
      <c r="J98" s="1419">
        <v>158</v>
      </c>
      <c r="K98" s="1419">
        <v>150</v>
      </c>
      <c r="L98" s="1419">
        <v>150</v>
      </c>
      <c r="M98" s="1419">
        <v>137</v>
      </c>
      <c r="N98" s="1419">
        <v>136</v>
      </c>
      <c r="O98" s="1419">
        <v>112</v>
      </c>
      <c r="P98" s="1419">
        <v>0</v>
      </c>
      <c r="Q98" s="1419">
        <v>0</v>
      </c>
      <c r="R98" s="1419">
        <v>1785</v>
      </c>
    </row>
    <row r="99" spans="1:18" ht="12" thickBot="1">
      <c r="A99" s="1473" t="s">
        <v>635</v>
      </c>
      <c r="B99" s="1473" t="s">
        <v>636</v>
      </c>
      <c r="C99" s="1419">
        <v>92</v>
      </c>
      <c r="D99" s="1419">
        <v>109</v>
      </c>
      <c r="E99" s="1419">
        <v>100</v>
      </c>
      <c r="F99" s="1419">
        <v>87</v>
      </c>
      <c r="G99" s="1419">
        <v>103</v>
      </c>
      <c r="H99" s="1419">
        <v>82</v>
      </c>
      <c r="I99" s="1419">
        <v>98</v>
      </c>
      <c r="J99" s="1419">
        <v>83</v>
      </c>
      <c r="K99" s="1419">
        <v>109</v>
      </c>
      <c r="L99" s="1419">
        <v>98</v>
      </c>
      <c r="M99" s="1419">
        <v>90</v>
      </c>
      <c r="N99" s="1419">
        <v>84</v>
      </c>
      <c r="O99" s="1419">
        <v>71</v>
      </c>
      <c r="P99" s="1419">
        <v>0</v>
      </c>
      <c r="Q99" s="1419">
        <v>0</v>
      </c>
      <c r="R99" s="1419">
        <v>1206</v>
      </c>
    </row>
    <row r="100" spans="1:18" ht="12" thickBot="1">
      <c r="A100" s="1473" t="s">
        <v>543</v>
      </c>
      <c r="B100" s="1473" t="s">
        <v>544</v>
      </c>
      <c r="C100" s="1419">
        <v>237</v>
      </c>
      <c r="D100" s="1419">
        <v>245</v>
      </c>
      <c r="E100" s="1419">
        <v>259</v>
      </c>
      <c r="F100" s="1419">
        <v>236</v>
      </c>
      <c r="G100" s="1419">
        <v>240</v>
      </c>
      <c r="H100" s="1419">
        <v>261</v>
      </c>
      <c r="I100" s="1419">
        <v>258</v>
      </c>
      <c r="J100" s="1419">
        <v>231</v>
      </c>
      <c r="K100" s="1419">
        <v>250</v>
      </c>
      <c r="L100" s="1419">
        <v>237</v>
      </c>
      <c r="M100" s="1419">
        <v>210</v>
      </c>
      <c r="N100" s="1419">
        <v>219</v>
      </c>
      <c r="O100" s="1419">
        <v>204</v>
      </c>
      <c r="P100" s="1419">
        <v>0</v>
      </c>
      <c r="Q100" s="1419">
        <v>0</v>
      </c>
      <c r="R100" s="1419">
        <v>3087</v>
      </c>
    </row>
    <row r="101" spans="1:18" ht="12" thickBot="1">
      <c r="A101" s="1473" t="s">
        <v>412</v>
      </c>
      <c r="B101" s="1473" t="s">
        <v>413</v>
      </c>
      <c r="C101" s="1419">
        <v>284</v>
      </c>
      <c r="D101" s="1419">
        <v>291</v>
      </c>
      <c r="E101" s="1419">
        <v>256</v>
      </c>
      <c r="F101" s="1419">
        <v>280</v>
      </c>
      <c r="G101" s="1419">
        <v>237</v>
      </c>
      <c r="H101" s="1419">
        <v>296</v>
      </c>
      <c r="I101" s="1419">
        <v>259</v>
      </c>
      <c r="J101" s="1419">
        <v>253</v>
      </c>
      <c r="K101" s="1419">
        <v>272</v>
      </c>
      <c r="L101" s="1419">
        <v>266</v>
      </c>
      <c r="M101" s="1419">
        <v>244</v>
      </c>
      <c r="N101" s="1419">
        <v>233</v>
      </c>
      <c r="O101" s="1419">
        <v>244</v>
      </c>
      <c r="P101" s="1419">
        <v>0</v>
      </c>
      <c r="Q101" s="1419">
        <v>17</v>
      </c>
      <c r="R101" s="1419">
        <v>3432</v>
      </c>
    </row>
    <row r="102" spans="1:18" ht="12" thickBot="1">
      <c r="A102" s="1473" t="s">
        <v>133</v>
      </c>
      <c r="B102" s="1473" t="s">
        <v>134</v>
      </c>
      <c r="C102" s="1419">
        <v>47</v>
      </c>
      <c r="D102" s="1419">
        <v>52</v>
      </c>
      <c r="E102" s="1419">
        <v>53</v>
      </c>
      <c r="F102" s="1419">
        <v>66</v>
      </c>
      <c r="G102" s="1419">
        <v>54</v>
      </c>
      <c r="H102" s="1419">
        <v>65</v>
      </c>
      <c r="I102" s="1419">
        <v>52</v>
      </c>
      <c r="J102" s="1419">
        <v>74</v>
      </c>
      <c r="K102" s="1419">
        <v>66</v>
      </c>
      <c r="L102" s="1419">
        <v>61</v>
      </c>
      <c r="M102" s="1419">
        <v>66</v>
      </c>
      <c r="N102" s="1419">
        <v>71</v>
      </c>
      <c r="O102" s="1419">
        <v>65</v>
      </c>
      <c r="P102" s="1419">
        <v>0</v>
      </c>
      <c r="Q102" s="1419">
        <v>0</v>
      </c>
      <c r="R102" s="1419">
        <v>792</v>
      </c>
    </row>
    <row r="103" spans="1:18" ht="12" thickBot="1">
      <c r="A103" s="1473" t="s">
        <v>281</v>
      </c>
      <c r="B103" s="1473" t="s">
        <v>282</v>
      </c>
      <c r="C103" s="1419">
        <v>281</v>
      </c>
      <c r="D103" s="1419">
        <v>294</v>
      </c>
      <c r="E103" s="1419">
        <v>241</v>
      </c>
      <c r="F103" s="1419">
        <v>254</v>
      </c>
      <c r="G103" s="1419">
        <v>284</v>
      </c>
      <c r="H103" s="1419">
        <v>320</v>
      </c>
      <c r="I103" s="1419">
        <v>271</v>
      </c>
      <c r="J103" s="1419">
        <v>280</v>
      </c>
      <c r="K103" s="1419">
        <v>288</v>
      </c>
      <c r="L103" s="1419">
        <v>253</v>
      </c>
      <c r="M103" s="1419">
        <v>303</v>
      </c>
      <c r="N103" s="1419">
        <v>286</v>
      </c>
      <c r="O103" s="1419">
        <v>232</v>
      </c>
      <c r="P103" s="1419">
        <v>0</v>
      </c>
      <c r="Q103" s="1419">
        <v>0</v>
      </c>
      <c r="R103" s="1419">
        <v>3587</v>
      </c>
    </row>
    <row r="104" spans="1:18" ht="12" thickBot="1">
      <c r="A104" s="1473" t="s">
        <v>643</v>
      </c>
      <c r="B104" s="1473" t="s">
        <v>644</v>
      </c>
      <c r="C104" s="1419">
        <v>40</v>
      </c>
      <c r="D104" s="1419">
        <v>64</v>
      </c>
      <c r="E104" s="1419">
        <v>59</v>
      </c>
      <c r="F104" s="1419">
        <v>53</v>
      </c>
      <c r="G104" s="1419">
        <v>47</v>
      </c>
      <c r="H104" s="1419">
        <v>61</v>
      </c>
      <c r="I104" s="1419">
        <v>60</v>
      </c>
      <c r="J104" s="1419">
        <v>75</v>
      </c>
      <c r="K104" s="1419">
        <v>56</v>
      </c>
      <c r="L104" s="1419">
        <v>57</v>
      </c>
      <c r="M104" s="1419">
        <v>66</v>
      </c>
      <c r="N104" s="1419">
        <v>68</v>
      </c>
      <c r="O104" s="1419">
        <v>52</v>
      </c>
      <c r="P104" s="1419">
        <v>0</v>
      </c>
      <c r="Q104" s="1419">
        <v>0</v>
      </c>
      <c r="R104" s="1419">
        <v>758</v>
      </c>
    </row>
    <row r="105" spans="1:18" ht="12" thickBot="1">
      <c r="A105" s="1473" t="s">
        <v>545</v>
      </c>
      <c r="B105" s="1473" t="s">
        <v>546</v>
      </c>
      <c r="C105" s="1419">
        <v>50</v>
      </c>
      <c r="D105" s="1419">
        <v>30</v>
      </c>
      <c r="E105" s="1419">
        <v>26</v>
      </c>
      <c r="F105" s="1419">
        <v>36</v>
      </c>
      <c r="G105" s="1419">
        <v>37</v>
      </c>
      <c r="H105" s="1419">
        <v>40</v>
      </c>
      <c r="I105" s="1419">
        <v>37</v>
      </c>
      <c r="J105" s="1419">
        <v>31</v>
      </c>
      <c r="K105" s="1419">
        <v>27</v>
      </c>
      <c r="L105" s="1419">
        <v>33</v>
      </c>
      <c r="M105" s="1419">
        <v>31</v>
      </c>
      <c r="N105" s="1419">
        <v>34</v>
      </c>
      <c r="O105" s="1419">
        <v>37</v>
      </c>
      <c r="P105" s="1419">
        <v>0</v>
      </c>
      <c r="Q105" s="1419">
        <v>0</v>
      </c>
      <c r="R105" s="1419">
        <v>449</v>
      </c>
    </row>
    <row r="106" spans="1:18" ht="12" thickBot="1">
      <c r="A106" s="1473" t="s">
        <v>765</v>
      </c>
      <c r="B106" s="1473" t="s">
        <v>782</v>
      </c>
      <c r="C106" s="1419">
        <v>0</v>
      </c>
      <c r="D106" s="1419">
        <v>0</v>
      </c>
      <c r="E106" s="1419">
        <v>0</v>
      </c>
      <c r="F106" s="1419">
        <v>0</v>
      </c>
      <c r="G106" s="1419">
        <v>0</v>
      </c>
      <c r="H106" s="1419">
        <v>0</v>
      </c>
      <c r="I106" s="1419">
        <v>0</v>
      </c>
      <c r="J106" s="1419">
        <v>0</v>
      </c>
      <c r="K106" s="1419">
        <v>57</v>
      </c>
      <c r="L106" s="1419">
        <v>60</v>
      </c>
      <c r="M106" s="1419">
        <v>71</v>
      </c>
      <c r="N106" s="1419">
        <v>49</v>
      </c>
      <c r="O106" s="1419">
        <v>43</v>
      </c>
      <c r="P106" s="1419">
        <v>0</v>
      </c>
      <c r="Q106" s="1419">
        <v>0</v>
      </c>
      <c r="R106" s="1419">
        <v>280</v>
      </c>
    </row>
    <row r="107" spans="1:18" ht="12" thickBot="1">
      <c r="A107" s="1473" t="s">
        <v>283</v>
      </c>
      <c r="B107" s="1473" t="s">
        <v>284</v>
      </c>
      <c r="C107" s="1419">
        <v>39</v>
      </c>
      <c r="D107" s="1419">
        <v>36</v>
      </c>
      <c r="E107" s="1419">
        <v>48</v>
      </c>
      <c r="F107" s="1419">
        <v>46</v>
      </c>
      <c r="G107" s="1419">
        <v>53</v>
      </c>
      <c r="H107" s="1419">
        <v>55</v>
      </c>
      <c r="I107" s="1419">
        <v>42</v>
      </c>
      <c r="J107" s="1419">
        <v>56</v>
      </c>
      <c r="K107" s="1419">
        <v>44</v>
      </c>
      <c r="L107" s="1419">
        <v>42</v>
      </c>
      <c r="M107" s="1419">
        <v>56</v>
      </c>
      <c r="N107" s="1419">
        <v>61</v>
      </c>
      <c r="O107" s="1419">
        <v>33</v>
      </c>
      <c r="P107" s="1419">
        <v>0</v>
      </c>
      <c r="Q107" s="1419">
        <v>0</v>
      </c>
      <c r="R107" s="1419">
        <v>611</v>
      </c>
    </row>
    <row r="108" spans="1:18" ht="12" thickBot="1">
      <c r="A108" s="1473" t="s">
        <v>591</v>
      </c>
      <c r="B108" s="1473" t="s">
        <v>592</v>
      </c>
      <c r="C108" s="1419">
        <v>149</v>
      </c>
      <c r="D108" s="1419">
        <v>140</v>
      </c>
      <c r="E108" s="1419">
        <v>162</v>
      </c>
      <c r="F108" s="1419">
        <v>187</v>
      </c>
      <c r="G108" s="1419">
        <v>155</v>
      </c>
      <c r="H108" s="1419">
        <v>159</v>
      </c>
      <c r="I108" s="1419">
        <v>145</v>
      </c>
      <c r="J108" s="1419">
        <v>142</v>
      </c>
      <c r="K108" s="1419">
        <v>157</v>
      </c>
      <c r="L108" s="1419">
        <v>160</v>
      </c>
      <c r="M108" s="1419">
        <v>127</v>
      </c>
      <c r="N108" s="1419">
        <v>123</v>
      </c>
      <c r="O108" s="1419">
        <v>124</v>
      </c>
      <c r="P108" s="1419">
        <v>0</v>
      </c>
      <c r="Q108" s="1419">
        <v>0</v>
      </c>
      <c r="R108" s="1419">
        <v>1930</v>
      </c>
    </row>
    <row r="109" spans="1:18" ht="12" thickBot="1">
      <c r="A109" s="1473" t="s">
        <v>629</v>
      </c>
      <c r="B109" s="1473" t="s">
        <v>630</v>
      </c>
      <c r="C109" s="1419">
        <v>42</v>
      </c>
      <c r="D109" s="1419">
        <v>33</v>
      </c>
      <c r="E109" s="1419">
        <v>35</v>
      </c>
      <c r="F109" s="1419">
        <v>44</v>
      </c>
      <c r="G109" s="1419">
        <v>42</v>
      </c>
      <c r="H109" s="1419">
        <v>46</v>
      </c>
      <c r="I109" s="1419">
        <v>35</v>
      </c>
      <c r="J109" s="1419">
        <v>50</v>
      </c>
      <c r="K109" s="1419">
        <v>41</v>
      </c>
      <c r="L109" s="1419">
        <v>38</v>
      </c>
      <c r="M109" s="1419">
        <v>46</v>
      </c>
      <c r="N109" s="1419">
        <v>51</v>
      </c>
      <c r="O109" s="1419">
        <v>54</v>
      </c>
      <c r="P109" s="1419">
        <v>0</v>
      </c>
      <c r="Q109" s="1419">
        <v>0</v>
      </c>
      <c r="R109" s="1419">
        <v>557</v>
      </c>
    </row>
    <row r="110" spans="1:18" ht="12" thickBot="1">
      <c r="A110" s="1473" t="s">
        <v>376</v>
      </c>
      <c r="B110" s="1473" t="s">
        <v>377</v>
      </c>
      <c r="C110" s="1419">
        <v>78</v>
      </c>
      <c r="D110" s="1419">
        <v>74</v>
      </c>
      <c r="E110" s="1419">
        <v>66</v>
      </c>
      <c r="F110" s="1419">
        <v>82</v>
      </c>
      <c r="G110" s="1419">
        <v>73</v>
      </c>
      <c r="H110" s="1419">
        <v>80</v>
      </c>
      <c r="I110" s="1419">
        <v>78</v>
      </c>
      <c r="J110" s="1419">
        <v>67</v>
      </c>
      <c r="K110" s="1419">
        <v>73</v>
      </c>
      <c r="L110" s="1419">
        <v>85</v>
      </c>
      <c r="M110" s="1419">
        <v>83</v>
      </c>
      <c r="N110" s="1419">
        <v>93</v>
      </c>
      <c r="O110" s="1419">
        <v>90</v>
      </c>
      <c r="P110" s="1419">
        <v>0</v>
      </c>
      <c r="Q110" s="1419">
        <v>0</v>
      </c>
      <c r="R110" s="1419">
        <v>1022</v>
      </c>
    </row>
    <row r="111" spans="1:18" ht="12" thickBot="1">
      <c r="A111" s="1473" t="s">
        <v>271</v>
      </c>
      <c r="B111" s="1473" t="s">
        <v>272</v>
      </c>
      <c r="C111" s="1419">
        <v>89</v>
      </c>
      <c r="D111" s="1419">
        <v>90</v>
      </c>
      <c r="E111" s="1419">
        <v>83</v>
      </c>
      <c r="F111" s="1419">
        <v>95</v>
      </c>
      <c r="G111" s="1419">
        <v>90</v>
      </c>
      <c r="H111" s="1419">
        <v>85</v>
      </c>
      <c r="I111" s="1419">
        <v>87</v>
      </c>
      <c r="J111" s="1419">
        <v>91</v>
      </c>
      <c r="K111" s="1419">
        <v>94</v>
      </c>
      <c r="L111" s="1419">
        <v>103</v>
      </c>
      <c r="M111" s="1419">
        <v>57</v>
      </c>
      <c r="N111" s="1419">
        <v>87</v>
      </c>
      <c r="O111" s="1419">
        <v>61</v>
      </c>
      <c r="P111" s="1419">
        <v>0</v>
      </c>
      <c r="Q111" s="1419">
        <v>0</v>
      </c>
      <c r="R111" s="1419">
        <v>1112</v>
      </c>
    </row>
    <row r="112" spans="1:18" ht="12" thickBot="1">
      <c r="A112" s="1473" t="s">
        <v>221</v>
      </c>
      <c r="B112" s="1473" t="s">
        <v>222</v>
      </c>
      <c r="C112" s="1419">
        <v>102</v>
      </c>
      <c r="D112" s="1419">
        <v>94</v>
      </c>
      <c r="E112" s="1419">
        <v>94</v>
      </c>
      <c r="F112" s="1419">
        <v>97</v>
      </c>
      <c r="G112" s="1419">
        <v>123</v>
      </c>
      <c r="H112" s="1419">
        <v>112</v>
      </c>
      <c r="I112" s="1419">
        <v>118</v>
      </c>
      <c r="J112" s="1419">
        <v>111</v>
      </c>
      <c r="K112" s="1419">
        <v>108</v>
      </c>
      <c r="L112" s="1419">
        <v>128</v>
      </c>
      <c r="M112" s="1419">
        <v>104</v>
      </c>
      <c r="N112" s="1419">
        <v>110</v>
      </c>
      <c r="O112" s="1419">
        <v>84</v>
      </c>
      <c r="P112" s="1419">
        <v>0</v>
      </c>
      <c r="Q112" s="1419">
        <v>0</v>
      </c>
      <c r="R112" s="1419">
        <v>1385</v>
      </c>
    </row>
    <row r="113" spans="1:18" ht="12" thickBot="1">
      <c r="A113" s="1473" t="s">
        <v>617</v>
      </c>
      <c r="B113" s="1473" t="s">
        <v>618</v>
      </c>
      <c r="C113" s="1419">
        <v>236</v>
      </c>
      <c r="D113" s="1419">
        <v>235</v>
      </c>
      <c r="E113" s="1419">
        <v>200</v>
      </c>
      <c r="F113" s="1419">
        <v>226</v>
      </c>
      <c r="G113" s="1419">
        <v>230</v>
      </c>
      <c r="H113" s="1419">
        <v>206</v>
      </c>
      <c r="I113" s="1419">
        <v>218</v>
      </c>
      <c r="J113" s="1419">
        <v>208</v>
      </c>
      <c r="K113" s="1419">
        <v>228</v>
      </c>
      <c r="L113" s="1419">
        <v>207</v>
      </c>
      <c r="M113" s="1419">
        <v>226</v>
      </c>
      <c r="N113" s="1419">
        <v>188</v>
      </c>
      <c r="O113" s="1419">
        <v>178</v>
      </c>
      <c r="P113" s="1419">
        <v>0</v>
      </c>
      <c r="Q113" s="1419">
        <v>4</v>
      </c>
      <c r="R113" s="1419">
        <v>2790</v>
      </c>
    </row>
    <row r="114" spans="1:18" ht="12" thickBot="1">
      <c r="A114" s="1473" t="s">
        <v>285</v>
      </c>
      <c r="B114" s="1473" t="s">
        <v>286</v>
      </c>
      <c r="C114" s="1419">
        <v>32</v>
      </c>
      <c r="D114" s="1419">
        <v>25</v>
      </c>
      <c r="E114" s="1419">
        <v>25</v>
      </c>
      <c r="F114" s="1419">
        <v>19</v>
      </c>
      <c r="G114" s="1419">
        <v>23</v>
      </c>
      <c r="H114" s="1419">
        <v>28</v>
      </c>
      <c r="I114" s="1419">
        <v>28</v>
      </c>
      <c r="J114" s="1419">
        <v>26</v>
      </c>
      <c r="K114" s="1419">
        <v>32</v>
      </c>
      <c r="L114" s="1419">
        <v>26</v>
      </c>
      <c r="M114" s="1419">
        <v>26</v>
      </c>
      <c r="N114" s="1419">
        <v>31</v>
      </c>
      <c r="O114" s="1419">
        <v>22</v>
      </c>
      <c r="P114" s="1419">
        <v>0</v>
      </c>
      <c r="Q114" s="1419">
        <v>0</v>
      </c>
      <c r="R114" s="1419">
        <v>343</v>
      </c>
    </row>
    <row r="115" spans="1:18" ht="12" thickBot="1">
      <c r="A115" s="1473" t="s">
        <v>247</v>
      </c>
      <c r="B115" s="1473" t="s">
        <v>248</v>
      </c>
      <c r="C115" s="1419">
        <v>46</v>
      </c>
      <c r="D115" s="1419">
        <v>50</v>
      </c>
      <c r="E115" s="1419">
        <v>41</v>
      </c>
      <c r="F115" s="1419">
        <v>53</v>
      </c>
      <c r="G115" s="1419">
        <v>50</v>
      </c>
      <c r="H115" s="1419">
        <v>45</v>
      </c>
      <c r="I115" s="1419">
        <v>50</v>
      </c>
      <c r="J115" s="1419">
        <v>59</v>
      </c>
      <c r="K115" s="1419">
        <v>60</v>
      </c>
      <c r="L115" s="1419">
        <v>49</v>
      </c>
      <c r="M115" s="1419">
        <v>50</v>
      </c>
      <c r="N115" s="1419">
        <v>50</v>
      </c>
      <c r="O115" s="1419">
        <v>33</v>
      </c>
      <c r="P115" s="1419">
        <v>0</v>
      </c>
      <c r="Q115" s="1419">
        <v>1</v>
      </c>
      <c r="R115" s="1419">
        <v>637</v>
      </c>
    </row>
    <row r="116" spans="1:18" ht="12" thickBot="1">
      <c r="A116" s="1473" t="s">
        <v>653</v>
      </c>
      <c r="B116" s="1473" t="s">
        <v>654</v>
      </c>
      <c r="C116" s="1419">
        <v>139</v>
      </c>
      <c r="D116" s="1419">
        <v>133</v>
      </c>
      <c r="E116" s="1419">
        <v>112</v>
      </c>
      <c r="F116" s="1419">
        <v>151</v>
      </c>
      <c r="G116" s="1419">
        <v>163</v>
      </c>
      <c r="H116" s="1419">
        <v>132</v>
      </c>
      <c r="I116" s="1419">
        <v>125</v>
      </c>
      <c r="J116" s="1419">
        <v>141</v>
      </c>
      <c r="K116" s="1419">
        <v>139</v>
      </c>
      <c r="L116" s="1419">
        <v>132</v>
      </c>
      <c r="M116" s="1419">
        <v>157</v>
      </c>
      <c r="N116" s="1419">
        <v>122</v>
      </c>
      <c r="O116" s="1419">
        <v>112</v>
      </c>
      <c r="P116" s="1419">
        <v>0</v>
      </c>
      <c r="Q116" s="1419">
        <v>0</v>
      </c>
      <c r="R116" s="1419">
        <v>1758</v>
      </c>
    </row>
    <row r="117" spans="1:18" ht="12" thickBot="1">
      <c r="A117" s="1473" t="s">
        <v>239</v>
      </c>
      <c r="B117" s="1473" t="s">
        <v>240</v>
      </c>
      <c r="C117" s="1419">
        <v>43</v>
      </c>
      <c r="D117" s="1419">
        <v>51</v>
      </c>
      <c r="E117" s="1419">
        <v>39</v>
      </c>
      <c r="F117" s="1419">
        <v>41</v>
      </c>
      <c r="G117" s="1419">
        <v>47</v>
      </c>
      <c r="H117" s="1419">
        <v>51</v>
      </c>
      <c r="I117" s="1419">
        <v>57</v>
      </c>
      <c r="J117" s="1419">
        <v>45</v>
      </c>
      <c r="K117" s="1419">
        <v>45</v>
      </c>
      <c r="L117" s="1419">
        <v>43</v>
      </c>
      <c r="M117" s="1419">
        <v>55</v>
      </c>
      <c r="N117" s="1419">
        <v>49</v>
      </c>
      <c r="O117" s="1419">
        <v>47</v>
      </c>
      <c r="P117" s="1419">
        <v>0</v>
      </c>
      <c r="Q117" s="1419">
        <v>0</v>
      </c>
      <c r="R117" s="1419">
        <v>613</v>
      </c>
    </row>
    <row r="118" spans="1:18" ht="12" thickBot="1">
      <c r="A118" s="1473" t="s">
        <v>386</v>
      </c>
      <c r="B118" s="1473" t="s">
        <v>387</v>
      </c>
      <c r="C118" s="1419">
        <v>170</v>
      </c>
      <c r="D118" s="1419">
        <v>160</v>
      </c>
      <c r="E118" s="1419">
        <v>171</v>
      </c>
      <c r="F118" s="1419">
        <v>211</v>
      </c>
      <c r="G118" s="1419">
        <v>204</v>
      </c>
      <c r="H118" s="1419">
        <v>179</v>
      </c>
      <c r="I118" s="1419">
        <v>174</v>
      </c>
      <c r="J118" s="1419">
        <v>150</v>
      </c>
      <c r="K118" s="1419">
        <v>157</v>
      </c>
      <c r="L118" s="1419">
        <v>188</v>
      </c>
      <c r="M118" s="1419">
        <v>187</v>
      </c>
      <c r="N118" s="1419">
        <v>164</v>
      </c>
      <c r="O118" s="1419">
        <v>145</v>
      </c>
      <c r="P118" s="1419">
        <v>0</v>
      </c>
      <c r="Q118" s="1419">
        <v>7</v>
      </c>
      <c r="R118" s="1419">
        <v>2267</v>
      </c>
    </row>
    <row r="119" spans="1:18" ht="12" thickBot="1">
      <c r="A119" s="1473" t="s">
        <v>625</v>
      </c>
      <c r="B119" s="1473" t="s">
        <v>626</v>
      </c>
      <c r="C119" s="1419">
        <v>40</v>
      </c>
      <c r="D119" s="1419">
        <v>35</v>
      </c>
      <c r="E119" s="1419">
        <v>38</v>
      </c>
      <c r="F119" s="1419">
        <v>31</v>
      </c>
      <c r="G119" s="1419">
        <v>45</v>
      </c>
      <c r="H119" s="1419">
        <v>35</v>
      </c>
      <c r="I119" s="1419">
        <v>26</v>
      </c>
      <c r="J119" s="1419">
        <v>31</v>
      </c>
      <c r="K119" s="1419">
        <v>40</v>
      </c>
      <c r="L119" s="1419">
        <v>46</v>
      </c>
      <c r="M119" s="1419">
        <v>30</v>
      </c>
      <c r="N119" s="1419">
        <v>44</v>
      </c>
      <c r="O119" s="1419">
        <v>27</v>
      </c>
      <c r="P119" s="1419">
        <v>0</v>
      </c>
      <c r="Q119" s="1419">
        <v>0</v>
      </c>
      <c r="R119" s="1419">
        <v>468</v>
      </c>
    </row>
    <row r="120" spans="1:18" ht="12" thickBot="1">
      <c r="A120" s="1473" t="s">
        <v>297</v>
      </c>
      <c r="B120" s="1473" t="s">
        <v>298</v>
      </c>
      <c r="C120" s="1419">
        <v>114</v>
      </c>
      <c r="D120" s="1419">
        <v>117</v>
      </c>
      <c r="E120" s="1419">
        <v>135</v>
      </c>
      <c r="F120" s="1419">
        <v>117</v>
      </c>
      <c r="G120" s="1419">
        <v>120</v>
      </c>
      <c r="H120" s="1419">
        <v>134</v>
      </c>
      <c r="I120" s="1419">
        <v>140</v>
      </c>
      <c r="J120" s="1419">
        <v>124</v>
      </c>
      <c r="K120" s="1419">
        <v>136</v>
      </c>
      <c r="L120" s="1419">
        <v>117</v>
      </c>
      <c r="M120" s="1419">
        <v>130</v>
      </c>
      <c r="N120" s="1419">
        <v>126</v>
      </c>
      <c r="O120" s="1419">
        <v>116</v>
      </c>
      <c r="P120" s="1419">
        <v>0</v>
      </c>
      <c r="Q120" s="1419">
        <v>0</v>
      </c>
      <c r="R120" s="1419">
        <v>1626</v>
      </c>
    </row>
    <row r="121" spans="1:18" ht="12" thickBot="1">
      <c r="A121" s="1473" t="s">
        <v>478</v>
      </c>
      <c r="B121" s="1473" t="s">
        <v>479</v>
      </c>
      <c r="C121" s="1419">
        <v>28</v>
      </c>
      <c r="D121" s="1419">
        <v>30</v>
      </c>
      <c r="E121" s="1419">
        <v>25</v>
      </c>
      <c r="F121" s="1419">
        <v>32</v>
      </c>
      <c r="G121" s="1419">
        <v>29</v>
      </c>
      <c r="H121" s="1419">
        <v>33</v>
      </c>
      <c r="I121" s="1419">
        <v>40</v>
      </c>
      <c r="J121" s="1419">
        <v>26</v>
      </c>
      <c r="K121" s="1419">
        <v>39</v>
      </c>
      <c r="L121" s="1419">
        <v>36</v>
      </c>
      <c r="M121" s="1419">
        <v>33</v>
      </c>
      <c r="N121" s="1419">
        <v>31</v>
      </c>
      <c r="O121" s="1419">
        <v>32</v>
      </c>
      <c r="P121" s="1419">
        <v>0</v>
      </c>
      <c r="Q121" s="1419">
        <v>1</v>
      </c>
      <c r="R121" s="1419">
        <v>415</v>
      </c>
    </row>
    <row r="122" spans="1:18" ht="12" thickBot="1">
      <c r="A122" s="1473" t="s">
        <v>418</v>
      </c>
      <c r="B122" s="1473" t="s">
        <v>419</v>
      </c>
      <c r="C122" s="1419">
        <v>262</v>
      </c>
      <c r="D122" s="1419">
        <v>211</v>
      </c>
      <c r="E122" s="1419">
        <v>217</v>
      </c>
      <c r="F122" s="1419">
        <v>169</v>
      </c>
      <c r="G122" s="1419">
        <v>200</v>
      </c>
      <c r="H122" s="1419">
        <v>194</v>
      </c>
      <c r="I122" s="1419">
        <v>211</v>
      </c>
      <c r="J122" s="1419">
        <v>210</v>
      </c>
      <c r="K122" s="1419">
        <v>170</v>
      </c>
      <c r="L122" s="1419">
        <v>175</v>
      </c>
      <c r="M122" s="1419">
        <v>167</v>
      </c>
      <c r="N122" s="1419">
        <v>144</v>
      </c>
      <c r="O122" s="1419">
        <v>163</v>
      </c>
      <c r="P122" s="1419">
        <v>0</v>
      </c>
      <c r="Q122" s="1419">
        <v>0</v>
      </c>
      <c r="R122" s="1419">
        <v>2493</v>
      </c>
    </row>
    <row r="123" spans="1:18" ht="12" thickBot="1">
      <c r="A123" s="1473" t="s">
        <v>293</v>
      </c>
      <c r="B123" s="1473" t="s">
        <v>294</v>
      </c>
      <c r="C123" s="1419">
        <v>46</v>
      </c>
      <c r="D123" s="1419">
        <v>64</v>
      </c>
      <c r="E123" s="1419">
        <v>87</v>
      </c>
      <c r="F123" s="1419">
        <v>55</v>
      </c>
      <c r="G123" s="1419">
        <v>40</v>
      </c>
      <c r="H123" s="1419">
        <v>65</v>
      </c>
      <c r="I123" s="1419">
        <v>69</v>
      </c>
      <c r="J123" s="1419">
        <v>77</v>
      </c>
      <c r="K123" s="1419">
        <v>83</v>
      </c>
      <c r="L123" s="1419">
        <v>80</v>
      </c>
      <c r="M123" s="1419">
        <v>65</v>
      </c>
      <c r="N123" s="1419">
        <v>72</v>
      </c>
      <c r="O123" s="1419">
        <v>68</v>
      </c>
      <c r="P123" s="1419">
        <v>0</v>
      </c>
      <c r="Q123" s="1419">
        <v>0</v>
      </c>
      <c r="R123" s="1419">
        <v>871</v>
      </c>
    </row>
    <row r="124" spans="1:18" ht="12" thickBot="1">
      <c r="A124" s="1473" t="s">
        <v>396</v>
      </c>
      <c r="B124" s="1473" t="s">
        <v>397</v>
      </c>
      <c r="C124" s="1419">
        <v>385</v>
      </c>
      <c r="D124" s="1419">
        <v>361</v>
      </c>
      <c r="E124" s="1419">
        <v>330</v>
      </c>
      <c r="F124" s="1419">
        <v>328</v>
      </c>
      <c r="G124" s="1419">
        <v>316</v>
      </c>
      <c r="H124" s="1419">
        <v>290</v>
      </c>
      <c r="I124" s="1419">
        <v>266</v>
      </c>
      <c r="J124" s="1419">
        <v>281</v>
      </c>
      <c r="K124" s="1419">
        <v>229</v>
      </c>
      <c r="L124" s="1419">
        <v>285</v>
      </c>
      <c r="M124" s="1419">
        <v>216</v>
      </c>
      <c r="N124" s="1419">
        <v>207</v>
      </c>
      <c r="O124" s="1419">
        <v>164</v>
      </c>
      <c r="P124" s="1419">
        <v>0</v>
      </c>
      <c r="Q124" s="1419">
        <v>0</v>
      </c>
      <c r="R124" s="1419">
        <v>3658</v>
      </c>
    </row>
    <row r="125" spans="1:18" ht="12" thickBot="1">
      <c r="A125" s="1473" t="s">
        <v>474</v>
      </c>
      <c r="B125" s="1473" t="s">
        <v>475</v>
      </c>
      <c r="C125" s="1419">
        <v>82</v>
      </c>
      <c r="D125" s="1419">
        <v>62</v>
      </c>
      <c r="E125" s="1419">
        <v>65</v>
      </c>
      <c r="F125" s="1419">
        <v>77</v>
      </c>
      <c r="G125" s="1419">
        <v>84</v>
      </c>
      <c r="H125" s="1419">
        <v>67</v>
      </c>
      <c r="I125" s="1419">
        <v>76</v>
      </c>
      <c r="J125" s="1419">
        <v>71</v>
      </c>
      <c r="K125" s="1419">
        <v>81</v>
      </c>
      <c r="L125" s="1419">
        <v>78</v>
      </c>
      <c r="M125" s="1419">
        <v>78</v>
      </c>
      <c r="N125" s="1419">
        <v>67</v>
      </c>
      <c r="O125" s="1419">
        <v>64</v>
      </c>
      <c r="P125" s="1419">
        <v>0</v>
      </c>
      <c r="Q125" s="1419">
        <v>0</v>
      </c>
      <c r="R125" s="1419">
        <v>952</v>
      </c>
    </row>
    <row r="126" spans="1:18" ht="12" thickBot="1">
      <c r="A126" s="1473" t="s">
        <v>261</v>
      </c>
      <c r="B126" s="1473" t="s">
        <v>262</v>
      </c>
      <c r="C126" s="1419">
        <v>20</v>
      </c>
      <c r="D126" s="1419">
        <v>32</v>
      </c>
      <c r="E126" s="1419">
        <v>25</v>
      </c>
      <c r="F126" s="1419">
        <v>43</v>
      </c>
      <c r="G126" s="1419">
        <v>22</v>
      </c>
      <c r="H126" s="1419">
        <v>36</v>
      </c>
      <c r="I126" s="1419">
        <v>23</v>
      </c>
      <c r="J126" s="1419">
        <v>35</v>
      </c>
      <c r="K126" s="1419">
        <v>26</v>
      </c>
      <c r="L126" s="1419">
        <v>45</v>
      </c>
      <c r="M126" s="1419">
        <v>35</v>
      </c>
      <c r="N126" s="1419">
        <v>44</v>
      </c>
      <c r="O126" s="1419">
        <v>38</v>
      </c>
      <c r="P126" s="1419">
        <v>0</v>
      </c>
      <c r="Q126" s="1419">
        <v>0</v>
      </c>
      <c r="R126" s="1419">
        <v>424</v>
      </c>
    </row>
    <row r="127" spans="1:18" ht="12" thickBot="1">
      <c r="A127" s="1473" t="s">
        <v>332</v>
      </c>
      <c r="B127" s="1473" t="s">
        <v>333</v>
      </c>
      <c r="C127" s="1419">
        <v>172</v>
      </c>
      <c r="D127" s="1419">
        <v>161</v>
      </c>
      <c r="E127" s="1419">
        <v>162</v>
      </c>
      <c r="F127" s="1419">
        <v>166</v>
      </c>
      <c r="G127" s="1419">
        <v>158</v>
      </c>
      <c r="H127" s="1419">
        <v>198</v>
      </c>
      <c r="I127" s="1419">
        <v>199</v>
      </c>
      <c r="J127" s="1419">
        <v>170</v>
      </c>
      <c r="K127" s="1419">
        <v>182</v>
      </c>
      <c r="L127" s="1419">
        <v>191</v>
      </c>
      <c r="M127" s="1419">
        <v>194</v>
      </c>
      <c r="N127" s="1419">
        <v>197</v>
      </c>
      <c r="O127" s="1419">
        <v>177</v>
      </c>
      <c r="P127" s="1419">
        <v>0</v>
      </c>
      <c r="Q127" s="1419">
        <v>15</v>
      </c>
      <c r="R127" s="1419">
        <v>2342</v>
      </c>
    </row>
    <row r="128" spans="1:18" ht="12" thickBot="1">
      <c r="A128" s="1473" t="s">
        <v>750</v>
      </c>
      <c r="B128" s="1473" t="s">
        <v>767</v>
      </c>
      <c r="C128" s="1419">
        <v>6</v>
      </c>
      <c r="D128" s="1419">
        <v>8</v>
      </c>
      <c r="E128" s="1419">
        <v>4</v>
      </c>
      <c r="F128" s="1419">
        <v>9</v>
      </c>
      <c r="G128" s="1419">
        <v>13</v>
      </c>
      <c r="H128" s="1419">
        <v>4</v>
      </c>
      <c r="I128" s="1419">
        <v>10</v>
      </c>
      <c r="J128" s="1419">
        <v>7</v>
      </c>
      <c r="K128" s="1419">
        <v>6</v>
      </c>
      <c r="L128" s="1419">
        <v>0</v>
      </c>
      <c r="M128" s="1419">
        <v>0</v>
      </c>
      <c r="N128" s="1419">
        <v>0</v>
      </c>
      <c r="O128" s="1419">
        <v>0</v>
      </c>
      <c r="P128" s="1419">
        <v>0</v>
      </c>
      <c r="Q128" s="1419">
        <v>0</v>
      </c>
      <c r="R128" s="1419">
        <v>67</v>
      </c>
    </row>
    <row r="129" spans="1:18" ht="12" thickBot="1">
      <c r="A129" s="1473" t="s">
        <v>450</v>
      </c>
      <c r="B129" s="1473" t="s">
        <v>451</v>
      </c>
      <c r="C129" s="1419">
        <v>45</v>
      </c>
      <c r="D129" s="1419">
        <v>26</v>
      </c>
      <c r="E129" s="1419">
        <v>41</v>
      </c>
      <c r="F129" s="1419">
        <v>40</v>
      </c>
      <c r="G129" s="1419">
        <v>32</v>
      </c>
      <c r="H129" s="1419">
        <v>45</v>
      </c>
      <c r="I129" s="1419">
        <v>45</v>
      </c>
      <c r="J129" s="1419">
        <v>37</v>
      </c>
      <c r="K129" s="1419">
        <v>38</v>
      </c>
      <c r="L129" s="1419">
        <v>42</v>
      </c>
      <c r="M129" s="1419">
        <v>43</v>
      </c>
      <c r="N129" s="1419">
        <v>41</v>
      </c>
      <c r="O129" s="1419">
        <v>35</v>
      </c>
      <c r="P129" s="1419">
        <v>0</v>
      </c>
      <c r="Q129" s="1419">
        <v>0</v>
      </c>
      <c r="R129" s="1419">
        <v>510</v>
      </c>
    </row>
    <row r="130" spans="1:18" ht="12" thickBot="1">
      <c r="A130" s="1473" t="s">
        <v>454</v>
      </c>
      <c r="B130" s="1473" t="s">
        <v>455</v>
      </c>
      <c r="C130" s="1419">
        <v>74</v>
      </c>
      <c r="D130" s="1419">
        <v>85</v>
      </c>
      <c r="E130" s="1419">
        <v>58</v>
      </c>
      <c r="F130" s="1419">
        <v>61</v>
      </c>
      <c r="G130" s="1419">
        <v>63</v>
      </c>
      <c r="H130" s="1419">
        <v>69</v>
      </c>
      <c r="I130" s="1419">
        <v>44</v>
      </c>
      <c r="J130" s="1419">
        <v>62</v>
      </c>
      <c r="K130" s="1419">
        <v>63</v>
      </c>
      <c r="L130" s="1419">
        <v>63</v>
      </c>
      <c r="M130" s="1419">
        <v>54</v>
      </c>
      <c r="N130" s="1419">
        <v>59</v>
      </c>
      <c r="O130" s="1419">
        <v>71</v>
      </c>
      <c r="P130" s="1419">
        <v>0</v>
      </c>
      <c r="Q130" s="1419">
        <v>0</v>
      </c>
      <c r="R130" s="1419">
        <v>826</v>
      </c>
    </row>
    <row r="131" spans="1:18" ht="12" thickBot="1">
      <c r="A131" s="1473" t="s">
        <v>763</v>
      </c>
      <c r="B131" s="1473" t="s">
        <v>780</v>
      </c>
      <c r="C131" s="1419">
        <v>45</v>
      </c>
      <c r="D131" s="1419">
        <v>50</v>
      </c>
      <c r="E131" s="1419">
        <v>49</v>
      </c>
      <c r="F131" s="1419">
        <v>52</v>
      </c>
      <c r="G131" s="1419">
        <v>51</v>
      </c>
      <c r="H131" s="1419">
        <v>47</v>
      </c>
      <c r="I131" s="1419">
        <v>51</v>
      </c>
      <c r="J131" s="1419">
        <v>49</v>
      </c>
      <c r="K131" s="1419">
        <v>0</v>
      </c>
      <c r="L131" s="1419">
        <v>0</v>
      </c>
      <c r="M131" s="1419">
        <v>0</v>
      </c>
      <c r="N131" s="1419">
        <v>0</v>
      </c>
      <c r="O131" s="1419">
        <v>0</v>
      </c>
      <c r="P131" s="1419">
        <v>0</v>
      </c>
      <c r="Q131" s="1419">
        <v>0</v>
      </c>
      <c r="R131" s="1419">
        <v>394</v>
      </c>
    </row>
    <row r="132" spans="1:18" ht="12" thickBot="1">
      <c r="A132" s="1473" t="s">
        <v>368</v>
      </c>
      <c r="B132" s="1473" t="s">
        <v>369</v>
      </c>
      <c r="C132" s="1419">
        <v>68</v>
      </c>
      <c r="D132" s="1419">
        <v>80</v>
      </c>
      <c r="E132" s="1419">
        <v>65</v>
      </c>
      <c r="F132" s="1419">
        <v>59</v>
      </c>
      <c r="G132" s="1419">
        <v>82</v>
      </c>
      <c r="H132" s="1419">
        <v>62</v>
      </c>
      <c r="I132" s="1419">
        <v>69</v>
      </c>
      <c r="J132" s="1419">
        <v>65</v>
      </c>
      <c r="K132" s="1419">
        <v>69</v>
      </c>
      <c r="L132" s="1419">
        <v>68</v>
      </c>
      <c r="M132" s="1419">
        <v>78</v>
      </c>
      <c r="N132" s="1419">
        <v>67</v>
      </c>
      <c r="O132" s="1419">
        <v>61</v>
      </c>
      <c r="P132" s="1419">
        <v>0</v>
      </c>
      <c r="Q132" s="1419">
        <v>3</v>
      </c>
      <c r="R132" s="1419">
        <v>896</v>
      </c>
    </row>
    <row r="133" spans="1:18" ht="12" thickBot="1">
      <c r="A133" s="1473" t="s">
        <v>398</v>
      </c>
      <c r="B133" s="1473" t="s">
        <v>399</v>
      </c>
      <c r="C133" s="1419">
        <v>73</v>
      </c>
      <c r="D133" s="1419">
        <v>75</v>
      </c>
      <c r="E133" s="1419">
        <v>63</v>
      </c>
      <c r="F133" s="1419">
        <v>51</v>
      </c>
      <c r="G133" s="1419">
        <v>64</v>
      </c>
      <c r="H133" s="1419">
        <v>82</v>
      </c>
      <c r="I133" s="1419">
        <v>71</v>
      </c>
      <c r="J133" s="1419">
        <v>71</v>
      </c>
      <c r="K133" s="1419">
        <v>60</v>
      </c>
      <c r="L133" s="1419">
        <v>74</v>
      </c>
      <c r="M133" s="1419">
        <v>72</v>
      </c>
      <c r="N133" s="1419">
        <v>69</v>
      </c>
      <c r="O133" s="1419">
        <v>65</v>
      </c>
      <c r="P133" s="1419">
        <v>0</v>
      </c>
      <c r="Q133" s="1419">
        <v>0</v>
      </c>
      <c r="R133" s="1419">
        <v>890</v>
      </c>
    </row>
    <row r="134" spans="1:18" ht="12" thickBot="1">
      <c r="A134" s="1473" t="s">
        <v>503</v>
      </c>
      <c r="B134" s="1473" t="s">
        <v>504</v>
      </c>
      <c r="C134" s="1419">
        <v>493</v>
      </c>
      <c r="D134" s="1419">
        <v>485</v>
      </c>
      <c r="E134" s="1419">
        <v>472</v>
      </c>
      <c r="F134" s="1419">
        <v>451</v>
      </c>
      <c r="G134" s="1419">
        <v>433</v>
      </c>
      <c r="H134" s="1419">
        <v>374</v>
      </c>
      <c r="I134" s="1419">
        <v>392</v>
      </c>
      <c r="J134" s="1419">
        <v>414</v>
      </c>
      <c r="K134" s="1419">
        <v>424</v>
      </c>
      <c r="L134" s="1419">
        <v>351</v>
      </c>
      <c r="M134" s="1419">
        <v>386</v>
      </c>
      <c r="N134" s="1419">
        <v>365</v>
      </c>
      <c r="O134" s="1419">
        <v>313</v>
      </c>
      <c r="P134" s="1419">
        <v>0</v>
      </c>
      <c r="Q134" s="1419">
        <v>2</v>
      </c>
      <c r="R134" s="1419">
        <v>5355</v>
      </c>
    </row>
    <row r="135" spans="1:18" ht="12" thickBot="1">
      <c r="A135" s="1473" t="s">
        <v>303</v>
      </c>
      <c r="B135" s="1473" t="s">
        <v>304</v>
      </c>
      <c r="C135" s="1419">
        <v>34</v>
      </c>
      <c r="D135" s="1419">
        <v>30</v>
      </c>
      <c r="E135" s="1419">
        <v>42</v>
      </c>
      <c r="F135" s="1419">
        <v>38</v>
      </c>
      <c r="G135" s="1419">
        <v>39</v>
      </c>
      <c r="H135" s="1419">
        <v>38</v>
      </c>
      <c r="I135" s="1419">
        <v>45</v>
      </c>
      <c r="J135" s="1419">
        <v>40</v>
      </c>
      <c r="K135" s="1419">
        <v>53</v>
      </c>
      <c r="L135" s="1419">
        <v>52</v>
      </c>
      <c r="M135" s="1419">
        <v>54</v>
      </c>
      <c r="N135" s="1419">
        <v>39</v>
      </c>
      <c r="O135" s="1419">
        <v>43</v>
      </c>
      <c r="P135" s="1419">
        <v>0</v>
      </c>
      <c r="Q135" s="1419">
        <v>0</v>
      </c>
      <c r="R135" s="1419">
        <v>547</v>
      </c>
    </row>
    <row r="136" spans="1:18" ht="12" thickBot="1">
      <c r="A136" s="1473" t="s">
        <v>752</v>
      </c>
      <c r="B136" s="1473" t="s">
        <v>769</v>
      </c>
      <c r="C136" s="1419">
        <v>58</v>
      </c>
      <c r="D136" s="1419">
        <v>54</v>
      </c>
      <c r="E136" s="1419">
        <v>54</v>
      </c>
      <c r="F136" s="1419">
        <v>0</v>
      </c>
      <c r="G136" s="1419">
        <v>0</v>
      </c>
      <c r="H136" s="1419">
        <v>122</v>
      </c>
      <c r="I136" s="1419">
        <v>59</v>
      </c>
      <c r="J136" s="1419">
        <v>58</v>
      </c>
      <c r="K136" s="1419">
        <v>60</v>
      </c>
      <c r="L136" s="1419">
        <v>76</v>
      </c>
      <c r="M136" s="1419">
        <v>51</v>
      </c>
      <c r="N136" s="1419">
        <v>26</v>
      </c>
      <c r="O136" s="1419">
        <v>22</v>
      </c>
      <c r="P136" s="1419">
        <v>0</v>
      </c>
      <c r="Q136" s="1419">
        <v>0</v>
      </c>
      <c r="R136" s="1419">
        <v>640</v>
      </c>
    </row>
    <row r="137" spans="1:18" ht="12" thickBot="1">
      <c r="A137" s="1473" t="s">
        <v>392</v>
      </c>
      <c r="B137" s="1473" t="s">
        <v>393</v>
      </c>
      <c r="C137" s="1419">
        <v>27</v>
      </c>
      <c r="D137" s="1419">
        <v>16</v>
      </c>
      <c r="E137" s="1419">
        <v>33</v>
      </c>
      <c r="F137" s="1419">
        <v>23</v>
      </c>
      <c r="G137" s="1419">
        <v>31</v>
      </c>
      <c r="H137" s="1419">
        <v>34</v>
      </c>
      <c r="I137" s="1419">
        <v>42</v>
      </c>
      <c r="J137" s="1419">
        <v>36</v>
      </c>
      <c r="K137" s="1419">
        <v>37</v>
      </c>
      <c r="L137" s="1419">
        <v>30</v>
      </c>
      <c r="M137" s="1419">
        <v>37</v>
      </c>
      <c r="N137" s="1419">
        <v>41</v>
      </c>
      <c r="O137" s="1419">
        <v>32</v>
      </c>
      <c r="P137" s="1419">
        <v>0</v>
      </c>
      <c r="Q137" s="1419">
        <v>0</v>
      </c>
      <c r="R137" s="1419">
        <v>419</v>
      </c>
    </row>
    <row r="138" spans="1:18" ht="12" thickBot="1">
      <c r="A138" s="1473" t="s">
        <v>472</v>
      </c>
      <c r="B138" s="1473" t="s">
        <v>473</v>
      </c>
      <c r="C138" s="1419">
        <v>46</v>
      </c>
      <c r="D138" s="1419">
        <v>56</v>
      </c>
      <c r="E138" s="1419">
        <v>57</v>
      </c>
      <c r="F138" s="1419">
        <v>65</v>
      </c>
      <c r="G138" s="1419">
        <v>54</v>
      </c>
      <c r="H138" s="1419">
        <v>53</v>
      </c>
      <c r="I138" s="1419">
        <v>63</v>
      </c>
      <c r="J138" s="1419">
        <v>66</v>
      </c>
      <c r="K138" s="1419">
        <v>73</v>
      </c>
      <c r="L138" s="1419">
        <v>52</v>
      </c>
      <c r="M138" s="1419">
        <v>64</v>
      </c>
      <c r="N138" s="1419">
        <v>60</v>
      </c>
      <c r="O138" s="1419">
        <v>54</v>
      </c>
      <c r="P138" s="1419">
        <v>0</v>
      </c>
      <c r="Q138" s="1419">
        <v>0</v>
      </c>
      <c r="R138" s="1419">
        <v>763</v>
      </c>
    </row>
    <row r="139" spans="1:18" ht="12" thickBot="1">
      <c r="A139" s="1473" t="s">
        <v>400</v>
      </c>
      <c r="B139" s="1473" t="s">
        <v>401</v>
      </c>
      <c r="C139" s="1419">
        <v>324</v>
      </c>
      <c r="D139" s="1419">
        <v>311</v>
      </c>
      <c r="E139" s="1419">
        <v>302</v>
      </c>
      <c r="F139" s="1419">
        <v>291</v>
      </c>
      <c r="G139" s="1419">
        <v>289</v>
      </c>
      <c r="H139" s="1419">
        <v>319</v>
      </c>
      <c r="I139" s="1419">
        <v>328</v>
      </c>
      <c r="J139" s="1419">
        <v>345</v>
      </c>
      <c r="K139" s="1419">
        <v>350</v>
      </c>
      <c r="L139" s="1419">
        <v>353</v>
      </c>
      <c r="M139" s="1419">
        <v>355</v>
      </c>
      <c r="N139" s="1419">
        <v>289</v>
      </c>
      <c r="O139" s="1419">
        <v>271</v>
      </c>
      <c r="P139" s="1419">
        <v>0</v>
      </c>
      <c r="Q139" s="1419">
        <v>1</v>
      </c>
      <c r="R139" s="1419">
        <v>4128</v>
      </c>
    </row>
    <row r="140" spans="1:18" ht="12" thickBot="1">
      <c r="A140" s="1473" t="s">
        <v>639</v>
      </c>
      <c r="B140" s="1473" t="s">
        <v>640</v>
      </c>
      <c r="C140" s="1419">
        <v>112</v>
      </c>
      <c r="D140" s="1419">
        <v>88</v>
      </c>
      <c r="E140" s="1419">
        <v>94</v>
      </c>
      <c r="F140" s="1419">
        <v>74</v>
      </c>
      <c r="G140" s="1419">
        <v>77</v>
      </c>
      <c r="H140" s="1419">
        <v>94</v>
      </c>
      <c r="I140" s="1419">
        <v>79</v>
      </c>
      <c r="J140" s="1419">
        <v>107</v>
      </c>
      <c r="K140" s="1419">
        <v>85</v>
      </c>
      <c r="L140" s="1419">
        <v>100</v>
      </c>
      <c r="M140" s="1419">
        <v>108</v>
      </c>
      <c r="N140" s="1419">
        <v>73</v>
      </c>
      <c r="O140" s="1419">
        <v>65</v>
      </c>
      <c r="P140" s="1419">
        <v>0</v>
      </c>
      <c r="Q140" s="1419">
        <v>0</v>
      </c>
      <c r="R140" s="1419">
        <v>1156</v>
      </c>
    </row>
    <row r="141" spans="1:18" ht="12" thickBot="1">
      <c r="A141" s="1473" t="s">
        <v>402</v>
      </c>
      <c r="B141" s="1473" t="s">
        <v>403</v>
      </c>
      <c r="C141" s="1419">
        <v>194</v>
      </c>
      <c r="D141" s="1419">
        <v>228</v>
      </c>
      <c r="E141" s="1419">
        <v>241</v>
      </c>
      <c r="F141" s="1419">
        <v>220</v>
      </c>
      <c r="G141" s="1419">
        <v>238</v>
      </c>
      <c r="H141" s="1419">
        <v>218</v>
      </c>
      <c r="I141" s="1419">
        <v>251</v>
      </c>
      <c r="J141" s="1419">
        <v>263</v>
      </c>
      <c r="K141" s="1419">
        <v>256</v>
      </c>
      <c r="L141" s="1419">
        <v>248</v>
      </c>
      <c r="M141" s="1419">
        <v>236</v>
      </c>
      <c r="N141" s="1419">
        <v>236</v>
      </c>
      <c r="O141" s="1419">
        <v>208</v>
      </c>
      <c r="P141" s="1419">
        <v>0</v>
      </c>
      <c r="Q141" s="1419">
        <v>0</v>
      </c>
      <c r="R141" s="1419">
        <v>3037</v>
      </c>
    </row>
    <row r="142" spans="1:18" ht="12" thickBot="1">
      <c r="A142" s="1473" t="s">
        <v>466</v>
      </c>
      <c r="B142" s="1473" t="s">
        <v>467</v>
      </c>
      <c r="C142" s="1419">
        <v>97</v>
      </c>
      <c r="D142" s="1419">
        <v>86</v>
      </c>
      <c r="E142" s="1419">
        <v>77</v>
      </c>
      <c r="F142" s="1419">
        <v>82</v>
      </c>
      <c r="G142" s="1419">
        <v>82</v>
      </c>
      <c r="H142" s="1419">
        <v>79</v>
      </c>
      <c r="I142" s="1419">
        <v>80</v>
      </c>
      <c r="J142" s="1419">
        <v>81</v>
      </c>
      <c r="K142" s="1419">
        <v>85</v>
      </c>
      <c r="L142" s="1419">
        <v>75</v>
      </c>
      <c r="M142" s="1419">
        <v>78</v>
      </c>
      <c r="N142" s="1419">
        <v>91</v>
      </c>
      <c r="O142" s="1419">
        <v>73</v>
      </c>
      <c r="P142" s="1419">
        <v>0</v>
      </c>
      <c r="Q142" s="1419">
        <v>0</v>
      </c>
      <c r="R142" s="1419">
        <v>1066</v>
      </c>
    </row>
    <row r="143" spans="1:18" ht="12" thickBot="1">
      <c r="A143" s="1473" t="s">
        <v>287</v>
      </c>
      <c r="B143" s="1473" t="s">
        <v>288</v>
      </c>
      <c r="C143" s="1419">
        <v>63</v>
      </c>
      <c r="D143" s="1419">
        <v>62</v>
      </c>
      <c r="E143" s="1419">
        <v>72</v>
      </c>
      <c r="F143" s="1419">
        <v>71</v>
      </c>
      <c r="G143" s="1419">
        <v>60</v>
      </c>
      <c r="H143" s="1419">
        <v>58</v>
      </c>
      <c r="I143" s="1419">
        <v>63</v>
      </c>
      <c r="J143" s="1419">
        <v>67</v>
      </c>
      <c r="K143" s="1419">
        <v>64</v>
      </c>
      <c r="L143" s="1419">
        <v>65</v>
      </c>
      <c r="M143" s="1419">
        <v>81</v>
      </c>
      <c r="N143" s="1419">
        <v>59</v>
      </c>
      <c r="O143" s="1419">
        <v>71</v>
      </c>
      <c r="P143" s="1419">
        <v>0</v>
      </c>
      <c r="Q143" s="1419">
        <v>0</v>
      </c>
      <c r="R143" s="1419">
        <v>856</v>
      </c>
    </row>
    <row r="144" spans="1:18" ht="12" thickBot="1">
      <c r="A144" s="1473" t="s">
        <v>480</v>
      </c>
      <c r="B144" s="1473" t="s">
        <v>307</v>
      </c>
      <c r="C144" s="1419">
        <v>90</v>
      </c>
      <c r="D144" s="1419">
        <v>93</v>
      </c>
      <c r="E144" s="1419">
        <v>80</v>
      </c>
      <c r="F144" s="1419">
        <v>88</v>
      </c>
      <c r="G144" s="1419">
        <v>85</v>
      </c>
      <c r="H144" s="1419">
        <v>83</v>
      </c>
      <c r="I144" s="1419">
        <v>88</v>
      </c>
      <c r="J144" s="1419">
        <v>71</v>
      </c>
      <c r="K144" s="1419">
        <v>72</v>
      </c>
      <c r="L144" s="1419">
        <v>104</v>
      </c>
      <c r="M144" s="1419">
        <v>81</v>
      </c>
      <c r="N144" s="1419">
        <v>75</v>
      </c>
      <c r="O144" s="1419">
        <v>74</v>
      </c>
      <c r="P144" s="1419">
        <v>0</v>
      </c>
      <c r="Q144" s="1419">
        <v>0</v>
      </c>
      <c r="R144" s="1419">
        <v>1084</v>
      </c>
    </row>
    <row r="145" spans="1:18" ht="12" thickBot="1">
      <c r="A145" s="1473" t="s">
        <v>623</v>
      </c>
      <c r="B145" s="1473" t="s">
        <v>624</v>
      </c>
      <c r="C145" s="1419">
        <v>30</v>
      </c>
      <c r="D145" s="1419">
        <v>28</v>
      </c>
      <c r="E145" s="1419">
        <v>27</v>
      </c>
      <c r="F145" s="1419">
        <v>28</v>
      </c>
      <c r="G145" s="1419">
        <v>23</v>
      </c>
      <c r="H145" s="1419">
        <v>26</v>
      </c>
      <c r="I145" s="1419">
        <v>27</v>
      </c>
      <c r="J145" s="1419">
        <v>27</v>
      </c>
      <c r="K145" s="1419">
        <v>26</v>
      </c>
      <c r="L145" s="1419">
        <v>28</v>
      </c>
      <c r="M145" s="1419">
        <v>33</v>
      </c>
      <c r="N145" s="1419">
        <v>38</v>
      </c>
      <c r="O145" s="1419">
        <v>29</v>
      </c>
      <c r="P145" s="1419">
        <v>0</v>
      </c>
      <c r="Q145" s="1419">
        <v>0</v>
      </c>
      <c r="R145" s="1419">
        <v>370</v>
      </c>
    </row>
    <row r="146" spans="1:18" ht="12" thickBot="1">
      <c r="A146" s="1473" t="s">
        <v>308</v>
      </c>
      <c r="B146" s="1473" t="s">
        <v>309</v>
      </c>
      <c r="C146" s="1419">
        <v>65</v>
      </c>
      <c r="D146" s="1419">
        <v>63</v>
      </c>
      <c r="E146" s="1419">
        <v>79</v>
      </c>
      <c r="F146" s="1419">
        <v>79</v>
      </c>
      <c r="G146" s="1419">
        <v>76</v>
      </c>
      <c r="H146" s="1419">
        <v>83</v>
      </c>
      <c r="I146" s="1419">
        <v>75</v>
      </c>
      <c r="J146" s="1419">
        <v>64</v>
      </c>
      <c r="K146" s="1419">
        <v>65</v>
      </c>
      <c r="L146" s="1419">
        <v>109</v>
      </c>
      <c r="M146" s="1419">
        <v>81</v>
      </c>
      <c r="N146" s="1419">
        <v>73</v>
      </c>
      <c r="O146" s="1419">
        <v>79</v>
      </c>
      <c r="P146" s="1419">
        <v>0</v>
      </c>
      <c r="Q146" s="1419">
        <v>4</v>
      </c>
      <c r="R146" s="1419">
        <v>995</v>
      </c>
    </row>
    <row r="147" spans="1:18" ht="12" thickBot="1">
      <c r="A147" s="1473" t="s">
        <v>135</v>
      </c>
      <c r="B147" s="1473" t="s">
        <v>136</v>
      </c>
      <c r="C147" s="1419">
        <v>68</v>
      </c>
      <c r="D147" s="1419">
        <v>82</v>
      </c>
      <c r="E147" s="1419">
        <v>91</v>
      </c>
      <c r="F147" s="1419">
        <v>88</v>
      </c>
      <c r="G147" s="1419">
        <v>107</v>
      </c>
      <c r="H147" s="1419">
        <v>102</v>
      </c>
      <c r="I147" s="1419">
        <v>112</v>
      </c>
      <c r="J147" s="1419">
        <v>117</v>
      </c>
      <c r="K147" s="1419">
        <v>120</v>
      </c>
      <c r="L147" s="1419">
        <v>123</v>
      </c>
      <c r="M147" s="1419">
        <v>99</v>
      </c>
      <c r="N147" s="1419">
        <v>104</v>
      </c>
      <c r="O147" s="1419">
        <v>91</v>
      </c>
      <c r="P147" s="1419">
        <v>0</v>
      </c>
      <c r="Q147" s="1419">
        <v>0</v>
      </c>
      <c r="R147" s="1419">
        <v>1304</v>
      </c>
    </row>
    <row r="148" spans="1:18" ht="12" thickBot="1">
      <c r="A148" s="1473" t="s">
        <v>754</v>
      </c>
      <c r="B148" s="1473" t="s">
        <v>771</v>
      </c>
      <c r="C148" s="1419">
        <v>0</v>
      </c>
      <c r="D148" s="1419">
        <v>0</v>
      </c>
      <c r="E148" s="1419">
        <v>0</v>
      </c>
      <c r="F148" s="1419">
        <v>0</v>
      </c>
      <c r="G148" s="1419">
        <v>0</v>
      </c>
      <c r="H148" s="1419">
        <v>0</v>
      </c>
      <c r="I148" s="1419">
        <v>99</v>
      </c>
      <c r="J148" s="1419">
        <v>110</v>
      </c>
      <c r="K148" s="1419">
        <v>97</v>
      </c>
      <c r="L148" s="1419">
        <v>47</v>
      </c>
      <c r="M148" s="1419">
        <v>46</v>
      </c>
      <c r="N148" s="1419">
        <v>37</v>
      </c>
      <c r="O148" s="1419">
        <v>40</v>
      </c>
      <c r="P148" s="1419">
        <v>0</v>
      </c>
      <c r="Q148" s="1419">
        <v>0</v>
      </c>
      <c r="R148" s="1419">
        <v>476</v>
      </c>
    </row>
    <row r="149" spans="1:18" ht="12" thickBot="1">
      <c r="A149" s="1473" t="s">
        <v>761</v>
      </c>
      <c r="B149" s="1473" t="s">
        <v>778</v>
      </c>
      <c r="C149" s="1419">
        <v>43</v>
      </c>
      <c r="D149" s="1419">
        <v>48</v>
      </c>
      <c r="E149" s="1419">
        <v>48</v>
      </c>
      <c r="F149" s="1419">
        <v>25</v>
      </c>
      <c r="G149" s="1419">
        <v>25</v>
      </c>
      <c r="H149" s="1419">
        <v>25</v>
      </c>
      <c r="I149" s="1419">
        <v>50</v>
      </c>
      <c r="J149" s="1419">
        <v>53</v>
      </c>
      <c r="K149" s="1419">
        <v>59</v>
      </c>
      <c r="L149" s="1419">
        <v>33</v>
      </c>
      <c r="M149" s="1419">
        <v>19</v>
      </c>
      <c r="N149" s="1419">
        <v>0</v>
      </c>
      <c r="O149" s="1419">
        <v>0</v>
      </c>
      <c r="P149" s="1419">
        <v>0</v>
      </c>
      <c r="Q149" s="1419">
        <v>0</v>
      </c>
      <c r="R149" s="1419">
        <v>428</v>
      </c>
    </row>
    <row r="150" spans="1:18" ht="12" thickBot="1">
      <c r="A150" s="1473" t="s">
        <v>762</v>
      </c>
      <c r="B150" s="1473" t="s">
        <v>779</v>
      </c>
      <c r="C150" s="1419">
        <v>0</v>
      </c>
      <c r="D150" s="1419">
        <v>0</v>
      </c>
      <c r="E150" s="1419">
        <v>0</v>
      </c>
      <c r="F150" s="1419">
        <v>0</v>
      </c>
      <c r="G150" s="1419">
        <v>0</v>
      </c>
      <c r="H150" s="1419">
        <v>26</v>
      </c>
      <c r="I150" s="1419">
        <v>54</v>
      </c>
      <c r="J150" s="1419">
        <v>0</v>
      </c>
      <c r="K150" s="1419">
        <v>0</v>
      </c>
      <c r="L150" s="1419">
        <v>0</v>
      </c>
      <c r="M150" s="1419">
        <v>0</v>
      </c>
      <c r="N150" s="1419">
        <v>0</v>
      </c>
      <c r="O150" s="1419">
        <v>0</v>
      </c>
      <c r="P150" s="1419">
        <v>0</v>
      </c>
      <c r="Q150" s="1419">
        <v>0</v>
      </c>
      <c r="R150" s="1419">
        <v>80</v>
      </c>
    </row>
    <row r="151" spans="1:18" ht="12" thickBot="1">
      <c r="A151" s="1473" t="s">
        <v>249</v>
      </c>
      <c r="B151" s="1473" t="s">
        <v>250</v>
      </c>
      <c r="C151" s="1419">
        <v>1999</v>
      </c>
      <c r="D151" s="1419">
        <v>2084</v>
      </c>
      <c r="E151" s="1419">
        <v>1955</v>
      </c>
      <c r="F151" s="1419">
        <v>1951</v>
      </c>
      <c r="G151" s="1419">
        <v>2001</v>
      </c>
      <c r="H151" s="1419">
        <v>1849</v>
      </c>
      <c r="I151" s="1419">
        <v>1747</v>
      </c>
      <c r="J151" s="1419">
        <v>1768</v>
      </c>
      <c r="K151" s="1419">
        <v>1727</v>
      </c>
      <c r="L151" s="1419">
        <v>2110</v>
      </c>
      <c r="M151" s="1419">
        <v>1913</v>
      </c>
      <c r="N151" s="1419">
        <v>1682</v>
      </c>
      <c r="O151" s="1419">
        <v>1440</v>
      </c>
      <c r="P151" s="1419">
        <v>0</v>
      </c>
      <c r="Q151" s="1419">
        <v>0</v>
      </c>
      <c r="R151" s="1419">
        <v>24226</v>
      </c>
    </row>
    <row r="152" spans="1:18" ht="12" thickBot="1">
      <c r="A152" s="1473" t="s">
        <v>324</v>
      </c>
      <c r="B152" s="1473" t="s">
        <v>325</v>
      </c>
      <c r="C152" s="1419">
        <v>139</v>
      </c>
      <c r="D152" s="1419">
        <v>141</v>
      </c>
      <c r="E152" s="1419">
        <v>128</v>
      </c>
      <c r="F152" s="1419">
        <v>136</v>
      </c>
      <c r="G152" s="1419">
        <v>138</v>
      </c>
      <c r="H152" s="1419">
        <v>143</v>
      </c>
      <c r="I152" s="1419">
        <v>142</v>
      </c>
      <c r="J152" s="1419">
        <v>159</v>
      </c>
      <c r="K152" s="1419">
        <v>171</v>
      </c>
      <c r="L152" s="1419">
        <v>147</v>
      </c>
      <c r="M152" s="1419">
        <v>159</v>
      </c>
      <c r="N152" s="1419">
        <v>121</v>
      </c>
      <c r="O152" s="1419">
        <v>123</v>
      </c>
      <c r="P152" s="1419">
        <v>0</v>
      </c>
      <c r="Q152" s="1419">
        <v>0</v>
      </c>
      <c r="R152" s="1419">
        <v>1847</v>
      </c>
    </row>
    <row r="153" spans="1:18" ht="12" thickBot="1">
      <c r="A153" s="1473" t="s">
        <v>764</v>
      </c>
      <c r="B153" s="1473" t="s">
        <v>781</v>
      </c>
      <c r="C153" s="1419">
        <v>45</v>
      </c>
      <c r="D153" s="1419">
        <v>39</v>
      </c>
      <c r="E153" s="1419">
        <v>55</v>
      </c>
      <c r="F153" s="1419">
        <v>60</v>
      </c>
      <c r="G153" s="1419">
        <v>46</v>
      </c>
      <c r="H153" s="1419">
        <v>36</v>
      </c>
      <c r="I153" s="1419">
        <v>44</v>
      </c>
      <c r="J153" s="1419">
        <v>41</v>
      </c>
      <c r="K153" s="1419">
        <v>20</v>
      </c>
      <c r="L153" s="1419">
        <v>0</v>
      </c>
      <c r="M153" s="1419">
        <v>0</v>
      </c>
      <c r="N153" s="1419">
        <v>0</v>
      </c>
      <c r="O153" s="1419">
        <v>0</v>
      </c>
      <c r="P153" s="1419">
        <v>0</v>
      </c>
      <c r="Q153" s="1419">
        <v>0</v>
      </c>
      <c r="R153" s="1419">
        <v>386</v>
      </c>
    </row>
    <row r="154" spans="1:18" ht="12" thickBot="1">
      <c r="A154" s="1473" t="s">
        <v>318</v>
      </c>
      <c r="B154" s="1473" t="s">
        <v>319</v>
      </c>
      <c r="C154" s="1419">
        <v>26</v>
      </c>
      <c r="D154" s="1419">
        <v>36</v>
      </c>
      <c r="E154" s="1419">
        <v>38</v>
      </c>
      <c r="F154" s="1419">
        <v>35</v>
      </c>
      <c r="G154" s="1419">
        <v>46</v>
      </c>
      <c r="H154" s="1419">
        <v>33</v>
      </c>
      <c r="I154" s="1419">
        <v>41</v>
      </c>
      <c r="J154" s="1419">
        <v>45</v>
      </c>
      <c r="K154" s="1419">
        <v>39</v>
      </c>
      <c r="L154" s="1419">
        <v>42</v>
      </c>
      <c r="M154" s="1419">
        <v>53</v>
      </c>
      <c r="N154" s="1419">
        <v>50</v>
      </c>
      <c r="O154" s="1419">
        <v>37</v>
      </c>
      <c r="P154" s="1419">
        <v>0</v>
      </c>
      <c r="Q154" s="1419">
        <v>0</v>
      </c>
      <c r="R154" s="1419">
        <v>521</v>
      </c>
    </row>
    <row r="155" spans="1:18" ht="12" thickBot="1">
      <c r="A155" s="1473" t="s">
        <v>426</v>
      </c>
      <c r="B155" s="1473" t="s">
        <v>427</v>
      </c>
      <c r="C155" s="1419">
        <v>47</v>
      </c>
      <c r="D155" s="1419">
        <v>51</v>
      </c>
      <c r="E155" s="1419">
        <v>41</v>
      </c>
      <c r="F155" s="1419">
        <v>48</v>
      </c>
      <c r="G155" s="1419">
        <v>54</v>
      </c>
      <c r="H155" s="1419">
        <v>45</v>
      </c>
      <c r="I155" s="1419">
        <v>56</v>
      </c>
      <c r="J155" s="1419">
        <v>63</v>
      </c>
      <c r="K155" s="1419">
        <v>45</v>
      </c>
      <c r="L155" s="1419">
        <v>61</v>
      </c>
      <c r="M155" s="1419">
        <v>46</v>
      </c>
      <c r="N155" s="1419">
        <v>47</v>
      </c>
      <c r="O155" s="1419">
        <v>51</v>
      </c>
      <c r="P155" s="1419">
        <v>0</v>
      </c>
      <c r="Q155" s="1419">
        <v>0</v>
      </c>
      <c r="R155" s="1419">
        <v>655</v>
      </c>
    </row>
    <row r="156" spans="1:18" ht="12" thickBot="1">
      <c r="A156" s="1473" t="s">
        <v>485</v>
      </c>
      <c r="B156" s="1473" t="s">
        <v>486</v>
      </c>
      <c r="C156" s="1419">
        <v>223</v>
      </c>
      <c r="D156" s="1419">
        <v>213</v>
      </c>
      <c r="E156" s="1419">
        <v>193</v>
      </c>
      <c r="F156" s="1419">
        <v>196</v>
      </c>
      <c r="G156" s="1419">
        <v>224</v>
      </c>
      <c r="H156" s="1419">
        <v>211</v>
      </c>
      <c r="I156" s="1419">
        <v>210</v>
      </c>
      <c r="J156" s="1419">
        <v>245</v>
      </c>
      <c r="K156" s="1419">
        <v>214</v>
      </c>
      <c r="L156" s="1419">
        <v>236</v>
      </c>
      <c r="M156" s="1419">
        <v>215</v>
      </c>
      <c r="N156" s="1419">
        <v>239</v>
      </c>
      <c r="O156" s="1419">
        <v>191</v>
      </c>
      <c r="P156" s="1419">
        <v>0</v>
      </c>
      <c r="Q156" s="1419">
        <v>0</v>
      </c>
      <c r="R156" s="1419">
        <v>2810</v>
      </c>
    </row>
    <row r="157" spans="1:18" ht="12" thickBot="1">
      <c r="A157" s="1473" t="s">
        <v>428</v>
      </c>
      <c r="B157" s="1473" t="s">
        <v>429</v>
      </c>
      <c r="C157" s="1419">
        <v>193</v>
      </c>
      <c r="D157" s="1419">
        <v>197</v>
      </c>
      <c r="E157" s="1419">
        <v>173</v>
      </c>
      <c r="F157" s="1419">
        <v>159</v>
      </c>
      <c r="G157" s="1419">
        <v>164</v>
      </c>
      <c r="H157" s="1419">
        <v>153</v>
      </c>
      <c r="I157" s="1419">
        <v>155</v>
      </c>
      <c r="J157" s="1419">
        <v>142</v>
      </c>
      <c r="K157" s="1419">
        <v>170</v>
      </c>
      <c r="L157" s="1419">
        <v>198</v>
      </c>
      <c r="M157" s="1419">
        <v>141</v>
      </c>
      <c r="N157" s="1419">
        <v>133</v>
      </c>
      <c r="O157" s="1419">
        <v>145</v>
      </c>
      <c r="P157" s="1419">
        <v>0</v>
      </c>
      <c r="Q157" s="1419">
        <v>0</v>
      </c>
      <c r="R157" s="1419">
        <v>2123</v>
      </c>
    </row>
    <row r="158" spans="1:18" ht="12" thickBot="1">
      <c r="A158" s="1473" t="s">
        <v>559</v>
      </c>
      <c r="B158" s="1473" t="s">
        <v>560</v>
      </c>
      <c r="C158" s="1419">
        <v>37</v>
      </c>
      <c r="D158" s="1419">
        <v>36</v>
      </c>
      <c r="E158" s="1419">
        <v>32</v>
      </c>
      <c r="F158" s="1419">
        <v>32</v>
      </c>
      <c r="G158" s="1419">
        <v>36</v>
      </c>
      <c r="H158" s="1419">
        <v>40</v>
      </c>
      <c r="I158" s="1419">
        <v>33</v>
      </c>
      <c r="J158" s="1419">
        <v>35</v>
      </c>
      <c r="K158" s="1419">
        <v>42</v>
      </c>
      <c r="L158" s="1419">
        <v>37</v>
      </c>
      <c r="M158" s="1419">
        <v>31</v>
      </c>
      <c r="N158" s="1419">
        <v>45</v>
      </c>
      <c r="O158" s="1419">
        <v>36</v>
      </c>
      <c r="P158" s="1419">
        <v>0</v>
      </c>
      <c r="Q158" s="1419">
        <v>0</v>
      </c>
      <c r="R158" s="1419">
        <v>472</v>
      </c>
    </row>
    <row r="159" spans="1:18" ht="12" thickBot="1">
      <c r="A159" s="1473" t="s">
        <v>352</v>
      </c>
      <c r="B159" s="1473" t="s">
        <v>353</v>
      </c>
      <c r="C159" s="1419">
        <v>74</v>
      </c>
      <c r="D159" s="1419">
        <v>70</v>
      </c>
      <c r="E159" s="1419">
        <v>83</v>
      </c>
      <c r="F159" s="1419">
        <v>71</v>
      </c>
      <c r="G159" s="1419">
        <v>78</v>
      </c>
      <c r="H159" s="1419">
        <v>79</v>
      </c>
      <c r="I159" s="1419">
        <v>80</v>
      </c>
      <c r="J159" s="1419">
        <v>93</v>
      </c>
      <c r="K159" s="1419">
        <v>84</v>
      </c>
      <c r="L159" s="1419">
        <v>76</v>
      </c>
      <c r="M159" s="1419">
        <v>70</v>
      </c>
      <c r="N159" s="1419">
        <v>59</v>
      </c>
      <c r="O159" s="1419">
        <v>78</v>
      </c>
      <c r="P159" s="1419">
        <v>0</v>
      </c>
      <c r="Q159" s="1419">
        <v>0</v>
      </c>
      <c r="R159" s="1419">
        <v>995</v>
      </c>
    </row>
    <row r="160" spans="1:18" ht="12" thickBot="1">
      <c r="A160" s="1473" t="s">
        <v>289</v>
      </c>
      <c r="B160" s="1473" t="s">
        <v>290</v>
      </c>
      <c r="C160" s="1419">
        <v>80</v>
      </c>
      <c r="D160" s="1419">
        <v>69</v>
      </c>
      <c r="E160" s="1419">
        <v>62</v>
      </c>
      <c r="F160" s="1419">
        <v>57</v>
      </c>
      <c r="G160" s="1419">
        <v>70</v>
      </c>
      <c r="H160" s="1419">
        <v>70</v>
      </c>
      <c r="I160" s="1419">
        <v>74</v>
      </c>
      <c r="J160" s="1419">
        <v>69</v>
      </c>
      <c r="K160" s="1419">
        <v>92</v>
      </c>
      <c r="L160" s="1419">
        <v>74</v>
      </c>
      <c r="M160" s="1419">
        <v>79</v>
      </c>
      <c r="N160" s="1419">
        <v>86</v>
      </c>
      <c r="O160" s="1419">
        <v>76</v>
      </c>
      <c r="P160" s="1419">
        <v>0</v>
      </c>
      <c r="Q160" s="1419">
        <v>0</v>
      </c>
      <c r="R160" s="1419">
        <v>958</v>
      </c>
    </row>
    <row r="161" spans="1:18" ht="12" thickBot="1">
      <c r="A161" s="1473" t="s">
        <v>525</v>
      </c>
      <c r="B161" s="1473" t="s">
        <v>526</v>
      </c>
      <c r="C161" s="1419">
        <v>340</v>
      </c>
      <c r="D161" s="1419">
        <v>361</v>
      </c>
      <c r="E161" s="1419">
        <v>317</v>
      </c>
      <c r="F161" s="1419">
        <v>311</v>
      </c>
      <c r="G161" s="1419">
        <v>326</v>
      </c>
      <c r="H161" s="1419">
        <v>353</v>
      </c>
      <c r="I161" s="1419">
        <v>329</v>
      </c>
      <c r="J161" s="1419">
        <v>307</v>
      </c>
      <c r="K161" s="1419">
        <v>334</v>
      </c>
      <c r="L161" s="1419">
        <v>369</v>
      </c>
      <c r="M161" s="1419">
        <v>359</v>
      </c>
      <c r="N161" s="1419">
        <v>286</v>
      </c>
      <c r="O161" s="1419">
        <v>252</v>
      </c>
      <c r="P161" s="1419">
        <v>0</v>
      </c>
      <c r="Q161" s="1419">
        <v>22</v>
      </c>
      <c r="R161" s="1419">
        <v>4266</v>
      </c>
    </row>
    <row r="162" spans="1:18" ht="12" thickBot="1">
      <c r="A162" s="1473" t="s">
        <v>223</v>
      </c>
      <c r="B162" s="1473" t="s">
        <v>224</v>
      </c>
      <c r="C162" s="1419">
        <v>48</v>
      </c>
      <c r="D162" s="1419">
        <v>52</v>
      </c>
      <c r="E162" s="1419">
        <v>36</v>
      </c>
      <c r="F162" s="1419">
        <v>33</v>
      </c>
      <c r="G162" s="1419">
        <v>57</v>
      </c>
      <c r="H162" s="1419">
        <v>56</v>
      </c>
      <c r="I162" s="1419">
        <v>53</v>
      </c>
      <c r="J162" s="1419">
        <v>59</v>
      </c>
      <c r="K162" s="1419">
        <v>50</v>
      </c>
      <c r="L162" s="1419">
        <v>62</v>
      </c>
      <c r="M162" s="1419">
        <v>31</v>
      </c>
      <c r="N162" s="1419">
        <v>39</v>
      </c>
      <c r="O162" s="1419">
        <v>43</v>
      </c>
      <c r="P162" s="1419">
        <v>0</v>
      </c>
      <c r="Q162" s="1419">
        <v>0</v>
      </c>
      <c r="R162" s="1419">
        <v>619</v>
      </c>
    </row>
    <row r="163" spans="1:18" ht="12" thickBot="1">
      <c r="A163" s="1473" t="s">
        <v>410</v>
      </c>
      <c r="B163" s="1473" t="s">
        <v>411</v>
      </c>
      <c r="C163" s="1419">
        <v>56</v>
      </c>
      <c r="D163" s="1419">
        <v>51</v>
      </c>
      <c r="E163" s="1419">
        <v>49</v>
      </c>
      <c r="F163" s="1419">
        <v>49</v>
      </c>
      <c r="G163" s="1419">
        <v>61</v>
      </c>
      <c r="H163" s="1419">
        <v>64</v>
      </c>
      <c r="I163" s="1419">
        <v>54</v>
      </c>
      <c r="J163" s="1419">
        <v>50</v>
      </c>
      <c r="K163" s="1419">
        <v>59</v>
      </c>
      <c r="L163" s="1419">
        <v>54</v>
      </c>
      <c r="M163" s="1419">
        <v>65</v>
      </c>
      <c r="N163" s="1419">
        <v>58</v>
      </c>
      <c r="O163" s="1419">
        <v>45</v>
      </c>
      <c r="P163" s="1419">
        <v>0</v>
      </c>
      <c r="Q163" s="1419">
        <v>0</v>
      </c>
      <c r="R163" s="1419">
        <v>715</v>
      </c>
    </row>
    <row r="164" spans="1:18" ht="12" thickBot="1">
      <c r="A164" s="1473" t="s">
        <v>388</v>
      </c>
      <c r="B164" s="1473" t="s">
        <v>389</v>
      </c>
      <c r="C164" s="1419">
        <v>37</v>
      </c>
      <c r="D164" s="1419">
        <v>27</v>
      </c>
      <c r="E164" s="1419">
        <v>36</v>
      </c>
      <c r="F164" s="1419">
        <v>32</v>
      </c>
      <c r="G164" s="1419">
        <v>40</v>
      </c>
      <c r="H164" s="1419">
        <v>33</v>
      </c>
      <c r="I164" s="1419">
        <v>24</v>
      </c>
      <c r="J164" s="1419">
        <v>36</v>
      </c>
      <c r="K164" s="1419">
        <v>46</v>
      </c>
      <c r="L164" s="1419">
        <v>43</v>
      </c>
      <c r="M164" s="1419">
        <v>33</v>
      </c>
      <c r="N164" s="1419">
        <v>28</v>
      </c>
      <c r="O164" s="1419">
        <v>46</v>
      </c>
      <c r="P164" s="1419">
        <v>0</v>
      </c>
      <c r="Q164" s="1419">
        <v>0</v>
      </c>
      <c r="R164" s="1419">
        <v>461</v>
      </c>
    </row>
    <row r="165" spans="1:18" ht="12" thickBot="1">
      <c r="A165" s="1473" t="s">
        <v>547</v>
      </c>
      <c r="B165" s="1473" t="s">
        <v>548</v>
      </c>
      <c r="C165" s="1419">
        <v>71</v>
      </c>
      <c r="D165" s="1419">
        <v>63</v>
      </c>
      <c r="E165" s="1419">
        <v>96</v>
      </c>
      <c r="F165" s="1419">
        <v>88</v>
      </c>
      <c r="G165" s="1419">
        <v>79</v>
      </c>
      <c r="H165" s="1419">
        <v>87</v>
      </c>
      <c r="I165" s="1419">
        <v>86</v>
      </c>
      <c r="J165" s="1419">
        <v>82</v>
      </c>
      <c r="K165" s="1419">
        <v>89</v>
      </c>
      <c r="L165" s="1419">
        <v>90</v>
      </c>
      <c r="M165" s="1419">
        <v>73</v>
      </c>
      <c r="N165" s="1419">
        <v>78</v>
      </c>
      <c r="O165" s="1419">
        <v>72</v>
      </c>
      <c r="P165" s="1419">
        <v>0</v>
      </c>
      <c r="Q165" s="1419">
        <v>0</v>
      </c>
      <c r="R165" s="1419">
        <v>1054</v>
      </c>
    </row>
    <row r="166" spans="1:18" ht="12" thickBot="1">
      <c r="A166" s="1473" t="s">
        <v>255</v>
      </c>
      <c r="B166" s="1473" t="s">
        <v>256</v>
      </c>
      <c r="C166" s="1419">
        <v>36</v>
      </c>
      <c r="D166" s="1419">
        <v>29</v>
      </c>
      <c r="E166" s="1419">
        <v>37</v>
      </c>
      <c r="F166" s="1419">
        <v>38</v>
      </c>
      <c r="G166" s="1419">
        <v>37</v>
      </c>
      <c r="H166" s="1419">
        <v>46</v>
      </c>
      <c r="I166" s="1419">
        <v>36</v>
      </c>
      <c r="J166" s="1419">
        <v>35</v>
      </c>
      <c r="K166" s="1419">
        <v>40</v>
      </c>
      <c r="L166" s="1419">
        <v>40</v>
      </c>
      <c r="M166" s="1419">
        <v>32</v>
      </c>
      <c r="N166" s="1419">
        <v>49</v>
      </c>
      <c r="O166" s="1419">
        <v>64</v>
      </c>
      <c r="P166" s="1419">
        <v>0</v>
      </c>
      <c r="Q166" s="1419">
        <v>0</v>
      </c>
      <c r="R166" s="1419">
        <v>519</v>
      </c>
    </row>
    <row r="167" spans="1:18" ht="12" thickBot="1">
      <c r="A167" s="1473" t="s">
        <v>161</v>
      </c>
      <c r="B167" s="1473" t="s">
        <v>162</v>
      </c>
      <c r="C167" s="1419">
        <v>56</v>
      </c>
      <c r="D167" s="1419">
        <v>48</v>
      </c>
      <c r="E167" s="1419">
        <v>43</v>
      </c>
      <c r="F167" s="1419">
        <v>64</v>
      </c>
      <c r="G167" s="1419">
        <v>57</v>
      </c>
      <c r="H167" s="1419">
        <v>48</v>
      </c>
      <c r="I167" s="1419">
        <v>51</v>
      </c>
      <c r="J167" s="1419">
        <v>57</v>
      </c>
      <c r="K167" s="1419">
        <v>59</v>
      </c>
      <c r="L167" s="1419">
        <v>61</v>
      </c>
      <c r="M167" s="1419">
        <v>45</v>
      </c>
      <c r="N167" s="1419">
        <v>43</v>
      </c>
      <c r="O167" s="1419">
        <v>46</v>
      </c>
      <c r="P167" s="1419">
        <v>0</v>
      </c>
      <c r="Q167" s="1419">
        <v>0</v>
      </c>
      <c r="R167" s="1419">
        <v>678</v>
      </c>
    </row>
    <row r="168" spans="1:18" ht="12" thickBot="1">
      <c r="A168" s="1473" t="s">
        <v>535</v>
      </c>
      <c r="B168" s="1473" t="s">
        <v>536</v>
      </c>
      <c r="C168" s="1419">
        <v>94</v>
      </c>
      <c r="D168" s="1419">
        <v>104</v>
      </c>
      <c r="E168" s="1419">
        <v>83</v>
      </c>
      <c r="F168" s="1419">
        <v>80</v>
      </c>
      <c r="G168" s="1419">
        <v>77</v>
      </c>
      <c r="H168" s="1419">
        <v>81</v>
      </c>
      <c r="I168" s="1419">
        <v>96</v>
      </c>
      <c r="J168" s="1419">
        <v>86</v>
      </c>
      <c r="K168" s="1419">
        <v>88</v>
      </c>
      <c r="L168" s="1419">
        <v>83</v>
      </c>
      <c r="M168" s="1419">
        <v>93</v>
      </c>
      <c r="N168" s="1419">
        <v>65</v>
      </c>
      <c r="O168" s="1419">
        <v>99</v>
      </c>
      <c r="P168" s="1419">
        <v>0</v>
      </c>
      <c r="Q168" s="1419">
        <v>0</v>
      </c>
      <c r="R168" s="1419">
        <v>1129</v>
      </c>
    </row>
    <row r="169" spans="1:18" ht="12" thickBot="1">
      <c r="A169" s="1473" t="s">
        <v>448</v>
      </c>
      <c r="B169" s="1473" t="s">
        <v>449</v>
      </c>
      <c r="C169" s="1419">
        <v>89</v>
      </c>
      <c r="D169" s="1419">
        <v>84</v>
      </c>
      <c r="E169" s="1419">
        <v>77</v>
      </c>
      <c r="F169" s="1419">
        <v>55</v>
      </c>
      <c r="G169" s="1419">
        <v>68</v>
      </c>
      <c r="H169" s="1419">
        <v>66</v>
      </c>
      <c r="I169" s="1419">
        <v>71</v>
      </c>
      <c r="J169" s="1419">
        <v>65</v>
      </c>
      <c r="K169" s="1419">
        <v>77</v>
      </c>
      <c r="L169" s="1419">
        <v>82</v>
      </c>
      <c r="M169" s="1419">
        <v>64</v>
      </c>
      <c r="N169" s="1419">
        <v>71</v>
      </c>
      <c r="O169" s="1419">
        <v>49</v>
      </c>
      <c r="P169" s="1419">
        <v>0</v>
      </c>
      <c r="Q169" s="1419">
        <v>1</v>
      </c>
      <c r="R169" s="1419">
        <v>919</v>
      </c>
    </row>
    <row r="170" spans="1:18" ht="12" thickBot="1">
      <c r="A170" s="1473" t="s">
        <v>229</v>
      </c>
      <c r="B170" s="1473" t="s">
        <v>230</v>
      </c>
      <c r="C170" s="1419">
        <v>151</v>
      </c>
      <c r="D170" s="1419">
        <v>140</v>
      </c>
      <c r="E170" s="1419">
        <v>142</v>
      </c>
      <c r="F170" s="1419">
        <v>138</v>
      </c>
      <c r="G170" s="1419">
        <v>149</v>
      </c>
      <c r="H170" s="1419">
        <v>156</v>
      </c>
      <c r="I170" s="1419">
        <v>147</v>
      </c>
      <c r="J170" s="1419">
        <v>156</v>
      </c>
      <c r="K170" s="1419">
        <v>159</v>
      </c>
      <c r="L170" s="1419">
        <v>137</v>
      </c>
      <c r="M170" s="1419">
        <v>156</v>
      </c>
      <c r="N170" s="1419">
        <v>134</v>
      </c>
      <c r="O170" s="1419">
        <v>135</v>
      </c>
      <c r="P170" s="1419">
        <v>0</v>
      </c>
      <c r="Q170" s="1419">
        <v>1</v>
      </c>
      <c r="R170" s="1419">
        <v>1901</v>
      </c>
    </row>
    <row r="171" spans="1:18" ht="12" thickBot="1">
      <c r="A171" s="1473" t="s">
        <v>442</v>
      </c>
      <c r="B171" s="1473" t="s">
        <v>443</v>
      </c>
      <c r="C171" s="1419">
        <v>54</v>
      </c>
      <c r="D171" s="1419">
        <v>40</v>
      </c>
      <c r="E171" s="1419">
        <v>51</v>
      </c>
      <c r="F171" s="1419">
        <v>44</v>
      </c>
      <c r="G171" s="1419">
        <v>37</v>
      </c>
      <c r="H171" s="1419">
        <v>32</v>
      </c>
      <c r="I171" s="1419">
        <v>35</v>
      </c>
      <c r="J171" s="1419">
        <v>38</v>
      </c>
      <c r="K171" s="1419">
        <v>38</v>
      </c>
      <c r="L171" s="1419">
        <v>49</v>
      </c>
      <c r="M171" s="1419">
        <v>34</v>
      </c>
      <c r="N171" s="1419">
        <v>37</v>
      </c>
      <c r="O171" s="1419">
        <v>33</v>
      </c>
      <c r="P171" s="1419">
        <v>0</v>
      </c>
      <c r="Q171" s="1419">
        <v>0</v>
      </c>
      <c r="R171" s="1419">
        <v>522</v>
      </c>
    </row>
    <row r="172" spans="1:18" ht="12" thickBot="1">
      <c r="A172" s="1473" t="s">
        <v>434</v>
      </c>
      <c r="B172" s="1473" t="s">
        <v>435</v>
      </c>
      <c r="C172" s="1419">
        <v>44</v>
      </c>
      <c r="D172" s="1419">
        <v>28</v>
      </c>
      <c r="E172" s="1419">
        <v>42</v>
      </c>
      <c r="F172" s="1419">
        <v>41</v>
      </c>
      <c r="G172" s="1419">
        <v>31</v>
      </c>
      <c r="H172" s="1419">
        <v>40</v>
      </c>
      <c r="I172" s="1419">
        <v>39</v>
      </c>
      <c r="J172" s="1419">
        <v>33</v>
      </c>
      <c r="K172" s="1419">
        <v>35</v>
      </c>
      <c r="L172" s="1419">
        <v>35</v>
      </c>
      <c r="M172" s="1419">
        <v>37</v>
      </c>
      <c r="N172" s="1419">
        <v>37</v>
      </c>
      <c r="O172" s="1419">
        <v>40</v>
      </c>
      <c r="P172" s="1419">
        <v>0</v>
      </c>
      <c r="Q172" s="1419">
        <v>0</v>
      </c>
      <c r="R172" s="1419">
        <v>482</v>
      </c>
    </row>
    <row r="173" spans="1:18" ht="12" thickBot="1">
      <c r="A173" s="1473" t="s">
        <v>539</v>
      </c>
      <c r="B173" s="1473" t="s">
        <v>540</v>
      </c>
      <c r="C173" s="1419">
        <v>156</v>
      </c>
      <c r="D173" s="1419">
        <v>167</v>
      </c>
      <c r="E173" s="1419">
        <v>135</v>
      </c>
      <c r="F173" s="1419">
        <v>155</v>
      </c>
      <c r="G173" s="1419">
        <v>159</v>
      </c>
      <c r="H173" s="1419">
        <v>171</v>
      </c>
      <c r="I173" s="1419">
        <v>160</v>
      </c>
      <c r="J173" s="1419">
        <v>161</v>
      </c>
      <c r="K173" s="1419">
        <v>179</v>
      </c>
      <c r="L173" s="1419">
        <v>165</v>
      </c>
      <c r="M173" s="1419">
        <v>161</v>
      </c>
      <c r="N173" s="1419">
        <v>164</v>
      </c>
      <c r="O173" s="1419">
        <v>138</v>
      </c>
      <c r="P173" s="1419">
        <v>11</v>
      </c>
      <c r="Q173" s="1419">
        <v>7</v>
      </c>
      <c r="R173" s="1419">
        <v>2089</v>
      </c>
    </row>
    <row r="174" spans="1:18" ht="12" thickBot="1">
      <c r="A174" s="1473" t="s">
        <v>362</v>
      </c>
      <c r="B174" s="1473" t="s">
        <v>363</v>
      </c>
      <c r="C174" s="1419">
        <v>32</v>
      </c>
      <c r="D174" s="1419">
        <v>38</v>
      </c>
      <c r="E174" s="1419">
        <v>27</v>
      </c>
      <c r="F174" s="1419">
        <v>36</v>
      </c>
      <c r="G174" s="1419">
        <v>39</v>
      </c>
      <c r="H174" s="1419">
        <v>42</v>
      </c>
      <c r="I174" s="1419">
        <v>43</v>
      </c>
      <c r="J174" s="1419">
        <v>52</v>
      </c>
      <c r="K174" s="1419">
        <v>45</v>
      </c>
      <c r="L174" s="1419">
        <v>46</v>
      </c>
      <c r="M174" s="1419">
        <v>37</v>
      </c>
      <c r="N174" s="1419">
        <v>39</v>
      </c>
      <c r="O174" s="1419">
        <v>37</v>
      </c>
      <c r="P174" s="1419">
        <v>0</v>
      </c>
      <c r="Q174" s="1419">
        <v>0</v>
      </c>
      <c r="R174" s="1419">
        <v>513</v>
      </c>
    </row>
    <row r="175" spans="1:18" ht="12" thickBot="1">
      <c r="A175" s="1473" t="s">
        <v>595</v>
      </c>
      <c r="B175" s="1473" t="s">
        <v>596</v>
      </c>
      <c r="C175" s="1419">
        <v>321</v>
      </c>
      <c r="D175" s="1419">
        <v>318</v>
      </c>
      <c r="E175" s="1419">
        <v>312</v>
      </c>
      <c r="F175" s="1419">
        <v>307</v>
      </c>
      <c r="G175" s="1419">
        <v>279</v>
      </c>
      <c r="H175" s="1419">
        <v>320</v>
      </c>
      <c r="I175" s="1419">
        <v>288</v>
      </c>
      <c r="J175" s="1419">
        <v>319</v>
      </c>
      <c r="K175" s="1419">
        <v>302</v>
      </c>
      <c r="L175" s="1419">
        <v>316</v>
      </c>
      <c r="M175" s="1419">
        <v>320</v>
      </c>
      <c r="N175" s="1419">
        <v>302</v>
      </c>
      <c r="O175" s="1419">
        <v>242</v>
      </c>
      <c r="P175" s="1419">
        <v>0</v>
      </c>
      <c r="Q175" s="1419">
        <v>49</v>
      </c>
      <c r="R175" s="1419">
        <v>3995</v>
      </c>
    </row>
    <row r="176" spans="1:18" ht="12" thickBot="1">
      <c r="A176" s="1473" t="s">
        <v>404</v>
      </c>
      <c r="B176" s="1473" t="s">
        <v>405</v>
      </c>
      <c r="C176" s="1419">
        <v>50</v>
      </c>
      <c r="D176" s="1419">
        <v>43</v>
      </c>
      <c r="E176" s="1419">
        <v>58</v>
      </c>
      <c r="F176" s="1419">
        <v>37</v>
      </c>
      <c r="G176" s="1419">
        <v>48</v>
      </c>
      <c r="H176" s="1419">
        <v>49</v>
      </c>
      <c r="I176" s="1419">
        <v>39</v>
      </c>
      <c r="J176" s="1419">
        <v>66</v>
      </c>
      <c r="K176" s="1419">
        <v>41</v>
      </c>
      <c r="L176" s="1419">
        <v>44</v>
      </c>
      <c r="M176" s="1419">
        <v>57</v>
      </c>
      <c r="N176" s="1419">
        <v>33</v>
      </c>
      <c r="O176" s="1419">
        <v>38</v>
      </c>
      <c r="P176" s="1419">
        <v>0</v>
      </c>
      <c r="Q176" s="1419">
        <v>0</v>
      </c>
      <c r="R176" s="1419">
        <v>603</v>
      </c>
    </row>
    <row r="177" spans="1:18" ht="12" thickBot="1">
      <c r="A177" s="1473" t="s">
        <v>299</v>
      </c>
      <c r="B177" s="1473" t="s">
        <v>300</v>
      </c>
      <c r="C177" s="1419">
        <v>125</v>
      </c>
      <c r="D177" s="1419">
        <v>147</v>
      </c>
      <c r="E177" s="1419">
        <v>145</v>
      </c>
      <c r="F177" s="1419">
        <v>123</v>
      </c>
      <c r="G177" s="1419">
        <v>134</v>
      </c>
      <c r="H177" s="1419">
        <v>130</v>
      </c>
      <c r="I177" s="1419">
        <v>157</v>
      </c>
      <c r="J177" s="1419">
        <v>133</v>
      </c>
      <c r="K177" s="1419">
        <v>134</v>
      </c>
      <c r="L177" s="1419">
        <v>140</v>
      </c>
      <c r="M177" s="1419">
        <v>129</v>
      </c>
      <c r="N177" s="1419">
        <v>103</v>
      </c>
      <c r="O177" s="1419">
        <v>116</v>
      </c>
      <c r="P177" s="1419">
        <v>0</v>
      </c>
      <c r="Q177" s="1419">
        <v>2</v>
      </c>
      <c r="R177" s="1419">
        <v>1718</v>
      </c>
    </row>
    <row r="178" spans="1:18" ht="12" thickBot="1">
      <c r="A178" s="1473" t="s">
        <v>515</v>
      </c>
      <c r="B178" s="1473" t="s">
        <v>516</v>
      </c>
      <c r="C178" s="1419">
        <v>62</v>
      </c>
      <c r="D178" s="1419">
        <v>43</v>
      </c>
      <c r="E178" s="1419">
        <v>58</v>
      </c>
      <c r="F178" s="1419">
        <v>54</v>
      </c>
      <c r="G178" s="1419">
        <v>57</v>
      </c>
      <c r="H178" s="1419">
        <v>57</v>
      </c>
      <c r="I178" s="1419">
        <v>55</v>
      </c>
      <c r="J178" s="1419">
        <v>56</v>
      </c>
      <c r="K178" s="1419">
        <v>44</v>
      </c>
      <c r="L178" s="1419">
        <v>60</v>
      </c>
      <c r="M178" s="1419">
        <v>59</v>
      </c>
      <c r="N178" s="1419">
        <v>47</v>
      </c>
      <c r="O178" s="1419">
        <v>44</v>
      </c>
      <c r="P178" s="1419">
        <v>0</v>
      </c>
      <c r="Q178" s="1419">
        <v>0</v>
      </c>
      <c r="R178" s="1419">
        <v>696</v>
      </c>
    </row>
    <row r="179" spans="1:18" ht="12" thickBot="1">
      <c r="A179" s="1473" t="s">
        <v>549</v>
      </c>
      <c r="B179" s="1473" t="s">
        <v>550</v>
      </c>
      <c r="C179" s="1419">
        <v>34</v>
      </c>
      <c r="D179" s="1419">
        <v>38</v>
      </c>
      <c r="E179" s="1419">
        <v>42</v>
      </c>
      <c r="F179" s="1419">
        <v>49</v>
      </c>
      <c r="G179" s="1419">
        <v>32</v>
      </c>
      <c r="H179" s="1419">
        <v>33</v>
      </c>
      <c r="I179" s="1419">
        <v>47</v>
      </c>
      <c r="J179" s="1419">
        <v>33</v>
      </c>
      <c r="K179" s="1419">
        <v>33</v>
      </c>
      <c r="L179" s="1419">
        <v>39</v>
      </c>
      <c r="M179" s="1419">
        <v>33</v>
      </c>
      <c r="N179" s="1419">
        <v>36</v>
      </c>
      <c r="O179" s="1419">
        <v>26</v>
      </c>
      <c r="P179" s="1419">
        <v>0</v>
      </c>
      <c r="Q179" s="1419">
        <v>0</v>
      </c>
      <c r="R179" s="1419">
        <v>475</v>
      </c>
    </row>
    <row r="180" spans="1:18" ht="12" thickBot="1">
      <c r="A180" s="1473" t="s">
        <v>517</v>
      </c>
      <c r="B180" s="1473" t="s">
        <v>518</v>
      </c>
      <c r="C180" s="1419">
        <v>32</v>
      </c>
      <c r="D180" s="1419">
        <v>27</v>
      </c>
      <c r="E180" s="1419">
        <v>29</v>
      </c>
      <c r="F180" s="1419">
        <v>31</v>
      </c>
      <c r="G180" s="1419">
        <v>31</v>
      </c>
      <c r="H180" s="1419">
        <v>19</v>
      </c>
      <c r="I180" s="1419">
        <v>34</v>
      </c>
      <c r="J180" s="1419">
        <v>42</v>
      </c>
      <c r="K180" s="1419">
        <v>29</v>
      </c>
      <c r="L180" s="1419">
        <v>36</v>
      </c>
      <c r="M180" s="1419">
        <v>28</v>
      </c>
      <c r="N180" s="1419">
        <v>37</v>
      </c>
      <c r="O180" s="1419">
        <v>26</v>
      </c>
      <c r="P180" s="1419">
        <v>0</v>
      </c>
      <c r="Q180" s="1419">
        <v>0</v>
      </c>
      <c r="R180" s="1419">
        <v>401</v>
      </c>
    </row>
    <row r="181" spans="1:18" ht="12" thickBot="1">
      <c r="A181" s="1473" t="s">
        <v>251</v>
      </c>
      <c r="B181" s="1473" t="s">
        <v>252</v>
      </c>
      <c r="C181" s="1419">
        <v>703</v>
      </c>
      <c r="D181" s="1419">
        <v>698</v>
      </c>
      <c r="E181" s="1419">
        <v>727</v>
      </c>
      <c r="F181" s="1419">
        <v>666</v>
      </c>
      <c r="G181" s="1419">
        <v>659</v>
      </c>
      <c r="H181" s="1419">
        <v>696</v>
      </c>
      <c r="I181" s="1419">
        <v>641</v>
      </c>
      <c r="J181" s="1419">
        <v>658</v>
      </c>
      <c r="K181" s="1419">
        <v>612</v>
      </c>
      <c r="L181" s="1419">
        <v>859</v>
      </c>
      <c r="M181" s="1419">
        <v>712</v>
      </c>
      <c r="N181" s="1419">
        <v>615</v>
      </c>
      <c r="O181" s="1419">
        <v>616</v>
      </c>
      <c r="P181" s="1419">
        <v>0</v>
      </c>
      <c r="Q181" s="1419">
        <v>0</v>
      </c>
      <c r="R181" s="1419">
        <v>8862</v>
      </c>
    </row>
    <row r="182" spans="1:18" ht="12" thickBot="1">
      <c r="A182" s="1473" t="s">
        <v>436</v>
      </c>
      <c r="B182" s="1473" t="s">
        <v>437</v>
      </c>
      <c r="C182" s="1419">
        <v>178</v>
      </c>
      <c r="D182" s="1419">
        <v>177</v>
      </c>
      <c r="E182" s="1419">
        <v>159</v>
      </c>
      <c r="F182" s="1419">
        <v>139</v>
      </c>
      <c r="G182" s="1419">
        <v>127</v>
      </c>
      <c r="H182" s="1419">
        <v>159</v>
      </c>
      <c r="I182" s="1419">
        <v>153</v>
      </c>
      <c r="J182" s="1419">
        <v>130</v>
      </c>
      <c r="K182" s="1419">
        <v>149</v>
      </c>
      <c r="L182" s="1419">
        <v>144</v>
      </c>
      <c r="M182" s="1419">
        <v>161</v>
      </c>
      <c r="N182" s="1419">
        <v>143</v>
      </c>
      <c r="O182" s="1419">
        <v>132</v>
      </c>
      <c r="P182" s="1419">
        <v>0</v>
      </c>
      <c r="Q182" s="1419">
        <v>0</v>
      </c>
      <c r="R182" s="1419">
        <v>1951</v>
      </c>
    </row>
    <row r="183" spans="1:18" ht="12" thickBot="1">
      <c r="A183" s="1473" t="s">
        <v>489</v>
      </c>
      <c r="B183" s="1473" t="s">
        <v>490</v>
      </c>
      <c r="C183" s="1419">
        <v>38</v>
      </c>
      <c r="D183" s="1419">
        <v>31</v>
      </c>
      <c r="E183" s="1419">
        <v>37</v>
      </c>
      <c r="F183" s="1419">
        <v>39</v>
      </c>
      <c r="G183" s="1419">
        <v>40</v>
      </c>
      <c r="H183" s="1419">
        <v>49</v>
      </c>
      <c r="I183" s="1419">
        <v>35</v>
      </c>
      <c r="J183" s="1419">
        <v>41</v>
      </c>
      <c r="K183" s="1419">
        <v>41</v>
      </c>
      <c r="L183" s="1419">
        <v>37</v>
      </c>
      <c r="M183" s="1419">
        <v>44</v>
      </c>
      <c r="N183" s="1419">
        <v>31</v>
      </c>
      <c r="O183" s="1419">
        <v>31</v>
      </c>
      <c r="P183" s="1419">
        <v>0</v>
      </c>
      <c r="Q183" s="1419">
        <v>0</v>
      </c>
      <c r="R183" s="1419">
        <v>494</v>
      </c>
    </row>
    <row r="184" spans="1:18" ht="12" thickBot="1">
      <c r="A184" s="1473" t="s">
        <v>505</v>
      </c>
      <c r="B184" s="1473" t="s">
        <v>506</v>
      </c>
      <c r="C184" s="1419">
        <v>315</v>
      </c>
      <c r="D184" s="1419">
        <v>288</v>
      </c>
      <c r="E184" s="1419">
        <v>248</v>
      </c>
      <c r="F184" s="1419">
        <v>228</v>
      </c>
      <c r="G184" s="1419">
        <v>252</v>
      </c>
      <c r="H184" s="1419">
        <v>254</v>
      </c>
      <c r="I184" s="1419">
        <v>239</v>
      </c>
      <c r="J184" s="1419">
        <v>242</v>
      </c>
      <c r="K184" s="1419">
        <v>228</v>
      </c>
      <c r="L184" s="1419">
        <v>236</v>
      </c>
      <c r="M184" s="1419">
        <v>245</v>
      </c>
      <c r="N184" s="1419">
        <v>198</v>
      </c>
      <c r="O184" s="1419">
        <v>198</v>
      </c>
      <c r="P184" s="1419">
        <v>0</v>
      </c>
      <c r="Q184" s="1419">
        <v>0</v>
      </c>
      <c r="R184" s="1419">
        <v>3171</v>
      </c>
    </row>
    <row r="185" spans="1:18" ht="12" thickBot="1">
      <c r="A185" s="1473" t="s">
        <v>366</v>
      </c>
      <c r="B185" s="1473" t="s">
        <v>367</v>
      </c>
      <c r="C185" s="1419">
        <v>30</v>
      </c>
      <c r="D185" s="1419">
        <v>29</v>
      </c>
      <c r="E185" s="1419">
        <v>36</v>
      </c>
      <c r="F185" s="1419">
        <v>37</v>
      </c>
      <c r="G185" s="1419">
        <v>27</v>
      </c>
      <c r="H185" s="1419">
        <v>35</v>
      </c>
      <c r="I185" s="1419">
        <v>32</v>
      </c>
      <c r="J185" s="1419">
        <v>30</v>
      </c>
      <c r="K185" s="1419">
        <v>27</v>
      </c>
      <c r="L185" s="1419">
        <v>30</v>
      </c>
      <c r="M185" s="1419">
        <v>27</v>
      </c>
      <c r="N185" s="1419">
        <v>32</v>
      </c>
      <c r="O185" s="1419">
        <v>31</v>
      </c>
      <c r="P185" s="1419">
        <v>0</v>
      </c>
      <c r="Q185" s="1419">
        <v>0</v>
      </c>
      <c r="R185" s="1419">
        <v>403</v>
      </c>
    </row>
    <row r="186" spans="1:18" ht="12" thickBot="1">
      <c r="A186" s="1473" t="s">
        <v>452</v>
      </c>
      <c r="B186" s="1473" t="s">
        <v>453</v>
      </c>
      <c r="C186" s="1419">
        <v>162</v>
      </c>
      <c r="D186" s="1419">
        <v>110</v>
      </c>
      <c r="E186" s="1419">
        <v>108</v>
      </c>
      <c r="F186" s="1419">
        <v>117</v>
      </c>
      <c r="G186" s="1419">
        <v>115</v>
      </c>
      <c r="H186" s="1419">
        <v>104</v>
      </c>
      <c r="I186" s="1419">
        <v>87</v>
      </c>
      <c r="J186" s="1419">
        <v>93</v>
      </c>
      <c r="K186" s="1419">
        <v>114</v>
      </c>
      <c r="L186" s="1419">
        <v>124</v>
      </c>
      <c r="M186" s="1419">
        <v>112</v>
      </c>
      <c r="N186" s="1419">
        <v>106</v>
      </c>
      <c r="O186" s="1419">
        <v>88</v>
      </c>
      <c r="P186" s="1419">
        <v>0</v>
      </c>
      <c r="Q186" s="1419">
        <v>0</v>
      </c>
      <c r="R186" s="1419">
        <v>1440</v>
      </c>
    </row>
    <row r="187" spans="1:18" ht="12" thickBot="1">
      <c r="A187" s="1473" t="s">
        <v>597</v>
      </c>
      <c r="B187" s="1473" t="s">
        <v>598</v>
      </c>
      <c r="C187" s="1419">
        <v>41</v>
      </c>
      <c r="D187" s="1419">
        <v>41</v>
      </c>
      <c r="E187" s="1419">
        <v>33</v>
      </c>
      <c r="F187" s="1419">
        <v>26</v>
      </c>
      <c r="G187" s="1419">
        <v>44</v>
      </c>
      <c r="H187" s="1419">
        <v>38</v>
      </c>
      <c r="I187" s="1419">
        <v>31</v>
      </c>
      <c r="J187" s="1419">
        <v>31</v>
      </c>
      <c r="K187" s="1419">
        <v>36</v>
      </c>
      <c r="L187" s="1419">
        <v>29</v>
      </c>
      <c r="M187" s="1419">
        <v>33</v>
      </c>
      <c r="N187" s="1419">
        <v>42</v>
      </c>
      <c r="O187" s="1419">
        <v>38</v>
      </c>
      <c r="P187" s="1419">
        <v>0</v>
      </c>
      <c r="Q187" s="1419">
        <v>0</v>
      </c>
      <c r="R187" s="1419">
        <v>463</v>
      </c>
    </row>
    <row r="188" spans="1:18" ht="12" thickBot="1">
      <c r="A188" s="1473" t="s">
        <v>305</v>
      </c>
      <c r="B188" s="1473" t="s">
        <v>306</v>
      </c>
      <c r="C188" s="1419">
        <v>16</v>
      </c>
      <c r="D188" s="1419">
        <v>32</v>
      </c>
      <c r="E188" s="1419">
        <v>25</v>
      </c>
      <c r="F188" s="1419">
        <v>23</v>
      </c>
      <c r="G188" s="1419">
        <v>25</v>
      </c>
      <c r="H188" s="1419">
        <v>35</v>
      </c>
      <c r="I188" s="1419">
        <v>43</v>
      </c>
      <c r="J188" s="1419">
        <v>43</v>
      </c>
      <c r="K188" s="1419">
        <v>23</v>
      </c>
      <c r="L188" s="1419">
        <v>37</v>
      </c>
      <c r="M188" s="1419">
        <v>39</v>
      </c>
      <c r="N188" s="1419">
        <v>28</v>
      </c>
      <c r="O188" s="1419">
        <v>40</v>
      </c>
      <c r="P188" s="1419">
        <v>0</v>
      </c>
      <c r="Q188" s="1419">
        <v>0</v>
      </c>
      <c r="R188" s="1419">
        <v>409</v>
      </c>
    </row>
    <row r="189" spans="1:18" ht="12" thickBot="1">
      <c r="A189" s="1473" t="s">
        <v>619</v>
      </c>
      <c r="B189" s="1473" t="s">
        <v>620</v>
      </c>
      <c r="C189" s="1419">
        <v>41</v>
      </c>
      <c r="D189" s="1419">
        <v>29</v>
      </c>
      <c r="E189" s="1419">
        <v>27</v>
      </c>
      <c r="F189" s="1419">
        <v>30</v>
      </c>
      <c r="G189" s="1419">
        <v>34</v>
      </c>
      <c r="H189" s="1419">
        <v>32</v>
      </c>
      <c r="I189" s="1419">
        <v>31</v>
      </c>
      <c r="J189" s="1419">
        <v>50</v>
      </c>
      <c r="K189" s="1419">
        <v>28</v>
      </c>
      <c r="L189" s="1419">
        <v>33</v>
      </c>
      <c r="M189" s="1419">
        <v>26</v>
      </c>
      <c r="N189" s="1419">
        <v>32</v>
      </c>
      <c r="O189" s="1419">
        <v>27</v>
      </c>
      <c r="P189" s="1419">
        <v>0</v>
      </c>
      <c r="Q189" s="1419">
        <v>0</v>
      </c>
      <c r="R189" s="1419">
        <v>420</v>
      </c>
    </row>
    <row r="190" spans="1:18" ht="12" thickBot="1">
      <c r="A190" s="1473" t="s">
        <v>751</v>
      </c>
      <c r="B190" s="1473" t="s">
        <v>768</v>
      </c>
      <c r="C190" s="1419">
        <v>0</v>
      </c>
      <c r="D190" s="1419">
        <v>0</v>
      </c>
      <c r="E190" s="1419">
        <v>0</v>
      </c>
      <c r="F190" s="1419">
        <v>0</v>
      </c>
      <c r="G190" s="1419">
        <v>0</v>
      </c>
      <c r="H190" s="1419">
        <v>0</v>
      </c>
      <c r="I190" s="1419">
        <v>0</v>
      </c>
      <c r="J190" s="1419">
        <v>6</v>
      </c>
      <c r="K190" s="1419">
        <v>16</v>
      </c>
      <c r="L190" s="1419">
        <v>18</v>
      </c>
      <c r="M190" s="1419">
        <v>21</v>
      </c>
      <c r="N190" s="1419">
        <v>29</v>
      </c>
      <c r="O190" s="1419">
        <v>8</v>
      </c>
      <c r="P190" s="1419">
        <v>0</v>
      </c>
      <c r="Q190" s="1419">
        <v>0</v>
      </c>
      <c r="R190" s="1419">
        <v>98</v>
      </c>
    </row>
    <row r="191" spans="1:18" ht="12" thickBot="1">
      <c r="A191" s="1473" t="s">
        <v>354</v>
      </c>
      <c r="B191" s="1473" t="s">
        <v>355</v>
      </c>
      <c r="C191" s="1419">
        <v>128</v>
      </c>
      <c r="D191" s="1419">
        <v>145</v>
      </c>
      <c r="E191" s="1419">
        <v>114</v>
      </c>
      <c r="F191" s="1419">
        <v>117</v>
      </c>
      <c r="G191" s="1419">
        <v>117</v>
      </c>
      <c r="H191" s="1419">
        <v>102</v>
      </c>
      <c r="I191" s="1419">
        <v>101</v>
      </c>
      <c r="J191" s="1419">
        <v>98</v>
      </c>
      <c r="K191" s="1419">
        <v>107</v>
      </c>
      <c r="L191" s="1419">
        <v>97</v>
      </c>
      <c r="M191" s="1419">
        <v>82</v>
      </c>
      <c r="N191" s="1419">
        <v>80</v>
      </c>
      <c r="O191" s="1419">
        <v>72</v>
      </c>
      <c r="P191" s="1419">
        <v>0</v>
      </c>
      <c r="Q191" s="1419">
        <v>39</v>
      </c>
      <c r="R191" s="1419">
        <v>1399</v>
      </c>
    </row>
    <row r="192" spans="1:18" ht="12" thickBot="1">
      <c r="A192" s="1473" t="s">
        <v>231</v>
      </c>
      <c r="B192" s="1473" t="s">
        <v>232</v>
      </c>
      <c r="C192" s="1419">
        <v>65</v>
      </c>
      <c r="D192" s="1419">
        <v>47</v>
      </c>
      <c r="E192" s="1419">
        <v>46</v>
      </c>
      <c r="F192" s="1419">
        <v>51</v>
      </c>
      <c r="G192" s="1419">
        <v>54</v>
      </c>
      <c r="H192" s="1419">
        <v>57</v>
      </c>
      <c r="I192" s="1419">
        <v>52</v>
      </c>
      <c r="J192" s="1419">
        <v>67</v>
      </c>
      <c r="K192" s="1419">
        <v>67</v>
      </c>
      <c r="L192" s="1419">
        <v>64</v>
      </c>
      <c r="M192" s="1419">
        <v>49</v>
      </c>
      <c r="N192" s="1419">
        <v>61</v>
      </c>
      <c r="O192" s="1419">
        <v>43</v>
      </c>
      <c r="P192" s="1419">
        <v>0</v>
      </c>
      <c r="Q192" s="1419">
        <v>0</v>
      </c>
      <c r="R192" s="1419">
        <v>723</v>
      </c>
    </row>
    <row r="193" spans="1:18" ht="12" thickBot="1">
      <c r="A193" s="1473" t="s">
        <v>430</v>
      </c>
      <c r="B193" s="1473" t="s">
        <v>431</v>
      </c>
      <c r="C193" s="1419">
        <v>34</v>
      </c>
      <c r="D193" s="1419">
        <v>41</v>
      </c>
      <c r="E193" s="1419">
        <v>44</v>
      </c>
      <c r="F193" s="1419">
        <v>38</v>
      </c>
      <c r="G193" s="1419">
        <v>27</v>
      </c>
      <c r="H193" s="1419">
        <v>37</v>
      </c>
      <c r="I193" s="1419">
        <v>36</v>
      </c>
      <c r="J193" s="1419">
        <v>40</v>
      </c>
      <c r="K193" s="1419">
        <v>29</v>
      </c>
      <c r="L193" s="1419">
        <v>43</v>
      </c>
      <c r="M193" s="1419">
        <v>26</v>
      </c>
      <c r="N193" s="1419">
        <v>28</v>
      </c>
      <c r="O193" s="1419">
        <v>29</v>
      </c>
      <c r="P193" s="1419">
        <v>0</v>
      </c>
      <c r="Q193" s="1419">
        <v>0</v>
      </c>
      <c r="R193" s="1419">
        <v>452</v>
      </c>
    </row>
    <row r="194" spans="1:18" ht="12" thickBot="1">
      <c r="A194" s="1473" t="s">
        <v>277</v>
      </c>
      <c r="B194" s="1473" t="s">
        <v>278</v>
      </c>
      <c r="C194" s="1419">
        <v>42</v>
      </c>
      <c r="D194" s="1419">
        <v>47</v>
      </c>
      <c r="E194" s="1419">
        <v>52</v>
      </c>
      <c r="F194" s="1419">
        <v>39</v>
      </c>
      <c r="G194" s="1419">
        <v>55</v>
      </c>
      <c r="H194" s="1419">
        <v>54</v>
      </c>
      <c r="I194" s="1419">
        <v>42</v>
      </c>
      <c r="J194" s="1419">
        <v>58</v>
      </c>
      <c r="K194" s="1419">
        <v>63</v>
      </c>
      <c r="L194" s="1419">
        <v>45</v>
      </c>
      <c r="M194" s="1419">
        <v>53</v>
      </c>
      <c r="N194" s="1419">
        <v>59</v>
      </c>
      <c r="O194" s="1419">
        <v>44</v>
      </c>
      <c r="P194" s="1419">
        <v>0</v>
      </c>
      <c r="Q194" s="1419">
        <v>0</v>
      </c>
      <c r="R194" s="1419">
        <v>653</v>
      </c>
    </row>
    <row r="195" spans="1:18" ht="12" thickBot="1">
      <c r="A195" s="1473" t="s">
        <v>557</v>
      </c>
      <c r="B195" s="1473" t="s">
        <v>558</v>
      </c>
      <c r="C195" s="1419">
        <v>152</v>
      </c>
      <c r="D195" s="1419">
        <v>145</v>
      </c>
      <c r="E195" s="1419">
        <v>141</v>
      </c>
      <c r="F195" s="1419">
        <v>141</v>
      </c>
      <c r="G195" s="1419">
        <v>152</v>
      </c>
      <c r="H195" s="1419">
        <v>124</v>
      </c>
      <c r="I195" s="1419">
        <v>148</v>
      </c>
      <c r="J195" s="1419">
        <v>158</v>
      </c>
      <c r="K195" s="1419">
        <v>146</v>
      </c>
      <c r="L195" s="1419">
        <v>138</v>
      </c>
      <c r="M195" s="1419">
        <v>135</v>
      </c>
      <c r="N195" s="1419">
        <v>130</v>
      </c>
      <c r="O195" s="1419">
        <v>128</v>
      </c>
      <c r="P195" s="1419">
        <v>0</v>
      </c>
      <c r="Q195" s="1419">
        <v>0</v>
      </c>
      <c r="R195" s="1419">
        <v>1838</v>
      </c>
    </row>
    <row r="196" spans="1:18" ht="12" thickBot="1">
      <c r="A196" s="1473" t="s">
        <v>263</v>
      </c>
      <c r="B196" s="1473" t="s">
        <v>264</v>
      </c>
      <c r="C196" s="1419">
        <v>46</v>
      </c>
      <c r="D196" s="1419">
        <v>51</v>
      </c>
      <c r="E196" s="1419">
        <v>49</v>
      </c>
      <c r="F196" s="1419">
        <v>50</v>
      </c>
      <c r="G196" s="1419">
        <v>44</v>
      </c>
      <c r="H196" s="1419">
        <v>57</v>
      </c>
      <c r="I196" s="1419">
        <v>63</v>
      </c>
      <c r="J196" s="1419">
        <v>49</v>
      </c>
      <c r="K196" s="1419">
        <v>64</v>
      </c>
      <c r="L196" s="1419">
        <v>61</v>
      </c>
      <c r="M196" s="1419">
        <v>53</v>
      </c>
      <c r="N196" s="1419">
        <v>32</v>
      </c>
      <c r="O196" s="1419">
        <v>54</v>
      </c>
      <c r="P196" s="1419">
        <v>0</v>
      </c>
      <c r="Q196" s="1419">
        <v>0</v>
      </c>
      <c r="R196" s="1419">
        <v>673</v>
      </c>
    </row>
    <row r="197" spans="1:18" ht="12" thickBot="1">
      <c r="A197" s="1473" t="s">
        <v>153</v>
      </c>
      <c r="B197" s="1473" t="s">
        <v>154</v>
      </c>
      <c r="C197" s="1419">
        <v>45</v>
      </c>
      <c r="D197" s="1419">
        <v>65</v>
      </c>
      <c r="E197" s="1419">
        <v>54</v>
      </c>
      <c r="F197" s="1419">
        <v>57</v>
      </c>
      <c r="G197" s="1419">
        <v>59</v>
      </c>
      <c r="H197" s="1419">
        <v>58</v>
      </c>
      <c r="I197" s="1419">
        <v>54</v>
      </c>
      <c r="J197" s="1419">
        <v>68</v>
      </c>
      <c r="K197" s="1419">
        <v>55</v>
      </c>
      <c r="L197" s="1419">
        <v>63</v>
      </c>
      <c r="M197" s="1419">
        <v>72</v>
      </c>
      <c r="N197" s="1419">
        <v>54</v>
      </c>
      <c r="O197" s="1419">
        <v>47</v>
      </c>
      <c r="P197" s="1419">
        <v>0</v>
      </c>
      <c r="Q197" s="1419">
        <v>0</v>
      </c>
      <c r="R197" s="1419">
        <v>751</v>
      </c>
    </row>
    <row r="198" spans="1:18" ht="12" thickBot="1">
      <c r="A198" s="1473" t="s">
        <v>414</v>
      </c>
      <c r="B198" s="1473" t="s">
        <v>415</v>
      </c>
      <c r="C198" s="1419">
        <v>257</v>
      </c>
      <c r="D198" s="1419">
        <v>244</v>
      </c>
      <c r="E198" s="1419">
        <v>267</v>
      </c>
      <c r="F198" s="1419">
        <v>238</v>
      </c>
      <c r="G198" s="1419">
        <v>235</v>
      </c>
      <c r="H198" s="1419">
        <v>222</v>
      </c>
      <c r="I198" s="1419">
        <v>208</v>
      </c>
      <c r="J198" s="1419">
        <v>231</v>
      </c>
      <c r="K198" s="1419">
        <v>200</v>
      </c>
      <c r="L198" s="1419">
        <v>254</v>
      </c>
      <c r="M198" s="1419">
        <v>226</v>
      </c>
      <c r="N198" s="1419">
        <v>180</v>
      </c>
      <c r="O198" s="1419">
        <v>156</v>
      </c>
      <c r="P198" s="1419">
        <v>0</v>
      </c>
      <c r="Q198" s="1419">
        <v>1</v>
      </c>
      <c r="R198" s="1419">
        <v>2919</v>
      </c>
    </row>
    <row r="199" spans="1:18" ht="12" thickBot="1">
      <c r="A199" s="1473" t="s">
        <v>320</v>
      </c>
      <c r="B199" s="1473" t="s">
        <v>321</v>
      </c>
      <c r="C199" s="1419">
        <v>79</v>
      </c>
      <c r="D199" s="1419">
        <v>94</v>
      </c>
      <c r="E199" s="1419">
        <v>88</v>
      </c>
      <c r="F199" s="1419">
        <v>93</v>
      </c>
      <c r="G199" s="1419">
        <v>92</v>
      </c>
      <c r="H199" s="1419">
        <v>77</v>
      </c>
      <c r="I199" s="1419">
        <v>105</v>
      </c>
      <c r="J199" s="1419">
        <v>91</v>
      </c>
      <c r="K199" s="1419">
        <v>84</v>
      </c>
      <c r="L199" s="1419">
        <v>90</v>
      </c>
      <c r="M199" s="1419">
        <v>90</v>
      </c>
      <c r="N199" s="1419">
        <v>70</v>
      </c>
      <c r="O199" s="1419">
        <v>68</v>
      </c>
      <c r="P199" s="1419">
        <v>0</v>
      </c>
      <c r="Q199" s="1419">
        <v>1</v>
      </c>
      <c r="R199" s="1419">
        <v>1122</v>
      </c>
    </row>
    <row r="200" spans="1:18" ht="12" thickBot="1">
      <c r="A200" s="1473" t="s">
        <v>115</v>
      </c>
      <c r="B200" s="1473" t="s">
        <v>116</v>
      </c>
      <c r="C200" s="1419">
        <v>48</v>
      </c>
      <c r="D200" s="1419">
        <v>48</v>
      </c>
      <c r="E200" s="1419">
        <v>44</v>
      </c>
      <c r="F200" s="1419">
        <v>51</v>
      </c>
      <c r="G200" s="1419">
        <v>40</v>
      </c>
      <c r="H200" s="1419">
        <v>53</v>
      </c>
      <c r="I200" s="1419">
        <v>60</v>
      </c>
      <c r="J200" s="1419">
        <v>44</v>
      </c>
      <c r="K200" s="1419">
        <v>60</v>
      </c>
      <c r="L200" s="1419">
        <v>45</v>
      </c>
      <c r="M200" s="1419">
        <v>51</v>
      </c>
      <c r="N200" s="1419">
        <v>55</v>
      </c>
      <c r="O200" s="1419">
        <v>55</v>
      </c>
      <c r="P200" s="1419">
        <v>0</v>
      </c>
      <c r="Q200" s="1419">
        <v>0</v>
      </c>
      <c r="R200" s="1419">
        <v>654</v>
      </c>
    </row>
    <row r="201" spans="1:18" ht="12" thickBot="1">
      <c r="A201" s="1473" t="s">
        <v>611</v>
      </c>
      <c r="B201" s="1473" t="s">
        <v>612</v>
      </c>
      <c r="C201" s="1419">
        <v>122</v>
      </c>
      <c r="D201" s="1419">
        <v>131</v>
      </c>
      <c r="E201" s="1419">
        <v>146</v>
      </c>
      <c r="F201" s="1419">
        <v>149</v>
      </c>
      <c r="G201" s="1419">
        <v>132</v>
      </c>
      <c r="H201" s="1419">
        <v>128</v>
      </c>
      <c r="I201" s="1419">
        <v>133</v>
      </c>
      <c r="J201" s="1419">
        <v>119</v>
      </c>
      <c r="K201" s="1419">
        <v>125</v>
      </c>
      <c r="L201" s="1419">
        <v>138</v>
      </c>
      <c r="M201" s="1419">
        <v>115</v>
      </c>
      <c r="N201" s="1419">
        <v>95</v>
      </c>
      <c r="O201" s="1419">
        <v>106</v>
      </c>
      <c r="P201" s="1419">
        <v>0</v>
      </c>
      <c r="Q201" s="1419">
        <v>0</v>
      </c>
      <c r="R201" s="1419">
        <v>1639</v>
      </c>
    </row>
    <row r="202" spans="1:18" ht="12" thickBot="1">
      <c r="A202" s="1473" t="s">
        <v>382</v>
      </c>
      <c r="B202" s="1473" t="s">
        <v>383</v>
      </c>
      <c r="C202" s="1419">
        <v>75</v>
      </c>
      <c r="D202" s="1419">
        <v>72</v>
      </c>
      <c r="E202" s="1419">
        <v>71</v>
      </c>
      <c r="F202" s="1419">
        <v>80</v>
      </c>
      <c r="G202" s="1419">
        <v>62</v>
      </c>
      <c r="H202" s="1419">
        <v>101</v>
      </c>
      <c r="I202" s="1419">
        <v>80</v>
      </c>
      <c r="J202" s="1419">
        <v>66</v>
      </c>
      <c r="K202" s="1419">
        <v>84</v>
      </c>
      <c r="L202" s="1419">
        <v>109</v>
      </c>
      <c r="M202" s="1419">
        <v>77</v>
      </c>
      <c r="N202" s="1419">
        <v>69</v>
      </c>
      <c r="O202" s="1419">
        <v>80</v>
      </c>
      <c r="P202" s="1419">
        <v>0</v>
      </c>
      <c r="Q202" s="1419">
        <v>0</v>
      </c>
      <c r="R202" s="1419">
        <v>1026</v>
      </c>
    </row>
    <row r="203" spans="1:18" ht="12" thickBot="1">
      <c r="A203" s="1473" t="s">
        <v>647</v>
      </c>
      <c r="B203" s="1473" t="s">
        <v>648</v>
      </c>
      <c r="C203" s="1419">
        <v>77</v>
      </c>
      <c r="D203" s="1419">
        <v>76</v>
      </c>
      <c r="E203" s="1419">
        <v>70</v>
      </c>
      <c r="F203" s="1419">
        <v>64</v>
      </c>
      <c r="G203" s="1419">
        <v>88</v>
      </c>
      <c r="H203" s="1419">
        <v>77</v>
      </c>
      <c r="I203" s="1419">
        <v>59</v>
      </c>
      <c r="J203" s="1419">
        <v>101</v>
      </c>
      <c r="K203" s="1419">
        <v>75</v>
      </c>
      <c r="L203" s="1419">
        <v>79</v>
      </c>
      <c r="M203" s="1419">
        <v>72</v>
      </c>
      <c r="N203" s="1419">
        <v>62</v>
      </c>
      <c r="O203" s="1419">
        <v>74</v>
      </c>
      <c r="P203" s="1419">
        <v>0</v>
      </c>
      <c r="Q203" s="1419">
        <v>0</v>
      </c>
      <c r="R203" s="1419">
        <v>974</v>
      </c>
    </row>
    <row r="204" spans="1:18" ht="12" thickBot="1">
      <c r="A204" s="1473" t="s">
        <v>458</v>
      </c>
      <c r="B204" s="1473" t="s">
        <v>459</v>
      </c>
      <c r="C204" s="1419">
        <v>365</v>
      </c>
      <c r="D204" s="1419">
        <v>358</v>
      </c>
      <c r="E204" s="1419">
        <v>421</v>
      </c>
      <c r="F204" s="1419">
        <v>434</v>
      </c>
      <c r="G204" s="1419">
        <v>354</v>
      </c>
      <c r="H204" s="1419">
        <v>398</v>
      </c>
      <c r="I204" s="1419">
        <v>353</v>
      </c>
      <c r="J204" s="1419">
        <v>348</v>
      </c>
      <c r="K204" s="1419">
        <v>382</v>
      </c>
      <c r="L204" s="1419">
        <v>330</v>
      </c>
      <c r="M204" s="1419">
        <v>352</v>
      </c>
      <c r="N204" s="1419">
        <v>337</v>
      </c>
      <c r="O204" s="1419">
        <v>312</v>
      </c>
      <c r="P204" s="1419">
        <v>0</v>
      </c>
      <c r="Q204" s="1419">
        <v>0</v>
      </c>
      <c r="R204" s="1419">
        <v>4744</v>
      </c>
    </row>
    <row r="205" spans="1:18" ht="12" thickBot="1">
      <c r="A205" s="1473" t="s">
        <v>257</v>
      </c>
      <c r="B205" s="1473" t="s">
        <v>258</v>
      </c>
      <c r="C205" s="1419">
        <v>151</v>
      </c>
      <c r="D205" s="1419">
        <v>126</v>
      </c>
      <c r="E205" s="1419">
        <v>146</v>
      </c>
      <c r="F205" s="1419">
        <v>144</v>
      </c>
      <c r="G205" s="1419">
        <v>114</v>
      </c>
      <c r="H205" s="1419">
        <v>134</v>
      </c>
      <c r="I205" s="1419">
        <v>153</v>
      </c>
      <c r="J205" s="1419">
        <v>157</v>
      </c>
      <c r="K205" s="1419">
        <v>149</v>
      </c>
      <c r="L205" s="1419">
        <v>136</v>
      </c>
      <c r="M205" s="1419">
        <v>152</v>
      </c>
      <c r="N205" s="1419">
        <v>120</v>
      </c>
      <c r="O205" s="1419">
        <v>134</v>
      </c>
      <c r="P205" s="1419">
        <v>0</v>
      </c>
      <c r="Q205" s="1419">
        <v>0</v>
      </c>
      <c r="R205" s="1419">
        <v>1816</v>
      </c>
    </row>
    <row r="206" spans="1:18" ht="12" thickBot="1">
      <c r="A206" s="1473" t="s">
        <v>241</v>
      </c>
      <c r="B206" s="1473" t="s">
        <v>242</v>
      </c>
      <c r="C206" s="1419">
        <v>126</v>
      </c>
      <c r="D206" s="1419">
        <v>132</v>
      </c>
      <c r="E206" s="1419">
        <v>119</v>
      </c>
      <c r="F206" s="1419">
        <v>117</v>
      </c>
      <c r="G206" s="1419">
        <v>138</v>
      </c>
      <c r="H206" s="1419">
        <v>127</v>
      </c>
      <c r="I206" s="1419">
        <v>148</v>
      </c>
      <c r="J206" s="1419">
        <v>116</v>
      </c>
      <c r="K206" s="1419">
        <v>118</v>
      </c>
      <c r="L206" s="1419">
        <v>118</v>
      </c>
      <c r="M206" s="1419">
        <v>127</v>
      </c>
      <c r="N206" s="1419">
        <v>113</v>
      </c>
      <c r="O206" s="1419">
        <v>115</v>
      </c>
      <c r="P206" s="1419">
        <v>0</v>
      </c>
      <c r="Q206" s="1419">
        <v>0</v>
      </c>
      <c r="R206" s="1419">
        <v>1614</v>
      </c>
    </row>
    <row r="207" spans="1:18" ht="12" thickBot="1">
      <c r="A207" s="1473" t="s">
        <v>406</v>
      </c>
      <c r="B207" s="1473" t="s">
        <v>407</v>
      </c>
      <c r="C207" s="1419">
        <v>38</v>
      </c>
      <c r="D207" s="1419">
        <v>44</v>
      </c>
      <c r="E207" s="1419">
        <v>31</v>
      </c>
      <c r="F207" s="1419">
        <v>37</v>
      </c>
      <c r="G207" s="1419">
        <v>40</v>
      </c>
      <c r="H207" s="1419">
        <v>45</v>
      </c>
      <c r="I207" s="1419">
        <v>39</v>
      </c>
      <c r="J207" s="1419">
        <v>43</v>
      </c>
      <c r="K207" s="1419">
        <v>42</v>
      </c>
      <c r="L207" s="1419">
        <v>49</v>
      </c>
      <c r="M207" s="1419">
        <v>56</v>
      </c>
      <c r="N207" s="1419">
        <v>38</v>
      </c>
      <c r="O207" s="1419">
        <v>30</v>
      </c>
      <c r="P207" s="1419">
        <v>0</v>
      </c>
      <c r="Q207" s="1419">
        <v>0</v>
      </c>
      <c r="R207" s="1419">
        <v>532</v>
      </c>
    </row>
    <row r="208" spans="1:18" ht="12" thickBot="1">
      <c r="A208" s="1473" t="s">
        <v>137</v>
      </c>
      <c r="B208" s="1473" t="s">
        <v>138</v>
      </c>
      <c r="C208" s="1419">
        <v>132</v>
      </c>
      <c r="D208" s="1419">
        <v>117</v>
      </c>
      <c r="E208" s="1419">
        <v>150</v>
      </c>
      <c r="F208" s="1419">
        <v>129</v>
      </c>
      <c r="G208" s="1419">
        <v>127</v>
      </c>
      <c r="H208" s="1419">
        <v>151</v>
      </c>
      <c r="I208" s="1419">
        <v>156</v>
      </c>
      <c r="J208" s="1419">
        <v>146</v>
      </c>
      <c r="K208" s="1419">
        <v>113</v>
      </c>
      <c r="L208" s="1419">
        <v>148</v>
      </c>
      <c r="M208" s="1419">
        <v>146</v>
      </c>
      <c r="N208" s="1419">
        <v>121</v>
      </c>
      <c r="O208" s="1419">
        <v>105</v>
      </c>
      <c r="P208" s="1419">
        <v>0</v>
      </c>
      <c r="Q208" s="1419">
        <v>0</v>
      </c>
      <c r="R208" s="1419">
        <v>1741</v>
      </c>
    </row>
    <row r="209" spans="1:18" ht="12" thickBot="1">
      <c r="A209" s="1473" t="s">
        <v>364</v>
      </c>
      <c r="B209" s="1473" t="s">
        <v>365</v>
      </c>
      <c r="C209" s="1419">
        <v>109</v>
      </c>
      <c r="D209" s="1419">
        <v>91</v>
      </c>
      <c r="E209" s="1419">
        <v>68</v>
      </c>
      <c r="F209" s="1419">
        <v>74</v>
      </c>
      <c r="G209" s="1419">
        <v>75</v>
      </c>
      <c r="H209" s="1419">
        <v>74</v>
      </c>
      <c r="I209" s="1419">
        <v>71</v>
      </c>
      <c r="J209" s="1419">
        <v>79</v>
      </c>
      <c r="K209" s="1419">
        <v>75</v>
      </c>
      <c r="L209" s="1419">
        <v>81</v>
      </c>
      <c r="M209" s="1419">
        <v>91</v>
      </c>
      <c r="N209" s="1419">
        <v>81</v>
      </c>
      <c r="O209" s="1419">
        <v>74</v>
      </c>
      <c r="P209" s="1419">
        <v>0</v>
      </c>
      <c r="Q209" s="1419">
        <v>0</v>
      </c>
      <c r="R209" s="1419">
        <v>1043</v>
      </c>
    </row>
    <row r="210" spans="1:18" ht="12" thickBot="1">
      <c r="A210" s="1473" t="s">
        <v>253</v>
      </c>
      <c r="B210" s="1473" t="s">
        <v>254</v>
      </c>
      <c r="C210" s="1419">
        <v>1513</v>
      </c>
      <c r="D210" s="1419">
        <v>1547</v>
      </c>
      <c r="E210" s="1419">
        <v>1439</v>
      </c>
      <c r="F210" s="1419">
        <v>1434</v>
      </c>
      <c r="G210" s="1419">
        <v>1452</v>
      </c>
      <c r="H210" s="1419">
        <v>1404</v>
      </c>
      <c r="I210" s="1419">
        <v>1327</v>
      </c>
      <c r="J210" s="1419">
        <v>1150</v>
      </c>
      <c r="K210" s="1419">
        <v>1214</v>
      </c>
      <c r="L210" s="1419">
        <v>1326</v>
      </c>
      <c r="M210" s="1419">
        <v>1033</v>
      </c>
      <c r="N210" s="1419">
        <v>1010</v>
      </c>
      <c r="O210" s="1419">
        <v>979</v>
      </c>
      <c r="P210" s="1419">
        <v>0</v>
      </c>
      <c r="Q210" s="1419">
        <v>0</v>
      </c>
      <c r="R210" s="1419">
        <v>16828</v>
      </c>
    </row>
    <row r="211" spans="1:18" ht="12" thickBot="1">
      <c r="A211" s="1473" t="s">
        <v>655</v>
      </c>
      <c r="B211" s="1473" t="s">
        <v>656</v>
      </c>
      <c r="C211" s="1419">
        <v>38</v>
      </c>
      <c r="D211" s="1419">
        <v>43</v>
      </c>
      <c r="E211" s="1419">
        <v>41</v>
      </c>
      <c r="F211" s="1419">
        <v>66</v>
      </c>
      <c r="G211" s="1419">
        <v>48</v>
      </c>
      <c r="H211" s="1419">
        <v>48</v>
      </c>
      <c r="I211" s="1419">
        <v>69</v>
      </c>
      <c r="J211" s="1419">
        <v>41</v>
      </c>
      <c r="K211" s="1419">
        <v>54</v>
      </c>
      <c r="L211" s="1419">
        <v>51</v>
      </c>
      <c r="M211" s="1419">
        <v>50</v>
      </c>
      <c r="N211" s="1419">
        <v>35</v>
      </c>
      <c r="O211" s="1419">
        <v>38</v>
      </c>
      <c r="P211" s="1419">
        <v>0</v>
      </c>
      <c r="Q211" s="1419">
        <v>0</v>
      </c>
      <c r="R211" s="1419">
        <v>622</v>
      </c>
    </row>
    <row r="212" spans="1:18" ht="12" thickBot="1">
      <c r="A212" s="1473" t="s">
        <v>649</v>
      </c>
      <c r="B212" s="1473" t="s">
        <v>650</v>
      </c>
      <c r="C212" s="1419">
        <v>63</v>
      </c>
      <c r="D212" s="1419">
        <v>41</v>
      </c>
      <c r="E212" s="1419">
        <v>43</v>
      </c>
      <c r="F212" s="1419">
        <v>48</v>
      </c>
      <c r="G212" s="1419">
        <v>52</v>
      </c>
      <c r="H212" s="1419">
        <v>42</v>
      </c>
      <c r="I212" s="1419">
        <v>37</v>
      </c>
      <c r="J212" s="1419">
        <v>47</v>
      </c>
      <c r="K212" s="1419">
        <v>32</v>
      </c>
      <c r="L212" s="1419">
        <v>55</v>
      </c>
      <c r="M212" s="1419">
        <v>49</v>
      </c>
      <c r="N212" s="1419">
        <v>45</v>
      </c>
      <c r="O212" s="1419">
        <v>38</v>
      </c>
      <c r="P212" s="1419">
        <v>0</v>
      </c>
      <c r="Q212" s="1419">
        <v>0</v>
      </c>
      <c r="R212" s="1419">
        <v>592</v>
      </c>
    </row>
    <row r="213" spans="1:18" ht="12" thickBot="1">
      <c r="A213" s="1473" t="s">
        <v>509</v>
      </c>
      <c r="B213" s="1473" t="s">
        <v>510</v>
      </c>
      <c r="C213" s="1419">
        <v>68</v>
      </c>
      <c r="D213" s="1419">
        <v>65</v>
      </c>
      <c r="E213" s="1419">
        <v>66</v>
      </c>
      <c r="F213" s="1419">
        <v>59</v>
      </c>
      <c r="G213" s="1419">
        <v>59</v>
      </c>
      <c r="H213" s="1419">
        <v>64</v>
      </c>
      <c r="I213" s="1419">
        <v>75</v>
      </c>
      <c r="J213" s="1419">
        <v>58</v>
      </c>
      <c r="K213" s="1419">
        <v>53</v>
      </c>
      <c r="L213" s="1419">
        <v>72</v>
      </c>
      <c r="M213" s="1419">
        <v>55</v>
      </c>
      <c r="N213" s="1419">
        <v>62</v>
      </c>
      <c r="O213" s="1419">
        <v>51</v>
      </c>
      <c r="P213" s="1419">
        <v>0</v>
      </c>
      <c r="Q213" s="1419">
        <v>0</v>
      </c>
      <c r="R213" s="1419">
        <v>807</v>
      </c>
    </row>
    <row r="214" spans="1:18" ht="12" thickBot="1">
      <c r="A214" s="1473" t="s">
        <v>151</v>
      </c>
      <c r="B214" s="1473" t="s">
        <v>152</v>
      </c>
      <c r="C214" s="1419">
        <v>114</v>
      </c>
      <c r="D214" s="1419">
        <v>108</v>
      </c>
      <c r="E214" s="1419">
        <v>96</v>
      </c>
      <c r="F214" s="1419">
        <v>90</v>
      </c>
      <c r="G214" s="1419">
        <v>87</v>
      </c>
      <c r="H214" s="1419">
        <v>105</v>
      </c>
      <c r="I214" s="1419">
        <v>100</v>
      </c>
      <c r="J214" s="1419">
        <v>113</v>
      </c>
      <c r="K214" s="1419">
        <v>109</v>
      </c>
      <c r="L214" s="1419">
        <v>120</v>
      </c>
      <c r="M214" s="1419">
        <v>99</v>
      </c>
      <c r="N214" s="1419">
        <v>74</v>
      </c>
      <c r="O214" s="1419">
        <v>86</v>
      </c>
      <c r="P214" s="1419">
        <v>0</v>
      </c>
      <c r="Q214" s="1419">
        <v>0</v>
      </c>
      <c r="R214" s="1419">
        <v>1301</v>
      </c>
    </row>
    <row r="215" spans="1:18" ht="12" thickBot="1">
      <c r="A215" s="1473" t="s">
        <v>607</v>
      </c>
      <c r="B215" s="1473" t="s">
        <v>608</v>
      </c>
      <c r="C215" s="1419">
        <v>1122</v>
      </c>
      <c r="D215" s="1419">
        <v>1162</v>
      </c>
      <c r="E215" s="1419">
        <v>1126</v>
      </c>
      <c r="F215" s="1419">
        <v>1159</v>
      </c>
      <c r="G215" s="1419">
        <v>1116</v>
      </c>
      <c r="H215" s="1419">
        <v>982</v>
      </c>
      <c r="I215" s="1419">
        <v>1111</v>
      </c>
      <c r="J215" s="1419">
        <v>1049</v>
      </c>
      <c r="K215" s="1419">
        <v>1070</v>
      </c>
      <c r="L215" s="1419">
        <v>1235</v>
      </c>
      <c r="M215" s="1419">
        <v>989</v>
      </c>
      <c r="N215" s="1419">
        <v>994</v>
      </c>
      <c r="O215" s="1419">
        <v>888</v>
      </c>
      <c r="P215" s="1419">
        <v>0</v>
      </c>
      <c r="Q215" s="1419">
        <v>0</v>
      </c>
      <c r="R215" s="1419">
        <v>14003</v>
      </c>
    </row>
    <row r="216" spans="1:18" ht="12" thickBot="1">
      <c r="A216" s="1473" t="s">
        <v>155</v>
      </c>
      <c r="B216" s="1473" t="s">
        <v>156</v>
      </c>
      <c r="C216" s="1419">
        <v>57</v>
      </c>
      <c r="D216" s="1419">
        <v>66</v>
      </c>
      <c r="E216" s="1419">
        <v>68</v>
      </c>
      <c r="F216" s="1419">
        <v>52</v>
      </c>
      <c r="G216" s="1419">
        <v>53</v>
      </c>
      <c r="H216" s="1419">
        <v>69</v>
      </c>
      <c r="I216" s="1419">
        <v>64</v>
      </c>
      <c r="J216" s="1419">
        <v>64</v>
      </c>
      <c r="K216" s="1419">
        <v>58</v>
      </c>
      <c r="L216" s="1419">
        <v>78</v>
      </c>
      <c r="M216" s="1419">
        <v>61</v>
      </c>
      <c r="N216" s="1419">
        <v>70</v>
      </c>
      <c r="O216" s="1419">
        <v>65</v>
      </c>
      <c r="P216" s="1419">
        <v>0</v>
      </c>
      <c r="Q216" s="1419">
        <v>0</v>
      </c>
      <c r="R216" s="1419">
        <v>825</v>
      </c>
    </row>
    <row r="217" spans="1:18" ht="12" thickBot="1">
      <c r="A217" s="1473" t="s">
        <v>243</v>
      </c>
      <c r="B217" s="1473" t="s">
        <v>244</v>
      </c>
      <c r="C217" s="1419">
        <v>421</v>
      </c>
      <c r="D217" s="1419">
        <v>422</v>
      </c>
      <c r="E217" s="1419">
        <v>379</v>
      </c>
      <c r="F217" s="1419">
        <v>393</v>
      </c>
      <c r="G217" s="1419">
        <v>439</v>
      </c>
      <c r="H217" s="1419">
        <v>380</v>
      </c>
      <c r="I217" s="1419">
        <v>375</v>
      </c>
      <c r="J217" s="1419">
        <v>401</v>
      </c>
      <c r="K217" s="1419">
        <v>403</v>
      </c>
      <c r="L217" s="1419">
        <v>377</v>
      </c>
      <c r="M217" s="1419">
        <v>387</v>
      </c>
      <c r="N217" s="1419">
        <v>404</v>
      </c>
      <c r="O217" s="1419">
        <v>342</v>
      </c>
      <c r="P217" s="1419">
        <v>0</v>
      </c>
      <c r="Q217" s="1419">
        <v>52</v>
      </c>
      <c r="R217" s="1419">
        <v>5175</v>
      </c>
    </row>
    <row r="218" spans="1:18" ht="12" thickBot="1">
      <c r="A218" s="1473" t="s">
        <v>561</v>
      </c>
      <c r="B218" s="1473" t="s">
        <v>562</v>
      </c>
      <c r="C218" s="1419">
        <v>54</v>
      </c>
      <c r="D218" s="1419">
        <v>61</v>
      </c>
      <c r="E218" s="1419">
        <v>54</v>
      </c>
      <c r="F218" s="1419">
        <v>47</v>
      </c>
      <c r="G218" s="1419">
        <v>60</v>
      </c>
      <c r="H218" s="1419">
        <v>58</v>
      </c>
      <c r="I218" s="1419">
        <v>54</v>
      </c>
      <c r="J218" s="1419">
        <v>56</v>
      </c>
      <c r="K218" s="1419">
        <v>53</v>
      </c>
      <c r="L218" s="1419">
        <v>62</v>
      </c>
      <c r="M218" s="1419">
        <v>49</v>
      </c>
      <c r="N218" s="1419">
        <v>65</v>
      </c>
      <c r="O218" s="1419">
        <v>54</v>
      </c>
      <c r="P218" s="1419">
        <v>0</v>
      </c>
      <c r="Q218" s="1419">
        <v>0</v>
      </c>
      <c r="R218" s="1419">
        <v>727</v>
      </c>
    </row>
    <row r="219" spans="1:18" ht="12" thickBot="1">
      <c r="A219" s="1473" t="s">
        <v>322</v>
      </c>
      <c r="B219" s="1473" t="s">
        <v>323</v>
      </c>
      <c r="C219" s="1419">
        <v>21</v>
      </c>
      <c r="D219" s="1419">
        <v>32</v>
      </c>
      <c r="E219" s="1419">
        <v>35</v>
      </c>
      <c r="F219" s="1419">
        <v>38</v>
      </c>
      <c r="G219" s="1419">
        <v>29</v>
      </c>
      <c r="H219" s="1419">
        <v>31</v>
      </c>
      <c r="I219" s="1419">
        <v>37</v>
      </c>
      <c r="J219" s="1419">
        <v>26</v>
      </c>
      <c r="K219" s="1419">
        <v>33</v>
      </c>
      <c r="L219" s="1419">
        <v>29</v>
      </c>
      <c r="M219" s="1419">
        <v>29</v>
      </c>
      <c r="N219" s="1419">
        <v>36</v>
      </c>
      <c r="O219" s="1419">
        <v>28</v>
      </c>
      <c r="P219" s="1419">
        <v>0</v>
      </c>
      <c r="Q219" s="1419">
        <v>0</v>
      </c>
      <c r="R219" s="1419">
        <v>404</v>
      </c>
    </row>
    <row r="220" spans="1:18" ht="12" thickBot="1">
      <c r="A220" s="1473" t="s">
        <v>275</v>
      </c>
      <c r="B220" s="1473" t="s">
        <v>276</v>
      </c>
      <c r="C220" s="1419">
        <v>74</v>
      </c>
      <c r="D220" s="1419">
        <v>69</v>
      </c>
      <c r="E220" s="1419">
        <v>59</v>
      </c>
      <c r="F220" s="1419">
        <v>86</v>
      </c>
      <c r="G220" s="1419">
        <v>72</v>
      </c>
      <c r="H220" s="1419">
        <v>76</v>
      </c>
      <c r="I220" s="1419">
        <v>91</v>
      </c>
      <c r="J220" s="1419">
        <v>59</v>
      </c>
      <c r="K220" s="1419">
        <v>84</v>
      </c>
      <c r="L220" s="1419">
        <v>84</v>
      </c>
      <c r="M220" s="1419">
        <v>66</v>
      </c>
      <c r="N220" s="1419">
        <v>61</v>
      </c>
      <c r="O220" s="1419">
        <v>57</v>
      </c>
      <c r="P220" s="1419">
        <v>0</v>
      </c>
      <c r="Q220" s="1419">
        <v>0</v>
      </c>
      <c r="R220" s="1419">
        <v>938</v>
      </c>
    </row>
    <row r="221" spans="1:18" ht="12" thickBot="1">
      <c r="A221" s="1473" t="s">
        <v>157</v>
      </c>
      <c r="B221" s="1473" t="s">
        <v>158</v>
      </c>
      <c r="C221" s="1419">
        <v>347</v>
      </c>
      <c r="D221" s="1419">
        <v>316</v>
      </c>
      <c r="E221" s="1419">
        <v>330</v>
      </c>
      <c r="F221" s="1419">
        <v>335</v>
      </c>
      <c r="G221" s="1419">
        <v>325</v>
      </c>
      <c r="H221" s="1419">
        <v>340</v>
      </c>
      <c r="I221" s="1419">
        <v>302</v>
      </c>
      <c r="J221" s="1419">
        <v>284</v>
      </c>
      <c r="K221" s="1419">
        <v>303</v>
      </c>
      <c r="L221" s="1419">
        <v>323</v>
      </c>
      <c r="M221" s="1419">
        <v>291</v>
      </c>
      <c r="N221" s="1419">
        <v>256</v>
      </c>
      <c r="O221" s="1419">
        <v>237</v>
      </c>
      <c r="P221" s="1419">
        <v>0</v>
      </c>
      <c r="Q221" s="1419">
        <v>18</v>
      </c>
      <c r="R221" s="1419">
        <v>4007</v>
      </c>
    </row>
    <row r="222" spans="1:18" ht="12" thickBot="1">
      <c r="A222" s="1473" t="s">
        <v>408</v>
      </c>
      <c r="B222" s="1473" t="s">
        <v>409</v>
      </c>
      <c r="C222" s="1419">
        <v>329</v>
      </c>
      <c r="D222" s="1419">
        <v>288</v>
      </c>
      <c r="E222" s="1419">
        <v>313</v>
      </c>
      <c r="F222" s="1419">
        <v>329</v>
      </c>
      <c r="G222" s="1419">
        <v>345</v>
      </c>
      <c r="H222" s="1419">
        <v>337</v>
      </c>
      <c r="I222" s="1419">
        <v>350</v>
      </c>
      <c r="J222" s="1419">
        <v>320</v>
      </c>
      <c r="K222" s="1419">
        <v>326</v>
      </c>
      <c r="L222" s="1419">
        <v>311</v>
      </c>
      <c r="M222" s="1419">
        <v>341</v>
      </c>
      <c r="N222" s="1419">
        <v>327</v>
      </c>
      <c r="O222" s="1419">
        <v>257</v>
      </c>
      <c r="P222" s="1419">
        <v>0</v>
      </c>
      <c r="Q222" s="1419">
        <v>0</v>
      </c>
      <c r="R222" s="1419">
        <v>4173</v>
      </c>
    </row>
    <row r="223" spans="1:18" ht="12" thickBot="1">
      <c r="A223" s="1473" t="s">
        <v>123</v>
      </c>
      <c r="B223" s="1473" t="s">
        <v>124</v>
      </c>
      <c r="C223" s="1419">
        <v>41</v>
      </c>
      <c r="D223" s="1419">
        <v>36</v>
      </c>
      <c r="E223" s="1419">
        <v>34</v>
      </c>
      <c r="F223" s="1419">
        <v>44</v>
      </c>
      <c r="G223" s="1419">
        <v>29</v>
      </c>
      <c r="H223" s="1419">
        <v>30</v>
      </c>
      <c r="I223" s="1419">
        <v>41</v>
      </c>
      <c r="J223" s="1419">
        <v>35</v>
      </c>
      <c r="K223" s="1419">
        <v>36</v>
      </c>
      <c r="L223" s="1419">
        <v>30</v>
      </c>
      <c r="M223" s="1419">
        <v>27</v>
      </c>
      <c r="N223" s="1419">
        <v>34</v>
      </c>
      <c r="O223" s="1419">
        <v>33</v>
      </c>
      <c r="P223" s="1419">
        <v>0</v>
      </c>
      <c r="Q223" s="1419">
        <v>0</v>
      </c>
      <c r="R223" s="1419">
        <v>450</v>
      </c>
    </row>
    <row r="224" spans="1:18" ht="12" thickBot="1">
      <c r="A224" s="1473" t="s">
        <v>609</v>
      </c>
      <c r="B224" s="1473" t="s">
        <v>610</v>
      </c>
      <c r="C224" s="1419">
        <v>288</v>
      </c>
      <c r="D224" s="1419">
        <v>298</v>
      </c>
      <c r="E224" s="1419">
        <v>297</v>
      </c>
      <c r="F224" s="1419">
        <v>319</v>
      </c>
      <c r="G224" s="1419">
        <v>319</v>
      </c>
      <c r="H224" s="1419">
        <v>295</v>
      </c>
      <c r="I224" s="1419">
        <v>290</v>
      </c>
      <c r="J224" s="1419">
        <v>324</v>
      </c>
      <c r="K224" s="1419">
        <v>307</v>
      </c>
      <c r="L224" s="1419">
        <v>335</v>
      </c>
      <c r="M224" s="1419">
        <v>292</v>
      </c>
      <c r="N224" s="1419">
        <v>244</v>
      </c>
      <c r="O224" s="1419">
        <v>295</v>
      </c>
      <c r="P224" s="1419">
        <v>0</v>
      </c>
      <c r="Q224" s="1419">
        <v>0</v>
      </c>
      <c r="R224" s="1419">
        <v>3903</v>
      </c>
    </row>
    <row r="225" spans="1:18" ht="12" thickBot="1">
      <c r="A225" s="1473" t="s">
        <v>476</v>
      </c>
      <c r="B225" s="1473" t="s">
        <v>477</v>
      </c>
      <c r="C225" s="1419">
        <v>53</v>
      </c>
      <c r="D225" s="1419">
        <v>46</v>
      </c>
      <c r="E225" s="1419">
        <v>45</v>
      </c>
      <c r="F225" s="1419">
        <v>46</v>
      </c>
      <c r="G225" s="1419">
        <v>40</v>
      </c>
      <c r="H225" s="1419">
        <v>60</v>
      </c>
      <c r="I225" s="1419">
        <v>53</v>
      </c>
      <c r="J225" s="1419">
        <v>50</v>
      </c>
      <c r="K225" s="1419">
        <v>51</v>
      </c>
      <c r="L225" s="1419">
        <v>64</v>
      </c>
      <c r="M225" s="1419">
        <v>59</v>
      </c>
      <c r="N225" s="1419">
        <v>54</v>
      </c>
      <c r="O225" s="1419">
        <v>47</v>
      </c>
      <c r="P225" s="1419">
        <v>0</v>
      </c>
      <c r="Q225" s="1419">
        <v>0</v>
      </c>
      <c r="R225" s="1419">
        <v>668</v>
      </c>
    </row>
    <row r="226" spans="1:18" ht="12" thickBot="1">
      <c r="A226" s="1473" t="s">
        <v>117</v>
      </c>
      <c r="B226" s="1473" t="s">
        <v>118</v>
      </c>
      <c r="C226" s="1419">
        <v>42</v>
      </c>
      <c r="D226" s="1419">
        <v>80</v>
      </c>
      <c r="E226" s="1419">
        <v>65</v>
      </c>
      <c r="F226" s="1419">
        <v>59</v>
      </c>
      <c r="G226" s="1419">
        <v>69</v>
      </c>
      <c r="H226" s="1419">
        <v>61</v>
      </c>
      <c r="I226" s="1419">
        <v>71</v>
      </c>
      <c r="J226" s="1419">
        <v>71</v>
      </c>
      <c r="K226" s="1419">
        <v>69</v>
      </c>
      <c r="L226" s="1419">
        <v>66</v>
      </c>
      <c r="M226" s="1419">
        <v>72</v>
      </c>
      <c r="N226" s="1419">
        <v>68</v>
      </c>
      <c r="O226" s="1419">
        <v>64</v>
      </c>
      <c r="P226" s="1419">
        <v>0</v>
      </c>
      <c r="Q226" s="1419">
        <v>0</v>
      </c>
      <c r="R226" s="1419">
        <v>857</v>
      </c>
    </row>
    <row r="227" spans="1:18" ht="12" thickBot="1">
      <c r="A227" s="1473" t="s">
        <v>493</v>
      </c>
      <c r="B227" s="1473" t="s">
        <v>494</v>
      </c>
      <c r="C227" s="1419">
        <v>174</v>
      </c>
      <c r="D227" s="1419">
        <v>196</v>
      </c>
      <c r="E227" s="1419">
        <v>167</v>
      </c>
      <c r="F227" s="1419">
        <v>166</v>
      </c>
      <c r="G227" s="1419">
        <v>197</v>
      </c>
      <c r="H227" s="1419">
        <v>165</v>
      </c>
      <c r="I227" s="1419">
        <v>165</v>
      </c>
      <c r="J227" s="1419">
        <v>156</v>
      </c>
      <c r="K227" s="1419">
        <v>185</v>
      </c>
      <c r="L227" s="1419">
        <v>169</v>
      </c>
      <c r="M227" s="1419">
        <v>158</v>
      </c>
      <c r="N227" s="1419">
        <v>162</v>
      </c>
      <c r="O227" s="1419">
        <v>161</v>
      </c>
      <c r="P227" s="1419">
        <v>0</v>
      </c>
      <c r="Q227" s="1419">
        <v>1</v>
      </c>
      <c r="R227" s="1419">
        <v>2222</v>
      </c>
    </row>
    <row r="228" spans="1:18" ht="12" thickBot="1">
      <c r="A228" s="1473" t="s">
        <v>348</v>
      </c>
      <c r="B228" s="1473" t="s">
        <v>349</v>
      </c>
      <c r="C228" s="1419">
        <v>98</v>
      </c>
      <c r="D228" s="1419">
        <v>112</v>
      </c>
      <c r="E228" s="1419">
        <v>113</v>
      </c>
      <c r="F228" s="1419">
        <v>111</v>
      </c>
      <c r="G228" s="1419">
        <v>103</v>
      </c>
      <c r="H228" s="1419">
        <v>100</v>
      </c>
      <c r="I228" s="1419">
        <v>105</v>
      </c>
      <c r="J228" s="1419">
        <v>105</v>
      </c>
      <c r="K228" s="1419">
        <v>100</v>
      </c>
      <c r="L228" s="1419">
        <v>116</v>
      </c>
      <c r="M228" s="1419">
        <v>74</v>
      </c>
      <c r="N228" s="1419">
        <v>63</v>
      </c>
      <c r="O228" s="1419">
        <v>92</v>
      </c>
      <c r="P228" s="1419">
        <v>0</v>
      </c>
      <c r="Q228" s="1419">
        <v>6</v>
      </c>
      <c r="R228" s="1419">
        <v>1298</v>
      </c>
    </row>
    <row r="229" spans="1:18" ht="12" thickBot="1">
      <c r="A229" s="1473" t="s">
        <v>394</v>
      </c>
      <c r="B229" s="1473" t="s">
        <v>220</v>
      </c>
      <c r="C229" s="1419">
        <v>53</v>
      </c>
      <c r="D229" s="1419">
        <v>67</v>
      </c>
      <c r="E229" s="1419">
        <v>57</v>
      </c>
      <c r="F229" s="1419">
        <v>57</v>
      </c>
      <c r="G229" s="1419">
        <v>58</v>
      </c>
      <c r="H229" s="1419">
        <v>47</v>
      </c>
      <c r="I229" s="1419">
        <v>59</v>
      </c>
      <c r="J229" s="1419">
        <v>61</v>
      </c>
      <c r="K229" s="1419">
        <v>54</v>
      </c>
      <c r="L229" s="1419">
        <v>55</v>
      </c>
      <c r="M229" s="1419">
        <v>65</v>
      </c>
      <c r="N229" s="1419">
        <v>70</v>
      </c>
      <c r="O229" s="1419">
        <v>49</v>
      </c>
      <c r="P229" s="1419">
        <v>0</v>
      </c>
      <c r="Q229" s="1419">
        <v>2</v>
      </c>
      <c r="R229" s="1419">
        <v>754</v>
      </c>
    </row>
    <row r="230" spans="1:18" ht="12" thickBot="1">
      <c r="A230" s="1473" t="s">
        <v>125</v>
      </c>
      <c r="B230" s="1473" t="s">
        <v>126</v>
      </c>
      <c r="C230" s="1419">
        <v>55</v>
      </c>
      <c r="D230" s="1419">
        <v>47</v>
      </c>
      <c r="E230" s="1419">
        <v>29</v>
      </c>
      <c r="F230" s="1419">
        <v>44</v>
      </c>
      <c r="G230" s="1419">
        <v>42</v>
      </c>
      <c r="H230" s="1419">
        <v>51</v>
      </c>
      <c r="I230" s="1419">
        <v>42</v>
      </c>
      <c r="J230" s="1419">
        <v>37</v>
      </c>
      <c r="K230" s="1419">
        <v>39</v>
      </c>
      <c r="L230" s="1419">
        <v>35</v>
      </c>
      <c r="M230" s="1419">
        <v>30</v>
      </c>
      <c r="N230" s="1419">
        <v>42</v>
      </c>
      <c r="O230" s="1419">
        <v>24</v>
      </c>
      <c r="P230" s="1419">
        <v>0</v>
      </c>
      <c r="Q230" s="1419">
        <v>0</v>
      </c>
      <c r="R230" s="1419">
        <v>517</v>
      </c>
    </row>
    <row r="231" spans="1:18" ht="12" thickBot="1">
      <c r="A231" s="1473" t="s">
        <v>440</v>
      </c>
      <c r="B231" s="1473" t="s">
        <v>441</v>
      </c>
      <c r="C231" s="1419">
        <v>124</v>
      </c>
      <c r="D231" s="1419">
        <v>106</v>
      </c>
      <c r="E231" s="1419">
        <v>113</v>
      </c>
      <c r="F231" s="1419">
        <v>119</v>
      </c>
      <c r="G231" s="1419">
        <v>107</v>
      </c>
      <c r="H231" s="1419">
        <v>98</v>
      </c>
      <c r="I231" s="1419">
        <v>121</v>
      </c>
      <c r="J231" s="1419">
        <v>137</v>
      </c>
      <c r="K231" s="1419">
        <v>124</v>
      </c>
      <c r="L231" s="1419">
        <v>122</v>
      </c>
      <c r="M231" s="1419">
        <v>120</v>
      </c>
      <c r="N231" s="1419">
        <v>115</v>
      </c>
      <c r="O231" s="1419">
        <v>106</v>
      </c>
      <c r="P231" s="1419">
        <v>0</v>
      </c>
      <c r="Q231" s="1419">
        <v>0</v>
      </c>
      <c r="R231" s="1419">
        <v>1512</v>
      </c>
    </row>
    <row r="232" spans="1:18" ht="12" thickBot="1">
      <c r="A232" s="1473" t="s">
        <v>420</v>
      </c>
      <c r="B232" s="1473" t="s">
        <v>421</v>
      </c>
      <c r="C232" s="1419">
        <v>32</v>
      </c>
      <c r="D232" s="1419">
        <v>32</v>
      </c>
      <c r="E232" s="1419">
        <v>34</v>
      </c>
      <c r="F232" s="1419">
        <v>31</v>
      </c>
      <c r="G232" s="1419">
        <v>37</v>
      </c>
      <c r="H232" s="1419">
        <v>45</v>
      </c>
      <c r="I232" s="1419">
        <v>47</v>
      </c>
      <c r="J232" s="1419">
        <v>39</v>
      </c>
      <c r="K232" s="1419">
        <v>46</v>
      </c>
      <c r="L232" s="1419">
        <v>51</v>
      </c>
      <c r="M232" s="1419">
        <v>36</v>
      </c>
      <c r="N232" s="1419">
        <v>49</v>
      </c>
      <c r="O232" s="1419">
        <v>32</v>
      </c>
      <c r="P232" s="1419">
        <v>0</v>
      </c>
      <c r="Q232" s="1419">
        <v>0</v>
      </c>
      <c r="R232" s="1419">
        <v>511</v>
      </c>
    </row>
    <row r="233" spans="1:18" ht="12" thickBot="1">
      <c r="A233" s="1473" t="s">
        <v>139</v>
      </c>
      <c r="B233" s="1473" t="s">
        <v>140</v>
      </c>
      <c r="C233" s="1419">
        <v>1664</v>
      </c>
      <c r="D233" s="1419">
        <v>1614</v>
      </c>
      <c r="E233" s="1419">
        <v>1631</v>
      </c>
      <c r="F233" s="1419">
        <v>1543</v>
      </c>
      <c r="G233" s="1419">
        <v>1481</v>
      </c>
      <c r="H233" s="1419">
        <v>1495</v>
      </c>
      <c r="I233" s="1419">
        <v>1456</v>
      </c>
      <c r="J233" s="1419">
        <v>1453</v>
      </c>
      <c r="K233" s="1419">
        <v>1377</v>
      </c>
      <c r="L233" s="1419">
        <v>1387</v>
      </c>
      <c r="M233" s="1419">
        <v>1358</v>
      </c>
      <c r="N233" s="1419">
        <v>1284</v>
      </c>
      <c r="O233" s="1419">
        <v>1067</v>
      </c>
      <c r="P233" s="1419">
        <v>0</v>
      </c>
      <c r="Q233" s="1419">
        <v>0</v>
      </c>
      <c r="R233" s="1419">
        <v>18810</v>
      </c>
    </row>
    <row r="234" spans="1:18" ht="12" thickBot="1">
      <c r="A234" s="1473" t="s">
        <v>310</v>
      </c>
      <c r="B234" s="1473" t="s">
        <v>311</v>
      </c>
      <c r="C234" s="1419">
        <v>137</v>
      </c>
      <c r="D234" s="1419">
        <v>126</v>
      </c>
      <c r="E234" s="1419">
        <v>137</v>
      </c>
      <c r="F234" s="1419">
        <v>130</v>
      </c>
      <c r="G234" s="1419">
        <v>139</v>
      </c>
      <c r="H234" s="1419">
        <v>115</v>
      </c>
      <c r="I234" s="1419">
        <v>125</v>
      </c>
      <c r="J234" s="1419">
        <v>140</v>
      </c>
      <c r="K234" s="1419">
        <v>120</v>
      </c>
      <c r="L234" s="1419">
        <v>124</v>
      </c>
      <c r="M234" s="1419">
        <v>123</v>
      </c>
      <c r="N234" s="1419">
        <v>131</v>
      </c>
      <c r="O234" s="1419">
        <v>106</v>
      </c>
      <c r="P234" s="1419">
        <v>0</v>
      </c>
      <c r="Q234" s="1419">
        <v>0</v>
      </c>
      <c r="R234" s="1419">
        <v>1653</v>
      </c>
    </row>
    <row r="235" spans="1:18" ht="12" thickBot="1">
      <c r="A235" s="1473" t="s">
        <v>378</v>
      </c>
      <c r="B235" s="1473" t="s">
        <v>379</v>
      </c>
      <c r="C235" s="1419">
        <v>25</v>
      </c>
      <c r="D235" s="1419">
        <v>30</v>
      </c>
      <c r="E235" s="1419">
        <v>24</v>
      </c>
      <c r="F235" s="1419">
        <v>24</v>
      </c>
      <c r="G235" s="1419">
        <v>36</v>
      </c>
      <c r="H235" s="1419">
        <v>16</v>
      </c>
      <c r="I235" s="1419">
        <v>28</v>
      </c>
      <c r="J235" s="1419">
        <v>32</v>
      </c>
      <c r="K235" s="1419">
        <v>27</v>
      </c>
      <c r="L235" s="1419">
        <v>25</v>
      </c>
      <c r="M235" s="1419">
        <v>28</v>
      </c>
      <c r="N235" s="1419">
        <v>23</v>
      </c>
      <c r="O235" s="1419">
        <v>37</v>
      </c>
      <c r="P235" s="1419">
        <v>0</v>
      </c>
      <c r="Q235" s="1419">
        <v>0</v>
      </c>
      <c r="R235" s="1419">
        <v>355</v>
      </c>
    </row>
    <row r="236" spans="1:18" ht="12" thickBot="1">
      <c r="A236" s="1473" t="s">
        <v>119</v>
      </c>
      <c r="B236" s="1473" t="s">
        <v>120</v>
      </c>
      <c r="C236" s="1419">
        <v>32</v>
      </c>
      <c r="D236" s="1419">
        <v>35</v>
      </c>
      <c r="E236" s="1419">
        <v>27</v>
      </c>
      <c r="F236" s="1419">
        <v>33</v>
      </c>
      <c r="G236" s="1419">
        <v>38</v>
      </c>
      <c r="H236" s="1419">
        <v>28</v>
      </c>
      <c r="I236" s="1419">
        <v>30</v>
      </c>
      <c r="J236" s="1419">
        <v>31</v>
      </c>
      <c r="K236" s="1419">
        <v>31</v>
      </c>
      <c r="L236" s="1419">
        <v>43</v>
      </c>
      <c r="M236" s="1419">
        <v>31</v>
      </c>
      <c r="N236" s="1419">
        <v>56</v>
      </c>
      <c r="O236" s="1419">
        <v>40</v>
      </c>
      <c r="P236" s="1419">
        <v>0</v>
      </c>
      <c r="Q236" s="1419">
        <v>0</v>
      </c>
      <c r="R236" s="1419">
        <v>455</v>
      </c>
    </row>
    <row r="237" spans="1:18" ht="12" thickBot="1">
      <c r="A237" s="1473" t="s">
        <v>587</v>
      </c>
      <c r="B237" s="1473" t="s">
        <v>588</v>
      </c>
      <c r="C237" s="1419">
        <v>136</v>
      </c>
      <c r="D237" s="1419">
        <v>155</v>
      </c>
      <c r="E237" s="1419">
        <v>133</v>
      </c>
      <c r="F237" s="1419">
        <v>137</v>
      </c>
      <c r="G237" s="1419">
        <v>124</v>
      </c>
      <c r="H237" s="1419">
        <v>132</v>
      </c>
      <c r="I237" s="1419">
        <v>143</v>
      </c>
      <c r="J237" s="1419">
        <v>135</v>
      </c>
      <c r="K237" s="1419">
        <v>145</v>
      </c>
      <c r="L237" s="1419">
        <v>170</v>
      </c>
      <c r="M237" s="1419">
        <v>147</v>
      </c>
      <c r="N237" s="1419">
        <v>138</v>
      </c>
      <c r="O237" s="1419">
        <v>101</v>
      </c>
      <c r="P237" s="1419">
        <v>0</v>
      </c>
      <c r="Q237" s="1419">
        <v>0</v>
      </c>
      <c r="R237" s="1419">
        <v>1796</v>
      </c>
    </row>
    <row r="238" spans="1:18" ht="12" thickBot="1">
      <c r="A238" s="1473" t="s">
        <v>342</v>
      </c>
      <c r="B238" s="1473" t="s">
        <v>343</v>
      </c>
      <c r="C238" s="1419">
        <v>374</v>
      </c>
      <c r="D238" s="1419">
        <v>370</v>
      </c>
      <c r="E238" s="1419">
        <v>352</v>
      </c>
      <c r="F238" s="1419">
        <v>355</v>
      </c>
      <c r="G238" s="1419">
        <v>367</v>
      </c>
      <c r="H238" s="1419">
        <v>315</v>
      </c>
      <c r="I238" s="1419">
        <v>318</v>
      </c>
      <c r="J238" s="1419">
        <v>327</v>
      </c>
      <c r="K238" s="1419">
        <v>300</v>
      </c>
      <c r="L238" s="1419">
        <v>315</v>
      </c>
      <c r="M238" s="1419">
        <v>290</v>
      </c>
      <c r="N238" s="1419">
        <v>250</v>
      </c>
      <c r="O238" s="1419">
        <v>261</v>
      </c>
      <c r="P238" s="1419">
        <v>0</v>
      </c>
      <c r="Q238" s="1419">
        <v>73</v>
      </c>
      <c r="R238" s="1419">
        <v>4267</v>
      </c>
    </row>
    <row r="239" spans="1:18" ht="12" thickBot="1">
      <c r="A239" s="1473" t="s">
        <v>225</v>
      </c>
      <c r="B239" s="1473" t="s">
        <v>226</v>
      </c>
      <c r="C239" s="1419">
        <v>142</v>
      </c>
      <c r="D239" s="1419">
        <v>125</v>
      </c>
      <c r="E239" s="1419">
        <v>119</v>
      </c>
      <c r="F239" s="1419">
        <v>130</v>
      </c>
      <c r="G239" s="1419">
        <v>126</v>
      </c>
      <c r="H239" s="1419">
        <v>121</v>
      </c>
      <c r="I239" s="1419">
        <v>116</v>
      </c>
      <c r="J239" s="1419">
        <v>110</v>
      </c>
      <c r="K239" s="1419">
        <v>118</v>
      </c>
      <c r="L239" s="1419">
        <v>114</v>
      </c>
      <c r="M239" s="1419">
        <v>130</v>
      </c>
      <c r="N239" s="1419">
        <v>95</v>
      </c>
      <c r="O239" s="1419">
        <v>87</v>
      </c>
      <c r="P239" s="1419">
        <v>0</v>
      </c>
      <c r="Q239" s="1419">
        <v>0</v>
      </c>
      <c r="R239" s="1419">
        <v>1533</v>
      </c>
    </row>
    <row r="240" spans="1:18" ht="12" thickBot="1">
      <c r="A240" s="1473" t="s">
        <v>169</v>
      </c>
      <c r="B240" s="1473" t="s">
        <v>170</v>
      </c>
      <c r="C240" s="1419">
        <v>64</v>
      </c>
      <c r="D240" s="1419">
        <v>63</v>
      </c>
      <c r="E240" s="1419">
        <v>55</v>
      </c>
      <c r="F240" s="1419">
        <v>74</v>
      </c>
      <c r="G240" s="1419">
        <v>85</v>
      </c>
      <c r="H240" s="1419">
        <v>52</v>
      </c>
      <c r="I240" s="1419">
        <v>68</v>
      </c>
      <c r="J240" s="1419">
        <v>78</v>
      </c>
      <c r="K240" s="1419">
        <v>80</v>
      </c>
      <c r="L240" s="1419">
        <v>74</v>
      </c>
      <c r="M240" s="1419">
        <v>78</v>
      </c>
      <c r="N240" s="1419">
        <v>79</v>
      </c>
      <c r="O240" s="1419">
        <v>59</v>
      </c>
      <c r="P240" s="1419">
        <v>0</v>
      </c>
      <c r="Q240" s="1419">
        <v>0</v>
      </c>
      <c r="R240" s="1419">
        <v>909</v>
      </c>
    </row>
    <row r="241" spans="1:18" ht="12" thickBot="1">
      <c r="A241" s="1473" t="s">
        <v>621</v>
      </c>
      <c r="B241" s="1473" t="s">
        <v>622</v>
      </c>
      <c r="C241" s="1419">
        <v>77</v>
      </c>
      <c r="D241" s="1419">
        <v>68</v>
      </c>
      <c r="E241" s="1419">
        <v>91</v>
      </c>
      <c r="F241" s="1419">
        <v>68</v>
      </c>
      <c r="G241" s="1419">
        <v>75</v>
      </c>
      <c r="H241" s="1419">
        <v>83</v>
      </c>
      <c r="I241" s="1419">
        <v>72</v>
      </c>
      <c r="J241" s="1419">
        <v>74</v>
      </c>
      <c r="K241" s="1419">
        <v>76</v>
      </c>
      <c r="L241" s="1419">
        <v>74</v>
      </c>
      <c r="M241" s="1419">
        <v>76</v>
      </c>
      <c r="N241" s="1419">
        <v>62</v>
      </c>
      <c r="O241" s="1419">
        <v>70</v>
      </c>
      <c r="P241" s="1419">
        <v>0</v>
      </c>
      <c r="Q241" s="1419">
        <v>0</v>
      </c>
      <c r="R241" s="1419">
        <v>966</v>
      </c>
    </row>
    <row r="242" spans="1:18" ht="12" thickBot="1">
      <c r="A242" s="1473" t="s">
        <v>507</v>
      </c>
      <c r="B242" s="1473" t="s">
        <v>508</v>
      </c>
      <c r="C242" s="1419">
        <v>167</v>
      </c>
      <c r="D242" s="1419">
        <v>209</v>
      </c>
      <c r="E242" s="1419">
        <v>174</v>
      </c>
      <c r="F242" s="1419">
        <v>182</v>
      </c>
      <c r="G242" s="1419">
        <v>180</v>
      </c>
      <c r="H242" s="1419">
        <v>202</v>
      </c>
      <c r="I242" s="1419">
        <v>186</v>
      </c>
      <c r="J242" s="1419">
        <v>213</v>
      </c>
      <c r="K242" s="1419">
        <v>187</v>
      </c>
      <c r="L242" s="1419">
        <v>169</v>
      </c>
      <c r="M242" s="1419">
        <v>177</v>
      </c>
      <c r="N242" s="1419">
        <v>148</v>
      </c>
      <c r="O242" s="1419">
        <v>152</v>
      </c>
      <c r="P242" s="1419">
        <v>0</v>
      </c>
      <c r="Q242" s="1419">
        <v>0</v>
      </c>
      <c r="R242" s="1419">
        <v>2346</v>
      </c>
    </row>
    <row r="243" spans="1:18" ht="12" thickBot="1">
      <c r="A243" s="1473" t="s">
        <v>519</v>
      </c>
      <c r="B243" s="1473" t="s">
        <v>520</v>
      </c>
      <c r="C243" s="1419">
        <v>445</v>
      </c>
      <c r="D243" s="1419">
        <v>434</v>
      </c>
      <c r="E243" s="1419">
        <v>438</v>
      </c>
      <c r="F243" s="1419">
        <v>465</v>
      </c>
      <c r="G243" s="1419">
        <v>484</v>
      </c>
      <c r="H243" s="1419">
        <v>476</v>
      </c>
      <c r="I243" s="1419">
        <v>485</v>
      </c>
      <c r="J243" s="1419">
        <v>520</v>
      </c>
      <c r="K243" s="1419">
        <v>458</v>
      </c>
      <c r="L243" s="1419">
        <v>457</v>
      </c>
      <c r="M243" s="1419">
        <v>449</v>
      </c>
      <c r="N243" s="1419">
        <v>410</v>
      </c>
      <c r="O243" s="1419">
        <v>404</v>
      </c>
      <c r="P243" s="1419">
        <v>0</v>
      </c>
      <c r="Q243" s="1419">
        <v>0</v>
      </c>
      <c r="R243" s="1419">
        <v>5925</v>
      </c>
    </row>
    <row r="244" spans="1:18" ht="12" thickBot="1">
      <c r="A244" s="1473" t="s">
        <v>551</v>
      </c>
      <c r="B244" s="1473" t="s">
        <v>552</v>
      </c>
      <c r="C244" s="1419">
        <v>244</v>
      </c>
      <c r="D244" s="1419">
        <v>271</v>
      </c>
      <c r="E244" s="1419">
        <v>217</v>
      </c>
      <c r="F244" s="1419">
        <v>221</v>
      </c>
      <c r="G244" s="1419">
        <v>253</v>
      </c>
      <c r="H244" s="1419">
        <v>241</v>
      </c>
      <c r="I244" s="1419">
        <v>228</v>
      </c>
      <c r="J244" s="1419">
        <v>241</v>
      </c>
      <c r="K244" s="1419">
        <v>230</v>
      </c>
      <c r="L244" s="1419">
        <v>235</v>
      </c>
      <c r="M244" s="1419">
        <v>234</v>
      </c>
      <c r="N244" s="1419">
        <v>219</v>
      </c>
      <c r="O244" s="1419">
        <v>222</v>
      </c>
      <c r="P244" s="1419">
        <v>0</v>
      </c>
      <c r="Q244" s="1419">
        <v>0</v>
      </c>
      <c r="R244" s="1419">
        <v>3056</v>
      </c>
    </row>
    <row r="245" spans="1:18" ht="12" thickBot="1">
      <c r="A245" s="1473" t="s">
        <v>563</v>
      </c>
      <c r="B245" s="1473" t="s">
        <v>564</v>
      </c>
      <c r="C245" s="1419">
        <v>28</v>
      </c>
      <c r="D245" s="1419">
        <v>31</v>
      </c>
      <c r="E245" s="1419">
        <v>32</v>
      </c>
      <c r="F245" s="1419">
        <v>34</v>
      </c>
      <c r="G245" s="1419">
        <v>37</v>
      </c>
      <c r="H245" s="1419">
        <v>35</v>
      </c>
      <c r="I245" s="1419">
        <v>24</v>
      </c>
      <c r="J245" s="1419">
        <v>27</v>
      </c>
      <c r="K245" s="1419">
        <v>37</v>
      </c>
      <c r="L245" s="1419">
        <v>33</v>
      </c>
      <c r="M245" s="1419">
        <v>40</v>
      </c>
      <c r="N245" s="1419">
        <v>23</v>
      </c>
      <c r="O245" s="1419">
        <v>37</v>
      </c>
      <c r="P245" s="1419">
        <v>0</v>
      </c>
      <c r="Q245" s="1419">
        <v>1</v>
      </c>
      <c r="R245" s="1419">
        <v>419</v>
      </c>
    </row>
    <row r="246" spans="1:18" ht="12" thickBot="1">
      <c r="A246" s="1473" t="s">
        <v>273</v>
      </c>
      <c r="B246" s="1473" t="s">
        <v>274</v>
      </c>
      <c r="C246" s="1419">
        <v>133</v>
      </c>
      <c r="D246" s="1419">
        <v>130</v>
      </c>
      <c r="E246" s="1419">
        <v>133</v>
      </c>
      <c r="F246" s="1419">
        <v>120</v>
      </c>
      <c r="G246" s="1419">
        <v>139</v>
      </c>
      <c r="H246" s="1419">
        <v>125</v>
      </c>
      <c r="I246" s="1419">
        <v>124</v>
      </c>
      <c r="J246" s="1419">
        <v>105</v>
      </c>
      <c r="K246" s="1419">
        <v>140</v>
      </c>
      <c r="L246" s="1419">
        <v>123</v>
      </c>
      <c r="M246" s="1419">
        <v>124</v>
      </c>
      <c r="N246" s="1419">
        <v>127</v>
      </c>
      <c r="O246" s="1419">
        <v>94</v>
      </c>
      <c r="P246" s="1419">
        <v>0</v>
      </c>
      <c r="Q246" s="1419">
        <v>0</v>
      </c>
      <c r="R246" s="1419">
        <v>1617</v>
      </c>
    </row>
    <row r="247" spans="1:18" ht="12" thickBot="1">
      <c r="A247" s="1473" t="s">
        <v>627</v>
      </c>
      <c r="B247" s="1473" t="s">
        <v>628</v>
      </c>
      <c r="C247" s="1419">
        <v>129</v>
      </c>
      <c r="D247" s="1419">
        <v>115</v>
      </c>
      <c r="E247" s="1419">
        <v>119</v>
      </c>
      <c r="F247" s="1419">
        <v>127</v>
      </c>
      <c r="G247" s="1419">
        <v>119</v>
      </c>
      <c r="H247" s="1419">
        <v>138</v>
      </c>
      <c r="I247" s="1419">
        <v>119</v>
      </c>
      <c r="J247" s="1419">
        <v>121</v>
      </c>
      <c r="K247" s="1419">
        <v>112</v>
      </c>
      <c r="L247" s="1419">
        <v>111</v>
      </c>
      <c r="M247" s="1419">
        <v>105</v>
      </c>
      <c r="N247" s="1419">
        <v>95</v>
      </c>
      <c r="O247" s="1419">
        <v>118</v>
      </c>
      <c r="P247" s="1419">
        <v>0</v>
      </c>
      <c r="Q247" s="1419">
        <v>0</v>
      </c>
      <c r="R247" s="1419">
        <v>1528</v>
      </c>
    </row>
    <row r="248" spans="1:18" ht="12" thickBot="1">
      <c r="A248" s="1473" t="s">
        <v>460</v>
      </c>
      <c r="B248" s="1473" t="s">
        <v>461</v>
      </c>
      <c r="C248" s="1419">
        <v>221</v>
      </c>
      <c r="D248" s="1419">
        <v>195</v>
      </c>
      <c r="E248" s="1419">
        <v>229</v>
      </c>
      <c r="F248" s="1419">
        <v>222</v>
      </c>
      <c r="G248" s="1419">
        <v>244</v>
      </c>
      <c r="H248" s="1419">
        <v>239</v>
      </c>
      <c r="I248" s="1419">
        <v>243</v>
      </c>
      <c r="J248" s="1419">
        <v>263</v>
      </c>
      <c r="K248" s="1419">
        <v>243</v>
      </c>
      <c r="L248" s="1419">
        <v>292</v>
      </c>
      <c r="M248" s="1419">
        <v>248</v>
      </c>
      <c r="N248" s="1419">
        <v>221</v>
      </c>
      <c r="O248" s="1419">
        <v>253</v>
      </c>
      <c r="P248" s="1419">
        <v>0</v>
      </c>
      <c r="Q248" s="1419">
        <v>1</v>
      </c>
      <c r="R248" s="1419">
        <v>3114</v>
      </c>
    </row>
    <row r="249" spans="1:18" ht="12" thickBot="1">
      <c r="A249" s="1473" t="s">
        <v>141</v>
      </c>
      <c r="B249" s="1473" t="s">
        <v>142</v>
      </c>
      <c r="C249" s="1419">
        <v>94</v>
      </c>
      <c r="D249" s="1419">
        <v>85</v>
      </c>
      <c r="E249" s="1419">
        <v>85</v>
      </c>
      <c r="F249" s="1419">
        <v>94</v>
      </c>
      <c r="G249" s="1419">
        <v>86</v>
      </c>
      <c r="H249" s="1419">
        <v>97</v>
      </c>
      <c r="I249" s="1419">
        <v>106</v>
      </c>
      <c r="J249" s="1419">
        <v>110</v>
      </c>
      <c r="K249" s="1419">
        <v>93</v>
      </c>
      <c r="L249" s="1419">
        <v>97</v>
      </c>
      <c r="M249" s="1419">
        <v>87</v>
      </c>
      <c r="N249" s="1419">
        <v>94</v>
      </c>
      <c r="O249" s="1419">
        <v>99</v>
      </c>
      <c r="P249" s="1419">
        <v>0</v>
      </c>
      <c r="Q249" s="1419">
        <v>0</v>
      </c>
      <c r="R249" s="1419">
        <v>1227</v>
      </c>
    </row>
    <row r="250" spans="1:18" ht="12" thickBot="1">
      <c r="A250" s="1473" t="s">
        <v>523</v>
      </c>
      <c r="B250" s="1473" t="s">
        <v>524</v>
      </c>
      <c r="C250" s="1419">
        <v>482</v>
      </c>
      <c r="D250" s="1419">
        <v>471</v>
      </c>
      <c r="E250" s="1419">
        <v>478</v>
      </c>
      <c r="F250" s="1419">
        <v>462</v>
      </c>
      <c r="G250" s="1419">
        <v>449</v>
      </c>
      <c r="H250" s="1419">
        <v>424</v>
      </c>
      <c r="I250" s="1419">
        <v>439</v>
      </c>
      <c r="J250" s="1419">
        <v>441</v>
      </c>
      <c r="K250" s="1419">
        <v>429</v>
      </c>
      <c r="L250" s="1419">
        <v>442</v>
      </c>
      <c r="M250" s="1419">
        <v>471</v>
      </c>
      <c r="N250" s="1419">
        <v>406</v>
      </c>
      <c r="O250" s="1419">
        <v>297</v>
      </c>
      <c r="P250" s="1419">
        <v>0</v>
      </c>
      <c r="Q250" s="1419">
        <v>0</v>
      </c>
      <c r="R250" s="1419">
        <v>5691</v>
      </c>
    </row>
    <row r="251" spans="1:18" ht="12" thickBot="1">
      <c r="A251" s="1473" t="s">
        <v>657</v>
      </c>
      <c r="B251" s="1473" t="s">
        <v>658</v>
      </c>
      <c r="C251" s="1419">
        <v>36</v>
      </c>
      <c r="D251" s="1419">
        <v>46</v>
      </c>
      <c r="E251" s="1419">
        <v>33</v>
      </c>
      <c r="F251" s="1419">
        <v>32</v>
      </c>
      <c r="G251" s="1419">
        <v>36</v>
      </c>
      <c r="H251" s="1419">
        <v>33</v>
      </c>
      <c r="I251" s="1419">
        <v>36</v>
      </c>
      <c r="J251" s="1419">
        <v>47</v>
      </c>
      <c r="K251" s="1419">
        <v>47</v>
      </c>
      <c r="L251" s="1419">
        <v>41</v>
      </c>
      <c r="M251" s="1419">
        <v>34</v>
      </c>
      <c r="N251" s="1419">
        <v>42</v>
      </c>
      <c r="O251" s="1419">
        <v>35</v>
      </c>
      <c r="P251" s="1419">
        <v>0</v>
      </c>
      <c r="Q251" s="1419">
        <v>0</v>
      </c>
      <c r="R251" s="1419">
        <v>498</v>
      </c>
    </row>
    <row r="252" spans="1:18" ht="12" thickBot="1">
      <c r="A252" s="1473" t="s">
        <v>167</v>
      </c>
      <c r="B252" s="1473" t="s">
        <v>168</v>
      </c>
      <c r="C252" s="1419">
        <v>24</v>
      </c>
      <c r="D252" s="1419">
        <v>36</v>
      </c>
      <c r="E252" s="1419">
        <v>40</v>
      </c>
      <c r="F252" s="1419">
        <v>31</v>
      </c>
      <c r="G252" s="1419">
        <v>28</v>
      </c>
      <c r="H252" s="1419">
        <v>39</v>
      </c>
      <c r="I252" s="1419">
        <v>37</v>
      </c>
      <c r="J252" s="1419">
        <v>44</v>
      </c>
      <c r="K252" s="1419">
        <v>43</v>
      </c>
      <c r="L252" s="1419">
        <v>31</v>
      </c>
      <c r="M252" s="1419">
        <v>33</v>
      </c>
      <c r="N252" s="1419">
        <v>49</v>
      </c>
      <c r="O252" s="1419">
        <v>43</v>
      </c>
      <c r="P252" s="1419">
        <v>0</v>
      </c>
      <c r="Q252" s="1419">
        <v>0</v>
      </c>
      <c r="R252" s="1419">
        <v>478</v>
      </c>
    </row>
    <row r="253" spans="1:18" ht="12" thickBot="1">
      <c r="A253" s="1473" t="s">
        <v>497</v>
      </c>
      <c r="B253" s="1473" t="s">
        <v>498</v>
      </c>
      <c r="C253" s="1419">
        <v>120</v>
      </c>
      <c r="D253" s="1419">
        <v>124</v>
      </c>
      <c r="E253" s="1419">
        <v>142</v>
      </c>
      <c r="F253" s="1419">
        <v>130</v>
      </c>
      <c r="G253" s="1419">
        <v>114</v>
      </c>
      <c r="H253" s="1419">
        <v>148</v>
      </c>
      <c r="I253" s="1419">
        <v>122</v>
      </c>
      <c r="J253" s="1419">
        <v>123</v>
      </c>
      <c r="K253" s="1419">
        <v>117</v>
      </c>
      <c r="L253" s="1419">
        <v>131</v>
      </c>
      <c r="M253" s="1419">
        <v>129</v>
      </c>
      <c r="N253" s="1419">
        <v>108</v>
      </c>
      <c r="O253" s="1419">
        <v>106</v>
      </c>
      <c r="P253" s="1419">
        <v>0</v>
      </c>
      <c r="Q253" s="1419">
        <v>0</v>
      </c>
      <c r="R253" s="1419">
        <v>1614</v>
      </c>
    </row>
    <row r="254" spans="1:18" ht="12" thickBot="1">
      <c r="A254" s="1473" t="s">
        <v>468</v>
      </c>
      <c r="B254" s="1473" t="s">
        <v>469</v>
      </c>
      <c r="C254" s="1419">
        <v>51</v>
      </c>
      <c r="D254" s="1419">
        <v>55</v>
      </c>
      <c r="E254" s="1419">
        <v>48</v>
      </c>
      <c r="F254" s="1419">
        <v>46</v>
      </c>
      <c r="G254" s="1419">
        <v>55</v>
      </c>
      <c r="H254" s="1419">
        <v>56</v>
      </c>
      <c r="I254" s="1419">
        <v>41</v>
      </c>
      <c r="J254" s="1419">
        <v>39</v>
      </c>
      <c r="K254" s="1419">
        <v>52</v>
      </c>
      <c r="L254" s="1419">
        <v>39</v>
      </c>
      <c r="M254" s="1419">
        <v>46</v>
      </c>
      <c r="N254" s="1419">
        <v>46</v>
      </c>
      <c r="O254" s="1419">
        <v>35</v>
      </c>
      <c r="P254" s="1419">
        <v>0</v>
      </c>
      <c r="Q254" s="1419">
        <v>0</v>
      </c>
      <c r="R254" s="1419">
        <v>609</v>
      </c>
    </row>
    <row r="255" spans="1:18" ht="12" thickBot="1">
      <c r="A255" s="1473" t="s">
        <v>149</v>
      </c>
      <c r="B255" s="1473" t="s">
        <v>150</v>
      </c>
      <c r="C255" s="1419">
        <v>57</v>
      </c>
      <c r="D255" s="1419">
        <v>59</v>
      </c>
      <c r="E255" s="1419">
        <v>58</v>
      </c>
      <c r="F255" s="1419">
        <v>54</v>
      </c>
      <c r="G255" s="1419">
        <v>55</v>
      </c>
      <c r="H255" s="1419">
        <v>54</v>
      </c>
      <c r="I255" s="1419">
        <v>48</v>
      </c>
      <c r="J255" s="1419">
        <v>52</v>
      </c>
      <c r="K255" s="1419">
        <v>58</v>
      </c>
      <c r="L255" s="1419">
        <v>49</v>
      </c>
      <c r="M255" s="1419">
        <v>46</v>
      </c>
      <c r="N255" s="1419">
        <v>41</v>
      </c>
      <c r="O255" s="1419">
        <v>40</v>
      </c>
      <c r="P255" s="1419">
        <v>0</v>
      </c>
      <c r="Q255" s="1419">
        <v>1</v>
      </c>
      <c r="R255" s="1419">
        <v>672</v>
      </c>
    </row>
    <row r="256" spans="1:18" ht="12" thickBot="1">
      <c r="A256" s="1473" t="s">
        <v>462</v>
      </c>
      <c r="B256" s="1473" t="s">
        <v>463</v>
      </c>
      <c r="C256" s="1419">
        <v>196</v>
      </c>
      <c r="D256" s="1419">
        <v>234</v>
      </c>
      <c r="E256" s="1419">
        <v>207</v>
      </c>
      <c r="F256" s="1419">
        <v>219</v>
      </c>
      <c r="G256" s="1419">
        <v>213</v>
      </c>
      <c r="H256" s="1419">
        <v>255</v>
      </c>
      <c r="I256" s="1419">
        <v>244</v>
      </c>
      <c r="J256" s="1419">
        <v>222</v>
      </c>
      <c r="K256" s="1419">
        <v>264</v>
      </c>
      <c r="L256" s="1419">
        <v>235</v>
      </c>
      <c r="M256" s="1419">
        <v>266</v>
      </c>
      <c r="N256" s="1419">
        <v>226</v>
      </c>
      <c r="O256" s="1419">
        <v>223</v>
      </c>
      <c r="P256" s="1419">
        <v>0</v>
      </c>
      <c r="Q256" s="1419">
        <v>30</v>
      </c>
      <c r="R256" s="1419">
        <v>3034</v>
      </c>
    </row>
    <row r="257" spans="1:18" ht="12" thickBot="1">
      <c r="A257" s="1473" t="s">
        <v>491</v>
      </c>
      <c r="B257" s="1473" t="s">
        <v>492</v>
      </c>
      <c r="C257" s="1419">
        <v>38</v>
      </c>
      <c r="D257" s="1419">
        <v>39</v>
      </c>
      <c r="E257" s="1419">
        <v>33</v>
      </c>
      <c r="F257" s="1419">
        <v>29</v>
      </c>
      <c r="G257" s="1419">
        <v>30</v>
      </c>
      <c r="H257" s="1419">
        <v>38</v>
      </c>
      <c r="I257" s="1419">
        <v>27</v>
      </c>
      <c r="J257" s="1419">
        <v>23</v>
      </c>
      <c r="K257" s="1419">
        <v>30</v>
      </c>
      <c r="L257" s="1419">
        <v>32</v>
      </c>
      <c r="M257" s="1419">
        <v>36</v>
      </c>
      <c r="N257" s="1419">
        <v>30</v>
      </c>
      <c r="O257" s="1419">
        <v>29</v>
      </c>
      <c r="P257" s="1419">
        <v>0</v>
      </c>
      <c r="Q257" s="1419">
        <v>0</v>
      </c>
      <c r="R257" s="1419">
        <v>414</v>
      </c>
    </row>
    <row r="258" spans="1:18" ht="12" thickBot="1">
      <c r="A258" s="1473" t="s">
        <v>481</v>
      </c>
      <c r="B258" s="1473" t="s">
        <v>482</v>
      </c>
      <c r="C258" s="1419">
        <v>39</v>
      </c>
      <c r="D258" s="1419">
        <v>33</v>
      </c>
      <c r="E258" s="1419">
        <v>39</v>
      </c>
      <c r="F258" s="1419">
        <v>48</v>
      </c>
      <c r="G258" s="1419">
        <v>41</v>
      </c>
      <c r="H258" s="1419">
        <v>31</v>
      </c>
      <c r="I258" s="1419">
        <v>52</v>
      </c>
      <c r="J258" s="1419">
        <v>39</v>
      </c>
      <c r="K258" s="1419">
        <v>52</v>
      </c>
      <c r="L258" s="1419">
        <v>53</v>
      </c>
      <c r="M258" s="1419">
        <v>42</v>
      </c>
      <c r="N258" s="1419">
        <v>41</v>
      </c>
      <c r="O258" s="1419">
        <v>41</v>
      </c>
      <c r="P258" s="1419">
        <v>0</v>
      </c>
      <c r="Q258" s="1419">
        <v>0</v>
      </c>
      <c r="R258" s="1419">
        <v>551</v>
      </c>
    </row>
    <row r="259" spans="1:18" ht="12" thickBot="1">
      <c r="A259" s="1473" t="s">
        <v>529</v>
      </c>
      <c r="B259" s="1473" t="s">
        <v>530</v>
      </c>
      <c r="C259" s="1419">
        <v>232</v>
      </c>
      <c r="D259" s="1419">
        <v>227</v>
      </c>
      <c r="E259" s="1419">
        <v>211</v>
      </c>
      <c r="F259" s="1419">
        <v>210</v>
      </c>
      <c r="G259" s="1419">
        <v>227</v>
      </c>
      <c r="H259" s="1419">
        <v>208</v>
      </c>
      <c r="I259" s="1419">
        <v>229</v>
      </c>
      <c r="J259" s="1419">
        <v>200</v>
      </c>
      <c r="K259" s="1419">
        <v>216</v>
      </c>
      <c r="L259" s="1419">
        <v>242</v>
      </c>
      <c r="M259" s="1419">
        <v>259</v>
      </c>
      <c r="N259" s="1419">
        <v>214</v>
      </c>
      <c r="O259" s="1419">
        <v>198</v>
      </c>
      <c r="P259" s="1419">
        <v>0</v>
      </c>
      <c r="Q259" s="1419">
        <v>0</v>
      </c>
      <c r="R259" s="1419">
        <v>2873</v>
      </c>
    </row>
    <row r="260" spans="1:18" ht="12" thickBot="1">
      <c r="A260" s="1473" t="s">
        <v>336</v>
      </c>
      <c r="B260" s="1473" t="s">
        <v>337</v>
      </c>
      <c r="C260" s="1419">
        <v>43</v>
      </c>
      <c r="D260" s="1419">
        <v>46</v>
      </c>
      <c r="E260" s="1419">
        <v>47</v>
      </c>
      <c r="F260" s="1419">
        <v>50</v>
      </c>
      <c r="G260" s="1419">
        <v>57</v>
      </c>
      <c r="H260" s="1419">
        <v>64</v>
      </c>
      <c r="I260" s="1419">
        <v>66</v>
      </c>
      <c r="J260" s="1419">
        <v>64</v>
      </c>
      <c r="K260" s="1419">
        <v>76</v>
      </c>
      <c r="L260" s="1419">
        <v>72</v>
      </c>
      <c r="M260" s="1419">
        <v>82</v>
      </c>
      <c r="N260" s="1419">
        <v>74</v>
      </c>
      <c r="O260" s="1419">
        <v>77</v>
      </c>
      <c r="P260" s="1419">
        <v>0</v>
      </c>
      <c r="Q260" s="1419">
        <v>0</v>
      </c>
      <c r="R260" s="1419">
        <v>818</v>
      </c>
    </row>
    <row r="261" spans="1:18" ht="13">
      <c r="A261" s="2057">
        <v>41163</v>
      </c>
      <c r="B261" s="1978"/>
      <c r="C261" s="1978"/>
      <c r="D261" s="1978"/>
      <c r="E261" s="1978"/>
      <c r="F261" s="1978"/>
      <c r="G261" s="2058">
        <v>1</v>
      </c>
      <c r="H261" s="1978"/>
      <c r="I261" s="1978"/>
      <c r="J261" s="1978"/>
      <c r="K261" s="1978"/>
      <c r="L261" s="1978"/>
      <c r="M261" s="2059">
        <v>0.62848378999999999</v>
      </c>
      <c r="N261" s="1978"/>
      <c r="O261" s="1978"/>
      <c r="P261" s="1978"/>
      <c r="Q261" s="1978"/>
      <c r="R261" s="1978"/>
    </row>
  </sheetData>
  <mergeCells count="4">
    <mergeCell ref="A1:R1"/>
    <mergeCell ref="A261:F261"/>
    <mergeCell ref="G261:L261"/>
    <mergeCell ref="M261:R261"/>
  </mergeCells>
  <pageMargins left="0.7" right="0.7" top="0.75" bottom="0.75" header="0.3" footer="0.3"/>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M247"/>
  <sheetViews>
    <sheetView workbookViewId="0">
      <selection sqref="A1:F1"/>
    </sheetView>
  </sheetViews>
  <sheetFormatPr baseColWidth="10" defaultColWidth="8.83203125" defaultRowHeight="12.75" customHeight="1" x14ac:dyDescent="0"/>
  <cols>
    <col min="1" max="1" width="18.1640625" style="1476" bestFit="1" customWidth="1"/>
    <col min="2" max="2" width="28.5" style="1476" bestFit="1" customWidth="1"/>
    <col min="3" max="3" width="9" style="1476" bestFit="1" customWidth="1"/>
    <col min="4" max="4" width="11.33203125" style="1476" bestFit="1" customWidth="1"/>
    <col min="5" max="5" width="9" style="1476" bestFit="1" customWidth="1"/>
    <col min="6" max="6" width="15.83203125" style="1476" bestFit="1" customWidth="1"/>
    <col min="7" max="7" width="8.83203125" style="1476"/>
    <col min="8" max="9" width="18" style="1476" customWidth="1"/>
    <col min="10" max="13" width="12" style="1476" customWidth="1"/>
    <col min="14" max="16384" width="8.83203125" style="1476"/>
  </cols>
  <sheetData>
    <row r="1" spans="1:13" ht="21.75" customHeight="1" thickBot="1">
      <c r="A1" s="2060" t="s">
        <v>50</v>
      </c>
      <c r="B1" s="1978"/>
      <c r="C1" s="1978"/>
      <c r="D1" s="1978"/>
      <c r="E1" s="1978"/>
      <c r="F1" s="1978"/>
      <c r="H1" s="1477" t="s">
        <v>21</v>
      </c>
      <c r="I1" s="1477" t="s">
        <v>22</v>
      </c>
      <c r="J1" s="1477" t="s">
        <v>51</v>
      </c>
      <c r="K1" s="1477" t="s">
        <v>52</v>
      </c>
      <c r="L1" s="1477" t="s">
        <v>1374</v>
      </c>
      <c r="M1" s="1477" t="s">
        <v>53</v>
      </c>
    </row>
    <row r="2" spans="1:13" ht="12" thickBot="1">
      <c r="A2" s="1477" t="s">
        <v>21</v>
      </c>
      <c r="B2" s="1477" t="s">
        <v>22</v>
      </c>
      <c r="C2" s="1477" t="s">
        <v>51</v>
      </c>
      <c r="D2" s="1477" t="s">
        <v>52</v>
      </c>
      <c r="E2" s="1477" t="s">
        <v>1374</v>
      </c>
      <c r="F2" s="1477" t="s">
        <v>53</v>
      </c>
      <c r="H2" s="1478" t="s">
        <v>749</v>
      </c>
      <c r="I2" s="1478" t="s">
        <v>766</v>
      </c>
      <c r="J2" s="1479">
        <v>147</v>
      </c>
      <c r="K2" s="1479">
        <v>51</v>
      </c>
      <c r="L2" s="1479">
        <v>728</v>
      </c>
      <c r="M2" s="1480">
        <v>0.27197802197799997</v>
      </c>
    </row>
    <row r="3" spans="1:13" ht="12" thickBot="1">
      <c r="A3" s="1478"/>
      <c r="B3" s="1478"/>
      <c r="C3" s="1479"/>
      <c r="D3" s="1479"/>
      <c r="E3" s="1479"/>
      <c r="F3" s="1480"/>
      <c r="H3" s="1478" t="s">
        <v>750</v>
      </c>
      <c r="I3" s="1478" t="s">
        <v>767</v>
      </c>
      <c r="J3" s="1479">
        <v>52</v>
      </c>
      <c r="K3" s="1479">
        <v>6</v>
      </c>
      <c r="L3" s="1479">
        <v>67</v>
      </c>
      <c r="M3" s="1480">
        <v>0.86567164179099998</v>
      </c>
    </row>
    <row r="4" spans="1:13" ht="12" thickBot="1">
      <c r="A4" s="1478" t="s">
        <v>511</v>
      </c>
      <c r="B4" s="1478" t="s">
        <v>512</v>
      </c>
      <c r="C4" s="1479">
        <v>1453</v>
      </c>
      <c r="D4" s="1479">
        <v>291</v>
      </c>
      <c r="E4" s="1479">
        <v>3415</v>
      </c>
      <c r="F4" s="1480">
        <v>0.51068814055599998</v>
      </c>
      <c r="H4" s="1478" t="s">
        <v>751</v>
      </c>
      <c r="I4" s="1478" t="s">
        <v>768</v>
      </c>
      <c r="J4" s="1479">
        <v>29</v>
      </c>
      <c r="K4" s="1479">
        <v>12</v>
      </c>
      <c r="L4" s="1479">
        <v>98</v>
      </c>
      <c r="M4" s="1480">
        <v>0.41836734693799998</v>
      </c>
    </row>
    <row r="5" spans="1:13" ht="12" thickBot="1">
      <c r="A5" s="1478" t="s">
        <v>613</v>
      </c>
      <c r="B5" s="1478" t="s">
        <v>614</v>
      </c>
      <c r="C5" s="1479">
        <v>263</v>
      </c>
      <c r="D5" s="1479">
        <v>69</v>
      </c>
      <c r="E5" s="1479">
        <v>561</v>
      </c>
      <c r="F5" s="1480">
        <v>0.59180035650600005</v>
      </c>
      <c r="H5" s="1478" t="s">
        <v>752</v>
      </c>
      <c r="I5" s="1478" t="s">
        <v>769</v>
      </c>
      <c r="J5" s="1479">
        <v>491</v>
      </c>
      <c r="K5" s="1479">
        <v>72</v>
      </c>
      <c r="L5" s="1479">
        <v>640</v>
      </c>
      <c r="M5" s="1480">
        <v>0.87968749999999996</v>
      </c>
    </row>
    <row r="6" spans="1:13" ht="12" thickBot="1">
      <c r="A6" s="1478" t="s">
        <v>39</v>
      </c>
      <c r="B6" s="1478" t="s">
        <v>40</v>
      </c>
      <c r="C6" s="1479">
        <v>47</v>
      </c>
      <c r="D6" s="1479">
        <v>14</v>
      </c>
      <c r="E6" s="1479">
        <v>88</v>
      </c>
      <c r="F6" s="1480">
        <v>0.693181818181</v>
      </c>
      <c r="H6" s="1478" t="s">
        <v>753</v>
      </c>
      <c r="I6" s="1478" t="s">
        <v>770</v>
      </c>
      <c r="J6" s="1479">
        <v>121</v>
      </c>
      <c r="K6" s="1479">
        <v>46</v>
      </c>
      <c r="L6" s="1479">
        <v>603</v>
      </c>
      <c r="M6" s="1480">
        <v>0.276948590381</v>
      </c>
    </row>
    <row r="7" spans="1:13" ht="12" thickBot="1">
      <c r="A7" s="1478" t="s">
        <v>41</v>
      </c>
      <c r="B7" s="1478" t="s">
        <v>42</v>
      </c>
      <c r="C7" s="1479">
        <v>71</v>
      </c>
      <c r="D7" s="1479">
        <v>21</v>
      </c>
      <c r="E7" s="1479">
        <v>120</v>
      </c>
      <c r="F7" s="1480">
        <v>0.76666666666600003</v>
      </c>
      <c r="H7" s="1478" t="s">
        <v>754</v>
      </c>
      <c r="I7" s="1478" t="s">
        <v>771</v>
      </c>
      <c r="J7" s="1479">
        <v>102</v>
      </c>
      <c r="K7" s="1479">
        <v>26</v>
      </c>
      <c r="L7" s="1479">
        <v>476</v>
      </c>
      <c r="M7" s="1480">
        <v>0.26890756302500002</v>
      </c>
    </row>
    <row r="8" spans="1:13" ht="12" thickBot="1">
      <c r="A8" s="1478" t="s">
        <v>641</v>
      </c>
      <c r="B8" s="1478" t="s">
        <v>642</v>
      </c>
      <c r="C8" s="1479">
        <v>851</v>
      </c>
      <c r="D8" s="1479">
        <v>194</v>
      </c>
      <c r="E8" s="1479">
        <v>1953</v>
      </c>
      <c r="F8" s="1480">
        <v>0.53507424475099996</v>
      </c>
      <c r="H8" s="1478" t="s">
        <v>761</v>
      </c>
      <c r="I8" s="1478" t="s">
        <v>778</v>
      </c>
      <c r="J8" s="1479">
        <v>74</v>
      </c>
      <c r="K8" s="1479">
        <v>36</v>
      </c>
      <c r="L8" s="1479">
        <v>428</v>
      </c>
      <c r="M8" s="1480">
        <v>0.25700934579399998</v>
      </c>
    </row>
    <row r="9" spans="1:13" ht="12" thickBot="1">
      <c r="A9" s="1478"/>
      <c r="B9" s="1478"/>
      <c r="C9" s="1479"/>
      <c r="D9" s="1479"/>
      <c r="E9" s="1479"/>
      <c r="F9" s="1480"/>
      <c r="H9" s="1478" t="s">
        <v>762</v>
      </c>
      <c r="I9" s="1478" t="s">
        <v>779</v>
      </c>
      <c r="J9" s="1479">
        <v>55</v>
      </c>
      <c r="K9" s="1479">
        <v>9</v>
      </c>
      <c r="L9" s="1479">
        <v>80</v>
      </c>
      <c r="M9" s="1480">
        <v>0.8</v>
      </c>
    </row>
    <row r="10" spans="1:13" ht="12" thickBot="1">
      <c r="A10" s="1478" t="s">
        <v>344</v>
      </c>
      <c r="B10" s="1478" t="s">
        <v>345</v>
      </c>
      <c r="C10" s="1479">
        <v>136</v>
      </c>
      <c r="D10" s="1479">
        <v>66</v>
      </c>
      <c r="E10" s="1479">
        <v>457</v>
      </c>
      <c r="F10" s="1480">
        <v>0.44201312910200002</v>
      </c>
      <c r="H10" s="1478" t="s">
        <v>755</v>
      </c>
      <c r="I10" s="1478" t="s">
        <v>772</v>
      </c>
      <c r="J10" s="1479">
        <v>238</v>
      </c>
      <c r="K10" s="1479">
        <v>20</v>
      </c>
      <c r="L10" s="1479">
        <v>264</v>
      </c>
      <c r="M10" s="1480">
        <v>0.97727272727199999</v>
      </c>
    </row>
    <row r="11" spans="1:13" ht="12" thickBot="1">
      <c r="A11" s="1478" t="s">
        <v>312</v>
      </c>
      <c r="B11" s="1478" t="s">
        <v>313</v>
      </c>
      <c r="C11" s="1479">
        <v>743</v>
      </c>
      <c r="D11" s="1479">
        <v>145</v>
      </c>
      <c r="E11" s="1479">
        <v>1509</v>
      </c>
      <c r="F11" s="1480">
        <v>0.58846918489</v>
      </c>
      <c r="H11" s="1478" t="s">
        <v>756</v>
      </c>
      <c r="I11" s="1478" t="s">
        <v>773</v>
      </c>
      <c r="J11" s="1479">
        <v>0</v>
      </c>
      <c r="K11" s="1479">
        <v>0</v>
      </c>
      <c r="L11" s="1479">
        <v>500</v>
      </c>
      <c r="M11" s="1480">
        <v>0</v>
      </c>
    </row>
    <row r="12" spans="1:13" ht="12" thickBot="1">
      <c r="A12" s="1478" t="s">
        <v>235</v>
      </c>
      <c r="B12" s="1478" t="s">
        <v>236</v>
      </c>
      <c r="C12" s="1479">
        <v>434</v>
      </c>
      <c r="D12" s="1479">
        <v>148</v>
      </c>
      <c r="E12" s="1479">
        <v>968</v>
      </c>
      <c r="F12" s="1480">
        <v>0.60123966942100004</v>
      </c>
      <c r="H12" s="1478" t="s">
        <v>757</v>
      </c>
      <c r="I12" s="1478" t="s">
        <v>774</v>
      </c>
      <c r="J12" s="1479">
        <v>117</v>
      </c>
      <c r="K12" s="1479">
        <v>20</v>
      </c>
      <c r="L12" s="1479">
        <v>164</v>
      </c>
      <c r="M12" s="1480">
        <v>0.83536585365799998</v>
      </c>
    </row>
    <row r="13" spans="1:13" ht="12" thickBot="1">
      <c r="A13" s="1478" t="s">
        <v>159</v>
      </c>
      <c r="B13" s="1478" t="s">
        <v>160</v>
      </c>
      <c r="C13" s="1479">
        <v>476</v>
      </c>
      <c r="D13" s="1479">
        <v>0</v>
      </c>
      <c r="E13" s="1479">
        <v>476</v>
      </c>
      <c r="F13" s="1480">
        <v>1</v>
      </c>
      <c r="H13" s="1478" t="s">
        <v>758</v>
      </c>
      <c r="I13" s="1478" t="s">
        <v>775</v>
      </c>
      <c r="J13" s="1479">
        <v>80</v>
      </c>
      <c r="K13" s="1479">
        <v>43</v>
      </c>
      <c r="L13" s="1479">
        <v>362</v>
      </c>
      <c r="M13" s="1480">
        <v>0.33977900552399998</v>
      </c>
    </row>
    <row r="14" spans="1:13" ht="12" thickBot="1">
      <c r="A14" s="1478" t="s">
        <v>143</v>
      </c>
      <c r="B14" s="1478" t="s">
        <v>144</v>
      </c>
      <c r="C14" s="1479">
        <v>674</v>
      </c>
      <c r="D14" s="1479">
        <v>143</v>
      </c>
      <c r="E14" s="1479">
        <v>1303</v>
      </c>
      <c r="F14" s="1480">
        <v>0.62701458173400004</v>
      </c>
      <c r="H14" s="1478" t="s">
        <v>760</v>
      </c>
      <c r="I14" s="1478" t="s">
        <v>777</v>
      </c>
      <c r="J14" s="1479">
        <v>89</v>
      </c>
      <c r="K14" s="1479">
        <v>23</v>
      </c>
      <c r="L14" s="1479">
        <v>367</v>
      </c>
      <c r="M14" s="1480">
        <v>0.30517711171599998</v>
      </c>
    </row>
    <row r="15" spans="1:13" ht="12" thickBot="1">
      <c r="A15" s="1478" t="s">
        <v>384</v>
      </c>
      <c r="B15" s="1478" t="s">
        <v>385</v>
      </c>
      <c r="C15" s="1479">
        <v>483</v>
      </c>
      <c r="D15" s="1479">
        <v>65</v>
      </c>
      <c r="E15" s="1479">
        <v>789</v>
      </c>
      <c r="F15" s="1480">
        <v>0.694550063371</v>
      </c>
      <c r="H15" s="1478" t="s">
        <v>759</v>
      </c>
      <c r="I15" s="1478" t="s">
        <v>776</v>
      </c>
      <c r="J15" s="1479">
        <v>115</v>
      </c>
      <c r="K15" s="1479">
        <v>45</v>
      </c>
      <c r="L15" s="1479">
        <v>502</v>
      </c>
      <c r="M15" s="1480">
        <v>0.31872509960099998</v>
      </c>
    </row>
    <row r="16" spans="1:13" ht="12" thickBot="1">
      <c r="A16" s="1478" t="s">
        <v>438</v>
      </c>
      <c r="B16" s="1478" t="s">
        <v>439</v>
      </c>
      <c r="C16" s="1479">
        <v>1292</v>
      </c>
      <c r="D16" s="1479">
        <v>347</v>
      </c>
      <c r="E16" s="1479">
        <v>2964</v>
      </c>
      <c r="F16" s="1480">
        <v>0.55296896086299996</v>
      </c>
      <c r="H16" s="1478" t="s">
        <v>763</v>
      </c>
      <c r="I16" s="1478" t="s">
        <v>780</v>
      </c>
      <c r="J16" s="1479">
        <v>167</v>
      </c>
      <c r="K16" s="1479">
        <v>60</v>
      </c>
      <c r="L16" s="1479">
        <v>394</v>
      </c>
      <c r="M16" s="1480">
        <v>0.57614213197899999</v>
      </c>
    </row>
    <row r="17" spans="1:13" ht="12" thickBot="1">
      <c r="A17" s="1478" t="s">
        <v>265</v>
      </c>
      <c r="B17" s="1478" t="s">
        <v>266</v>
      </c>
      <c r="C17" s="1479">
        <v>423</v>
      </c>
      <c r="D17" s="1479">
        <v>158</v>
      </c>
      <c r="E17" s="1479">
        <v>1490</v>
      </c>
      <c r="F17" s="1480">
        <v>0.389932885906</v>
      </c>
      <c r="H17" s="1478" t="s">
        <v>764</v>
      </c>
      <c r="I17" s="1478" t="s">
        <v>781</v>
      </c>
      <c r="J17" s="1479">
        <v>233</v>
      </c>
      <c r="K17" s="1479">
        <v>60</v>
      </c>
      <c r="L17" s="1479">
        <v>386</v>
      </c>
      <c r="M17" s="1480">
        <v>0.75906735751200005</v>
      </c>
    </row>
    <row r="18" spans="1:13" ht="12" thickBot="1">
      <c r="A18" s="1478" t="s">
        <v>495</v>
      </c>
      <c r="B18" s="1478" t="s">
        <v>496</v>
      </c>
      <c r="C18" s="1479">
        <v>247</v>
      </c>
      <c r="D18" s="1479">
        <v>59</v>
      </c>
      <c r="E18" s="1479">
        <v>558</v>
      </c>
      <c r="F18" s="1480">
        <v>0.54838709677399999</v>
      </c>
      <c r="H18" s="1478" t="s">
        <v>765</v>
      </c>
      <c r="I18" s="1478" t="s">
        <v>782</v>
      </c>
      <c r="J18" s="1479">
        <v>3</v>
      </c>
      <c r="K18" s="1479">
        <v>0</v>
      </c>
      <c r="L18" s="1479">
        <v>280</v>
      </c>
      <c r="M18" s="1480">
        <v>1.0714285714E-2</v>
      </c>
    </row>
    <row r="19" spans="1:13" ht="12" thickBot="1">
      <c r="A19" s="1478" t="s">
        <v>372</v>
      </c>
      <c r="B19" s="1478" t="s">
        <v>373</v>
      </c>
      <c r="C19" s="1479">
        <v>326</v>
      </c>
      <c r="D19" s="1479">
        <v>65</v>
      </c>
      <c r="E19" s="1479">
        <v>561</v>
      </c>
      <c r="F19" s="1480">
        <v>0.69696969696900002</v>
      </c>
      <c r="M19" s="1481">
        <f>AVERAGE(M2:M18)</f>
        <v>0.48004785781664705</v>
      </c>
    </row>
    <row r="20" spans="1:13" ht="12" thickBot="1">
      <c r="A20" s="1478" t="s">
        <v>145</v>
      </c>
      <c r="B20" s="1478" t="s">
        <v>146</v>
      </c>
      <c r="C20" s="1479">
        <v>1205</v>
      </c>
      <c r="D20" s="1479">
        <v>356</v>
      </c>
      <c r="E20" s="1479">
        <v>3204</v>
      </c>
      <c r="F20" s="1480">
        <v>0.48720349562999998</v>
      </c>
    </row>
    <row r="21" spans="1:13" ht="12" thickBot="1">
      <c r="A21" s="1478" t="s">
        <v>267</v>
      </c>
      <c r="B21" s="1478" t="s">
        <v>268</v>
      </c>
      <c r="C21" s="1479">
        <v>1400</v>
      </c>
      <c r="D21" s="1479">
        <v>376</v>
      </c>
      <c r="E21" s="1479">
        <v>4666</v>
      </c>
      <c r="F21" s="1480">
        <v>0.38062580368600002</v>
      </c>
    </row>
    <row r="22" spans="1:13" ht="12" thickBot="1">
      <c r="A22" s="1478" t="s">
        <v>599</v>
      </c>
      <c r="B22" s="1478" t="s">
        <v>600</v>
      </c>
      <c r="C22" s="1479">
        <v>2733</v>
      </c>
      <c r="D22" s="1479">
        <v>994</v>
      </c>
      <c r="E22" s="1479">
        <v>13530</v>
      </c>
      <c r="F22" s="1480">
        <v>0.27546193643700001</v>
      </c>
    </row>
    <row r="23" spans="1:13" ht="12" thickBot="1">
      <c r="A23" s="1478" t="s">
        <v>615</v>
      </c>
      <c r="B23" s="1478" t="s">
        <v>616</v>
      </c>
      <c r="C23" s="1479">
        <v>360</v>
      </c>
      <c r="D23" s="1479">
        <v>131</v>
      </c>
      <c r="E23" s="1479">
        <v>1064</v>
      </c>
      <c r="F23" s="1480">
        <v>0.46146616541300001</v>
      </c>
    </row>
    <row r="24" spans="1:13" ht="12" thickBot="1">
      <c r="A24" s="1478" t="s">
        <v>631</v>
      </c>
      <c r="B24" s="1478" t="s">
        <v>632</v>
      </c>
      <c r="C24" s="1479">
        <v>859</v>
      </c>
      <c r="D24" s="1479">
        <v>200</v>
      </c>
      <c r="E24" s="1479">
        <v>1867</v>
      </c>
      <c r="F24" s="1480">
        <v>0.56722013926000003</v>
      </c>
    </row>
    <row r="25" spans="1:13" ht="12" thickBot="1">
      <c r="A25" s="1478" t="s">
        <v>422</v>
      </c>
      <c r="B25" s="1478" t="s">
        <v>423</v>
      </c>
      <c r="C25" s="1479">
        <v>463</v>
      </c>
      <c r="D25" s="1479">
        <v>116</v>
      </c>
      <c r="E25" s="1479">
        <v>961</v>
      </c>
      <c r="F25" s="1480">
        <v>0.602497398543</v>
      </c>
    </row>
    <row r="26" spans="1:13" ht="12" thickBot="1">
      <c r="A26" s="1478" t="s">
        <v>416</v>
      </c>
      <c r="B26" s="1478" t="s">
        <v>417</v>
      </c>
      <c r="C26" s="1479">
        <v>412</v>
      </c>
      <c r="D26" s="1479">
        <v>59</v>
      </c>
      <c r="E26" s="1479">
        <v>556</v>
      </c>
      <c r="F26" s="1480">
        <v>0.847122302158</v>
      </c>
    </row>
    <row r="27" spans="1:13" ht="12" thickBot="1">
      <c r="A27" s="1478" t="s">
        <v>346</v>
      </c>
      <c r="B27" s="1478" t="s">
        <v>347</v>
      </c>
      <c r="C27" s="1479">
        <v>2934</v>
      </c>
      <c r="D27" s="1479">
        <v>0</v>
      </c>
      <c r="E27" s="1479">
        <v>2934</v>
      </c>
      <c r="F27" s="1480">
        <v>1</v>
      </c>
    </row>
    <row r="28" spans="1:13" ht="12" thickBot="1">
      <c r="A28" s="1478" t="s">
        <v>316</v>
      </c>
      <c r="B28" s="1478" t="s">
        <v>317</v>
      </c>
      <c r="C28" s="1479">
        <v>726</v>
      </c>
      <c r="D28" s="1479">
        <v>156</v>
      </c>
      <c r="E28" s="1479">
        <v>1366</v>
      </c>
      <c r="F28" s="1480">
        <v>0.64568081991199999</v>
      </c>
    </row>
    <row r="29" spans="1:13" ht="12" thickBot="1">
      <c r="A29" s="1478" t="s">
        <v>147</v>
      </c>
      <c r="B29" s="1478" t="s">
        <v>148</v>
      </c>
      <c r="C29" s="1479">
        <v>272</v>
      </c>
      <c r="D29" s="1479">
        <v>83</v>
      </c>
      <c r="E29" s="1479">
        <v>493</v>
      </c>
      <c r="F29" s="1480">
        <v>0.72008113590199996</v>
      </c>
    </row>
    <row r="30" spans="1:13" ht="12" thickBot="1">
      <c r="A30" s="1478" t="s">
        <v>470</v>
      </c>
      <c r="B30" s="1478" t="s">
        <v>471</v>
      </c>
      <c r="C30" s="1479">
        <v>282</v>
      </c>
      <c r="D30" s="1479">
        <v>30</v>
      </c>
      <c r="E30" s="1479">
        <v>390</v>
      </c>
      <c r="F30" s="1480">
        <v>0.8</v>
      </c>
    </row>
    <row r="31" spans="1:13" ht="12" thickBot="1">
      <c r="A31" s="1478" t="s">
        <v>356</v>
      </c>
      <c r="B31" s="1478" t="s">
        <v>357</v>
      </c>
      <c r="C31" s="1479">
        <v>633</v>
      </c>
      <c r="D31" s="1479">
        <v>0</v>
      </c>
      <c r="E31" s="1479">
        <v>633</v>
      </c>
      <c r="F31" s="1480">
        <v>1</v>
      </c>
    </row>
    <row r="32" spans="1:13" ht="12" thickBot="1">
      <c r="A32" s="1478" t="s">
        <v>499</v>
      </c>
      <c r="B32" s="1478" t="s">
        <v>500</v>
      </c>
      <c r="C32" s="1479">
        <v>470</v>
      </c>
      <c r="D32" s="1479">
        <v>151</v>
      </c>
      <c r="E32" s="1479">
        <v>1624</v>
      </c>
      <c r="F32" s="1480">
        <v>0.38238916256099997</v>
      </c>
    </row>
    <row r="33" spans="1:6" ht="12" thickBot="1">
      <c r="A33" s="1478" t="s">
        <v>269</v>
      </c>
      <c r="B33" s="1478" t="s">
        <v>270</v>
      </c>
      <c r="C33" s="1479">
        <v>2210</v>
      </c>
      <c r="D33" s="1479">
        <v>580</v>
      </c>
      <c r="E33" s="1479">
        <v>7949</v>
      </c>
      <c r="F33" s="1480">
        <v>0.350987545603</v>
      </c>
    </row>
    <row r="34" spans="1:6" ht="12" thickBot="1">
      <c r="A34" s="1478" t="s">
        <v>501</v>
      </c>
      <c r="B34" s="1478" t="s">
        <v>502</v>
      </c>
      <c r="C34" s="1479">
        <v>461</v>
      </c>
      <c r="D34" s="1479">
        <v>93</v>
      </c>
      <c r="E34" s="1479">
        <v>836</v>
      </c>
      <c r="F34" s="1480">
        <v>0.66267942583700001</v>
      </c>
    </row>
    <row r="35" spans="1:6" ht="12" thickBot="1">
      <c r="A35" s="1478" t="s">
        <v>330</v>
      </c>
      <c r="B35" s="1478" t="s">
        <v>331</v>
      </c>
      <c r="C35" s="1479">
        <v>2665</v>
      </c>
      <c r="D35" s="1479">
        <v>767</v>
      </c>
      <c r="E35" s="1479">
        <v>10052</v>
      </c>
      <c r="F35" s="1480">
        <v>0.34142459211999998</v>
      </c>
    </row>
    <row r="36" spans="1:6" ht="12" thickBot="1">
      <c r="A36" s="1478" t="s">
        <v>360</v>
      </c>
      <c r="B36" s="1478" t="s">
        <v>361</v>
      </c>
      <c r="C36" s="1479">
        <v>405</v>
      </c>
      <c r="D36" s="1479">
        <v>52</v>
      </c>
      <c r="E36" s="1479">
        <v>568</v>
      </c>
      <c r="F36" s="1480">
        <v>0.80457746478799996</v>
      </c>
    </row>
    <row r="37" spans="1:6" ht="12" thickBot="1">
      <c r="A37" s="1478" t="s">
        <v>446</v>
      </c>
      <c r="B37" s="1478" t="s">
        <v>447</v>
      </c>
      <c r="C37" s="1479">
        <v>193</v>
      </c>
      <c r="D37" s="1479">
        <v>53</v>
      </c>
      <c r="E37" s="1479">
        <v>418</v>
      </c>
      <c r="F37" s="1480">
        <v>0.58851674641100005</v>
      </c>
    </row>
    <row r="38" spans="1:6" ht="12" thickBot="1">
      <c r="A38" s="1478" t="s">
        <v>374</v>
      </c>
      <c r="B38" s="1478" t="s">
        <v>375</v>
      </c>
      <c r="C38" s="1479">
        <v>1580</v>
      </c>
      <c r="D38" s="1479">
        <v>236</v>
      </c>
      <c r="E38" s="1479">
        <v>2438</v>
      </c>
      <c r="F38" s="1480">
        <v>0.74487284659499997</v>
      </c>
    </row>
    <row r="39" spans="1:6" ht="12" thickBot="1">
      <c r="A39" s="1478" t="s">
        <v>328</v>
      </c>
      <c r="B39" s="1478" t="s">
        <v>329</v>
      </c>
      <c r="C39" s="1479">
        <v>298</v>
      </c>
      <c r="D39" s="1479">
        <v>98</v>
      </c>
      <c r="E39" s="1479">
        <v>758</v>
      </c>
      <c r="F39" s="1480">
        <v>0.52242744063299995</v>
      </c>
    </row>
    <row r="40" spans="1:6" ht="12" thickBot="1">
      <c r="A40" s="1478" t="s">
        <v>295</v>
      </c>
      <c r="B40" s="1478" t="s">
        <v>296</v>
      </c>
      <c r="C40" s="1479">
        <v>734</v>
      </c>
      <c r="D40" s="1479">
        <v>196</v>
      </c>
      <c r="E40" s="1479">
        <v>1356</v>
      </c>
      <c r="F40" s="1480">
        <v>0.68584070796399998</v>
      </c>
    </row>
    <row r="41" spans="1:6" ht="12" thickBot="1">
      <c r="A41" s="1478" t="s">
        <v>444</v>
      </c>
      <c r="B41" s="1478" t="s">
        <v>445</v>
      </c>
      <c r="C41" s="1479">
        <v>402</v>
      </c>
      <c r="D41" s="1479">
        <v>133</v>
      </c>
      <c r="E41" s="1479">
        <v>833</v>
      </c>
      <c r="F41" s="1480">
        <v>0.642256902761</v>
      </c>
    </row>
    <row r="42" spans="1:6" ht="12" thickBot="1">
      <c r="A42" s="1478" t="s">
        <v>513</v>
      </c>
      <c r="B42" s="1478" t="s">
        <v>514</v>
      </c>
      <c r="C42" s="1479">
        <v>934</v>
      </c>
      <c r="D42" s="1479">
        <v>0</v>
      </c>
      <c r="E42" s="1479">
        <v>934</v>
      </c>
      <c r="F42" s="1480">
        <v>1</v>
      </c>
    </row>
    <row r="43" spans="1:6" ht="12" thickBot="1">
      <c r="A43" s="1478" t="s">
        <v>390</v>
      </c>
      <c r="B43" s="1478" t="s">
        <v>391</v>
      </c>
      <c r="C43" s="1479">
        <v>584</v>
      </c>
      <c r="D43" s="1479">
        <v>125</v>
      </c>
      <c r="E43" s="1479">
        <v>1029</v>
      </c>
      <c r="F43" s="1480">
        <v>0.68901846452799997</v>
      </c>
    </row>
    <row r="44" spans="1:6" ht="12" thickBot="1">
      <c r="A44" s="1478" t="s">
        <v>553</v>
      </c>
      <c r="B44" s="1478" t="s">
        <v>554</v>
      </c>
      <c r="C44" s="1479">
        <v>271</v>
      </c>
      <c r="D44" s="1479">
        <v>88</v>
      </c>
      <c r="E44" s="1479">
        <v>879</v>
      </c>
      <c r="F44" s="1480">
        <v>0.40841865756500001</v>
      </c>
    </row>
    <row r="45" spans="1:6" ht="12" thickBot="1">
      <c r="A45" s="1478" t="s">
        <v>358</v>
      </c>
      <c r="B45" s="1478" t="s">
        <v>359</v>
      </c>
      <c r="C45" s="1479">
        <v>424</v>
      </c>
      <c r="D45" s="1479">
        <v>53</v>
      </c>
      <c r="E45" s="1479">
        <v>539</v>
      </c>
      <c r="F45" s="1480">
        <v>0.88497217068599998</v>
      </c>
    </row>
    <row r="46" spans="1:6" ht="12" thickBot="1">
      <c r="A46" s="1478" t="s">
        <v>464</v>
      </c>
      <c r="B46" s="1478" t="s">
        <v>465</v>
      </c>
      <c r="C46" s="1479">
        <v>1381</v>
      </c>
      <c r="D46" s="1479">
        <v>307</v>
      </c>
      <c r="E46" s="1479">
        <v>2515</v>
      </c>
      <c r="F46" s="1480">
        <v>0.67117296222599998</v>
      </c>
    </row>
    <row r="47" spans="1:6" ht="12" thickBot="1">
      <c r="A47" s="1478" t="s">
        <v>483</v>
      </c>
      <c r="B47" s="1478" t="s">
        <v>484</v>
      </c>
      <c r="C47" s="1479">
        <v>386</v>
      </c>
      <c r="D47" s="1479">
        <v>89</v>
      </c>
      <c r="E47" s="1479">
        <v>842</v>
      </c>
      <c r="F47" s="1480">
        <v>0.56413301662699999</v>
      </c>
    </row>
    <row r="48" spans="1:6" ht="12" thickBot="1">
      <c r="A48" s="1478" t="s">
        <v>121</v>
      </c>
      <c r="B48" s="1478" t="s">
        <v>122</v>
      </c>
      <c r="C48" s="1479">
        <v>734</v>
      </c>
      <c r="D48" s="1479">
        <v>216</v>
      </c>
      <c r="E48" s="1479">
        <v>1339</v>
      </c>
      <c r="F48" s="1480">
        <v>0.70948469006699999</v>
      </c>
    </row>
    <row r="49" spans="1:6" ht="12" thickBot="1">
      <c r="A49" s="1478" t="s">
        <v>651</v>
      </c>
      <c r="B49" s="1478" t="s">
        <v>652</v>
      </c>
      <c r="C49" s="1479">
        <v>198</v>
      </c>
      <c r="D49" s="1479">
        <v>69</v>
      </c>
      <c r="E49" s="1479">
        <v>452</v>
      </c>
      <c r="F49" s="1480">
        <v>0.59070796460099995</v>
      </c>
    </row>
    <row r="50" spans="1:6" ht="12" thickBot="1">
      <c r="A50" s="1478" t="s">
        <v>541</v>
      </c>
      <c r="B50" s="1478" t="s">
        <v>542</v>
      </c>
      <c r="C50" s="1479">
        <v>3413</v>
      </c>
      <c r="D50" s="1479">
        <v>660</v>
      </c>
      <c r="E50" s="1479">
        <v>9256</v>
      </c>
      <c r="F50" s="1480">
        <v>0.44003889368999999</v>
      </c>
    </row>
    <row r="51" spans="1:6" ht="12" thickBot="1">
      <c r="A51" s="1478" t="s">
        <v>645</v>
      </c>
      <c r="B51" s="1478" t="s">
        <v>646</v>
      </c>
      <c r="C51" s="1479">
        <v>603</v>
      </c>
      <c r="D51" s="1479">
        <v>126</v>
      </c>
      <c r="E51" s="1479">
        <v>1036</v>
      </c>
      <c r="F51" s="1480">
        <v>0.70366795366699997</v>
      </c>
    </row>
    <row r="52" spans="1:6" ht="12" thickBot="1">
      <c r="A52" s="1478" t="s">
        <v>233</v>
      </c>
      <c r="B52" s="1478" t="s">
        <v>234</v>
      </c>
      <c r="C52" s="1479">
        <v>1143</v>
      </c>
      <c r="D52" s="1479">
        <v>0</v>
      </c>
      <c r="E52" s="1479">
        <v>1143</v>
      </c>
      <c r="F52" s="1480">
        <v>1</v>
      </c>
    </row>
    <row r="53" spans="1:6" ht="12" thickBot="1">
      <c r="A53" s="1478" t="s">
        <v>593</v>
      </c>
      <c r="B53" s="1478" t="s">
        <v>594</v>
      </c>
      <c r="C53" s="1479">
        <v>362</v>
      </c>
      <c r="D53" s="1479">
        <v>96</v>
      </c>
      <c r="E53" s="1479">
        <v>663</v>
      </c>
      <c r="F53" s="1480">
        <v>0.69079939668099999</v>
      </c>
    </row>
    <row r="54" spans="1:6" ht="12" thickBot="1">
      <c r="A54" s="1478" t="s">
        <v>555</v>
      </c>
      <c r="B54" s="1478" t="s">
        <v>556</v>
      </c>
      <c r="C54" s="1479">
        <v>232</v>
      </c>
      <c r="D54" s="1479">
        <v>42</v>
      </c>
      <c r="E54" s="1479">
        <v>485</v>
      </c>
      <c r="F54" s="1480">
        <v>0.56494845360799995</v>
      </c>
    </row>
    <row r="55" spans="1:6" ht="12" thickBot="1">
      <c r="A55" s="1478" t="s">
        <v>527</v>
      </c>
      <c r="B55" s="1478" t="s">
        <v>528</v>
      </c>
      <c r="C55" s="1479">
        <v>628</v>
      </c>
      <c r="D55" s="1479">
        <v>0</v>
      </c>
      <c r="E55" s="1479">
        <v>628</v>
      </c>
      <c r="F55" s="1480">
        <v>1</v>
      </c>
    </row>
    <row r="56" spans="1:6" ht="12" thickBot="1">
      <c r="A56" s="1478" t="s">
        <v>589</v>
      </c>
      <c r="B56" s="1478" t="s">
        <v>590</v>
      </c>
      <c r="C56" s="1479">
        <v>982</v>
      </c>
      <c r="D56" s="1479">
        <v>101</v>
      </c>
      <c r="E56" s="1479">
        <v>1873</v>
      </c>
      <c r="F56" s="1480">
        <v>0.57821676454799997</v>
      </c>
    </row>
    <row r="57" spans="1:6" ht="12" thickBot="1">
      <c r="A57" s="1478" t="s">
        <v>565</v>
      </c>
      <c r="B57" s="1478" t="s">
        <v>566</v>
      </c>
      <c r="C57" s="1479">
        <v>322</v>
      </c>
      <c r="D57" s="1479">
        <v>73</v>
      </c>
      <c r="E57" s="1479">
        <v>640</v>
      </c>
      <c r="F57" s="1480">
        <v>0.6171875</v>
      </c>
    </row>
    <row r="58" spans="1:6" ht="12" thickBot="1">
      <c r="A58" s="1478" t="s">
        <v>163</v>
      </c>
      <c r="B58" s="1478" t="s">
        <v>164</v>
      </c>
      <c r="C58" s="1479">
        <v>570</v>
      </c>
      <c r="D58" s="1479">
        <v>96</v>
      </c>
      <c r="E58" s="1479">
        <v>879</v>
      </c>
      <c r="F58" s="1480">
        <v>0.75767918088700004</v>
      </c>
    </row>
    <row r="59" spans="1:6" ht="12" thickBot="1">
      <c r="A59" s="1478" t="s">
        <v>165</v>
      </c>
      <c r="B59" s="1478" t="s">
        <v>166</v>
      </c>
      <c r="C59" s="1479">
        <v>1147</v>
      </c>
      <c r="D59" s="1479">
        <v>176</v>
      </c>
      <c r="E59" s="1479">
        <v>1969</v>
      </c>
      <c r="F59" s="1480">
        <v>0.67191467750099998</v>
      </c>
    </row>
    <row r="60" spans="1:6" ht="12" thickBot="1">
      <c r="A60" s="1478" t="s">
        <v>601</v>
      </c>
      <c r="B60" s="1478" t="s">
        <v>602</v>
      </c>
      <c r="C60" s="1479">
        <v>345</v>
      </c>
      <c r="D60" s="1479">
        <v>43</v>
      </c>
      <c r="E60" s="1479">
        <v>495</v>
      </c>
      <c r="F60" s="1480">
        <v>0.78383838383799997</v>
      </c>
    </row>
    <row r="61" spans="1:6" ht="12" thickBot="1">
      <c r="A61" s="1478" t="s">
        <v>370</v>
      </c>
      <c r="B61" s="1478" t="s">
        <v>371</v>
      </c>
      <c r="C61" s="1479">
        <v>225</v>
      </c>
      <c r="D61" s="1479">
        <v>54</v>
      </c>
      <c r="E61" s="1479">
        <v>363</v>
      </c>
      <c r="F61" s="1480">
        <v>0.76859504132199996</v>
      </c>
    </row>
    <row r="62" spans="1:6" ht="12" thickBot="1">
      <c r="A62" s="1478" t="s">
        <v>291</v>
      </c>
      <c r="B62" s="1478" t="s">
        <v>292</v>
      </c>
      <c r="C62" s="1479">
        <v>1580</v>
      </c>
      <c r="D62" s="1479">
        <v>206</v>
      </c>
      <c r="E62" s="1479">
        <v>2383</v>
      </c>
      <c r="F62" s="1480">
        <v>0.74947545111199998</v>
      </c>
    </row>
    <row r="63" spans="1:6" ht="12" thickBot="1">
      <c r="A63" s="1478" t="s">
        <v>637</v>
      </c>
      <c r="B63" s="1478" t="s">
        <v>638</v>
      </c>
      <c r="C63" s="1479">
        <v>418</v>
      </c>
      <c r="D63" s="1479">
        <v>0</v>
      </c>
      <c r="E63" s="1479">
        <v>418</v>
      </c>
      <c r="F63" s="1480">
        <v>1</v>
      </c>
    </row>
    <row r="64" spans="1:6" ht="12" thickBot="1">
      <c r="A64" s="1478" t="s">
        <v>245</v>
      </c>
      <c r="B64" s="1478" t="s">
        <v>246</v>
      </c>
      <c r="C64" s="1479">
        <v>305</v>
      </c>
      <c r="D64" s="1479">
        <v>71</v>
      </c>
      <c r="E64" s="1479">
        <v>594</v>
      </c>
      <c r="F64" s="1480">
        <v>0.63299663299599995</v>
      </c>
    </row>
    <row r="65" spans="1:6" ht="12" thickBot="1">
      <c r="A65" s="1478" t="s">
        <v>585</v>
      </c>
      <c r="B65" s="1478" t="s">
        <v>586</v>
      </c>
      <c r="C65" s="1479">
        <v>710</v>
      </c>
      <c r="D65" s="1479">
        <v>103</v>
      </c>
      <c r="E65" s="1479">
        <v>1348</v>
      </c>
      <c r="F65" s="1480">
        <v>0.603115727002</v>
      </c>
    </row>
    <row r="66" spans="1:6" ht="12" thickBot="1">
      <c r="A66" s="1478" t="s">
        <v>432</v>
      </c>
      <c r="B66" s="1478" t="s">
        <v>433</v>
      </c>
      <c r="C66" s="1479">
        <v>240</v>
      </c>
      <c r="D66" s="1479">
        <v>60</v>
      </c>
      <c r="E66" s="1479">
        <v>550</v>
      </c>
      <c r="F66" s="1480">
        <v>0.54545454545399996</v>
      </c>
    </row>
    <row r="67" spans="1:6" ht="12" thickBot="1">
      <c r="A67" s="1478" t="s">
        <v>456</v>
      </c>
      <c r="B67" s="1478" t="s">
        <v>457</v>
      </c>
      <c r="C67" s="1479">
        <v>1308</v>
      </c>
      <c r="D67" s="1479">
        <v>97</v>
      </c>
      <c r="E67" s="1479">
        <v>1525</v>
      </c>
      <c r="F67" s="1480">
        <v>0.92131147540900005</v>
      </c>
    </row>
    <row r="68" spans="1:6" ht="12" thickBot="1">
      <c r="A68" s="1478" t="s">
        <v>237</v>
      </c>
      <c r="B68" s="1478" t="s">
        <v>238</v>
      </c>
      <c r="C68" s="1479">
        <v>589</v>
      </c>
      <c r="D68" s="1479">
        <v>209</v>
      </c>
      <c r="E68" s="1479">
        <v>1383</v>
      </c>
      <c r="F68" s="1480">
        <v>0.57700650759200001</v>
      </c>
    </row>
    <row r="69" spans="1:6" ht="12" thickBot="1">
      <c r="A69" s="1478" t="s">
        <v>537</v>
      </c>
      <c r="B69" s="1478" t="s">
        <v>538</v>
      </c>
      <c r="C69" s="1479">
        <v>624</v>
      </c>
      <c r="D69" s="1479">
        <v>78</v>
      </c>
      <c r="E69" s="1479">
        <v>972</v>
      </c>
      <c r="F69" s="1480">
        <v>0.72222222222200005</v>
      </c>
    </row>
    <row r="70" spans="1:6" ht="12" thickBot="1">
      <c r="A70" s="1478" t="s">
        <v>533</v>
      </c>
      <c r="B70" s="1478" t="s">
        <v>534</v>
      </c>
      <c r="C70" s="1479">
        <v>1064</v>
      </c>
      <c r="D70" s="1479">
        <v>99</v>
      </c>
      <c r="E70" s="1479">
        <v>1459</v>
      </c>
      <c r="F70" s="1480">
        <v>0.79712131596900004</v>
      </c>
    </row>
    <row r="71" spans="1:6" ht="12" thickBot="1">
      <c r="A71" s="1478" t="s">
        <v>521</v>
      </c>
      <c r="B71" s="1478" t="s">
        <v>522</v>
      </c>
      <c r="C71" s="1479">
        <v>621</v>
      </c>
      <c r="D71" s="1479">
        <v>46</v>
      </c>
      <c r="E71" s="1479">
        <v>701</v>
      </c>
      <c r="F71" s="1480">
        <v>0.95149786019899996</v>
      </c>
    </row>
    <row r="72" spans="1:6" ht="12" thickBot="1">
      <c r="A72" s="1478" t="s">
        <v>380</v>
      </c>
      <c r="B72" s="1478" t="s">
        <v>381</v>
      </c>
      <c r="C72" s="1479">
        <v>282</v>
      </c>
      <c r="D72" s="1479">
        <v>88</v>
      </c>
      <c r="E72" s="1479">
        <v>639</v>
      </c>
      <c r="F72" s="1480">
        <v>0.57902973395900004</v>
      </c>
    </row>
    <row r="73" spans="1:6" ht="12" thickBot="1">
      <c r="A73" s="1478" t="s">
        <v>227</v>
      </c>
      <c r="B73" s="1478" t="s">
        <v>228</v>
      </c>
      <c r="C73" s="1479">
        <v>415</v>
      </c>
      <c r="D73" s="1479">
        <v>116</v>
      </c>
      <c r="E73" s="1479">
        <v>720</v>
      </c>
      <c r="F73" s="1480">
        <v>0.73750000000000004</v>
      </c>
    </row>
    <row r="74" spans="1:6" ht="12" thickBot="1">
      <c r="A74" s="1478" t="s">
        <v>301</v>
      </c>
      <c r="B74" s="1478" t="s">
        <v>302</v>
      </c>
      <c r="C74" s="1479">
        <v>2536</v>
      </c>
      <c r="D74" s="1479">
        <v>284</v>
      </c>
      <c r="E74" s="1479">
        <v>4646</v>
      </c>
      <c r="F74" s="1480">
        <v>0.60697374085199995</v>
      </c>
    </row>
    <row r="75" spans="1:6" ht="12" thickBot="1">
      <c r="A75" s="1478" t="s">
        <v>127</v>
      </c>
      <c r="B75" s="1478" t="s">
        <v>128</v>
      </c>
      <c r="C75" s="1479">
        <v>383</v>
      </c>
      <c r="D75" s="1479">
        <v>168</v>
      </c>
      <c r="E75" s="1479">
        <v>1151</v>
      </c>
      <c r="F75" s="1480">
        <v>0.47871416159800001</v>
      </c>
    </row>
    <row r="76" spans="1:6" ht="12" thickBot="1">
      <c r="A76" s="1478" t="s">
        <v>487</v>
      </c>
      <c r="B76" s="1478" t="s">
        <v>488</v>
      </c>
      <c r="C76" s="1479">
        <v>206</v>
      </c>
      <c r="D76" s="1479">
        <v>61</v>
      </c>
      <c r="E76" s="1479">
        <v>612</v>
      </c>
      <c r="F76" s="1480">
        <v>0.43627450980299998</v>
      </c>
    </row>
    <row r="77" spans="1:6" ht="12" thickBot="1">
      <c r="A77" s="1478" t="s">
        <v>326</v>
      </c>
      <c r="B77" s="1478" t="s">
        <v>327</v>
      </c>
      <c r="C77" s="1479">
        <v>516</v>
      </c>
      <c r="D77" s="1479">
        <v>59</v>
      </c>
      <c r="E77" s="1479">
        <v>757</v>
      </c>
      <c r="F77" s="1480">
        <v>0.75957727873100001</v>
      </c>
    </row>
    <row r="78" spans="1:6" ht="12" thickBot="1">
      <c r="A78" s="1478" t="s">
        <v>633</v>
      </c>
      <c r="B78" s="1478" t="s">
        <v>634</v>
      </c>
      <c r="C78" s="1479">
        <v>328</v>
      </c>
      <c r="D78" s="1479">
        <v>68</v>
      </c>
      <c r="E78" s="1479">
        <v>650</v>
      </c>
      <c r="F78" s="1480">
        <v>0.60923076922999997</v>
      </c>
    </row>
    <row r="79" spans="1:6" ht="12" thickBot="1">
      <c r="A79" s="1478" t="s">
        <v>129</v>
      </c>
      <c r="B79" s="1478" t="s">
        <v>130</v>
      </c>
      <c r="C79" s="1479">
        <v>596</v>
      </c>
      <c r="D79" s="1479">
        <v>230</v>
      </c>
      <c r="E79" s="1479">
        <v>2177</v>
      </c>
      <c r="F79" s="1480">
        <v>0.37942122186400001</v>
      </c>
    </row>
    <row r="80" spans="1:6" ht="12" thickBot="1">
      <c r="A80" s="1478" t="s">
        <v>131</v>
      </c>
      <c r="B80" s="1478" t="s">
        <v>132</v>
      </c>
      <c r="C80" s="1479">
        <v>2989</v>
      </c>
      <c r="D80" s="1479">
        <v>537</v>
      </c>
      <c r="E80" s="1479">
        <v>8838</v>
      </c>
      <c r="F80" s="1480">
        <v>0.39895904050600001</v>
      </c>
    </row>
    <row r="81" spans="1:6" ht="12" thickBot="1">
      <c r="A81" s="1478" t="s">
        <v>334</v>
      </c>
      <c r="B81" s="1478" t="s">
        <v>335</v>
      </c>
      <c r="C81" s="1479">
        <v>416</v>
      </c>
      <c r="D81" s="1479">
        <v>106</v>
      </c>
      <c r="E81" s="1479">
        <v>825</v>
      </c>
      <c r="F81" s="1480">
        <v>0.63272727272700002</v>
      </c>
    </row>
    <row r="82" spans="1:6" ht="12" thickBot="1">
      <c r="A82" s="1478" t="s">
        <v>531</v>
      </c>
      <c r="B82" s="1478" t="s">
        <v>532</v>
      </c>
      <c r="C82" s="1479">
        <v>537</v>
      </c>
      <c r="D82" s="1479">
        <v>98</v>
      </c>
      <c r="E82" s="1479">
        <v>949</v>
      </c>
      <c r="F82" s="1480">
        <v>0.66912539515199998</v>
      </c>
    </row>
    <row r="83" spans="1:6" ht="12" thickBot="1">
      <c r="A83" s="1478" t="s">
        <v>314</v>
      </c>
      <c r="B83" s="1478" t="s">
        <v>315</v>
      </c>
      <c r="C83" s="1479">
        <v>301</v>
      </c>
      <c r="D83" s="1479">
        <v>70</v>
      </c>
      <c r="E83" s="1479">
        <v>548</v>
      </c>
      <c r="F83" s="1480">
        <v>0.67700729927000003</v>
      </c>
    </row>
    <row r="84" spans="1:6" ht="12" thickBot="1">
      <c r="A84" s="1478" t="s">
        <v>259</v>
      </c>
      <c r="B84" s="1478" t="s">
        <v>260</v>
      </c>
      <c r="C84" s="1479">
        <v>3175</v>
      </c>
      <c r="D84" s="1479">
        <v>0</v>
      </c>
      <c r="E84" s="1479">
        <v>3175</v>
      </c>
      <c r="F84" s="1480">
        <v>1</v>
      </c>
    </row>
    <row r="85" spans="1:6" ht="12" thickBot="1">
      <c r="A85" s="1478" t="s">
        <v>279</v>
      </c>
      <c r="B85" s="1478" t="s">
        <v>280</v>
      </c>
      <c r="C85" s="1479">
        <v>8334</v>
      </c>
      <c r="D85" s="1479">
        <v>1226</v>
      </c>
      <c r="E85" s="1479">
        <v>13859</v>
      </c>
      <c r="F85" s="1480">
        <v>0.68980445919599997</v>
      </c>
    </row>
    <row r="86" spans="1:6" ht="12" thickBot="1">
      <c r="A86" s="1478" t="s">
        <v>340</v>
      </c>
      <c r="B86" s="1478" t="s">
        <v>341</v>
      </c>
      <c r="C86" s="1479">
        <v>528</v>
      </c>
      <c r="D86" s="1479">
        <v>128</v>
      </c>
      <c r="E86" s="1479">
        <v>1042</v>
      </c>
      <c r="F86" s="1480">
        <v>0.62955854126599997</v>
      </c>
    </row>
    <row r="87" spans="1:6" ht="12" thickBot="1">
      <c r="A87" s="1478" t="s">
        <v>567</v>
      </c>
      <c r="B87" s="1478" t="s">
        <v>395</v>
      </c>
      <c r="C87" s="1479">
        <v>480</v>
      </c>
      <c r="D87" s="1479">
        <v>126</v>
      </c>
      <c r="E87" s="1479">
        <v>1213</v>
      </c>
      <c r="F87" s="1480">
        <v>0.49958779884499999</v>
      </c>
    </row>
    <row r="88" spans="1:6" ht="12" thickBot="1">
      <c r="A88" s="1478" t="s">
        <v>338</v>
      </c>
      <c r="B88" s="1478" t="s">
        <v>339</v>
      </c>
      <c r="C88" s="1479">
        <v>327</v>
      </c>
      <c r="D88" s="1479">
        <v>96</v>
      </c>
      <c r="E88" s="1479">
        <v>932</v>
      </c>
      <c r="F88" s="1480">
        <v>0.45386266094400002</v>
      </c>
    </row>
    <row r="89" spans="1:6" ht="12" thickBot="1">
      <c r="A89" s="1478" t="s">
        <v>603</v>
      </c>
      <c r="B89" s="1478" t="s">
        <v>604</v>
      </c>
      <c r="C89" s="1479">
        <v>732</v>
      </c>
      <c r="D89" s="1479">
        <v>179</v>
      </c>
      <c r="E89" s="1479">
        <v>1431</v>
      </c>
      <c r="F89" s="1480">
        <v>0.63661774982499997</v>
      </c>
    </row>
    <row r="90" spans="1:6" ht="12" thickBot="1">
      <c r="A90" s="1478" t="s">
        <v>424</v>
      </c>
      <c r="B90" s="1478" t="s">
        <v>425</v>
      </c>
      <c r="C90" s="1479">
        <v>400</v>
      </c>
      <c r="D90" s="1479">
        <v>89</v>
      </c>
      <c r="E90" s="1479">
        <v>943</v>
      </c>
      <c r="F90" s="1480">
        <v>0.51855779427299997</v>
      </c>
    </row>
    <row r="91" spans="1:6" ht="12" thickBot="1">
      <c r="A91" s="1478" t="s">
        <v>350</v>
      </c>
      <c r="B91" s="1478" t="s">
        <v>351</v>
      </c>
      <c r="C91" s="1479">
        <v>736</v>
      </c>
      <c r="D91" s="1479">
        <v>207</v>
      </c>
      <c r="E91" s="1479">
        <v>1438</v>
      </c>
      <c r="F91" s="1480">
        <v>0.65577190542399999</v>
      </c>
    </row>
    <row r="92" spans="1:6" ht="12" thickBot="1">
      <c r="A92" s="1478" t="s">
        <v>605</v>
      </c>
      <c r="B92" s="1478" t="s">
        <v>606</v>
      </c>
      <c r="C92" s="1479">
        <v>698</v>
      </c>
      <c r="D92" s="1479">
        <v>190</v>
      </c>
      <c r="E92" s="1479">
        <v>1785</v>
      </c>
      <c r="F92" s="1480">
        <v>0.49747899159600001</v>
      </c>
    </row>
    <row r="93" spans="1:6" ht="12" thickBot="1">
      <c r="A93" s="1478" t="s">
        <v>635</v>
      </c>
      <c r="B93" s="1478" t="s">
        <v>636</v>
      </c>
      <c r="C93" s="1479">
        <v>780</v>
      </c>
      <c r="D93" s="1479">
        <v>187</v>
      </c>
      <c r="E93" s="1479">
        <v>1206</v>
      </c>
      <c r="F93" s="1480">
        <v>0.80182421227099998</v>
      </c>
    </row>
    <row r="94" spans="1:6" ht="12" thickBot="1">
      <c r="A94" s="1478" t="s">
        <v>543</v>
      </c>
      <c r="B94" s="1478" t="s">
        <v>544</v>
      </c>
      <c r="C94" s="1479">
        <v>872</v>
      </c>
      <c r="D94" s="1479">
        <v>293</v>
      </c>
      <c r="E94" s="1479">
        <v>3087</v>
      </c>
      <c r="F94" s="1480">
        <v>0.37738905085800001</v>
      </c>
    </row>
    <row r="95" spans="1:6" ht="12" thickBot="1">
      <c r="A95" s="1478" t="s">
        <v>412</v>
      </c>
      <c r="B95" s="1478" t="s">
        <v>413</v>
      </c>
      <c r="C95" s="1479">
        <v>1388</v>
      </c>
      <c r="D95" s="1479">
        <v>417</v>
      </c>
      <c r="E95" s="1479">
        <v>3432</v>
      </c>
      <c r="F95" s="1480">
        <v>0.525932400932</v>
      </c>
    </row>
    <row r="96" spans="1:6" ht="12" thickBot="1">
      <c r="A96" s="1478" t="s">
        <v>133</v>
      </c>
      <c r="B96" s="1478" t="s">
        <v>134</v>
      </c>
      <c r="C96" s="1479">
        <v>392</v>
      </c>
      <c r="D96" s="1479">
        <v>80</v>
      </c>
      <c r="E96" s="1479">
        <v>792</v>
      </c>
      <c r="F96" s="1480">
        <v>0.59595959595900005</v>
      </c>
    </row>
    <row r="97" spans="1:6" ht="12" thickBot="1">
      <c r="A97" s="1478" t="s">
        <v>281</v>
      </c>
      <c r="B97" s="1478" t="s">
        <v>282</v>
      </c>
      <c r="C97" s="1479">
        <v>826</v>
      </c>
      <c r="D97" s="1479">
        <v>349</v>
      </c>
      <c r="E97" s="1479">
        <v>3587</v>
      </c>
      <c r="F97" s="1480">
        <v>0.32757178700799999</v>
      </c>
    </row>
    <row r="98" spans="1:6" ht="12" thickBot="1">
      <c r="A98" s="1478" t="s">
        <v>643</v>
      </c>
      <c r="B98" s="1478" t="s">
        <v>644</v>
      </c>
      <c r="C98" s="1479">
        <v>424</v>
      </c>
      <c r="D98" s="1479">
        <v>113</v>
      </c>
      <c r="E98" s="1479">
        <v>758</v>
      </c>
      <c r="F98" s="1480">
        <v>0.70844327176699995</v>
      </c>
    </row>
    <row r="99" spans="1:6" ht="12" thickBot="1">
      <c r="A99" s="1478" t="s">
        <v>545</v>
      </c>
      <c r="B99" s="1478" t="s">
        <v>546</v>
      </c>
      <c r="C99" s="1479">
        <v>217</v>
      </c>
      <c r="D99" s="1479">
        <v>61</v>
      </c>
      <c r="E99" s="1479">
        <v>449</v>
      </c>
      <c r="F99" s="1480">
        <v>0.61915367483200001</v>
      </c>
    </row>
    <row r="100" spans="1:6" ht="12" thickBot="1">
      <c r="A100" s="1478" t="s">
        <v>283</v>
      </c>
      <c r="B100" s="1478" t="s">
        <v>284</v>
      </c>
      <c r="C100" s="1479">
        <v>267</v>
      </c>
      <c r="D100" s="1479">
        <v>63</v>
      </c>
      <c r="E100" s="1479">
        <v>611</v>
      </c>
      <c r="F100" s="1480">
        <v>0.54009819967200001</v>
      </c>
    </row>
    <row r="101" spans="1:6" ht="12" thickBot="1">
      <c r="A101" s="1478" t="s">
        <v>591</v>
      </c>
      <c r="B101" s="1478" t="s">
        <v>592</v>
      </c>
      <c r="C101" s="1479">
        <v>1930</v>
      </c>
      <c r="D101" s="1479">
        <v>0</v>
      </c>
      <c r="E101" s="1479">
        <v>1930</v>
      </c>
      <c r="F101" s="1480">
        <v>1</v>
      </c>
    </row>
    <row r="102" spans="1:6" ht="12" thickBot="1">
      <c r="A102" s="1478" t="s">
        <v>629</v>
      </c>
      <c r="B102" s="1478" t="s">
        <v>630</v>
      </c>
      <c r="C102" s="1479">
        <v>285</v>
      </c>
      <c r="D102" s="1479">
        <v>73</v>
      </c>
      <c r="E102" s="1479">
        <v>557</v>
      </c>
      <c r="F102" s="1480">
        <v>0.64272890484699996</v>
      </c>
    </row>
    <row r="103" spans="1:6" ht="12" thickBot="1">
      <c r="A103" s="1478" t="s">
        <v>376</v>
      </c>
      <c r="B103" s="1478" t="s">
        <v>377</v>
      </c>
      <c r="C103" s="1479">
        <v>395</v>
      </c>
      <c r="D103" s="1479">
        <v>129</v>
      </c>
      <c r="E103" s="1479">
        <v>1022</v>
      </c>
      <c r="F103" s="1480">
        <v>0.51272015655500003</v>
      </c>
    </row>
    <row r="104" spans="1:6" ht="12" thickBot="1">
      <c r="A104" s="1478" t="s">
        <v>271</v>
      </c>
      <c r="B104" s="1478" t="s">
        <v>272</v>
      </c>
      <c r="C104" s="1479">
        <v>386</v>
      </c>
      <c r="D104" s="1479">
        <v>114</v>
      </c>
      <c r="E104" s="1479">
        <v>1112</v>
      </c>
      <c r="F104" s="1480">
        <v>0.449640287769</v>
      </c>
    </row>
    <row r="105" spans="1:6" ht="12" thickBot="1">
      <c r="A105" s="1478" t="s">
        <v>221</v>
      </c>
      <c r="B105" s="1478" t="s">
        <v>222</v>
      </c>
      <c r="C105" s="1479">
        <v>1238</v>
      </c>
      <c r="D105" s="1479">
        <v>18</v>
      </c>
      <c r="E105" s="1479">
        <v>1385</v>
      </c>
      <c r="F105" s="1480">
        <v>0.90685920577599999</v>
      </c>
    </row>
    <row r="106" spans="1:6" ht="12" thickBot="1">
      <c r="A106" s="1478" t="s">
        <v>617</v>
      </c>
      <c r="B106" s="1478" t="s">
        <v>618</v>
      </c>
      <c r="C106" s="1479">
        <v>1120</v>
      </c>
      <c r="D106" s="1479">
        <v>315</v>
      </c>
      <c r="E106" s="1479">
        <v>2790</v>
      </c>
      <c r="F106" s="1480">
        <v>0.51433691756199995</v>
      </c>
    </row>
    <row r="107" spans="1:6" ht="12" thickBot="1">
      <c r="A107" s="1478" t="s">
        <v>285</v>
      </c>
      <c r="B107" s="1478" t="s">
        <v>286</v>
      </c>
      <c r="C107" s="1479">
        <v>206</v>
      </c>
      <c r="D107" s="1479">
        <v>25</v>
      </c>
      <c r="E107" s="1479">
        <v>343</v>
      </c>
      <c r="F107" s="1480">
        <v>0.67346938775499998</v>
      </c>
    </row>
    <row r="108" spans="1:6" ht="12" thickBot="1">
      <c r="A108" s="1478" t="s">
        <v>247</v>
      </c>
      <c r="B108" s="1478" t="s">
        <v>248</v>
      </c>
      <c r="C108" s="1479">
        <v>404</v>
      </c>
      <c r="D108" s="1479">
        <v>56</v>
      </c>
      <c r="E108" s="1479">
        <v>637</v>
      </c>
      <c r="F108" s="1480">
        <v>0.72213500784899998</v>
      </c>
    </row>
    <row r="109" spans="1:6" ht="12" thickBot="1">
      <c r="A109" s="1478" t="s">
        <v>653</v>
      </c>
      <c r="B109" s="1478" t="s">
        <v>654</v>
      </c>
      <c r="C109" s="1479">
        <v>750</v>
      </c>
      <c r="D109" s="1479">
        <v>176</v>
      </c>
      <c r="E109" s="1479">
        <v>1758</v>
      </c>
      <c r="F109" s="1480">
        <v>0.52673492605200001</v>
      </c>
    </row>
    <row r="110" spans="1:6" ht="12" thickBot="1">
      <c r="A110" s="1478" t="s">
        <v>239</v>
      </c>
      <c r="B110" s="1478" t="s">
        <v>240</v>
      </c>
      <c r="C110" s="1479">
        <v>392</v>
      </c>
      <c r="D110" s="1479">
        <v>60</v>
      </c>
      <c r="E110" s="1479">
        <v>613</v>
      </c>
      <c r="F110" s="1480">
        <v>0.73735725937999996</v>
      </c>
    </row>
    <row r="111" spans="1:6" ht="12" thickBot="1">
      <c r="A111" s="1478" t="s">
        <v>386</v>
      </c>
      <c r="B111" s="1478" t="s">
        <v>387</v>
      </c>
      <c r="C111" s="1479">
        <v>2267</v>
      </c>
      <c r="D111" s="1479">
        <v>0</v>
      </c>
      <c r="E111" s="1479">
        <v>2267</v>
      </c>
      <c r="F111" s="1480">
        <v>1</v>
      </c>
    </row>
    <row r="112" spans="1:6" ht="12" thickBot="1">
      <c r="A112" s="1478" t="s">
        <v>625</v>
      </c>
      <c r="B112" s="1478" t="s">
        <v>626</v>
      </c>
      <c r="C112" s="1479">
        <v>295</v>
      </c>
      <c r="D112" s="1479">
        <v>56</v>
      </c>
      <c r="E112" s="1479">
        <v>468</v>
      </c>
      <c r="F112" s="1480">
        <v>0.75</v>
      </c>
    </row>
    <row r="113" spans="1:6" ht="12" thickBot="1">
      <c r="A113" s="1478" t="s">
        <v>297</v>
      </c>
      <c r="B113" s="1478" t="s">
        <v>298</v>
      </c>
      <c r="C113" s="1479">
        <v>868</v>
      </c>
      <c r="D113" s="1479">
        <v>178</v>
      </c>
      <c r="E113" s="1479">
        <v>1626</v>
      </c>
      <c r="F113" s="1480">
        <v>0.64329643296399996</v>
      </c>
    </row>
    <row r="114" spans="1:6" ht="12" thickBot="1">
      <c r="A114" s="1478" t="s">
        <v>478</v>
      </c>
      <c r="B114" s="1478" t="s">
        <v>479</v>
      </c>
      <c r="C114" s="1479">
        <v>213</v>
      </c>
      <c r="D114" s="1479">
        <v>67</v>
      </c>
      <c r="E114" s="1479">
        <v>415</v>
      </c>
      <c r="F114" s="1480">
        <v>0.67469879517999998</v>
      </c>
    </row>
    <row r="115" spans="1:6" ht="12" thickBot="1">
      <c r="A115" s="1478" t="s">
        <v>418</v>
      </c>
      <c r="B115" s="1478" t="s">
        <v>419</v>
      </c>
      <c r="C115" s="1479">
        <v>1803</v>
      </c>
      <c r="D115" s="1479">
        <v>189</v>
      </c>
      <c r="E115" s="1479">
        <v>2493</v>
      </c>
      <c r="F115" s="1480">
        <v>0.79903730445200005</v>
      </c>
    </row>
    <row r="116" spans="1:6" ht="12" thickBot="1">
      <c r="A116" s="1478" t="s">
        <v>293</v>
      </c>
      <c r="B116" s="1478" t="s">
        <v>294</v>
      </c>
      <c r="C116" s="1479">
        <v>479</v>
      </c>
      <c r="D116" s="1479">
        <v>120</v>
      </c>
      <c r="E116" s="1479">
        <v>871</v>
      </c>
      <c r="F116" s="1480">
        <v>0.687715269804</v>
      </c>
    </row>
    <row r="117" spans="1:6" ht="12" thickBot="1">
      <c r="A117" s="1478" t="s">
        <v>396</v>
      </c>
      <c r="B117" s="1478" t="s">
        <v>397</v>
      </c>
      <c r="C117" s="1479">
        <v>2604</v>
      </c>
      <c r="D117" s="1479">
        <v>234</v>
      </c>
      <c r="E117" s="1479">
        <v>3658</v>
      </c>
      <c r="F117" s="1480">
        <v>0.77583378895499999</v>
      </c>
    </row>
    <row r="118" spans="1:6" ht="12" thickBot="1">
      <c r="A118" s="1478" t="s">
        <v>474</v>
      </c>
      <c r="B118" s="1478" t="s">
        <v>475</v>
      </c>
      <c r="C118" s="1479">
        <v>569</v>
      </c>
      <c r="D118" s="1479">
        <v>138</v>
      </c>
      <c r="E118" s="1479">
        <v>952</v>
      </c>
      <c r="F118" s="1480">
        <v>0.74264705882299997</v>
      </c>
    </row>
    <row r="119" spans="1:6" ht="12" thickBot="1">
      <c r="A119" s="1478" t="s">
        <v>261</v>
      </c>
      <c r="B119" s="1478" t="s">
        <v>262</v>
      </c>
      <c r="C119" s="1479">
        <v>424</v>
      </c>
      <c r="D119" s="1479">
        <v>0</v>
      </c>
      <c r="E119" s="1479">
        <v>424</v>
      </c>
      <c r="F119" s="1480">
        <v>1</v>
      </c>
    </row>
    <row r="120" spans="1:6" ht="12" thickBot="1">
      <c r="A120" s="1478" t="s">
        <v>332</v>
      </c>
      <c r="B120" s="1478" t="s">
        <v>333</v>
      </c>
      <c r="C120" s="1479">
        <v>1182</v>
      </c>
      <c r="D120" s="1479">
        <v>198</v>
      </c>
      <c r="E120" s="1479">
        <v>2342</v>
      </c>
      <c r="F120" s="1480">
        <v>0.58923996584100002</v>
      </c>
    </row>
    <row r="121" spans="1:6" ht="12" thickBot="1">
      <c r="A121" s="1478" t="s">
        <v>450</v>
      </c>
      <c r="B121" s="1478" t="s">
        <v>451</v>
      </c>
      <c r="C121" s="1479">
        <v>284</v>
      </c>
      <c r="D121" s="1479">
        <v>81</v>
      </c>
      <c r="E121" s="1479">
        <v>510</v>
      </c>
      <c r="F121" s="1480">
        <v>0.71568627450900002</v>
      </c>
    </row>
    <row r="122" spans="1:6" ht="12" thickBot="1">
      <c r="A122" s="1478" t="s">
        <v>454</v>
      </c>
      <c r="B122" s="1478" t="s">
        <v>455</v>
      </c>
      <c r="C122" s="1479">
        <v>420</v>
      </c>
      <c r="D122" s="1479">
        <v>109</v>
      </c>
      <c r="E122" s="1479">
        <v>826</v>
      </c>
      <c r="F122" s="1480">
        <v>0.64043583535100002</v>
      </c>
    </row>
    <row r="123" spans="1:6" ht="12" thickBot="1">
      <c r="A123" s="1478" t="s">
        <v>368</v>
      </c>
      <c r="B123" s="1478" t="s">
        <v>369</v>
      </c>
      <c r="C123" s="1479">
        <v>504</v>
      </c>
      <c r="D123" s="1479">
        <v>135</v>
      </c>
      <c r="E123" s="1479">
        <v>896</v>
      </c>
      <c r="F123" s="1480">
        <v>0.71316964285700002</v>
      </c>
    </row>
    <row r="124" spans="1:6" ht="12" thickBot="1">
      <c r="A124" s="1478" t="s">
        <v>398</v>
      </c>
      <c r="B124" s="1478" t="s">
        <v>399</v>
      </c>
      <c r="C124" s="1479">
        <v>437</v>
      </c>
      <c r="D124" s="1479">
        <v>94</v>
      </c>
      <c r="E124" s="1479">
        <v>890</v>
      </c>
      <c r="F124" s="1480">
        <v>0.59662921348300002</v>
      </c>
    </row>
    <row r="125" spans="1:6" ht="12" thickBot="1">
      <c r="A125" s="1478" t="s">
        <v>503</v>
      </c>
      <c r="B125" s="1478" t="s">
        <v>504</v>
      </c>
      <c r="C125" s="1479">
        <v>3459</v>
      </c>
      <c r="D125" s="1479">
        <v>411</v>
      </c>
      <c r="E125" s="1479">
        <v>5355</v>
      </c>
      <c r="F125" s="1480">
        <v>0.72268907562999996</v>
      </c>
    </row>
    <row r="126" spans="1:6" ht="12" thickBot="1">
      <c r="A126" s="1478" t="s">
        <v>303</v>
      </c>
      <c r="B126" s="1478" t="s">
        <v>304</v>
      </c>
      <c r="C126" s="1479">
        <v>291</v>
      </c>
      <c r="D126" s="1479">
        <v>42</v>
      </c>
      <c r="E126" s="1479">
        <v>547</v>
      </c>
      <c r="F126" s="1480">
        <v>0.60877513711099995</v>
      </c>
    </row>
    <row r="127" spans="1:6" ht="12" thickBot="1">
      <c r="A127" s="1478" t="s">
        <v>392</v>
      </c>
      <c r="B127" s="1478" t="s">
        <v>393</v>
      </c>
      <c r="C127" s="1479">
        <v>223</v>
      </c>
      <c r="D127" s="1479">
        <v>37</v>
      </c>
      <c r="E127" s="1479">
        <v>419</v>
      </c>
      <c r="F127" s="1480">
        <v>0.62052505966500004</v>
      </c>
    </row>
    <row r="128" spans="1:6" ht="12" thickBot="1">
      <c r="A128" s="1478" t="s">
        <v>472</v>
      </c>
      <c r="B128" s="1478" t="s">
        <v>473</v>
      </c>
      <c r="C128" s="1479">
        <v>563</v>
      </c>
      <c r="D128" s="1479">
        <v>79</v>
      </c>
      <c r="E128" s="1479">
        <v>763</v>
      </c>
      <c r="F128" s="1480">
        <v>0.84141546526800004</v>
      </c>
    </row>
    <row r="129" spans="1:6" ht="12" thickBot="1">
      <c r="A129" s="1478" t="s">
        <v>400</v>
      </c>
      <c r="B129" s="1478" t="s">
        <v>401</v>
      </c>
      <c r="C129" s="1479">
        <v>1756</v>
      </c>
      <c r="D129" s="1479">
        <v>537</v>
      </c>
      <c r="E129" s="1479">
        <v>4128</v>
      </c>
      <c r="F129" s="1480">
        <v>0.55547480620099998</v>
      </c>
    </row>
    <row r="130" spans="1:6" ht="12" thickBot="1">
      <c r="A130" s="1478" t="s">
        <v>639</v>
      </c>
      <c r="B130" s="1478" t="s">
        <v>640</v>
      </c>
      <c r="C130" s="1479">
        <v>1143</v>
      </c>
      <c r="D130" s="1479">
        <v>0</v>
      </c>
      <c r="E130" s="1479">
        <v>1156</v>
      </c>
      <c r="F130" s="1480">
        <v>0.98875432525899998</v>
      </c>
    </row>
    <row r="131" spans="1:6" ht="12" thickBot="1">
      <c r="A131" s="1478" t="s">
        <v>402</v>
      </c>
      <c r="B131" s="1478" t="s">
        <v>403</v>
      </c>
      <c r="C131" s="1479">
        <v>952</v>
      </c>
      <c r="D131" s="1479">
        <v>242</v>
      </c>
      <c r="E131" s="1479">
        <v>3037</v>
      </c>
      <c r="F131" s="1480">
        <v>0.39315113598899998</v>
      </c>
    </row>
    <row r="132" spans="1:6" ht="12" thickBot="1">
      <c r="A132" s="1478" t="s">
        <v>466</v>
      </c>
      <c r="B132" s="1478" t="s">
        <v>467</v>
      </c>
      <c r="C132" s="1479">
        <v>521</v>
      </c>
      <c r="D132" s="1479">
        <v>125</v>
      </c>
      <c r="E132" s="1479">
        <v>1066</v>
      </c>
      <c r="F132" s="1480">
        <v>0.60600375234500004</v>
      </c>
    </row>
    <row r="133" spans="1:6" ht="12" thickBot="1">
      <c r="A133" s="1478" t="s">
        <v>287</v>
      </c>
      <c r="B133" s="1478" t="s">
        <v>288</v>
      </c>
      <c r="C133" s="1479">
        <v>310</v>
      </c>
      <c r="D133" s="1479">
        <v>106</v>
      </c>
      <c r="E133" s="1479">
        <v>856</v>
      </c>
      <c r="F133" s="1480">
        <v>0.48598130841100001</v>
      </c>
    </row>
    <row r="134" spans="1:6" ht="12" thickBot="1">
      <c r="A134" s="1478" t="s">
        <v>480</v>
      </c>
      <c r="B134" s="1478" t="s">
        <v>307</v>
      </c>
      <c r="C134" s="1479">
        <v>541</v>
      </c>
      <c r="D134" s="1479">
        <v>133</v>
      </c>
      <c r="E134" s="1479">
        <v>1084</v>
      </c>
      <c r="F134" s="1480">
        <v>0.62177121771199995</v>
      </c>
    </row>
    <row r="135" spans="1:6" ht="12" thickBot="1">
      <c r="A135" s="1478" t="s">
        <v>623</v>
      </c>
      <c r="B135" s="1478" t="s">
        <v>624</v>
      </c>
      <c r="C135" s="1479">
        <v>246</v>
      </c>
      <c r="D135" s="1479">
        <v>32</v>
      </c>
      <c r="E135" s="1479">
        <v>370</v>
      </c>
      <c r="F135" s="1480">
        <v>0.75135135135099995</v>
      </c>
    </row>
    <row r="136" spans="1:6" ht="12" thickBot="1">
      <c r="A136" s="1478" t="s">
        <v>308</v>
      </c>
      <c r="B136" s="1478" t="s">
        <v>309</v>
      </c>
      <c r="C136" s="1479">
        <v>843</v>
      </c>
      <c r="D136" s="1479">
        <v>69</v>
      </c>
      <c r="E136" s="1479">
        <v>995</v>
      </c>
      <c r="F136" s="1480">
        <v>0.91658291457200003</v>
      </c>
    </row>
    <row r="137" spans="1:6" ht="12" thickBot="1">
      <c r="A137" s="1478" t="s">
        <v>135</v>
      </c>
      <c r="B137" s="1478" t="s">
        <v>136</v>
      </c>
      <c r="C137" s="1479">
        <v>718</v>
      </c>
      <c r="D137" s="1479">
        <v>202</v>
      </c>
      <c r="E137" s="1479">
        <v>1304</v>
      </c>
      <c r="F137" s="1480">
        <v>0.70552147239200003</v>
      </c>
    </row>
    <row r="138" spans="1:6" ht="12" thickBot="1">
      <c r="A138" s="1478" t="s">
        <v>249</v>
      </c>
      <c r="B138" s="1478" t="s">
        <v>250</v>
      </c>
      <c r="C138" s="1479">
        <v>14968</v>
      </c>
      <c r="D138" s="1479">
        <v>2007</v>
      </c>
      <c r="E138" s="1479">
        <v>24226</v>
      </c>
      <c r="F138" s="1480">
        <v>0.70069346982500003</v>
      </c>
    </row>
    <row r="139" spans="1:6" ht="12" thickBot="1">
      <c r="A139" s="1478" t="s">
        <v>324</v>
      </c>
      <c r="B139" s="1478" t="s">
        <v>325</v>
      </c>
      <c r="C139" s="1479">
        <v>846</v>
      </c>
      <c r="D139" s="1479">
        <v>185</v>
      </c>
      <c r="E139" s="1479">
        <v>1847</v>
      </c>
      <c r="F139" s="1480">
        <v>0.55820249052500004</v>
      </c>
    </row>
    <row r="140" spans="1:6" ht="12" thickBot="1">
      <c r="A140" s="1478" t="s">
        <v>318</v>
      </c>
      <c r="B140" s="1478" t="s">
        <v>319</v>
      </c>
      <c r="C140" s="1479">
        <v>305</v>
      </c>
      <c r="D140" s="1479">
        <v>97</v>
      </c>
      <c r="E140" s="1479">
        <v>521</v>
      </c>
      <c r="F140" s="1480">
        <v>0.77159309021099998</v>
      </c>
    </row>
    <row r="141" spans="1:6" ht="12" thickBot="1">
      <c r="A141" s="1478" t="s">
        <v>426</v>
      </c>
      <c r="B141" s="1478" t="s">
        <v>427</v>
      </c>
      <c r="C141" s="1479">
        <v>237</v>
      </c>
      <c r="D141" s="1479">
        <v>96</v>
      </c>
      <c r="E141" s="1479">
        <v>655</v>
      </c>
      <c r="F141" s="1480">
        <v>0.50839694656400003</v>
      </c>
    </row>
    <row r="142" spans="1:6" ht="12" thickBot="1">
      <c r="A142" s="1478" t="s">
        <v>485</v>
      </c>
      <c r="B142" s="1478" t="s">
        <v>486</v>
      </c>
      <c r="C142" s="1479">
        <v>1693</v>
      </c>
      <c r="D142" s="1479">
        <v>207</v>
      </c>
      <c r="E142" s="1479">
        <v>2810</v>
      </c>
      <c r="F142" s="1480">
        <v>0.676156583629</v>
      </c>
    </row>
    <row r="143" spans="1:6" ht="12" thickBot="1">
      <c r="A143" s="1478" t="s">
        <v>428</v>
      </c>
      <c r="B143" s="1478" t="s">
        <v>429</v>
      </c>
      <c r="C143" s="1479">
        <v>1221</v>
      </c>
      <c r="D143" s="1479">
        <v>291</v>
      </c>
      <c r="E143" s="1479">
        <v>2123</v>
      </c>
      <c r="F143" s="1480">
        <v>0.71219971738099996</v>
      </c>
    </row>
    <row r="144" spans="1:6" ht="12" thickBot="1">
      <c r="A144" s="1478" t="s">
        <v>559</v>
      </c>
      <c r="B144" s="1478" t="s">
        <v>560</v>
      </c>
      <c r="C144" s="1479">
        <v>251</v>
      </c>
      <c r="D144" s="1479">
        <v>48</v>
      </c>
      <c r="E144" s="1479">
        <v>472</v>
      </c>
      <c r="F144" s="1480">
        <v>0.63347457627100001</v>
      </c>
    </row>
    <row r="145" spans="1:6" ht="12" thickBot="1">
      <c r="A145" s="1478" t="s">
        <v>352</v>
      </c>
      <c r="B145" s="1478" t="s">
        <v>353</v>
      </c>
      <c r="C145" s="1479">
        <v>508</v>
      </c>
      <c r="D145" s="1479">
        <v>111</v>
      </c>
      <c r="E145" s="1479">
        <v>995</v>
      </c>
      <c r="F145" s="1480">
        <v>0.62211055276299998</v>
      </c>
    </row>
    <row r="146" spans="1:6" ht="12" thickBot="1">
      <c r="A146" s="1478" t="s">
        <v>289</v>
      </c>
      <c r="B146" s="1478" t="s">
        <v>290</v>
      </c>
      <c r="C146" s="1479">
        <v>430</v>
      </c>
      <c r="D146" s="1479">
        <v>124</v>
      </c>
      <c r="E146" s="1479">
        <v>958</v>
      </c>
      <c r="F146" s="1480">
        <v>0.57828810020800003</v>
      </c>
    </row>
    <row r="147" spans="1:6" ht="12" thickBot="1">
      <c r="A147" s="1478" t="s">
        <v>525</v>
      </c>
      <c r="B147" s="1478" t="s">
        <v>526</v>
      </c>
      <c r="C147" s="1479">
        <v>2104</v>
      </c>
      <c r="D147" s="1479">
        <v>392</v>
      </c>
      <c r="E147" s="1479">
        <v>4266</v>
      </c>
      <c r="F147" s="1480">
        <v>0.58509142053399998</v>
      </c>
    </row>
    <row r="148" spans="1:6" ht="12" thickBot="1">
      <c r="A148" s="1478" t="s">
        <v>223</v>
      </c>
      <c r="B148" s="1478" t="s">
        <v>224</v>
      </c>
      <c r="C148" s="1479">
        <v>434</v>
      </c>
      <c r="D148" s="1479">
        <v>39</v>
      </c>
      <c r="E148" s="1479">
        <v>619</v>
      </c>
      <c r="F148" s="1480">
        <v>0.76413570274599996</v>
      </c>
    </row>
    <row r="149" spans="1:6" ht="12" thickBot="1">
      <c r="A149" s="1478" t="s">
        <v>410</v>
      </c>
      <c r="B149" s="1478" t="s">
        <v>411</v>
      </c>
      <c r="C149" s="1479">
        <v>343</v>
      </c>
      <c r="D149" s="1479">
        <v>113</v>
      </c>
      <c r="E149" s="1479">
        <v>715</v>
      </c>
      <c r="F149" s="1480">
        <v>0.63776223776200003</v>
      </c>
    </row>
    <row r="150" spans="1:6" ht="12" thickBot="1">
      <c r="A150" s="1478" t="s">
        <v>388</v>
      </c>
      <c r="B150" s="1478" t="s">
        <v>389</v>
      </c>
      <c r="C150" s="1479">
        <v>429</v>
      </c>
      <c r="D150" s="1479">
        <v>11</v>
      </c>
      <c r="E150" s="1479">
        <v>461</v>
      </c>
      <c r="F150" s="1480">
        <v>0.95444685466300005</v>
      </c>
    </row>
    <row r="151" spans="1:6" ht="12" thickBot="1">
      <c r="A151" s="1478" t="s">
        <v>547</v>
      </c>
      <c r="B151" s="1478" t="s">
        <v>548</v>
      </c>
      <c r="C151" s="1479">
        <v>421</v>
      </c>
      <c r="D151" s="1479">
        <v>148</v>
      </c>
      <c r="E151" s="1479">
        <v>1054</v>
      </c>
      <c r="F151" s="1480">
        <v>0.53984819734300005</v>
      </c>
    </row>
    <row r="152" spans="1:6" ht="12" thickBot="1">
      <c r="A152" s="1478" t="s">
        <v>255</v>
      </c>
      <c r="B152" s="1478" t="s">
        <v>256</v>
      </c>
      <c r="C152" s="1479">
        <v>519</v>
      </c>
      <c r="D152" s="1479">
        <v>0</v>
      </c>
      <c r="E152" s="1479">
        <v>519</v>
      </c>
      <c r="F152" s="1480">
        <v>1</v>
      </c>
    </row>
    <row r="153" spans="1:6" ht="12" thickBot="1">
      <c r="A153" s="1478" t="s">
        <v>161</v>
      </c>
      <c r="B153" s="1478" t="s">
        <v>162</v>
      </c>
      <c r="C153" s="1479">
        <v>371</v>
      </c>
      <c r="D153" s="1479">
        <v>72</v>
      </c>
      <c r="E153" s="1479">
        <v>678</v>
      </c>
      <c r="F153" s="1480">
        <v>0.65339233038300004</v>
      </c>
    </row>
    <row r="154" spans="1:6" ht="12" thickBot="1">
      <c r="A154" s="1478" t="s">
        <v>535</v>
      </c>
      <c r="B154" s="1478" t="s">
        <v>536</v>
      </c>
      <c r="C154" s="1479">
        <v>748</v>
      </c>
      <c r="D154" s="1479">
        <v>113</v>
      </c>
      <c r="E154" s="1479">
        <v>1129</v>
      </c>
      <c r="F154" s="1480">
        <v>0.76262178919300005</v>
      </c>
    </row>
    <row r="155" spans="1:6" ht="12" thickBot="1">
      <c r="A155" s="1478" t="s">
        <v>448</v>
      </c>
      <c r="B155" s="1478" t="s">
        <v>449</v>
      </c>
      <c r="C155" s="1479">
        <v>386</v>
      </c>
      <c r="D155" s="1479">
        <v>126</v>
      </c>
      <c r="E155" s="1479">
        <v>919</v>
      </c>
      <c r="F155" s="1480">
        <v>0.55712731229500001</v>
      </c>
    </row>
    <row r="156" spans="1:6" ht="12" thickBot="1">
      <c r="A156" s="1478" t="s">
        <v>229</v>
      </c>
      <c r="B156" s="1478" t="s">
        <v>230</v>
      </c>
      <c r="C156" s="1479">
        <v>900</v>
      </c>
      <c r="D156" s="1479">
        <v>332</v>
      </c>
      <c r="E156" s="1479">
        <v>1901</v>
      </c>
      <c r="F156" s="1480">
        <v>0.64807995791600004</v>
      </c>
    </row>
    <row r="157" spans="1:6" ht="12" thickBot="1">
      <c r="A157" s="1478" t="s">
        <v>442</v>
      </c>
      <c r="B157" s="1478" t="s">
        <v>443</v>
      </c>
      <c r="C157" s="1479">
        <v>274</v>
      </c>
      <c r="D157" s="1479">
        <v>73</v>
      </c>
      <c r="E157" s="1479">
        <v>522</v>
      </c>
      <c r="F157" s="1480">
        <v>0.66475095785399996</v>
      </c>
    </row>
    <row r="158" spans="1:6" ht="12" thickBot="1">
      <c r="A158" s="1478" t="s">
        <v>434</v>
      </c>
      <c r="B158" s="1478" t="s">
        <v>435</v>
      </c>
      <c r="C158" s="1479">
        <v>396</v>
      </c>
      <c r="D158" s="1479">
        <v>42</v>
      </c>
      <c r="E158" s="1479">
        <v>482</v>
      </c>
      <c r="F158" s="1480">
        <v>0.90871369294600002</v>
      </c>
    </row>
    <row r="159" spans="1:6" ht="12" thickBot="1">
      <c r="A159" s="1478" t="s">
        <v>539</v>
      </c>
      <c r="B159" s="1478" t="s">
        <v>540</v>
      </c>
      <c r="C159" s="1479">
        <v>1016</v>
      </c>
      <c r="D159" s="1479">
        <v>140</v>
      </c>
      <c r="E159" s="1479">
        <v>2089</v>
      </c>
      <c r="F159" s="1480">
        <v>0.55337482048800002</v>
      </c>
    </row>
    <row r="160" spans="1:6" ht="12" thickBot="1">
      <c r="A160" s="1478" t="s">
        <v>362</v>
      </c>
      <c r="B160" s="1478" t="s">
        <v>363</v>
      </c>
      <c r="C160" s="1479">
        <v>247</v>
      </c>
      <c r="D160" s="1479">
        <v>62</v>
      </c>
      <c r="E160" s="1479">
        <v>513</v>
      </c>
      <c r="F160" s="1480">
        <v>0.60233918128599995</v>
      </c>
    </row>
    <row r="161" spans="1:6" ht="12" thickBot="1">
      <c r="A161" s="1478" t="s">
        <v>595</v>
      </c>
      <c r="B161" s="1478" t="s">
        <v>596</v>
      </c>
      <c r="C161" s="1479">
        <v>1706</v>
      </c>
      <c r="D161" s="1479">
        <v>441</v>
      </c>
      <c r="E161" s="1479">
        <v>3995</v>
      </c>
      <c r="F161" s="1480">
        <v>0.53742177722100004</v>
      </c>
    </row>
    <row r="162" spans="1:6" ht="12" thickBot="1">
      <c r="A162" s="1478" t="s">
        <v>404</v>
      </c>
      <c r="B162" s="1478" t="s">
        <v>405</v>
      </c>
      <c r="C162" s="1479">
        <v>382</v>
      </c>
      <c r="D162" s="1479">
        <v>79</v>
      </c>
      <c r="E162" s="1479">
        <v>603</v>
      </c>
      <c r="F162" s="1480">
        <v>0.76451077943599999</v>
      </c>
    </row>
    <row r="163" spans="1:6" ht="12" thickBot="1">
      <c r="A163" s="1478" t="s">
        <v>299</v>
      </c>
      <c r="B163" s="1478" t="s">
        <v>300</v>
      </c>
      <c r="C163" s="1479">
        <v>813</v>
      </c>
      <c r="D163" s="1479">
        <v>223</v>
      </c>
      <c r="E163" s="1479">
        <v>1718</v>
      </c>
      <c r="F163" s="1480">
        <v>0.60302677532000004</v>
      </c>
    </row>
    <row r="164" spans="1:6" ht="12" thickBot="1">
      <c r="A164" s="1478" t="s">
        <v>515</v>
      </c>
      <c r="B164" s="1478" t="s">
        <v>516</v>
      </c>
      <c r="C164" s="1479">
        <v>421</v>
      </c>
      <c r="D164" s="1479">
        <v>93</v>
      </c>
      <c r="E164" s="1479">
        <v>696</v>
      </c>
      <c r="F164" s="1480">
        <v>0.73850574712600003</v>
      </c>
    </row>
    <row r="165" spans="1:6" ht="12" thickBot="1">
      <c r="A165" s="1478" t="s">
        <v>549</v>
      </c>
      <c r="B165" s="1478" t="s">
        <v>550</v>
      </c>
      <c r="C165" s="1479">
        <v>251</v>
      </c>
      <c r="D165" s="1479">
        <v>35</v>
      </c>
      <c r="E165" s="1479">
        <v>475</v>
      </c>
      <c r="F165" s="1480">
        <v>0.60210526315699997</v>
      </c>
    </row>
    <row r="166" spans="1:6" ht="12" thickBot="1">
      <c r="A166" s="1478" t="s">
        <v>517</v>
      </c>
      <c r="B166" s="1478" t="s">
        <v>518</v>
      </c>
      <c r="C166" s="1479">
        <v>265</v>
      </c>
      <c r="D166" s="1479">
        <v>46</v>
      </c>
      <c r="E166" s="1479">
        <v>401</v>
      </c>
      <c r="F166" s="1480">
        <v>0.77556109725599998</v>
      </c>
    </row>
    <row r="167" spans="1:6" ht="12" thickBot="1">
      <c r="A167" s="1478" t="s">
        <v>251</v>
      </c>
      <c r="B167" s="1478" t="s">
        <v>252</v>
      </c>
      <c r="C167" s="1479">
        <v>5452</v>
      </c>
      <c r="D167" s="1479">
        <v>470</v>
      </c>
      <c r="E167" s="1479">
        <v>8862</v>
      </c>
      <c r="F167" s="1480">
        <v>0.66824644549699996</v>
      </c>
    </row>
    <row r="168" spans="1:6" ht="12" thickBot="1">
      <c r="A168" s="1478" t="s">
        <v>436</v>
      </c>
      <c r="B168" s="1478" t="s">
        <v>437</v>
      </c>
      <c r="C168" s="1479">
        <v>1057</v>
      </c>
      <c r="D168" s="1479">
        <v>190</v>
      </c>
      <c r="E168" s="1479">
        <v>1951</v>
      </c>
      <c r="F168" s="1480">
        <v>0.63915940543299998</v>
      </c>
    </row>
    <row r="169" spans="1:6" ht="12" thickBot="1">
      <c r="A169" s="1478" t="s">
        <v>489</v>
      </c>
      <c r="B169" s="1478" t="s">
        <v>490</v>
      </c>
      <c r="C169" s="1479">
        <v>247</v>
      </c>
      <c r="D169" s="1479">
        <v>58</v>
      </c>
      <c r="E169" s="1479">
        <v>494</v>
      </c>
      <c r="F169" s="1480">
        <v>0.61740890688200001</v>
      </c>
    </row>
    <row r="170" spans="1:6" ht="12" thickBot="1">
      <c r="A170" s="1478" t="s">
        <v>505</v>
      </c>
      <c r="B170" s="1478" t="s">
        <v>506</v>
      </c>
      <c r="C170" s="1479">
        <v>1543</v>
      </c>
      <c r="D170" s="1479">
        <v>287</v>
      </c>
      <c r="E170" s="1479">
        <v>3171</v>
      </c>
      <c r="F170" s="1480">
        <v>0.57710501419100002</v>
      </c>
    </row>
    <row r="171" spans="1:6" ht="12" thickBot="1">
      <c r="A171" s="1478" t="s">
        <v>366</v>
      </c>
      <c r="B171" s="1478" t="s">
        <v>367</v>
      </c>
      <c r="C171" s="1479">
        <v>249</v>
      </c>
      <c r="D171" s="1479">
        <v>49</v>
      </c>
      <c r="E171" s="1479">
        <v>403</v>
      </c>
      <c r="F171" s="1480">
        <v>0.73945409429200004</v>
      </c>
    </row>
    <row r="172" spans="1:6" ht="12" thickBot="1">
      <c r="A172" s="1478" t="s">
        <v>452</v>
      </c>
      <c r="B172" s="1478" t="s">
        <v>453</v>
      </c>
      <c r="C172" s="1479">
        <v>889</v>
      </c>
      <c r="D172" s="1479">
        <v>159</v>
      </c>
      <c r="E172" s="1479">
        <v>1440</v>
      </c>
      <c r="F172" s="1480">
        <v>0.72777777777700003</v>
      </c>
    </row>
    <row r="173" spans="1:6" ht="12" thickBot="1">
      <c r="A173" s="1478" t="s">
        <v>597</v>
      </c>
      <c r="B173" s="1478" t="s">
        <v>598</v>
      </c>
      <c r="C173" s="1479">
        <v>335</v>
      </c>
      <c r="D173" s="1479">
        <v>43</v>
      </c>
      <c r="E173" s="1479">
        <v>463</v>
      </c>
      <c r="F173" s="1480">
        <v>0.81641468682499996</v>
      </c>
    </row>
    <row r="174" spans="1:6" ht="12" thickBot="1">
      <c r="A174" s="1478" t="s">
        <v>305</v>
      </c>
      <c r="B174" s="1478" t="s">
        <v>306</v>
      </c>
      <c r="C174" s="1479">
        <v>176</v>
      </c>
      <c r="D174" s="1479">
        <v>30</v>
      </c>
      <c r="E174" s="1479">
        <v>409</v>
      </c>
      <c r="F174" s="1480">
        <v>0.50366748166200004</v>
      </c>
    </row>
    <row r="175" spans="1:6" ht="12" thickBot="1">
      <c r="A175" s="1478" t="s">
        <v>619</v>
      </c>
      <c r="B175" s="1478" t="s">
        <v>620</v>
      </c>
      <c r="C175" s="1479">
        <v>257</v>
      </c>
      <c r="D175" s="1479">
        <v>41</v>
      </c>
      <c r="E175" s="1479">
        <v>420</v>
      </c>
      <c r="F175" s="1480">
        <v>0.70952380952299998</v>
      </c>
    </row>
    <row r="176" spans="1:6" ht="12" thickBot="1">
      <c r="A176" s="1478" t="s">
        <v>354</v>
      </c>
      <c r="B176" s="1478" t="s">
        <v>355</v>
      </c>
      <c r="C176" s="1479">
        <v>1132</v>
      </c>
      <c r="D176" s="1479">
        <v>113</v>
      </c>
      <c r="E176" s="1479">
        <v>1399</v>
      </c>
      <c r="F176" s="1480">
        <v>0.88992137240799996</v>
      </c>
    </row>
    <row r="177" spans="1:6" ht="12" thickBot="1">
      <c r="A177" s="1478" t="s">
        <v>231</v>
      </c>
      <c r="B177" s="1478" t="s">
        <v>232</v>
      </c>
      <c r="C177" s="1479">
        <v>396</v>
      </c>
      <c r="D177" s="1479">
        <v>122</v>
      </c>
      <c r="E177" s="1479">
        <v>723</v>
      </c>
      <c r="F177" s="1480">
        <v>0.71645919778599998</v>
      </c>
    </row>
    <row r="178" spans="1:6" ht="12" thickBot="1">
      <c r="A178" s="1478" t="s">
        <v>430</v>
      </c>
      <c r="B178" s="1478" t="s">
        <v>431</v>
      </c>
      <c r="C178" s="1479">
        <v>159</v>
      </c>
      <c r="D178" s="1479">
        <v>62</v>
      </c>
      <c r="E178" s="1479">
        <v>452</v>
      </c>
      <c r="F178" s="1480">
        <v>0.488938053097</v>
      </c>
    </row>
    <row r="179" spans="1:6" ht="12" thickBot="1">
      <c r="A179" s="1478" t="s">
        <v>277</v>
      </c>
      <c r="B179" s="1478" t="s">
        <v>278</v>
      </c>
      <c r="C179" s="1479">
        <v>420</v>
      </c>
      <c r="D179" s="1479">
        <v>97</v>
      </c>
      <c r="E179" s="1479">
        <v>653</v>
      </c>
      <c r="F179" s="1480">
        <v>0.79173047473199998</v>
      </c>
    </row>
    <row r="180" spans="1:6" ht="12" thickBot="1">
      <c r="A180" s="1478" t="s">
        <v>557</v>
      </c>
      <c r="B180" s="1478" t="s">
        <v>558</v>
      </c>
      <c r="C180" s="1479">
        <v>843</v>
      </c>
      <c r="D180" s="1479">
        <v>152</v>
      </c>
      <c r="E180" s="1479">
        <v>1838</v>
      </c>
      <c r="F180" s="1480">
        <v>0.54134929270900001</v>
      </c>
    </row>
    <row r="181" spans="1:6" ht="12" thickBot="1">
      <c r="A181" s="1478" t="s">
        <v>263</v>
      </c>
      <c r="B181" s="1478" t="s">
        <v>264</v>
      </c>
      <c r="C181" s="1479">
        <v>671</v>
      </c>
      <c r="D181" s="1479">
        <v>0</v>
      </c>
      <c r="E181" s="1479">
        <v>673</v>
      </c>
      <c r="F181" s="1480">
        <v>0.99702823179699995</v>
      </c>
    </row>
    <row r="182" spans="1:6" ht="12" thickBot="1">
      <c r="A182" s="1478" t="s">
        <v>153</v>
      </c>
      <c r="B182" s="1478" t="s">
        <v>154</v>
      </c>
      <c r="C182" s="1479">
        <v>341</v>
      </c>
      <c r="D182" s="1479">
        <v>92</v>
      </c>
      <c r="E182" s="1479">
        <v>751</v>
      </c>
      <c r="F182" s="1480">
        <v>0.57656458055899995</v>
      </c>
    </row>
    <row r="183" spans="1:6" ht="12" thickBot="1">
      <c r="A183" s="1478" t="s">
        <v>414</v>
      </c>
      <c r="B183" s="1478" t="s">
        <v>415</v>
      </c>
      <c r="C183" s="1479">
        <v>1508</v>
      </c>
      <c r="D183" s="1479">
        <v>352</v>
      </c>
      <c r="E183" s="1479">
        <v>2919</v>
      </c>
      <c r="F183" s="1480">
        <v>0.63720452209599998</v>
      </c>
    </row>
    <row r="184" spans="1:6" ht="12" thickBot="1">
      <c r="A184" s="1478" t="s">
        <v>320</v>
      </c>
      <c r="B184" s="1478" t="s">
        <v>321</v>
      </c>
      <c r="C184" s="1479">
        <v>547</v>
      </c>
      <c r="D184" s="1479">
        <v>125</v>
      </c>
      <c r="E184" s="1479">
        <v>1122</v>
      </c>
      <c r="F184" s="1480">
        <v>0.59893048128299997</v>
      </c>
    </row>
    <row r="185" spans="1:6" ht="12" thickBot="1">
      <c r="A185" s="1478" t="s">
        <v>115</v>
      </c>
      <c r="B185" s="1478" t="s">
        <v>116</v>
      </c>
      <c r="C185" s="1479">
        <v>140</v>
      </c>
      <c r="D185" s="1479">
        <v>48</v>
      </c>
      <c r="E185" s="1479">
        <v>654</v>
      </c>
      <c r="F185" s="1480">
        <v>0.28746177369999998</v>
      </c>
    </row>
    <row r="186" spans="1:6" ht="12" thickBot="1">
      <c r="A186" s="1478" t="s">
        <v>611</v>
      </c>
      <c r="B186" s="1478" t="s">
        <v>612</v>
      </c>
      <c r="C186" s="1479">
        <v>588</v>
      </c>
      <c r="D186" s="1479">
        <v>162</v>
      </c>
      <c r="E186" s="1479">
        <v>1639</v>
      </c>
      <c r="F186" s="1480">
        <v>0.45759609517900002</v>
      </c>
    </row>
    <row r="187" spans="1:6" ht="12" thickBot="1">
      <c r="A187" s="1478" t="s">
        <v>382</v>
      </c>
      <c r="B187" s="1478" t="s">
        <v>383</v>
      </c>
      <c r="C187" s="1479">
        <v>410</v>
      </c>
      <c r="D187" s="1479">
        <v>91</v>
      </c>
      <c r="E187" s="1479">
        <v>1026</v>
      </c>
      <c r="F187" s="1480">
        <v>0.488304093567</v>
      </c>
    </row>
    <row r="188" spans="1:6" ht="12" thickBot="1">
      <c r="A188" s="1478" t="s">
        <v>647</v>
      </c>
      <c r="B188" s="1478" t="s">
        <v>648</v>
      </c>
      <c r="C188" s="1479">
        <v>417</v>
      </c>
      <c r="D188" s="1479">
        <v>126</v>
      </c>
      <c r="E188" s="1479">
        <v>974</v>
      </c>
      <c r="F188" s="1480">
        <v>0.55749486652900004</v>
      </c>
    </row>
    <row r="189" spans="1:6" ht="12" thickBot="1">
      <c r="A189" s="1478" t="s">
        <v>458</v>
      </c>
      <c r="B189" s="1478" t="s">
        <v>459</v>
      </c>
      <c r="C189" s="1479">
        <v>3393</v>
      </c>
      <c r="D189" s="1479">
        <v>371</v>
      </c>
      <c r="E189" s="1479">
        <v>4744</v>
      </c>
      <c r="F189" s="1480">
        <v>0.79342327150000003</v>
      </c>
    </row>
    <row r="190" spans="1:6" ht="12" thickBot="1">
      <c r="A190" s="1478" t="s">
        <v>257</v>
      </c>
      <c r="B190" s="1478" t="s">
        <v>258</v>
      </c>
      <c r="C190" s="1479">
        <v>844</v>
      </c>
      <c r="D190" s="1479">
        <v>286</v>
      </c>
      <c r="E190" s="1479">
        <v>1816</v>
      </c>
      <c r="F190" s="1480">
        <v>0.62224669603500005</v>
      </c>
    </row>
    <row r="191" spans="1:6" ht="12" thickBot="1">
      <c r="A191" s="1478" t="s">
        <v>241</v>
      </c>
      <c r="B191" s="1478" t="s">
        <v>242</v>
      </c>
      <c r="C191" s="1479">
        <v>519</v>
      </c>
      <c r="D191" s="1479">
        <v>146</v>
      </c>
      <c r="E191" s="1479">
        <v>1614</v>
      </c>
      <c r="F191" s="1480">
        <v>0.41201982651699998</v>
      </c>
    </row>
    <row r="192" spans="1:6" ht="12" thickBot="1">
      <c r="A192" s="1478" t="s">
        <v>406</v>
      </c>
      <c r="B192" s="1478" t="s">
        <v>407</v>
      </c>
      <c r="C192" s="1479">
        <v>225</v>
      </c>
      <c r="D192" s="1479">
        <v>88</v>
      </c>
      <c r="E192" s="1479">
        <v>532</v>
      </c>
      <c r="F192" s="1480">
        <v>0.58834586466100003</v>
      </c>
    </row>
    <row r="193" spans="1:6" ht="12" thickBot="1">
      <c r="A193" s="1478" t="s">
        <v>137</v>
      </c>
      <c r="B193" s="1478" t="s">
        <v>138</v>
      </c>
      <c r="C193" s="1479">
        <v>601</v>
      </c>
      <c r="D193" s="1479">
        <v>199</v>
      </c>
      <c r="E193" s="1479">
        <v>1741</v>
      </c>
      <c r="F193" s="1480">
        <v>0.45950603101600002</v>
      </c>
    </row>
    <row r="194" spans="1:6" ht="12" thickBot="1">
      <c r="A194" s="1478" t="s">
        <v>364</v>
      </c>
      <c r="B194" s="1478" t="s">
        <v>365</v>
      </c>
      <c r="C194" s="1479">
        <v>666</v>
      </c>
      <c r="D194" s="1479">
        <v>129</v>
      </c>
      <c r="E194" s="1479">
        <v>1043</v>
      </c>
      <c r="F194" s="1480">
        <v>0.76222435282800005</v>
      </c>
    </row>
    <row r="195" spans="1:6" ht="12" thickBot="1">
      <c r="A195" s="1478" t="s">
        <v>253</v>
      </c>
      <c r="B195" s="1478" t="s">
        <v>254</v>
      </c>
      <c r="C195" s="1479">
        <v>7845</v>
      </c>
      <c r="D195" s="1479">
        <v>1668</v>
      </c>
      <c r="E195" s="1479">
        <v>16828</v>
      </c>
      <c r="F195" s="1480">
        <v>0.56530782029899995</v>
      </c>
    </row>
    <row r="196" spans="1:6" ht="12" thickBot="1">
      <c r="A196" s="1478" t="s">
        <v>655</v>
      </c>
      <c r="B196" s="1478" t="s">
        <v>656</v>
      </c>
      <c r="C196" s="1479">
        <v>252</v>
      </c>
      <c r="D196" s="1479">
        <v>78</v>
      </c>
      <c r="E196" s="1479">
        <v>622</v>
      </c>
      <c r="F196" s="1480">
        <v>0.53054662379399997</v>
      </c>
    </row>
    <row r="197" spans="1:6" ht="12" thickBot="1">
      <c r="A197" s="1478" t="s">
        <v>649</v>
      </c>
      <c r="B197" s="1478" t="s">
        <v>650</v>
      </c>
      <c r="C197" s="1479">
        <v>271</v>
      </c>
      <c r="D197" s="1479">
        <v>69</v>
      </c>
      <c r="E197" s="1479">
        <v>592</v>
      </c>
      <c r="F197" s="1480">
        <v>0.57432432432400005</v>
      </c>
    </row>
    <row r="198" spans="1:6" ht="12" thickBot="1">
      <c r="A198" s="1478" t="s">
        <v>509</v>
      </c>
      <c r="B198" s="1478" t="s">
        <v>510</v>
      </c>
      <c r="C198" s="1479">
        <v>392</v>
      </c>
      <c r="D198" s="1479">
        <v>121</v>
      </c>
      <c r="E198" s="1479">
        <v>807</v>
      </c>
      <c r="F198" s="1480">
        <v>0.63568773234200004</v>
      </c>
    </row>
    <row r="199" spans="1:6" ht="12" thickBot="1">
      <c r="A199" s="1478" t="s">
        <v>151</v>
      </c>
      <c r="B199" s="1478" t="s">
        <v>152</v>
      </c>
      <c r="C199" s="1479">
        <v>753</v>
      </c>
      <c r="D199" s="1479">
        <v>169</v>
      </c>
      <c r="E199" s="1479">
        <v>1301</v>
      </c>
      <c r="F199" s="1480">
        <v>0.70868562644099997</v>
      </c>
    </row>
    <row r="200" spans="1:6" ht="12" thickBot="1">
      <c r="A200" s="1478" t="s">
        <v>607</v>
      </c>
      <c r="B200" s="1478" t="s">
        <v>608</v>
      </c>
      <c r="C200" s="1479">
        <v>6702</v>
      </c>
      <c r="D200" s="1479">
        <v>1509</v>
      </c>
      <c r="E200" s="1479">
        <v>14003</v>
      </c>
      <c r="F200" s="1480">
        <v>0.58637434835299995</v>
      </c>
    </row>
    <row r="201" spans="1:6" ht="12" thickBot="1">
      <c r="A201" s="1478" t="s">
        <v>155</v>
      </c>
      <c r="B201" s="1478" t="s">
        <v>156</v>
      </c>
      <c r="C201" s="1479">
        <v>342</v>
      </c>
      <c r="D201" s="1479">
        <v>97</v>
      </c>
      <c r="E201" s="1479">
        <v>825</v>
      </c>
      <c r="F201" s="1480">
        <v>0.53212121212100005</v>
      </c>
    </row>
    <row r="202" spans="1:6" ht="12" thickBot="1">
      <c r="A202" s="1478" t="s">
        <v>243</v>
      </c>
      <c r="B202" s="1478" t="s">
        <v>244</v>
      </c>
      <c r="C202" s="1479">
        <v>2369</v>
      </c>
      <c r="D202" s="1479">
        <v>532</v>
      </c>
      <c r="E202" s="1479">
        <v>5175</v>
      </c>
      <c r="F202" s="1480">
        <v>0.56057971014399999</v>
      </c>
    </row>
    <row r="203" spans="1:6" ht="12" thickBot="1">
      <c r="A203" s="1478" t="s">
        <v>561</v>
      </c>
      <c r="B203" s="1478" t="s">
        <v>562</v>
      </c>
      <c r="C203" s="1479">
        <v>376</v>
      </c>
      <c r="D203" s="1479">
        <v>78</v>
      </c>
      <c r="E203" s="1479">
        <v>727</v>
      </c>
      <c r="F203" s="1480">
        <v>0.62448418156800001</v>
      </c>
    </row>
    <row r="204" spans="1:6" ht="12" thickBot="1">
      <c r="A204" s="1478" t="s">
        <v>322</v>
      </c>
      <c r="B204" s="1478" t="s">
        <v>323</v>
      </c>
      <c r="C204" s="1479">
        <v>129</v>
      </c>
      <c r="D204" s="1479">
        <v>77</v>
      </c>
      <c r="E204" s="1479">
        <v>404</v>
      </c>
      <c r="F204" s="1480">
        <v>0.50990099009900003</v>
      </c>
    </row>
    <row r="205" spans="1:6" ht="12" thickBot="1">
      <c r="A205" s="1478" t="s">
        <v>275</v>
      </c>
      <c r="B205" s="1478" t="s">
        <v>276</v>
      </c>
      <c r="C205" s="1479">
        <v>557</v>
      </c>
      <c r="D205" s="1479">
        <v>116</v>
      </c>
      <c r="E205" s="1479">
        <v>938</v>
      </c>
      <c r="F205" s="1480">
        <v>0.71748400852799998</v>
      </c>
    </row>
    <row r="206" spans="1:6" ht="12" thickBot="1">
      <c r="A206" s="1478" t="s">
        <v>157</v>
      </c>
      <c r="B206" s="1478" t="s">
        <v>158</v>
      </c>
      <c r="C206" s="1479">
        <v>1395</v>
      </c>
      <c r="D206" s="1479">
        <v>389</v>
      </c>
      <c r="E206" s="1479">
        <v>4007</v>
      </c>
      <c r="F206" s="1480">
        <v>0.445220863488</v>
      </c>
    </row>
    <row r="207" spans="1:6" ht="12" thickBot="1">
      <c r="A207" s="1478" t="s">
        <v>408</v>
      </c>
      <c r="B207" s="1478" t="s">
        <v>409</v>
      </c>
      <c r="C207" s="1479">
        <v>1447</v>
      </c>
      <c r="D207" s="1479">
        <v>437</v>
      </c>
      <c r="E207" s="1479">
        <v>4173</v>
      </c>
      <c r="F207" s="1480">
        <v>0.45147375988400001</v>
      </c>
    </row>
    <row r="208" spans="1:6" ht="12" thickBot="1">
      <c r="A208" s="1478" t="s">
        <v>123</v>
      </c>
      <c r="B208" s="1478" t="s">
        <v>124</v>
      </c>
      <c r="C208" s="1479">
        <v>285</v>
      </c>
      <c r="D208" s="1479">
        <v>70</v>
      </c>
      <c r="E208" s="1479">
        <v>450</v>
      </c>
      <c r="F208" s="1480">
        <v>0.78888888888800002</v>
      </c>
    </row>
    <row r="209" spans="1:6" ht="12" thickBot="1">
      <c r="A209" s="1478" t="s">
        <v>609</v>
      </c>
      <c r="B209" s="1478" t="s">
        <v>610</v>
      </c>
      <c r="C209" s="1479">
        <v>1630</v>
      </c>
      <c r="D209" s="1479">
        <v>470</v>
      </c>
      <c r="E209" s="1479">
        <v>3903</v>
      </c>
      <c r="F209" s="1480">
        <v>0.53804765564900003</v>
      </c>
    </row>
    <row r="210" spans="1:6" ht="12" thickBot="1">
      <c r="A210" s="1478" t="s">
        <v>476</v>
      </c>
      <c r="B210" s="1478" t="s">
        <v>477</v>
      </c>
      <c r="C210" s="1479">
        <v>320</v>
      </c>
      <c r="D210" s="1479">
        <v>103</v>
      </c>
      <c r="E210" s="1479">
        <v>668</v>
      </c>
      <c r="F210" s="1480">
        <v>0.63323353293399998</v>
      </c>
    </row>
    <row r="211" spans="1:6" ht="12" thickBot="1">
      <c r="A211" s="1478" t="s">
        <v>117</v>
      </c>
      <c r="B211" s="1478" t="s">
        <v>118</v>
      </c>
      <c r="C211" s="1479">
        <v>376</v>
      </c>
      <c r="D211" s="1479">
        <v>55</v>
      </c>
      <c r="E211" s="1479">
        <v>857</v>
      </c>
      <c r="F211" s="1480">
        <v>0.50291715285799998</v>
      </c>
    </row>
    <row r="212" spans="1:6" ht="12" thickBot="1">
      <c r="A212" s="1478" t="s">
        <v>493</v>
      </c>
      <c r="B212" s="1478" t="s">
        <v>494</v>
      </c>
      <c r="C212" s="1479">
        <v>1186</v>
      </c>
      <c r="D212" s="1479">
        <v>208</v>
      </c>
      <c r="E212" s="1479">
        <v>2222</v>
      </c>
      <c r="F212" s="1480">
        <v>0.62736273627299999</v>
      </c>
    </row>
    <row r="213" spans="1:6" ht="12" thickBot="1">
      <c r="A213" s="1478" t="s">
        <v>348</v>
      </c>
      <c r="B213" s="1478" t="s">
        <v>349</v>
      </c>
      <c r="C213" s="1479">
        <v>864</v>
      </c>
      <c r="D213" s="1479">
        <v>138</v>
      </c>
      <c r="E213" s="1479">
        <v>1298</v>
      </c>
      <c r="F213" s="1480">
        <v>0.77195685670199998</v>
      </c>
    </row>
    <row r="214" spans="1:6" ht="12" thickBot="1">
      <c r="A214" s="1478" t="s">
        <v>394</v>
      </c>
      <c r="B214" s="1478" t="s">
        <v>220</v>
      </c>
      <c r="C214" s="1479">
        <v>351</v>
      </c>
      <c r="D214" s="1479">
        <v>133</v>
      </c>
      <c r="E214" s="1479">
        <v>754</v>
      </c>
      <c r="F214" s="1480">
        <v>0.64190981432299998</v>
      </c>
    </row>
    <row r="215" spans="1:6" ht="12" thickBot="1">
      <c r="A215" s="1478" t="s">
        <v>125</v>
      </c>
      <c r="B215" s="1478" t="s">
        <v>126</v>
      </c>
      <c r="C215" s="1479">
        <v>227</v>
      </c>
      <c r="D215" s="1479">
        <v>47</v>
      </c>
      <c r="E215" s="1479">
        <v>517</v>
      </c>
      <c r="F215" s="1480">
        <v>0.52998065764000002</v>
      </c>
    </row>
    <row r="216" spans="1:6" ht="12" thickBot="1">
      <c r="A216" s="1478" t="s">
        <v>440</v>
      </c>
      <c r="B216" s="1478" t="s">
        <v>441</v>
      </c>
      <c r="C216" s="1479">
        <v>715</v>
      </c>
      <c r="D216" s="1479">
        <v>194</v>
      </c>
      <c r="E216" s="1479">
        <v>1512</v>
      </c>
      <c r="F216" s="1480">
        <v>0.60119047618999999</v>
      </c>
    </row>
    <row r="217" spans="1:6" ht="12" thickBot="1">
      <c r="A217" s="1478" t="s">
        <v>420</v>
      </c>
      <c r="B217" s="1478" t="s">
        <v>421</v>
      </c>
      <c r="C217" s="1479">
        <v>187</v>
      </c>
      <c r="D217" s="1479">
        <v>62</v>
      </c>
      <c r="E217" s="1479">
        <v>511</v>
      </c>
      <c r="F217" s="1480">
        <v>0.48727984344399999</v>
      </c>
    </row>
    <row r="218" spans="1:6" ht="12" thickBot="1">
      <c r="A218" s="1478" t="s">
        <v>139</v>
      </c>
      <c r="B218" s="1478" t="s">
        <v>140</v>
      </c>
      <c r="C218" s="1479">
        <v>10358</v>
      </c>
      <c r="D218" s="1479">
        <v>1681</v>
      </c>
      <c r="E218" s="1479">
        <v>18810</v>
      </c>
      <c r="F218" s="1480">
        <v>0.64003189792600002</v>
      </c>
    </row>
    <row r="219" spans="1:6" ht="12" thickBot="1">
      <c r="A219" s="1478" t="s">
        <v>310</v>
      </c>
      <c r="B219" s="1478" t="s">
        <v>311</v>
      </c>
      <c r="C219" s="1479">
        <v>835</v>
      </c>
      <c r="D219" s="1479">
        <v>159</v>
      </c>
      <c r="E219" s="1479">
        <v>1653</v>
      </c>
      <c r="F219" s="1480">
        <v>0.60133091349000001</v>
      </c>
    </row>
    <row r="220" spans="1:6" ht="12" thickBot="1">
      <c r="A220" s="1478" t="s">
        <v>378</v>
      </c>
      <c r="B220" s="1478" t="s">
        <v>379</v>
      </c>
      <c r="C220" s="1479">
        <v>281</v>
      </c>
      <c r="D220" s="1479">
        <v>41</v>
      </c>
      <c r="E220" s="1479">
        <v>355</v>
      </c>
      <c r="F220" s="1480">
        <v>0.90704225352099999</v>
      </c>
    </row>
    <row r="221" spans="1:6" ht="12" thickBot="1">
      <c r="A221" s="1478" t="s">
        <v>119</v>
      </c>
      <c r="B221" s="1478" t="s">
        <v>120</v>
      </c>
      <c r="C221" s="1479">
        <v>327</v>
      </c>
      <c r="D221" s="1479">
        <v>43</v>
      </c>
      <c r="E221" s="1479">
        <v>455</v>
      </c>
      <c r="F221" s="1480">
        <v>0.81318681318599995</v>
      </c>
    </row>
    <row r="222" spans="1:6" ht="12" thickBot="1">
      <c r="A222" s="1478" t="s">
        <v>587</v>
      </c>
      <c r="B222" s="1478" t="s">
        <v>588</v>
      </c>
      <c r="C222" s="1479">
        <v>973</v>
      </c>
      <c r="D222" s="1479">
        <v>138</v>
      </c>
      <c r="E222" s="1479">
        <v>1796</v>
      </c>
      <c r="F222" s="1480">
        <v>0.61859688195899998</v>
      </c>
    </row>
    <row r="223" spans="1:6" ht="12" thickBot="1">
      <c r="A223" s="1478" t="s">
        <v>342</v>
      </c>
      <c r="B223" s="1478" t="s">
        <v>343</v>
      </c>
      <c r="C223" s="1479">
        <v>2572</v>
      </c>
      <c r="D223" s="1479">
        <v>320</v>
      </c>
      <c r="E223" s="1479">
        <v>4267</v>
      </c>
      <c r="F223" s="1480">
        <v>0.67775955003499999</v>
      </c>
    </row>
    <row r="224" spans="1:6" ht="12" thickBot="1">
      <c r="A224" s="1478" t="s">
        <v>225</v>
      </c>
      <c r="B224" s="1478" t="s">
        <v>226</v>
      </c>
      <c r="C224" s="1479">
        <v>953</v>
      </c>
      <c r="D224" s="1479">
        <v>139</v>
      </c>
      <c r="E224" s="1479">
        <v>1533</v>
      </c>
      <c r="F224" s="1480">
        <v>0.71232876712299997</v>
      </c>
    </row>
    <row r="225" spans="1:6" ht="12" thickBot="1">
      <c r="A225" s="1478" t="s">
        <v>169</v>
      </c>
      <c r="B225" s="1478" t="s">
        <v>170</v>
      </c>
      <c r="C225" s="1479">
        <v>576</v>
      </c>
      <c r="D225" s="1479">
        <v>110</v>
      </c>
      <c r="E225" s="1479">
        <v>909</v>
      </c>
      <c r="F225" s="1480">
        <v>0.75467546754600001</v>
      </c>
    </row>
    <row r="226" spans="1:6" ht="12" thickBot="1">
      <c r="A226" s="1478" t="s">
        <v>621</v>
      </c>
      <c r="B226" s="1478" t="s">
        <v>622</v>
      </c>
      <c r="C226" s="1479">
        <v>359</v>
      </c>
      <c r="D226" s="1479">
        <v>109</v>
      </c>
      <c r="E226" s="1479">
        <v>966</v>
      </c>
      <c r="F226" s="1480">
        <v>0.48447204968899998</v>
      </c>
    </row>
    <row r="227" spans="1:6" ht="12" thickBot="1">
      <c r="A227" s="1478" t="s">
        <v>507</v>
      </c>
      <c r="B227" s="1478" t="s">
        <v>508</v>
      </c>
      <c r="C227" s="1479">
        <v>378</v>
      </c>
      <c r="D227" s="1479">
        <v>166</v>
      </c>
      <c r="E227" s="1479">
        <v>2346</v>
      </c>
      <c r="F227" s="1480">
        <v>0.23188405797100001</v>
      </c>
    </row>
    <row r="228" spans="1:6" ht="12" thickBot="1">
      <c r="A228" s="1478" t="s">
        <v>519</v>
      </c>
      <c r="B228" s="1478" t="s">
        <v>520</v>
      </c>
      <c r="C228" s="1479">
        <v>2610</v>
      </c>
      <c r="D228" s="1479">
        <v>694</v>
      </c>
      <c r="E228" s="1479">
        <v>5925</v>
      </c>
      <c r="F228" s="1480">
        <v>0.55763713080099997</v>
      </c>
    </row>
    <row r="229" spans="1:6" ht="12" thickBot="1">
      <c r="A229" s="1478" t="s">
        <v>551</v>
      </c>
      <c r="B229" s="1478" t="s">
        <v>552</v>
      </c>
      <c r="C229" s="1479">
        <v>785</v>
      </c>
      <c r="D229" s="1479">
        <v>386</v>
      </c>
      <c r="E229" s="1479">
        <v>3056</v>
      </c>
      <c r="F229" s="1480">
        <v>0.383180628272</v>
      </c>
    </row>
    <row r="230" spans="1:6" ht="12" thickBot="1">
      <c r="A230" s="1478" t="s">
        <v>563</v>
      </c>
      <c r="B230" s="1478" t="s">
        <v>564</v>
      </c>
      <c r="C230" s="1479">
        <v>195</v>
      </c>
      <c r="D230" s="1479">
        <v>58</v>
      </c>
      <c r="E230" s="1479">
        <v>419</v>
      </c>
      <c r="F230" s="1480">
        <v>0.60381861575100004</v>
      </c>
    </row>
    <row r="231" spans="1:6" ht="12" thickBot="1">
      <c r="A231" s="1478" t="s">
        <v>273</v>
      </c>
      <c r="B231" s="1478" t="s">
        <v>274</v>
      </c>
      <c r="C231" s="1479">
        <v>969</v>
      </c>
      <c r="D231" s="1479">
        <v>172</v>
      </c>
      <c r="E231" s="1479">
        <v>1617</v>
      </c>
      <c r="F231" s="1480">
        <v>0.70562770562699995</v>
      </c>
    </row>
    <row r="232" spans="1:6" ht="12" thickBot="1">
      <c r="A232" s="1478" t="s">
        <v>627</v>
      </c>
      <c r="B232" s="1478" t="s">
        <v>628</v>
      </c>
      <c r="C232" s="1479">
        <v>980</v>
      </c>
      <c r="D232" s="1479">
        <v>141</v>
      </c>
      <c r="E232" s="1479">
        <v>1528</v>
      </c>
      <c r="F232" s="1480">
        <v>0.73363874345500002</v>
      </c>
    </row>
    <row r="233" spans="1:6" ht="12" thickBot="1">
      <c r="A233" s="1478" t="s">
        <v>460</v>
      </c>
      <c r="B233" s="1478" t="s">
        <v>461</v>
      </c>
      <c r="C233" s="1479">
        <v>1892</v>
      </c>
      <c r="D233" s="1479">
        <v>266</v>
      </c>
      <c r="E233" s="1479">
        <v>3114</v>
      </c>
      <c r="F233" s="1480">
        <v>0.69299935773900001</v>
      </c>
    </row>
    <row r="234" spans="1:6" ht="12" thickBot="1">
      <c r="A234" s="1478" t="s">
        <v>141</v>
      </c>
      <c r="B234" s="1478" t="s">
        <v>142</v>
      </c>
      <c r="C234" s="1479">
        <v>493</v>
      </c>
      <c r="D234" s="1479">
        <v>148</v>
      </c>
      <c r="E234" s="1479">
        <v>1227</v>
      </c>
      <c r="F234" s="1480">
        <v>0.52241238793800004</v>
      </c>
    </row>
    <row r="235" spans="1:6" ht="12" thickBot="1">
      <c r="A235" s="1478" t="s">
        <v>523</v>
      </c>
      <c r="B235" s="1478" t="s">
        <v>524</v>
      </c>
      <c r="C235" s="1479">
        <v>5691</v>
      </c>
      <c r="D235" s="1479">
        <v>0</v>
      </c>
      <c r="E235" s="1479">
        <v>5691</v>
      </c>
      <c r="F235" s="1480">
        <v>1</v>
      </c>
    </row>
    <row r="236" spans="1:6" ht="12" thickBot="1">
      <c r="A236" s="1478" t="s">
        <v>657</v>
      </c>
      <c r="B236" s="1478" t="s">
        <v>658</v>
      </c>
      <c r="C236" s="1479">
        <v>211</v>
      </c>
      <c r="D236" s="1479">
        <v>85</v>
      </c>
      <c r="E236" s="1479">
        <v>498</v>
      </c>
      <c r="F236" s="1480">
        <v>0.59437751003999995</v>
      </c>
    </row>
    <row r="237" spans="1:6" ht="12" thickBot="1">
      <c r="A237" s="1478" t="s">
        <v>167</v>
      </c>
      <c r="B237" s="1478" t="s">
        <v>168</v>
      </c>
      <c r="C237" s="1479">
        <v>343</v>
      </c>
      <c r="D237" s="1479">
        <v>27</v>
      </c>
      <c r="E237" s="1479">
        <v>478</v>
      </c>
      <c r="F237" s="1480">
        <v>0.77405857740499995</v>
      </c>
    </row>
    <row r="238" spans="1:6" ht="12" thickBot="1">
      <c r="A238" s="1478" t="s">
        <v>497</v>
      </c>
      <c r="B238" s="1478" t="s">
        <v>498</v>
      </c>
      <c r="C238" s="1479">
        <v>707</v>
      </c>
      <c r="D238" s="1479">
        <v>175</v>
      </c>
      <c r="E238" s="1479">
        <v>1614</v>
      </c>
      <c r="F238" s="1480">
        <v>0.54646840148599996</v>
      </c>
    </row>
    <row r="239" spans="1:6" ht="12" thickBot="1">
      <c r="A239" s="1478" t="s">
        <v>468</v>
      </c>
      <c r="B239" s="1478" t="s">
        <v>469</v>
      </c>
      <c r="C239" s="1479">
        <v>609</v>
      </c>
      <c r="D239" s="1479">
        <v>0</v>
      </c>
      <c r="E239" s="1479">
        <v>609</v>
      </c>
      <c r="F239" s="1480">
        <v>1</v>
      </c>
    </row>
    <row r="240" spans="1:6" ht="12" thickBot="1">
      <c r="A240" s="1478" t="s">
        <v>149</v>
      </c>
      <c r="B240" s="1478" t="s">
        <v>150</v>
      </c>
      <c r="C240" s="1479">
        <v>317</v>
      </c>
      <c r="D240" s="1479">
        <v>111</v>
      </c>
      <c r="E240" s="1479">
        <v>672</v>
      </c>
      <c r="F240" s="1480">
        <v>0.63690476190400003</v>
      </c>
    </row>
    <row r="241" spans="1:6" ht="12" thickBot="1">
      <c r="A241" s="1478" t="s">
        <v>462</v>
      </c>
      <c r="B241" s="1478" t="s">
        <v>463</v>
      </c>
      <c r="C241" s="1479">
        <v>905</v>
      </c>
      <c r="D241" s="1479">
        <v>243</v>
      </c>
      <c r="E241" s="1479">
        <v>3034</v>
      </c>
      <c r="F241" s="1480">
        <v>0.37837837837799998</v>
      </c>
    </row>
    <row r="242" spans="1:6" ht="12" thickBot="1">
      <c r="A242" s="1478" t="s">
        <v>491</v>
      </c>
      <c r="B242" s="1478" t="s">
        <v>492</v>
      </c>
      <c r="C242" s="1479">
        <v>165</v>
      </c>
      <c r="D242" s="1479">
        <v>45</v>
      </c>
      <c r="E242" s="1479">
        <v>414</v>
      </c>
      <c r="F242" s="1480">
        <v>0.50724637681100004</v>
      </c>
    </row>
    <row r="243" spans="1:6" ht="12" thickBot="1">
      <c r="A243" s="1478" t="s">
        <v>481</v>
      </c>
      <c r="B243" s="1478" t="s">
        <v>482</v>
      </c>
      <c r="C243" s="1479">
        <v>145</v>
      </c>
      <c r="D243" s="1479">
        <v>64</v>
      </c>
      <c r="E243" s="1479">
        <v>551</v>
      </c>
      <c r="F243" s="1480">
        <v>0.37931034482699999</v>
      </c>
    </row>
    <row r="244" spans="1:6" ht="12" thickBot="1">
      <c r="A244" s="1478" t="s">
        <v>529</v>
      </c>
      <c r="B244" s="1478" t="s">
        <v>530</v>
      </c>
      <c r="C244" s="1479">
        <v>1385</v>
      </c>
      <c r="D244" s="1479">
        <v>300</v>
      </c>
      <c r="E244" s="1479">
        <v>2873</v>
      </c>
      <c r="F244" s="1480">
        <v>0.58649495300999999</v>
      </c>
    </row>
    <row r="245" spans="1:6" ht="12" thickBot="1">
      <c r="A245" s="1478" t="s">
        <v>336</v>
      </c>
      <c r="B245" s="1478" t="s">
        <v>337</v>
      </c>
      <c r="C245" s="1479">
        <v>431</v>
      </c>
      <c r="D245" s="1479">
        <v>113</v>
      </c>
      <c r="E245" s="1479">
        <v>818</v>
      </c>
      <c r="F245" s="1480">
        <v>0.66503667481600004</v>
      </c>
    </row>
    <row r="246" spans="1:6" ht="13">
      <c r="A246" s="2061"/>
      <c r="B246" s="1978"/>
      <c r="C246" s="2062"/>
      <c r="D246" s="1978"/>
      <c r="E246" s="2063"/>
      <c r="F246" s="1978"/>
    </row>
    <row r="247" spans="1:6" ht="11">
      <c r="F247" s="1481">
        <f>AVERAGE(F10:F245)</f>
        <v>0.64693936663833074</v>
      </c>
    </row>
  </sheetData>
  <mergeCells count="4">
    <mergeCell ref="A1:F1"/>
    <mergeCell ref="A246:B246"/>
    <mergeCell ref="C246:D246"/>
    <mergeCell ref="E246:F246"/>
  </mergeCells>
  <pageMargins left="0.7" right="0.7" top="0.75" bottom="0.75" header="0.3" footer="0.3"/>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Q1"/>
  <sheetViews>
    <sheetView workbookViewId="0"/>
  </sheetViews>
  <sheetFormatPr baseColWidth="10" defaultColWidth="8.83203125" defaultRowHeight="13" x14ac:dyDescent="0"/>
  <cols>
    <col min="1" max="1" width="8.83203125" style="168"/>
    <col min="2" max="2" width="8.83203125" style="169"/>
    <col min="3" max="6" width="8.83203125" style="167"/>
    <col min="7" max="17" width="8.83203125" style="170"/>
    <col min="18" max="16384" width="8.83203125" style="167"/>
  </cols>
  <sheetData/>
  <pageMargins left="0.7" right="0.7" top="0.75" bottom="0.75" header="0.3" footer="0.3"/>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F549"/>
  <sheetViews>
    <sheetView topLeftCell="B1" workbookViewId="0">
      <selection activeCell="H22" sqref="H22"/>
    </sheetView>
  </sheetViews>
  <sheetFormatPr baseColWidth="10" defaultColWidth="8.83203125" defaultRowHeight="11" x14ac:dyDescent="0"/>
  <cols>
    <col min="1" max="1" width="4.83203125" style="387" customWidth="1"/>
    <col min="2" max="11" width="9.83203125" style="387" customWidth="1"/>
    <col min="12" max="12" width="4.83203125" style="387" customWidth="1"/>
    <col min="13" max="13" width="6.83203125" style="387" customWidth="1"/>
    <col min="14" max="14" width="23.83203125" style="387" customWidth="1"/>
    <col min="15" max="20" width="9.83203125" style="387" customWidth="1"/>
    <col min="21" max="21" width="6.83203125" style="387" customWidth="1"/>
    <col min="22" max="23" width="9.83203125" style="387" customWidth="1"/>
    <col min="24" max="24" width="25.5" style="387" customWidth="1"/>
    <col min="25" max="25" width="17.1640625" style="387" customWidth="1"/>
    <col min="26" max="41" width="9.83203125" style="387" customWidth="1"/>
    <col min="42" max="16384" width="8.83203125" style="387"/>
  </cols>
  <sheetData>
    <row r="1" spans="1:21" ht="18" customHeight="1">
      <c r="A1" s="310"/>
      <c r="B1" s="1672" t="s">
        <v>1066</v>
      </c>
      <c r="C1" s="1672"/>
      <c r="D1" s="1672"/>
      <c r="E1" s="1672"/>
      <c r="F1" s="1672"/>
      <c r="G1" s="1672"/>
      <c r="H1" s="1672"/>
      <c r="I1" s="1672"/>
      <c r="J1" s="1672"/>
      <c r="K1" s="1672"/>
      <c r="L1" s="310"/>
      <c r="M1" s="309"/>
      <c r="N1" s="309"/>
      <c r="O1" s="309"/>
      <c r="P1" s="309"/>
      <c r="Q1" s="309"/>
      <c r="R1" s="309"/>
      <c r="S1" s="309"/>
      <c r="T1" s="309"/>
      <c r="U1" s="309"/>
    </row>
    <row r="2" spans="1:21" ht="20" customHeight="1">
      <c r="A2" s="1673" t="s">
        <v>1066</v>
      </c>
      <c r="B2" s="1674" t="s">
        <v>1209</v>
      </c>
      <c r="C2" s="1674"/>
      <c r="D2" s="1674"/>
      <c r="E2" s="1674"/>
      <c r="F2" s="1674"/>
      <c r="G2" s="1674"/>
      <c r="H2" s="1674"/>
      <c r="I2" s="1674"/>
      <c r="J2" s="1674"/>
      <c r="K2" s="1674"/>
      <c r="L2" s="1673" t="s">
        <v>1066</v>
      </c>
      <c r="M2" s="433" t="str">
        <f>N40</f>
        <v>AR</v>
      </c>
      <c r="N2" s="1675" t="s">
        <v>1210</v>
      </c>
      <c r="O2" s="1675"/>
      <c r="P2" s="1675"/>
      <c r="Q2" s="1675"/>
      <c r="R2" s="1675"/>
      <c r="S2" s="1675"/>
      <c r="T2" s="1675"/>
      <c r="U2" s="434"/>
    </row>
    <row r="3" spans="1:21" ht="16" customHeight="1">
      <c r="A3" s="1673"/>
      <c r="B3" s="308"/>
      <c r="C3" s="308"/>
      <c r="D3" s="308"/>
      <c r="E3" s="308"/>
      <c r="F3" s="308"/>
      <c r="G3" s="308"/>
      <c r="H3" s="308"/>
      <c r="I3" s="308"/>
      <c r="J3" s="308"/>
      <c r="K3" s="308"/>
      <c r="L3" s="1673"/>
      <c r="M3" s="1525" t="s">
        <v>1195</v>
      </c>
      <c r="N3" s="1526"/>
      <c r="O3" s="1526"/>
      <c r="P3" s="1526"/>
      <c r="Q3" s="1526"/>
      <c r="R3" s="1526"/>
      <c r="S3" s="1526"/>
      <c r="T3" s="1526"/>
      <c r="U3" s="1527"/>
    </row>
    <row r="4" spans="1:21" ht="16" customHeight="1">
      <c r="A4" s="1673"/>
      <c r="B4" s="308"/>
      <c r="C4" s="308"/>
      <c r="D4" s="308"/>
      <c r="E4" s="308"/>
      <c r="F4" s="308"/>
      <c r="G4" s="308"/>
      <c r="H4" s="308"/>
      <c r="I4" s="308"/>
      <c r="J4" s="308"/>
      <c r="K4" s="308"/>
      <c r="L4" s="1673"/>
      <c r="M4" s="1525"/>
      <c r="N4" s="1526"/>
      <c r="O4" s="1526"/>
      <c r="P4" s="1526"/>
      <c r="Q4" s="1526"/>
      <c r="R4" s="1526"/>
      <c r="S4" s="1526"/>
      <c r="T4" s="1526"/>
      <c r="U4" s="1527"/>
    </row>
    <row r="5" spans="1:21" ht="16" customHeight="1">
      <c r="A5" s="1673"/>
      <c r="B5" s="308"/>
      <c r="C5" s="308"/>
      <c r="D5" s="308"/>
      <c r="E5" s="308"/>
      <c r="F5" s="308"/>
      <c r="G5" s="308"/>
      <c r="H5" s="308"/>
      <c r="I5" s="308"/>
      <c r="J5" s="308"/>
      <c r="K5" s="308"/>
      <c r="L5" s="1673"/>
      <c r="M5" s="1525"/>
      <c r="N5" s="1526"/>
      <c r="O5" s="1526"/>
      <c r="P5" s="1526"/>
      <c r="Q5" s="1526"/>
      <c r="R5" s="1526"/>
      <c r="S5" s="1526"/>
      <c r="T5" s="1526"/>
      <c r="U5" s="1527"/>
    </row>
    <row r="6" spans="1:21" ht="16" customHeight="1">
      <c r="A6" s="1673"/>
      <c r="B6" s="308"/>
      <c r="C6" s="308"/>
      <c r="D6" s="308"/>
      <c r="E6" s="308"/>
      <c r="F6" s="308"/>
      <c r="G6" s="308"/>
      <c r="H6" s="308"/>
      <c r="I6" s="308"/>
      <c r="J6" s="308"/>
      <c r="K6" s="308"/>
      <c r="L6" s="1673"/>
      <c r="M6" s="1525"/>
      <c r="N6" s="1526"/>
      <c r="O6" s="1526"/>
      <c r="P6" s="1526"/>
      <c r="Q6" s="1526"/>
      <c r="R6" s="1526"/>
      <c r="S6" s="1526"/>
      <c r="T6" s="1526"/>
      <c r="U6" s="1527"/>
    </row>
    <row r="7" spans="1:21" ht="16" customHeight="1">
      <c r="A7" s="1673"/>
      <c r="B7" s="308"/>
      <c r="C7" s="308"/>
      <c r="D7" s="308"/>
      <c r="E7" s="308"/>
      <c r="F7" s="308"/>
      <c r="G7" s="308"/>
      <c r="H7" s="308"/>
      <c r="I7" s="308"/>
      <c r="J7" s="308"/>
      <c r="K7" s="308"/>
      <c r="L7" s="1673"/>
      <c r="M7" s="1525"/>
      <c r="N7" s="1526"/>
      <c r="O7" s="1526"/>
      <c r="P7" s="1526"/>
      <c r="Q7" s="1526"/>
      <c r="R7" s="1526"/>
      <c r="S7" s="1526"/>
      <c r="T7" s="1526"/>
      <c r="U7" s="1527"/>
    </row>
    <row r="8" spans="1:21" ht="16" customHeight="1">
      <c r="A8" s="1673"/>
      <c r="B8" s="308"/>
      <c r="C8" s="308"/>
      <c r="D8" s="308"/>
      <c r="E8" s="308"/>
      <c r="F8" s="308"/>
      <c r="G8" s="308"/>
      <c r="H8" s="308"/>
      <c r="I8" s="308"/>
      <c r="J8" s="308"/>
      <c r="K8" s="308"/>
      <c r="L8" s="1673"/>
      <c r="M8" s="1528"/>
      <c r="N8" s="1529"/>
      <c r="O8" s="1529"/>
      <c r="P8" s="1529"/>
      <c r="Q8" s="1529"/>
      <c r="R8" s="1529"/>
      <c r="S8" s="1529"/>
      <c r="T8" s="1529"/>
      <c r="U8" s="1530"/>
    </row>
    <row r="9" spans="1:21" ht="16" customHeight="1">
      <c r="A9" s="1673"/>
      <c r="B9" s="308"/>
      <c r="C9" s="308"/>
      <c r="D9" s="308"/>
      <c r="E9" s="308"/>
      <c r="F9" s="308"/>
      <c r="G9" s="308"/>
      <c r="H9" s="308"/>
      <c r="I9" s="308"/>
      <c r="J9" s="308"/>
      <c r="K9" s="308"/>
      <c r="L9" s="1673"/>
      <c r="M9" s="1522"/>
      <c r="N9" s="1523"/>
      <c r="O9" s="1523"/>
      <c r="P9" s="1523"/>
      <c r="Q9" s="1523"/>
      <c r="R9" s="1523"/>
      <c r="S9" s="1523"/>
      <c r="T9" s="1523"/>
      <c r="U9" s="1524"/>
    </row>
    <row r="10" spans="1:21" ht="16" customHeight="1">
      <c r="A10" s="1673"/>
      <c r="B10" s="308"/>
      <c r="C10" s="308"/>
      <c r="D10" s="308"/>
      <c r="E10" s="308"/>
      <c r="F10" s="308"/>
      <c r="G10" s="308"/>
      <c r="H10" s="308"/>
      <c r="I10" s="308"/>
      <c r="J10" s="308"/>
      <c r="K10" s="308"/>
      <c r="L10" s="1673"/>
      <c r="M10" s="1525"/>
      <c r="N10" s="1526"/>
      <c r="O10" s="1526"/>
      <c r="P10" s="1526"/>
      <c r="Q10" s="1526"/>
      <c r="R10" s="1526"/>
      <c r="S10" s="1526"/>
      <c r="T10" s="1526"/>
      <c r="U10" s="1527"/>
    </row>
    <row r="11" spans="1:21" ht="16" customHeight="1">
      <c r="A11" s="1673"/>
      <c r="B11" s="308"/>
      <c r="C11" s="308"/>
      <c r="D11" s="308"/>
      <c r="E11" s="308"/>
      <c r="F11" s="308"/>
      <c r="G11" s="308"/>
      <c r="H11" s="308"/>
      <c r="I11" s="308"/>
      <c r="J11" s="308"/>
      <c r="K11" s="308"/>
      <c r="L11" s="1673"/>
      <c r="M11" s="1525"/>
      <c r="N11" s="1526"/>
      <c r="O11" s="1526"/>
      <c r="P11" s="1526"/>
      <c r="Q11" s="1526"/>
      <c r="R11" s="1526"/>
      <c r="S11" s="1526"/>
      <c r="T11" s="1526"/>
      <c r="U11" s="1527"/>
    </row>
    <row r="12" spans="1:21" ht="16" customHeight="1">
      <c r="A12" s="1673"/>
      <c r="B12" s="308"/>
      <c r="C12" s="308"/>
      <c r="D12" s="308"/>
      <c r="E12" s="308"/>
      <c r="F12" s="308"/>
      <c r="G12" s="308"/>
      <c r="H12" s="308"/>
      <c r="I12" s="308"/>
      <c r="J12" s="308"/>
      <c r="K12" s="308"/>
      <c r="L12" s="1673"/>
      <c r="M12" s="1525"/>
      <c r="N12" s="1526"/>
      <c r="O12" s="1526"/>
      <c r="P12" s="1526"/>
      <c r="Q12" s="1526"/>
      <c r="R12" s="1526"/>
      <c r="S12" s="1526"/>
      <c r="T12" s="1526"/>
      <c r="U12" s="1527"/>
    </row>
    <row r="13" spans="1:21" ht="16" customHeight="1">
      <c r="A13" s="1673"/>
      <c r="B13" s="308"/>
      <c r="C13" s="308"/>
      <c r="D13" s="308"/>
      <c r="E13" s="308"/>
      <c r="F13" s="308"/>
      <c r="G13" s="308"/>
      <c r="H13" s="308"/>
      <c r="I13" s="308"/>
      <c r="J13" s="308"/>
      <c r="K13" s="308"/>
      <c r="L13" s="1673"/>
      <c r="M13" s="1525"/>
      <c r="N13" s="1526"/>
      <c r="O13" s="1526"/>
      <c r="P13" s="1526"/>
      <c r="Q13" s="1526"/>
      <c r="R13" s="1526"/>
      <c r="S13" s="1526"/>
      <c r="T13" s="1526"/>
      <c r="U13" s="1527"/>
    </row>
    <row r="14" spans="1:21" ht="16" customHeight="1">
      <c r="A14" s="1673"/>
      <c r="B14" s="308"/>
      <c r="C14" s="308"/>
      <c r="D14" s="308"/>
      <c r="E14" s="308"/>
      <c r="F14" s="308"/>
      <c r="G14" s="308"/>
      <c r="H14" s="308"/>
      <c r="I14" s="308"/>
      <c r="J14" s="308"/>
      <c r="K14" s="308"/>
      <c r="L14" s="1673"/>
      <c r="M14" s="1525"/>
      <c r="N14" s="1526"/>
      <c r="O14" s="1526"/>
      <c r="P14" s="1526"/>
      <c r="Q14" s="1526"/>
      <c r="R14" s="1526"/>
      <c r="S14" s="1526"/>
      <c r="T14" s="1526"/>
      <c r="U14" s="1527"/>
    </row>
    <row r="15" spans="1:21" ht="16" customHeight="1">
      <c r="A15" s="1673"/>
      <c r="B15" s="308"/>
      <c r="C15" s="308"/>
      <c r="D15" s="308"/>
      <c r="E15" s="308"/>
      <c r="F15" s="308"/>
      <c r="G15" s="308"/>
      <c r="H15" s="308"/>
      <c r="I15" s="308"/>
      <c r="J15" s="308"/>
      <c r="K15" s="308"/>
      <c r="L15" s="1673"/>
      <c r="M15" s="1528"/>
      <c r="N15" s="1529"/>
      <c r="O15" s="1529"/>
      <c r="P15" s="1529"/>
      <c r="Q15" s="1529"/>
      <c r="R15" s="1529"/>
      <c r="S15" s="1529"/>
      <c r="T15" s="1529"/>
      <c r="U15" s="1530"/>
    </row>
    <row r="16" spans="1:21" ht="16" customHeight="1">
      <c r="A16" s="1673"/>
      <c r="B16" s="308"/>
      <c r="C16" s="308"/>
      <c r="D16" s="308"/>
      <c r="E16" s="308"/>
      <c r="F16" s="308"/>
      <c r="G16" s="308"/>
      <c r="H16" s="308"/>
      <c r="I16" s="308"/>
      <c r="J16" s="308"/>
      <c r="K16" s="308"/>
      <c r="L16" s="1673"/>
      <c r="M16" s="1522"/>
      <c r="N16" s="1523"/>
      <c r="O16" s="1523"/>
      <c r="P16" s="1523"/>
      <c r="Q16" s="1523"/>
      <c r="R16" s="1523"/>
      <c r="S16" s="1523"/>
      <c r="T16" s="1523"/>
      <c r="U16" s="1524"/>
    </row>
    <row r="17" spans="1:21" ht="16" customHeight="1">
      <c r="A17" s="1673"/>
      <c r="B17" s="308"/>
      <c r="C17" s="308"/>
      <c r="D17" s="308"/>
      <c r="E17" s="308"/>
      <c r="F17" s="308"/>
      <c r="G17" s="308"/>
      <c r="H17" s="308"/>
      <c r="I17" s="308"/>
      <c r="J17" s="308"/>
      <c r="K17" s="308"/>
      <c r="L17" s="1673"/>
      <c r="M17" s="1525"/>
      <c r="N17" s="1526"/>
      <c r="O17" s="1526"/>
      <c r="P17" s="1526"/>
      <c r="Q17" s="1526"/>
      <c r="R17" s="1526"/>
      <c r="S17" s="1526"/>
      <c r="T17" s="1526"/>
      <c r="U17" s="1527"/>
    </row>
    <row r="18" spans="1:21" ht="16" customHeight="1">
      <c r="A18" s="1673"/>
      <c r="B18" s="308"/>
      <c r="C18" s="308"/>
      <c r="D18" s="308"/>
      <c r="E18" s="308"/>
      <c r="F18" s="308"/>
      <c r="G18" s="308"/>
      <c r="H18" s="308"/>
      <c r="I18" s="308"/>
      <c r="J18" s="308"/>
      <c r="K18" s="308"/>
      <c r="L18" s="1673"/>
      <c r="M18" s="1525"/>
      <c r="N18" s="1526"/>
      <c r="O18" s="1526"/>
      <c r="P18" s="1526"/>
      <c r="Q18" s="1526"/>
      <c r="R18" s="1526"/>
      <c r="S18" s="1526"/>
      <c r="T18" s="1526"/>
      <c r="U18" s="1527"/>
    </row>
    <row r="19" spans="1:21" ht="16" customHeight="1">
      <c r="A19" s="1673"/>
      <c r="B19" s="308"/>
      <c r="C19" s="308"/>
      <c r="D19" s="308"/>
      <c r="E19" s="308"/>
      <c r="F19" s="308"/>
      <c r="G19" s="308"/>
      <c r="H19" s="308"/>
      <c r="I19" s="308"/>
      <c r="J19" s="308"/>
      <c r="K19" s="308"/>
      <c r="L19" s="1673"/>
      <c r="M19" s="1525"/>
      <c r="N19" s="1526"/>
      <c r="O19" s="1526"/>
      <c r="P19" s="1526"/>
      <c r="Q19" s="1526"/>
      <c r="R19" s="1526"/>
      <c r="S19" s="1526"/>
      <c r="T19" s="1526"/>
      <c r="U19" s="1527"/>
    </row>
    <row r="20" spans="1:21" ht="16" customHeight="1">
      <c r="A20" s="1673"/>
      <c r="B20" s="308"/>
      <c r="C20" s="308"/>
      <c r="D20" s="308"/>
      <c r="E20" s="308"/>
      <c r="F20" s="308"/>
      <c r="G20" s="308"/>
      <c r="H20" s="308"/>
      <c r="I20" s="308"/>
      <c r="J20" s="308"/>
      <c r="K20" s="308"/>
      <c r="L20" s="1673"/>
      <c r="M20" s="1525"/>
      <c r="N20" s="1526"/>
      <c r="O20" s="1526"/>
      <c r="P20" s="1526"/>
      <c r="Q20" s="1526"/>
      <c r="R20" s="1526"/>
      <c r="S20" s="1526"/>
      <c r="T20" s="1526"/>
      <c r="U20" s="1527"/>
    </row>
    <row r="21" spans="1:21" ht="16" customHeight="1">
      <c r="A21" s="1673"/>
      <c r="B21" s="308"/>
      <c r="C21" s="308"/>
      <c r="D21" s="308"/>
      <c r="E21" s="308"/>
      <c r="F21" s="308"/>
      <c r="G21" s="308"/>
      <c r="H21" s="308"/>
      <c r="I21" s="308"/>
      <c r="J21" s="308"/>
      <c r="K21" s="308"/>
      <c r="L21" s="1673"/>
      <c r="M21" s="1525"/>
      <c r="N21" s="1526"/>
      <c r="O21" s="1526"/>
      <c r="P21" s="1526"/>
      <c r="Q21" s="1526"/>
      <c r="R21" s="1526"/>
      <c r="S21" s="1526"/>
      <c r="T21" s="1526"/>
      <c r="U21" s="1527"/>
    </row>
    <row r="22" spans="1:21" ht="16" customHeight="1">
      <c r="A22" s="1673"/>
      <c r="B22" s="308"/>
      <c r="C22" s="308"/>
      <c r="D22" s="308"/>
      <c r="E22" s="308"/>
      <c r="F22" s="308"/>
      <c r="G22" s="308"/>
      <c r="H22" s="308"/>
      <c r="I22" s="308"/>
      <c r="J22" s="308"/>
      <c r="K22" s="308"/>
      <c r="L22" s="1673"/>
      <c r="M22" s="1525"/>
      <c r="N22" s="1526"/>
      <c r="O22" s="1526"/>
      <c r="P22" s="1526"/>
      <c r="Q22" s="1526"/>
      <c r="R22" s="1526"/>
      <c r="S22" s="1526"/>
      <c r="T22" s="1526"/>
      <c r="U22" s="1527"/>
    </row>
    <row r="23" spans="1:21" ht="16" customHeight="1">
      <c r="A23" s="1673"/>
      <c r="B23" s="308"/>
      <c r="C23" s="308"/>
      <c r="D23" s="308"/>
      <c r="E23" s="308"/>
      <c r="F23" s="308"/>
      <c r="G23" s="308"/>
      <c r="H23" s="308"/>
      <c r="I23" s="308"/>
      <c r="J23" s="308"/>
      <c r="K23" s="308"/>
      <c r="L23" s="1673"/>
      <c r="M23" s="1525"/>
      <c r="N23" s="1526"/>
      <c r="O23" s="1526"/>
      <c r="P23" s="1526"/>
      <c r="Q23" s="1526"/>
      <c r="R23" s="1526"/>
      <c r="S23" s="1526"/>
      <c r="T23" s="1526"/>
      <c r="U23" s="1527"/>
    </row>
    <row r="24" spans="1:21" ht="16" customHeight="1">
      <c r="A24" s="1673"/>
      <c r="B24" s="308"/>
      <c r="C24" s="308"/>
      <c r="D24" s="308"/>
      <c r="E24" s="308"/>
      <c r="F24" s="308"/>
      <c r="G24" s="308"/>
      <c r="H24" s="308"/>
      <c r="I24" s="308"/>
      <c r="J24" s="308"/>
      <c r="K24" s="308"/>
      <c r="L24" s="1673"/>
      <c r="M24" s="1525"/>
      <c r="N24" s="1526"/>
      <c r="O24" s="1526"/>
      <c r="P24" s="1526"/>
      <c r="Q24" s="1526"/>
      <c r="R24" s="1526"/>
      <c r="S24" s="1526"/>
      <c r="T24" s="1526"/>
      <c r="U24" s="1527"/>
    </row>
    <row r="25" spans="1:21" ht="16" customHeight="1">
      <c r="A25" s="1673"/>
      <c r="B25" s="308"/>
      <c r="C25" s="308"/>
      <c r="D25" s="308"/>
      <c r="E25" s="308"/>
      <c r="F25" s="308"/>
      <c r="G25" s="308"/>
      <c r="H25" s="308"/>
      <c r="I25" s="308"/>
      <c r="J25" s="308"/>
      <c r="K25" s="308"/>
      <c r="L25" s="1673"/>
      <c r="M25" s="1525"/>
      <c r="N25" s="1526"/>
      <c r="O25" s="1526"/>
      <c r="P25" s="1526"/>
      <c r="Q25" s="1526"/>
      <c r="R25" s="1526"/>
      <c r="S25" s="1526"/>
      <c r="T25" s="1526"/>
      <c r="U25" s="1527"/>
    </row>
    <row r="26" spans="1:21" ht="16" customHeight="1">
      <c r="A26" s="1673"/>
      <c r="B26" s="308"/>
      <c r="C26" s="308"/>
      <c r="D26" s="308"/>
      <c r="E26" s="308"/>
      <c r="F26" s="308"/>
      <c r="G26" s="308"/>
      <c r="H26" s="308"/>
      <c r="I26" s="308"/>
      <c r="J26" s="308"/>
      <c r="K26" s="308"/>
      <c r="L26" s="1673"/>
      <c r="M26" s="1525"/>
      <c r="N26" s="1526"/>
      <c r="O26" s="1526"/>
      <c r="P26" s="1526"/>
      <c r="Q26" s="1526"/>
      <c r="R26" s="1526"/>
      <c r="S26" s="1526"/>
      <c r="T26" s="1526"/>
      <c r="U26" s="1527"/>
    </row>
    <row r="27" spans="1:21" ht="16" customHeight="1">
      <c r="A27" s="1673"/>
      <c r="B27" s="308"/>
      <c r="C27" s="308"/>
      <c r="D27" s="308"/>
      <c r="E27" s="308"/>
      <c r="F27" s="308"/>
      <c r="G27" s="308"/>
      <c r="H27" s="308"/>
      <c r="I27" s="308"/>
      <c r="J27" s="308"/>
      <c r="K27" s="308"/>
      <c r="L27" s="1673"/>
      <c r="M27" s="1525"/>
      <c r="N27" s="1526"/>
      <c r="O27" s="1526"/>
      <c r="P27" s="1526"/>
      <c r="Q27" s="1526"/>
      <c r="R27" s="1526"/>
      <c r="S27" s="1526"/>
      <c r="T27" s="1526"/>
      <c r="U27" s="1527"/>
    </row>
    <row r="28" spans="1:21" ht="16" customHeight="1">
      <c r="A28" s="1673"/>
      <c r="B28" s="308"/>
      <c r="C28" s="308"/>
      <c r="D28" s="308"/>
      <c r="E28" s="308"/>
      <c r="F28" s="308"/>
      <c r="G28" s="308"/>
      <c r="H28" s="308"/>
      <c r="I28" s="308"/>
      <c r="J28" s="308"/>
      <c r="K28" s="308"/>
      <c r="L28" s="1673"/>
      <c r="M28" s="1528"/>
      <c r="N28" s="1529"/>
      <c r="O28" s="1529"/>
      <c r="P28" s="1529"/>
      <c r="Q28" s="1529"/>
      <c r="R28" s="1529"/>
      <c r="S28" s="1529"/>
      <c r="T28" s="1529"/>
      <c r="U28" s="1530"/>
    </row>
    <row r="29" spans="1:21" ht="16" customHeight="1">
      <c r="A29" s="1673"/>
      <c r="B29" s="308"/>
      <c r="C29" s="308"/>
      <c r="D29" s="308"/>
      <c r="E29" s="308"/>
      <c r="F29" s="308"/>
      <c r="G29" s="308"/>
      <c r="H29" s="308"/>
      <c r="I29" s="308"/>
      <c r="J29" s="308"/>
      <c r="K29" s="308"/>
      <c r="L29" s="1673"/>
      <c r="M29" s="1571"/>
      <c r="N29" s="1572"/>
      <c r="O29" s="1572"/>
      <c r="P29" s="1572"/>
      <c r="Q29" s="1572"/>
      <c r="R29" s="1572"/>
      <c r="S29" s="1572"/>
      <c r="T29" s="1572"/>
      <c r="U29" s="1573"/>
    </row>
    <row r="30" spans="1:21" ht="16" customHeight="1">
      <c r="A30" s="1673"/>
      <c r="B30" s="308"/>
      <c r="C30" s="308"/>
      <c r="D30" s="308"/>
      <c r="E30" s="308"/>
      <c r="F30" s="308"/>
      <c r="G30" s="308"/>
      <c r="H30" s="308"/>
      <c r="I30" s="308"/>
      <c r="J30" s="308"/>
      <c r="K30" s="308"/>
      <c r="L30" s="1673"/>
      <c r="M30" s="616"/>
      <c r="N30" s="617"/>
      <c r="O30" s="617"/>
      <c r="P30" s="617"/>
      <c r="Q30" s="617"/>
      <c r="R30" s="617"/>
      <c r="S30" s="617"/>
      <c r="T30" s="617"/>
      <c r="U30" s="618"/>
    </row>
    <row r="31" spans="1:21" ht="16" customHeight="1">
      <c r="A31" s="1673"/>
      <c r="B31" s="308"/>
      <c r="C31" s="308"/>
      <c r="D31" s="308"/>
      <c r="E31" s="308"/>
      <c r="F31" s="308"/>
      <c r="G31" s="308"/>
      <c r="H31" s="308"/>
      <c r="I31" s="308"/>
      <c r="J31" s="308"/>
      <c r="K31" s="308"/>
      <c r="L31" s="1673"/>
      <c r="M31" s="1571"/>
      <c r="N31" s="1572"/>
      <c r="O31" s="1572"/>
      <c r="P31" s="1572"/>
      <c r="Q31" s="1572"/>
      <c r="R31" s="1572"/>
      <c r="S31" s="1572"/>
      <c r="T31" s="1572"/>
      <c r="U31" s="1573"/>
    </row>
    <row r="32" spans="1:21" ht="16" customHeight="1">
      <c r="A32" s="1673"/>
      <c r="B32" s="308"/>
      <c r="C32" s="308"/>
      <c r="D32" s="308"/>
      <c r="E32" s="308"/>
      <c r="F32" s="308"/>
      <c r="G32" s="308"/>
      <c r="H32" s="308"/>
      <c r="I32" s="308"/>
      <c r="J32" s="308"/>
      <c r="K32" s="308"/>
      <c r="L32" s="1673"/>
      <c r="M32" s="1571"/>
      <c r="N32" s="1572"/>
      <c r="O32" s="1572"/>
      <c r="P32" s="1572"/>
      <c r="Q32" s="1572"/>
      <c r="R32" s="1572"/>
      <c r="S32" s="1572"/>
      <c r="T32" s="1572"/>
      <c r="U32" s="1573"/>
    </row>
    <row r="33" spans="1:32" ht="16" customHeight="1">
      <c r="A33" s="1673"/>
      <c r="B33" s="308"/>
      <c r="C33" s="308"/>
      <c r="D33" s="308"/>
      <c r="E33" s="308"/>
      <c r="F33" s="308"/>
      <c r="G33" s="308"/>
      <c r="H33" s="308"/>
      <c r="I33" s="308"/>
      <c r="J33" s="308"/>
      <c r="K33" s="308"/>
      <c r="L33" s="1673"/>
      <c r="M33" s="1571"/>
      <c r="N33" s="1572"/>
      <c r="O33" s="1572"/>
      <c r="P33" s="1572"/>
      <c r="Q33" s="1572"/>
      <c r="R33" s="1572"/>
      <c r="S33" s="1572"/>
      <c r="T33" s="1572"/>
      <c r="U33" s="1573"/>
    </row>
    <row r="34" spans="1:32" ht="16" customHeight="1">
      <c r="A34" s="1673"/>
      <c r="B34" s="308"/>
      <c r="C34" s="308"/>
      <c r="D34" s="308"/>
      <c r="E34" s="308"/>
      <c r="F34" s="308"/>
      <c r="G34" s="308"/>
      <c r="H34" s="308"/>
      <c r="I34" s="308"/>
      <c r="J34" s="308"/>
      <c r="K34" s="308"/>
      <c r="L34" s="1673"/>
      <c r="M34" s="1553"/>
      <c r="N34" s="1554"/>
      <c r="O34" s="1554"/>
      <c r="P34" s="1554"/>
      <c r="Q34" s="1554"/>
      <c r="R34" s="1554"/>
      <c r="S34" s="1554"/>
      <c r="T34" s="1554"/>
      <c r="U34" s="1555"/>
    </row>
    <row r="35" spans="1:32" ht="16" customHeight="1">
      <c r="A35" s="1673"/>
      <c r="B35" s="308"/>
      <c r="C35" s="308"/>
      <c r="D35" s="308"/>
      <c r="E35" s="308"/>
      <c r="F35" s="308"/>
      <c r="G35" s="308"/>
      <c r="H35" s="308"/>
      <c r="I35" s="308"/>
      <c r="J35" s="308"/>
      <c r="K35" s="308"/>
      <c r="L35" s="1673"/>
      <c r="M35" s="1553"/>
      <c r="N35" s="1554"/>
      <c r="O35" s="1554"/>
      <c r="P35" s="1554"/>
      <c r="Q35" s="1554"/>
      <c r="R35" s="1554"/>
      <c r="S35" s="1554"/>
      <c r="T35" s="1554"/>
      <c r="U35" s="1555"/>
    </row>
    <row r="36" spans="1:32" ht="20" customHeight="1">
      <c r="A36" s="1673"/>
      <c r="B36" s="1674" t="s">
        <v>1209</v>
      </c>
      <c r="C36" s="1674"/>
      <c r="D36" s="1674"/>
      <c r="E36" s="1674"/>
      <c r="F36" s="1674"/>
      <c r="G36" s="1674"/>
      <c r="H36" s="1674"/>
      <c r="I36" s="1674"/>
      <c r="J36" s="1674"/>
      <c r="K36" s="1674"/>
      <c r="L36" s="1673"/>
      <c r="M36" s="396" t="str">
        <f>N40</f>
        <v>AR</v>
      </c>
      <c r="N36" s="1675" t="s">
        <v>1211</v>
      </c>
      <c r="O36" s="1675"/>
      <c r="P36" s="1675"/>
      <c r="Q36" s="1675"/>
      <c r="R36" s="1675"/>
      <c r="S36" s="1675"/>
      <c r="T36" s="1675"/>
      <c r="U36" s="396"/>
    </row>
    <row r="37" spans="1:32" ht="18" customHeight="1">
      <c r="A37" s="310"/>
      <c r="B37" s="1672" t="s">
        <v>1066</v>
      </c>
      <c r="C37" s="1672"/>
      <c r="D37" s="1672"/>
      <c r="E37" s="1672"/>
      <c r="F37" s="1672"/>
      <c r="G37" s="1672"/>
      <c r="H37" s="1672"/>
      <c r="I37" s="1672"/>
      <c r="J37" s="1672"/>
      <c r="K37" s="1672"/>
      <c r="L37" s="310"/>
      <c r="M37" s="1676" t="s">
        <v>991</v>
      </c>
      <c r="N37" s="1677"/>
      <c r="O37" s="1677"/>
      <c r="P37" s="1677"/>
      <c r="Q37" s="1677"/>
      <c r="R37" s="1677"/>
      <c r="S37" s="1677"/>
      <c r="T37" s="1677"/>
      <c r="U37" s="1677"/>
    </row>
    <row r="38" spans="1:32" ht="16" customHeight="1">
      <c r="A38" s="447"/>
      <c r="B38" s="447"/>
      <c r="C38" s="447"/>
      <c r="D38" s="447"/>
      <c r="E38" s="447"/>
      <c r="F38" s="447"/>
      <c r="G38" s="447"/>
      <c r="H38" s="447"/>
      <c r="I38" s="447"/>
      <c r="J38" s="447"/>
      <c r="K38" s="447"/>
      <c r="L38" s="309"/>
      <c r="M38" s="493"/>
      <c r="N38" s="493"/>
      <c r="O38" s="493"/>
      <c r="P38" s="493"/>
      <c r="Q38" s="493"/>
      <c r="R38" s="493"/>
      <c r="S38" s="493"/>
      <c r="T38" s="493"/>
      <c r="U38" s="493"/>
    </row>
    <row r="39" spans="1:32" ht="16" customHeight="1">
      <c r="A39" s="447"/>
      <c r="B39" s="447"/>
      <c r="C39" s="447"/>
      <c r="D39" s="447"/>
      <c r="E39" s="447"/>
      <c r="F39" s="447"/>
      <c r="G39" s="447"/>
      <c r="H39" s="447"/>
      <c r="I39" s="447"/>
      <c r="J39" s="447"/>
      <c r="K39" s="447"/>
      <c r="L39" s="309"/>
      <c r="M39" s="493"/>
      <c r="N39" s="493"/>
      <c r="O39" s="493"/>
      <c r="P39" s="493"/>
      <c r="Q39" s="493"/>
      <c r="R39" s="493"/>
      <c r="S39" s="493"/>
      <c r="T39" s="493"/>
      <c r="U39" s="493"/>
      <c r="X39" s="486"/>
      <c r="Y39" s="487"/>
      <c r="Z39" s="485"/>
      <c r="AA39" s="485"/>
      <c r="AB39" s="485"/>
      <c r="AC39" s="485"/>
      <c r="AD39" s="485"/>
      <c r="AE39" s="485"/>
      <c r="AF39" s="485"/>
    </row>
    <row r="40" spans="1:32" ht="16" customHeight="1">
      <c r="A40" s="447"/>
      <c r="B40" s="1548" t="s">
        <v>1007</v>
      </c>
      <c r="C40" s="1548"/>
      <c r="D40" s="1548"/>
      <c r="E40" s="1548"/>
      <c r="F40" s="1548"/>
      <c r="G40" s="1548"/>
      <c r="H40" s="1548"/>
      <c r="I40" s="1548"/>
      <c r="J40" s="1548"/>
      <c r="K40" s="447"/>
      <c r="L40" s="309"/>
      <c r="M40" s="493"/>
      <c r="N40" s="582" t="str">
        <f>'FIG3'!W49</f>
        <v>AR</v>
      </c>
      <c r="O40" s="582"/>
      <c r="P40" s="493"/>
      <c r="Q40" s="493"/>
      <c r="R40" s="493"/>
      <c r="S40" s="493"/>
      <c r="T40" s="493"/>
      <c r="U40" s="493"/>
      <c r="X40" s="488"/>
      <c r="Z40" s="485"/>
      <c r="AA40" s="485"/>
      <c r="AB40" s="485"/>
      <c r="AC40" s="485"/>
      <c r="AD40" s="485"/>
      <c r="AE40" s="485"/>
      <c r="AF40" s="485"/>
    </row>
    <row r="41" spans="1:32" ht="16" customHeight="1">
      <c r="A41" s="447"/>
      <c r="B41" s="1548"/>
      <c r="C41" s="1548"/>
      <c r="D41" s="1548"/>
      <c r="E41" s="1548"/>
      <c r="F41" s="1548"/>
      <c r="G41" s="1548"/>
      <c r="H41" s="1548"/>
      <c r="I41" s="1548"/>
      <c r="J41" s="1548"/>
      <c r="K41" s="447"/>
      <c r="L41" s="309"/>
      <c r="M41" s="493"/>
      <c r="N41" s="592" t="s">
        <v>1079</v>
      </c>
      <c r="O41" s="598">
        <f>'FIG3'!F16+'FIG3'!F18</f>
        <v>941.06948895899052</v>
      </c>
      <c r="P41" s="48" t="s">
        <v>992</v>
      </c>
      <c r="Q41" s="493"/>
      <c r="R41" s="493"/>
      <c r="S41" s="493"/>
      <c r="T41" s="493"/>
      <c r="U41" s="493"/>
      <c r="X41" s="489"/>
      <c r="Z41" s="485"/>
      <c r="AA41" s="485"/>
      <c r="AB41" s="485"/>
      <c r="AC41" s="485"/>
      <c r="AD41" s="485"/>
      <c r="AE41" s="485"/>
      <c r="AF41" s="485"/>
    </row>
    <row r="42" spans="1:32" ht="16" customHeight="1">
      <c r="A42" s="447"/>
      <c r="B42" s="1548"/>
      <c r="C42" s="1548"/>
      <c r="D42" s="1548"/>
      <c r="E42" s="1548"/>
      <c r="F42" s="1548"/>
      <c r="G42" s="1548"/>
      <c r="H42" s="1548"/>
      <c r="I42" s="1548"/>
      <c r="J42" s="1548"/>
      <c r="K42" s="447"/>
      <c r="L42" s="309"/>
      <c r="M42" s="493"/>
      <c r="N42" s="592" t="s">
        <v>1177</v>
      </c>
      <c r="O42" s="598">
        <f>'FIG3'!F17</f>
        <v>0</v>
      </c>
      <c r="P42" s="48" t="s">
        <v>993</v>
      </c>
      <c r="Q42" s="493"/>
      <c r="R42" s="493"/>
      <c r="S42" s="493"/>
      <c r="T42" s="493"/>
      <c r="U42" s="493"/>
      <c r="X42" s="490"/>
      <c r="Z42" s="485"/>
      <c r="AA42" s="485"/>
      <c r="AB42" s="485"/>
      <c r="AC42" s="485"/>
      <c r="AD42" s="485"/>
      <c r="AE42" s="485"/>
      <c r="AF42" s="485"/>
    </row>
    <row r="43" spans="1:32" ht="16" customHeight="1">
      <c r="A43" s="447"/>
      <c r="B43" s="1548"/>
      <c r="C43" s="1548"/>
      <c r="D43" s="1548"/>
      <c r="E43" s="1548"/>
      <c r="F43" s="1548"/>
      <c r="G43" s="1548"/>
      <c r="H43" s="1548"/>
      <c r="I43" s="1548"/>
      <c r="J43" s="1548"/>
      <c r="K43" s="447"/>
      <c r="L43" s="309"/>
      <c r="M43" s="493"/>
      <c r="N43" s="592" t="s">
        <v>1343</v>
      </c>
      <c r="O43" s="598">
        <f>'FIG3'!F15</f>
        <v>0</v>
      </c>
      <c r="P43" s="493"/>
      <c r="Q43" s="493"/>
      <c r="R43" s="493"/>
      <c r="S43" s="493"/>
      <c r="T43" s="493"/>
      <c r="U43" s="493"/>
      <c r="X43" s="490"/>
      <c r="Z43" s="485"/>
      <c r="AA43" s="485"/>
      <c r="AB43" s="485"/>
      <c r="AC43" s="485"/>
      <c r="AD43" s="485"/>
      <c r="AE43" s="485"/>
      <c r="AF43" s="485"/>
    </row>
    <row r="44" spans="1:32" ht="16" customHeight="1">
      <c r="A44" s="447"/>
      <c r="B44" s="1548"/>
      <c r="C44" s="1548"/>
      <c r="D44" s="1548"/>
      <c r="E44" s="1548"/>
      <c r="F44" s="1548"/>
      <c r="G44" s="1548"/>
      <c r="H44" s="1548"/>
      <c r="I44" s="1548"/>
      <c r="J44" s="1548"/>
      <c r="K44" s="447"/>
      <c r="L44" s="309"/>
      <c r="M44" s="493"/>
      <c r="N44" s="592" t="s">
        <v>1344</v>
      </c>
      <c r="O44" s="598">
        <f>'FIG3'!F14</f>
        <v>6239.4890867507893</v>
      </c>
      <c r="P44" s="493"/>
      <c r="Q44" s="493"/>
      <c r="R44" s="493"/>
      <c r="S44" s="493"/>
      <c r="T44" s="493"/>
      <c r="U44" s="493"/>
      <c r="X44" s="490"/>
      <c r="Z44" s="485"/>
      <c r="AA44" s="485"/>
      <c r="AB44" s="485"/>
      <c r="AC44" s="485"/>
      <c r="AD44" s="485"/>
      <c r="AE44" s="485"/>
      <c r="AF44" s="485"/>
    </row>
    <row r="45" spans="1:32" ht="16" customHeight="1">
      <c r="A45" s="447"/>
      <c r="B45" s="1548"/>
      <c r="C45" s="1548"/>
      <c r="D45" s="1548"/>
      <c r="E45" s="1548"/>
      <c r="F45" s="1548"/>
      <c r="G45" s="1548"/>
      <c r="H45" s="1548"/>
      <c r="I45" s="1548"/>
      <c r="J45" s="1548"/>
      <c r="K45" s="447"/>
      <c r="L45" s="309"/>
      <c r="M45" s="493"/>
      <c r="N45" s="592" t="s">
        <v>1345</v>
      </c>
      <c r="O45" s="598">
        <f>'FIG3'!F13</f>
        <v>1211.0079085173504</v>
      </c>
      <c r="P45" s="493"/>
      <c r="Q45" s="493"/>
      <c r="R45" s="493"/>
      <c r="S45" s="493"/>
      <c r="T45" s="493"/>
      <c r="U45" s="493"/>
      <c r="X45" s="485"/>
      <c r="Y45" s="491"/>
      <c r="Z45" s="485"/>
      <c r="AA45" s="485"/>
      <c r="AB45" s="485"/>
      <c r="AC45" s="485"/>
      <c r="AD45" s="485"/>
      <c r="AE45" s="485"/>
      <c r="AF45" s="485"/>
    </row>
    <row r="46" spans="1:32" ht="16" customHeight="1">
      <c r="A46" s="447"/>
      <c r="B46" s="494"/>
      <c r="C46" s="494"/>
      <c r="D46" s="494"/>
      <c r="E46" s="494"/>
      <c r="F46" s="494"/>
      <c r="G46" s="494"/>
      <c r="H46" s="494"/>
      <c r="I46" s="494"/>
      <c r="J46" s="447"/>
      <c r="K46" s="447"/>
      <c r="L46" s="309"/>
      <c r="M46" s="493"/>
      <c r="N46" s="583" t="s">
        <v>1346</v>
      </c>
      <c r="O46" s="584">
        <f>SUM(O41:O45)</f>
        <v>8391.5664842271308</v>
      </c>
      <c r="P46" s="493"/>
      <c r="Q46" s="493"/>
      <c r="R46" s="493"/>
      <c r="S46" s="493"/>
      <c r="T46" s="493"/>
      <c r="U46" s="493"/>
      <c r="X46" s="485"/>
      <c r="Y46" s="492"/>
      <c r="Z46" s="485"/>
      <c r="AA46" s="485"/>
      <c r="AB46" s="485"/>
      <c r="AC46" s="485"/>
      <c r="AD46" s="485"/>
      <c r="AE46" s="485"/>
      <c r="AF46" s="485"/>
    </row>
    <row r="47" spans="1:32" ht="16" customHeight="1">
      <c r="A47" s="447"/>
      <c r="B47" s="447"/>
      <c r="C47" s="447"/>
      <c r="D47" s="447"/>
      <c r="E47" s="447"/>
      <c r="F47" s="447"/>
      <c r="G47" s="447"/>
      <c r="H47" s="447"/>
      <c r="I47" s="447"/>
      <c r="J47" s="447"/>
      <c r="K47" s="447"/>
      <c r="L47" s="309"/>
      <c r="M47" s="493"/>
      <c r="N47" s="493"/>
      <c r="O47" s="493"/>
      <c r="P47" s="493"/>
      <c r="Q47" s="493"/>
      <c r="R47" s="493"/>
      <c r="S47" s="493"/>
      <c r="T47" s="493"/>
      <c r="U47" s="493"/>
      <c r="X47" s="485"/>
      <c r="Y47" s="485"/>
      <c r="Z47" s="485"/>
      <c r="AA47" s="485"/>
      <c r="AB47" s="485"/>
      <c r="AC47" s="485"/>
      <c r="AD47" s="485"/>
      <c r="AE47" s="485"/>
      <c r="AF47" s="485"/>
    </row>
    <row r="48" spans="1:32" ht="16" customHeight="1">
      <c r="A48" s="447"/>
      <c r="B48" s="1532" t="s">
        <v>1071</v>
      </c>
      <c r="C48" s="1532"/>
      <c r="D48" s="1532"/>
      <c r="E48" s="1532"/>
      <c r="F48" s="1532"/>
      <c r="G48" s="1532"/>
      <c r="H48" s="1532"/>
      <c r="I48" s="1532"/>
      <c r="J48" s="1532"/>
      <c r="K48" s="447"/>
      <c r="L48" s="309"/>
      <c r="M48" s="493"/>
      <c r="N48" s="1531" t="s">
        <v>1002</v>
      </c>
      <c r="O48" s="1531"/>
      <c r="P48" s="1531"/>
      <c r="Q48" s="1531"/>
      <c r="R48" s="1531"/>
      <c r="S48" s="1531"/>
      <c r="T48" s="1531"/>
      <c r="U48" s="1531"/>
    </row>
    <row r="49" spans="1:24" ht="16" customHeight="1">
      <c r="A49" s="447"/>
      <c r="B49" s="1532"/>
      <c r="C49" s="1532"/>
      <c r="D49" s="1532"/>
      <c r="E49" s="1532"/>
      <c r="F49" s="1532"/>
      <c r="G49" s="1532"/>
      <c r="H49" s="1532"/>
      <c r="I49" s="1532"/>
      <c r="J49" s="1532"/>
      <c r="K49" s="447"/>
      <c r="L49" s="309"/>
      <c r="M49" s="493"/>
      <c r="N49" s="493"/>
      <c r="O49" s="493"/>
      <c r="P49" s="493"/>
      <c r="Q49" s="493"/>
      <c r="R49" s="493"/>
      <c r="S49" s="493"/>
      <c r="T49" s="493"/>
      <c r="U49" s="493"/>
    </row>
    <row r="50" spans="1:24" ht="16" customHeight="1">
      <c r="A50" s="447"/>
      <c r="B50" s="1532"/>
      <c r="C50" s="1532"/>
      <c r="D50" s="1532"/>
      <c r="E50" s="1532"/>
      <c r="F50" s="1532"/>
      <c r="G50" s="1532"/>
      <c r="H50" s="1532"/>
      <c r="I50" s="1532"/>
      <c r="J50" s="1532"/>
      <c r="K50" s="447"/>
      <c r="L50" s="309"/>
      <c r="M50" s="493"/>
      <c r="N50" s="1678" t="s">
        <v>1003</v>
      </c>
      <c r="O50" s="1678"/>
      <c r="P50" s="1678"/>
      <c r="Q50" s="1678"/>
      <c r="R50" s="1678"/>
      <c r="S50" s="1678"/>
      <c r="T50" s="1678"/>
      <c r="U50" s="493"/>
    </row>
    <row r="51" spans="1:24" ht="16" customHeight="1">
      <c r="A51" s="447"/>
      <c r="B51" s="1532"/>
      <c r="C51" s="1532"/>
      <c r="D51" s="1532"/>
      <c r="E51" s="1532"/>
      <c r="F51" s="1532"/>
      <c r="G51" s="1532"/>
      <c r="H51" s="1532"/>
      <c r="I51" s="1532"/>
      <c r="J51" s="1532"/>
      <c r="K51" s="447"/>
      <c r="L51" s="309"/>
      <c r="M51" s="493"/>
      <c r="N51" s="1678"/>
      <c r="O51" s="1678"/>
      <c r="P51" s="1678"/>
      <c r="Q51" s="1678"/>
      <c r="R51" s="1678"/>
      <c r="S51" s="1678"/>
      <c r="T51" s="1678"/>
      <c r="U51" s="493"/>
    </row>
    <row r="52" spans="1:24" ht="16" customHeight="1">
      <c r="A52" s="447"/>
      <c r="B52" s="1532"/>
      <c r="C52" s="1532"/>
      <c r="D52" s="1532"/>
      <c r="E52" s="1532"/>
      <c r="F52" s="1532"/>
      <c r="G52" s="1532"/>
      <c r="H52" s="1532"/>
      <c r="I52" s="1532"/>
      <c r="J52" s="1532"/>
      <c r="K52" s="447"/>
      <c r="L52" s="309"/>
      <c r="M52" s="493"/>
      <c r="N52" s="1678"/>
      <c r="O52" s="1678"/>
      <c r="P52" s="1678"/>
      <c r="Q52" s="1678"/>
      <c r="R52" s="1678"/>
      <c r="S52" s="1678"/>
      <c r="T52" s="1678"/>
      <c r="U52" s="493"/>
    </row>
    <row r="53" spans="1:24" ht="16" customHeight="1">
      <c r="A53" s="447"/>
      <c r="B53" s="1532"/>
      <c r="C53" s="1532"/>
      <c r="D53" s="1532"/>
      <c r="E53" s="1532"/>
      <c r="F53" s="1532"/>
      <c r="G53" s="1532"/>
      <c r="H53" s="1532"/>
      <c r="I53" s="1532"/>
      <c r="J53" s="1532"/>
      <c r="K53" s="447"/>
      <c r="L53" s="309"/>
      <c r="M53" s="493"/>
      <c r="N53" s="493"/>
      <c r="O53" s="493"/>
      <c r="P53" s="493"/>
      <c r="Q53" s="493"/>
      <c r="R53" s="493"/>
      <c r="S53" s="493"/>
      <c r="T53" s="493"/>
      <c r="U53" s="493"/>
    </row>
    <row r="54" spans="1:24" ht="16" customHeight="1">
      <c r="A54" s="447"/>
      <c r="B54" s="418"/>
      <c r="C54" s="418"/>
      <c r="D54" s="418"/>
      <c r="E54" s="418"/>
      <c r="F54" s="418"/>
      <c r="G54" s="418"/>
      <c r="H54" s="418"/>
      <c r="I54" s="418"/>
      <c r="J54" s="447"/>
      <c r="K54" s="447"/>
      <c r="L54" s="309"/>
      <c r="M54" s="493"/>
      <c r="N54" s="493"/>
      <c r="O54" s="493"/>
      <c r="P54" s="493"/>
      <c r="Q54" s="493"/>
      <c r="R54" s="493"/>
      <c r="S54" s="493"/>
      <c r="T54" s="493"/>
      <c r="U54" s="493"/>
    </row>
    <row r="55" spans="1:24" ht="16" customHeight="1">
      <c r="A55" s="447"/>
      <c r="B55" s="447"/>
      <c r="C55" s="447"/>
      <c r="D55" s="447"/>
      <c r="E55" s="447"/>
      <c r="F55" s="447"/>
      <c r="G55" s="447"/>
      <c r="H55" s="447"/>
      <c r="I55" s="447"/>
      <c r="J55" s="447"/>
      <c r="K55" s="447"/>
      <c r="L55" s="309"/>
      <c r="M55" s="493"/>
      <c r="N55" s="493"/>
      <c r="O55" s="493"/>
      <c r="P55" s="493"/>
      <c r="Q55" s="493"/>
      <c r="R55" s="493"/>
      <c r="S55" s="493"/>
      <c r="T55" s="493"/>
      <c r="U55" s="493"/>
    </row>
    <row r="56" spans="1:24" ht="16" customHeight="1">
      <c r="A56" s="447"/>
      <c r="B56" s="447"/>
      <c r="C56" s="447"/>
      <c r="D56" s="447"/>
      <c r="E56" s="447"/>
      <c r="F56" s="447"/>
      <c r="G56" s="447"/>
      <c r="H56" s="447"/>
      <c r="I56" s="447"/>
      <c r="J56" s="447"/>
      <c r="K56" s="447"/>
      <c r="L56" s="309"/>
      <c r="M56" s="493"/>
      <c r="N56" s="493"/>
      <c r="O56" s="493"/>
      <c r="P56" s="493"/>
      <c r="Q56" s="493"/>
      <c r="R56" s="493"/>
      <c r="S56" s="493"/>
      <c r="T56" s="493"/>
      <c r="U56" s="493"/>
    </row>
    <row r="57" spans="1:24" ht="16" customHeight="1">
      <c r="A57" s="447"/>
      <c r="B57" s="447"/>
      <c r="C57" s="447"/>
      <c r="D57" s="447"/>
      <c r="E57" s="447"/>
      <c r="F57" s="447"/>
      <c r="G57" s="447"/>
      <c r="H57" s="447"/>
      <c r="I57" s="447"/>
      <c r="J57" s="447"/>
      <c r="K57" s="447"/>
      <c r="L57" s="309"/>
      <c r="M57" s="493"/>
      <c r="N57" s="493"/>
      <c r="O57" s="493"/>
      <c r="P57" s="493"/>
      <c r="Q57" s="493"/>
      <c r="R57" s="493"/>
      <c r="S57" s="493"/>
      <c r="T57" s="493"/>
      <c r="U57" s="493"/>
    </row>
    <row r="58" spans="1:24" ht="16" customHeight="1">
      <c r="A58" s="447"/>
      <c r="B58" s="447"/>
      <c r="C58" s="447"/>
      <c r="D58" s="447"/>
      <c r="E58" s="447"/>
      <c r="F58" s="447"/>
      <c r="G58" s="447"/>
      <c r="H58" s="447"/>
      <c r="I58" s="447"/>
      <c r="J58" s="447"/>
      <c r="K58" s="447"/>
      <c r="L58" s="309"/>
      <c r="M58" s="493"/>
      <c r="N58" s="493"/>
      <c r="O58" s="493"/>
      <c r="P58" s="493"/>
      <c r="Q58" s="493"/>
      <c r="R58" s="493"/>
      <c r="S58" s="493"/>
      <c r="T58" s="493"/>
      <c r="U58" s="493"/>
    </row>
    <row r="59" spans="1:24" ht="16" customHeight="1">
      <c r="A59" s="447"/>
      <c r="B59" s="447"/>
      <c r="C59" s="447"/>
      <c r="D59" s="447"/>
      <c r="E59" s="447"/>
      <c r="F59" s="447"/>
      <c r="G59" s="447"/>
      <c r="H59" s="447"/>
      <c r="I59" s="447"/>
      <c r="J59" s="447"/>
      <c r="K59" s="447"/>
      <c r="L59" s="309"/>
      <c r="M59" s="493"/>
      <c r="N59" s="493"/>
      <c r="O59" s="493"/>
      <c r="P59" s="493"/>
      <c r="Q59" s="493"/>
      <c r="R59" s="493"/>
      <c r="S59" s="493"/>
      <c r="T59" s="493"/>
      <c r="U59" s="493"/>
    </row>
    <row r="60" spans="1:24" ht="12">
      <c r="L60" s="359"/>
      <c r="M60" s="359"/>
      <c r="N60" s="495"/>
      <c r="O60" s="495"/>
      <c r="P60" s="495"/>
      <c r="Q60" s="495"/>
      <c r="R60" s="495"/>
      <c r="S60" s="495"/>
      <c r="T60" s="495"/>
      <c r="U60" s="495"/>
      <c r="V60" s="359"/>
      <c r="W60" s="359"/>
      <c r="X60" s="359"/>
    </row>
    <row r="61" spans="1:24">
      <c r="L61" s="359"/>
      <c r="M61" s="359"/>
      <c r="N61" s="359"/>
      <c r="O61" s="359"/>
      <c r="P61" s="359"/>
      <c r="Q61" s="359"/>
      <c r="R61" s="359"/>
      <c r="S61" s="359"/>
      <c r="T61" s="359"/>
      <c r="U61" s="359"/>
      <c r="V61" s="359"/>
      <c r="W61" s="359"/>
      <c r="X61" s="359"/>
    </row>
    <row r="62" spans="1:24">
      <c r="L62" s="359"/>
      <c r="M62" s="359"/>
      <c r="N62" s="359"/>
      <c r="O62" s="359"/>
      <c r="P62" s="359"/>
      <c r="Q62" s="359"/>
      <c r="R62" s="359"/>
      <c r="S62" s="359"/>
      <c r="T62" s="359"/>
      <c r="U62" s="359"/>
      <c r="V62" s="359"/>
      <c r="W62" s="359"/>
      <c r="X62" s="359"/>
    </row>
    <row r="63" spans="1:24">
      <c r="L63" s="359"/>
      <c r="M63" s="359"/>
      <c r="N63" s="359"/>
      <c r="O63" s="359"/>
      <c r="P63" s="359"/>
      <c r="Q63" s="359"/>
      <c r="R63" s="359"/>
      <c r="S63" s="359"/>
      <c r="T63" s="359"/>
      <c r="U63" s="359"/>
      <c r="V63" s="359"/>
      <c r="W63" s="359"/>
      <c r="X63" s="359"/>
    </row>
    <row r="64" spans="1:24">
      <c r="L64" s="359"/>
      <c r="M64" s="359"/>
      <c r="N64" s="359"/>
      <c r="O64" s="359"/>
      <c r="P64" s="359"/>
      <c r="Q64" s="359"/>
      <c r="R64" s="359"/>
      <c r="S64" s="359"/>
      <c r="T64" s="359"/>
      <c r="U64" s="359"/>
      <c r="V64" s="359"/>
      <c r="W64" s="359"/>
      <c r="X64" s="359"/>
    </row>
    <row r="65" spans="12:24" ht="13" customHeight="1">
      <c r="L65" s="359"/>
      <c r="M65" s="359"/>
      <c r="N65" s="359"/>
      <c r="O65" s="359"/>
      <c r="P65" s="359"/>
      <c r="Q65" s="359"/>
      <c r="R65" s="359"/>
      <c r="S65" s="359"/>
      <c r="T65" s="359"/>
      <c r="U65" s="359"/>
      <c r="V65" s="359"/>
      <c r="W65" s="359"/>
      <c r="X65" s="359"/>
    </row>
    <row r="66" spans="12:24" ht="13" customHeight="1"/>
    <row r="67" spans="12:24" ht="13" customHeight="1"/>
    <row r="68" spans="12:24" ht="13" customHeight="1"/>
    <row r="69" spans="12:24" ht="13" customHeight="1"/>
    <row r="70" spans="12:24" ht="13" customHeight="1"/>
    <row r="71" spans="12:24" ht="13" customHeight="1"/>
    <row r="72" spans="12:24" ht="13" customHeight="1"/>
    <row r="73" spans="12:24" ht="13" customHeight="1"/>
    <row r="74" spans="12:24" ht="13" customHeight="1"/>
    <row r="75" spans="12:24" ht="13" customHeight="1"/>
    <row r="76" spans="12:24" ht="13" customHeight="1"/>
    <row r="77" spans="12:24" ht="13" customHeight="1"/>
    <row r="78" spans="12:24" ht="13" customHeight="1"/>
    <row r="79" spans="12:24" ht="13" customHeight="1"/>
    <row r="80" spans="12:24" ht="13" customHeight="1"/>
    <row r="81" ht="13" customHeight="1"/>
    <row r="82" ht="13" customHeight="1"/>
    <row r="83" ht="13" customHeight="1"/>
    <row r="84" ht="13" customHeight="1"/>
    <row r="85" ht="13" customHeight="1"/>
    <row r="86" ht="13" customHeight="1"/>
    <row r="87" ht="13" customHeight="1"/>
    <row r="88" ht="13" customHeight="1"/>
    <row r="89" ht="13" customHeight="1"/>
    <row r="90" ht="13" customHeight="1"/>
    <row r="91" ht="13" customHeight="1"/>
    <row r="92" ht="13" customHeight="1"/>
    <row r="93" ht="13" customHeight="1"/>
    <row r="94" ht="13" customHeight="1"/>
    <row r="95" ht="13" customHeight="1"/>
    <row r="96" ht="13" customHeight="1"/>
    <row r="97" ht="13" customHeight="1"/>
    <row r="98" ht="13" customHeight="1"/>
    <row r="99" ht="13" customHeight="1"/>
    <row r="100" ht="13" customHeight="1"/>
    <row r="101" ht="13" customHeight="1"/>
    <row r="102" ht="13" customHeight="1"/>
    <row r="103" ht="13" customHeight="1"/>
    <row r="104" ht="13" customHeight="1"/>
    <row r="105" ht="13" customHeight="1"/>
    <row r="106" ht="13" customHeight="1"/>
    <row r="107" ht="13" customHeight="1"/>
    <row r="108" ht="13" customHeight="1"/>
    <row r="109" ht="13" customHeight="1"/>
    <row r="110" ht="13" customHeight="1"/>
    <row r="111" ht="13" customHeight="1"/>
    <row r="112" ht="13" customHeight="1"/>
    <row r="113" ht="13" customHeight="1"/>
    <row r="114" ht="13" customHeight="1"/>
    <row r="115" ht="13" customHeight="1"/>
    <row r="116" ht="13" customHeight="1"/>
    <row r="117" ht="13" customHeight="1"/>
    <row r="118" ht="13" customHeight="1"/>
    <row r="119" ht="13" customHeight="1"/>
    <row r="120" ht="13" customHeight="1"/>
    <row r="121" ht="13" customHeight="1"/>
    <row r="122" ht="13" customHeight="1"/>
    <row r="123" ht="13" customHeight="1"/>
    <row r="124" ht="13" customHeight="1"/>
    <row r="125" ht="13" customHeight="1"/>
    <row r="126" ht="13" customHeight="1"/>
    <row r="127" ht="13" customHeight="1"/>
    <row r="128" ht="13" customHeight="1"/>
    <row r="129" ht="13" customHeight="1"/>
    <row r="130" ht="13" customHeight="1"/>
    <row r="131" ht="13" customHeight="1"/>
    <row r="132" ht="13" customHeight="1"/>
    <row r="133" ht="13" customHeight="1"/>
    <row r="134" ht="13" customHeight="1"/>
    <row r="135" ht="13" customHeight="1"/>
    <row r="136" ht="13" customHeight="1"/>
    <row r="137" ht="13" customHeight="1"/>
    <row r="138" ht="13" customHeight="1"/>
    <row r="139" ht="13" customHeight="1"/>
    <row r="140" ht="13" customHeight="1"/>
    <row r="141" ht="13" customHeight="1"/>
    <row r="142" ht="13" customHeight="1"/>
    <row r="143" ht="13" customHeight="1"/>
    <row r="144" ht="13" customHeight="1"/>
    <row r="145" ht="13" customHeight="1"/>
    <row r="146" ht="13" customHeight="1"/>
    <row r="147" ht="13" customHeight="1"/>
    <row r="148" ht="13" customHeight="1"/>
    <row r="149" ht="13" customHeight="1"/>
    <row r="150" ht="13" customHeight="1"/>
    <row r="151" ht="13" customHeight="1"/>
    <row r="152" ht="13" customHeight="1"/>
    <row r="153" ht="13" customHeight="1"/>
    <row r="154" ht="13" customHeight="1"/>
    <row r="155" ht="13" customHeight="1"/>
    <row r="156" ht="13" customHeight="1"/>
    <row r="157" ht="13" customHeight="1"/>
    <row r="158" ht="13" customHeight="1"/>
    <row r="159" ht="13" customHeight="1"/>
    <row r="160" ht="13" customHeight="1"/>
    <row r="161" ht="13" customHeight="1"/>
    <row r="162" ht="13" customHeight="1"/>
    <row r="163" ht="13" customHeight="1"/>
    <row r="164" ht="13" customHeight="1"/>
    <row r="165" ht="13" customHeight="1"/>
    <row r="166" ht="13" customHeight="1"/>
    <row r="167" ht="13" customHeight="1"/>
    <row r="168" ht="13" customHeight="1"/>
    <row r="169" ht="13" customHeight="1"/>
    <row r="170" ht="13" customHeight="1"/>
    <row r="171" ht="13" customHeight="1"/>
    <row r="172" ht="13" customHeight="1"/>
    <row r="173" ht="13" customHeight="1"/>
    <row r="174" ht="13" customHeight="1"/>
    <row r="175" ht="13" customHeight="1"/>
    <row r="176" ht="13" customHeight="1"/>
    <row r="177" ht="13" customHeight="1"/>
    <row r="178" ht="13" customHeight="1"/>
    <row r="179" ht="13" customHeight="1"/>
    <row r="180" ht="13" customHeight="1"/>
    <row r="181" ht="13" customHeight="1"/>
    <row r="182" ht="13" customHeight="1"/>
    <row r="183" ht="13" customHeight="1"/>
    <row r="184" ht="13" customHeight="1"/>
    <row r="185" ht="13" customHeight="1"/>
    <row r="186" ht="13" customHeight="1"/>
    <row r="187" ht="13" customHeight="1"/>
    <row r="188" ht="13" customHeight="1"/>
    <row r="189" ht="13" customHeight="1"/>
    <row r="190" ht="13" customHeight="1"/>
    <row r="191" ht="13" customHeight="1"/>
    <row r="192" ht="13" customHeight="1"/>
    <row r="193" ht="13" customHeight="1"/>
    <row r="194" ht="13" customHeight="1"/>
    <row r="195" ht="13" customHeight="1"/>
    <row r="196" ht="13" customHeight="1"/>
    <row r="197" ht="13" customHeight="1"/>
    <row r="198" ht="13" customHeight="1"/>
    <row r="199" ht="13" customHeight="1"/>
    <row r="200" ht="13" customHeight="1"/>
    <row r="201" ht="13" customHeight="1"/>
    <row r="202" ht="13" customHeight="1"/>
    <row r="203" ht="13" customHeight="1"/>
    <row r="204" ht="13" customHeight="1"/>
    <row r="205" ht="13" customHeight="1"/>
    <row r="206" ht="13" customHeight="1"/>
    <row r="207" ht="13" customHeight="1"/>
    <row r="208" ht="13" customHeight="1"/>
    <row r="209" ht="13" customHeight="1"/>
    <row r="210" ht="13" customHeight="1"/>
    <row r="211" ht="13" customHeight="1"/>
    <row r="212" ht="13" customHeight="1"/>
    <row r="213" ht="13" customHeight="1"/>
    <row r="214" ht="13" customHeight="1"/>
    <row r="215" ht="13" customHeight="1"/>
    <row r="216" ht="13" customHeight="1"/>
    <row r="217" ht="13" customHeight="1"/>
    <row r="218" ht="13" customHeight="1"/>
    <row r="219" ht="13" customHeight="1"/>
    <row r="220" ht="13" customHeight="1"/>
    <row r="221" ht="13" customHeight="1"/>
    <row r="222" ht="13" customHeight="1"/>
    <row r="223" ht="13" customHeight="1"/>
    <row r="224" ht="13" customHeight="1"/>
    <row r="225" ht="13" customHeight="1"/>
    <row r="226" ht="13" customHeight="1"/>
    <row r="227" ht="13" customHeight="1"/>
    <row r="228" ht="13" customHeight="1"/>
    <row r="229" ht="13" customHeight="1"/>
    <row r="230" ht="13" customHeight="1"/>
    <row r="231" ht="13" customHeight="1"/>
    <row r="232" ht="13" customHeight="1"/>
    <row r="233" ht="13" customHeight="1"/>
    <row r="234" ht="13" customHeight="1"/>
    <row r="235" ht="13" customHeight="1"/>
    <row r="236" ht="13" customHeight="1"/>
    <row r="237" ht="13" customHeight="1"/>
    <row r="238" ht="13" customHeight="1"/>
    <row r="239" ht="13" customHeight="1"/>
    <row r="240" ht="13" customHeight="1"/>
    <row r="241" ht="13" customHeight="1"/>
    <row r="242" ht="13" customHeight="1"/>
    <row r="243" ht="13" customHeight="1"/>
    <row r="244" ht="13" customHeight="1"/>
    <row r="245" ht="13" customHeight="1"/>
    <row r="246" ht="13" customHeight="1"/>
    <row r="247" ht="13" customHeight="1"/>
    <row r="248" ht="13" customHeight="1"/>
    <row r="249" ht="13" customHeight="1"/>
    <row r="250" ht="13" customHeight="1"/>
    <row r="251" ht="13" customHeight="1"/>
    <row r="252" ht="13" customHeight="1"/>
    <row r="253" ht="13" customHeight="1"/>
    <row r="254" ht="13" customHeight="1"/>
    <row r="255" ht="13" customHeight="1"/>
    <row r="256" ht="13" customHeight="1"/>
    <row r="257" ht="13" customHeight="1"/>
    <row r="258" ht="13" customHeight="1"/>
    <row r="259" ht="13" customHeight="1"/>
    <row r="260" ht="13" customHeight="1"/>
    <row r="261" ht="13" customHeight="1"/>
    <row r="262" ht="13" customHeight="1"/>
    <row r="263" ht="13" customHeight="1"/>
    <row r="264" ht="13" customHeight="1"/>
    <row r="265" ht="13" customHeight="1"/>
    <row r="266" ht="13" customHeight="1"/>
    <row r="267" ht="13" customHeight="1"/>
    <row r="268" ht="13" customHeight="1"/>
    <row r="269" ht="13" customHeight="1"/>
    <row r="270" ht="13" customHeight="1"/>
    <row r="271" ht="13" customHeight="1"/>
    <row r="272" ht="13" customHeight="1"/>
    <row r="273" ht="13" customHeight="1"/>
    <row r="274" ht="13" customHeight="1"/>
    <row r="275" ht="13" customHeight="1"/>
    <row r="276" ht="13" customHeight="1"/>
    <row r="277" ht="13" customHeight="1"/>
    <row r="278" ht="13" customHeight="1"/>
    <row r="279" ht="13" customHeight="1"/>
    <row r="280" ht="13" customHeight="1"/>
    <row r="281" ht="13" customHeight="1"/>
    <row r="282" ht="13" customHeight="1"/>
    <row r="283" ht="13" customHeight="1"/>
    <row r="284" ht="13" customHeight="1"/>
    <row r="285" ht="13" customHeight="1"/>
    <row r="286" ht="13" customHeight="1"/>
    <row r="287" ht="13" customHeight="1"/>
    <row r="288" ht="13" customHeight="1"/>
    <row r="289" ht="13" customHeight="1"/>
    <row r="290" ht="13" customHeight="1"/>
    <row r="291" ht="13" customHeight="1"/>
    <row r="292" ht="13" customHeight="1"/>
    <row r="293" ht="13" customHeight="1"/>
    <row r="294" ht="13" customHeight="1"/>
    <row r="295" ht="13" customHeight="1"/>
    <row r="296" ht="13" customHeight="1"/>
    <row r="297" ht="13" customHeight="1"/>
    <row r="298" ht="13" customHeight="1"/>
    <row r="299" ht="13" customHeight="1"/>
    <row r="300" ht="13" customHeight="1"/>
    <row r="301" ht="13" customHeight="1"/>
    <row r="302" ht="13" customHeight="1"/>
    <row r="303" ht="13" customHeight="1"/>
    <row r="304" ht="13" customHeight="1"/>
    <row r="305" ht="13" customHeight="1"/>
    <row r="306" ht="13" customHeight="1"/>
    <row r="307" ht="13" customHeight="1"/>
    <row r="308" ht="13" customHeight="1"/>
    <row r="309" ht="13" customHeight="1"/>
    <row r="310" ht="13" customHeight="1"/>
    <row r="311" ht="13" customHeight="1"/>
    <row r="312" ht="13" customHeight="1"/>
    <row r="313" ht="13" customHeight="1"/>
    <row r="314" ht="13" customHeight="1"/>
    <row r="315" ht="13" customHeight="1"/>
    <row r="316" ht="13" customHeight="1"/>
    <row r="317" ht="13" customHeight="1"/>
    <row r="318" ht="13" customHeight="1"/>
    <row r="319" ht="13" customHeight="1"/>
    <row r="320" ht="13" customHeight="1"/>
    <row r="321" ht="13" customHeight="1"/>
    <row r="322" ht="13" customHeight="1"/>
    <row r="323" ht="13" customHeight="1"/>
    <row r="324" ht="13" customHeight="1"/>
    <row r="325" ht="13" customHeight="1"/>
    <row r="326" ht="13" customHeight="1"/>
    <row r="327" ht="13" customHeight="1"/>
    <row r="328" ht="13" customHeight="1"/>
    <row r="329" ht="13" customHeight="1"/>
    <row r="330" ht="13" customHeight="1"/>
    <row r="331" ht="13" customHeight="1"/>
    <row r="332" ht="13" customHeight="1"/>
    <row r="333" ht="13" customHeight="1"/>
    <row r="334" ht="13" customHeight="1"/>
    <row r="335" ht="13" customHeight="1"/>
    <row r="336" ht="13" customHeight="1"/>
    <row r="337" ht="13" customHeight="1"/>
    <row r="338" ht="13" customHeight="1"/>
    <row r="339" ht="13" customHeight="1"/>
    <row r="340" ht="13" customHeight="1"/>
    <row r="341" ht="13" customHeight="1"/>
    <row r="342" ht="13" customHeight="1"/>
    <row r="343" ht="13" customHeight="1"/>
    <row r="344" ht="13" customHeight="1"/>
    <row r="345" ht="13" customHeight="1"/>
    <row r="346" ht="13" customHeight="1"/>
    <row r="347" ht="13" customHeight="1"/>
    <row r="348" ht="13" customHeight="1"/>
    <row r="349" ht="13" customHeight="1"/>
    <row r="350" ht="13" customHeight="1"/>
    <row r="351" ht="13" customHeight="1"/>
    <row r="352" ht="13" customHeight="1"/>
    <row r="353" ht="13" customHeight="1"/>
    <row r="354" ht="13" customHeight="1"/>
    <row r="355" ht="13" customHeight="1"/>
    <row r="356" ht="13" customHeight="1"/>
    <row r="357" ht="13" customHeight="1"/>
    <row r="358" ht="13" customHeight="1"/>
    <row r="359" ht="13" customHeight="1"/>
    <row r="360" ht="13" customHeight="1"/>
    <row r="361" ht="13" customHeight="1"/>
    <row r="362" ht="13" customHeight="1"/>
    <row r="363" ht="13" customHeight="1"/>
    <row r="364" ht="13" customHeight="1"/>
    <row r="365" ht="13" customHeight="1"/>
    <row r="366" ht="13" customHeight="1"/>
    <row r="367" ht="13" customHeight="1"/>
    <row r="368" ht="13" customHeight="1"/>
    <row r="369" ht="13" customHeight="1"/>
    <row r="370" ht="13" customHeight="1"/>
    <row r="371" ht="13" customHeight="1"/>
    <row r="372" ht="13" customHeight="1"/>
    <row r="373" ht="13" customHeight="1"/>
    <row r="374" ht="13" customHeight="1"/>
    <row r="375" ht="13" customHeight="1"/>
    <row r="376" ht="13" customHeight="1"/>
    <row r="377" ht="13" customHeight="1"/>
    <row r="378" ht="13" customHeight="1"/>
    <row r="379" ht="13" customHeight="1"/>
    <row r="380" ht="13" customHeight="1"/>
    <row r="381" ht="13" customHeight="1"/>
    <row r="382" ht="13" customHeight="1"/>
    <row r="383" ht="13" customHeight="1"/>
    <row r="384" ht="13" customHeight="1"/>
    <row r="385" ht="13" customHeight="1"/>
    <row r="386" ht="13" customHeight="1"/>
    <row r="387" ht="13" customHeight="1"/>
    <row r="388" ht="13" customHeight="1"/>
    <row r="389" ht="13" customHeight="1"/>
    <row r="390" ht="13" customHeight="1"/>
    <row r="391" ht="13" customHeight="1"/>
    <row r="392" ht="13" customHeight="1"/>
    <row r="393" ht="13" customHeight="1"/>
    <row r="394" ht="13" customHeight="1"/>
    <row r="395" ht="13" customHeight="1"/>
    <row r="396" ht="13" customHeight="1"/>
    <row r="397" ht="13" customHeight="1"/>
    <row r="398" ht="13" customHeight="1"/>
    <row r="399" ht="13" customHeight="1"/>
    <row r="400" ht="13" customHeight="1"/>
    <row r="401" ht="13" customHeight="1"/>
    <row r="402" ht="13" customHeight="1"/>
    <row r="403" ht="13" customHeight="1"/>
    <row r="404" ht="13" customHeight="1"/>
    <row r="405" ht="13" customHeight="1"/>
    <row r="406" ht="13" customHeight="1"/>
    <row r="407" ht="13" customHeight="1"/>
    <row r="408" ht="13" customHeight="1"/>
    <row r="409" ht="13" customHeight="1"/>
    <row r="410" ht="13" customHeight="1"/>
    <row r="411" ht="13" customHeight="1"/>
    <row r="412" ht="13" customHeight="1"/>
    <row r="413" ht="13" customHeight="1"/>
    <row r="414" ht="13" customHeight="1"/>
    <row r="415" ht="13" customHeight="1"/>
    <row r="416" ht="13" customHeight="1"/>
    <row r="417" ht="13" customHeight="1"/>
    <row r="418" ht="13" customHeight="1"/>
    <row r="419" ht="13" customHeight="1"/>
    <row r="420" ht="13" customHeight="1"/>
    <row r="421" ht="13" customHeight="1"/>
    <row r="422" ht="13" customHeight="1"/>
    <row r="423" ht="13" customHeight="1"/>
    <row r="424" ht="13" customHeight="1"/>
    <row r="425" ht="13" customHeight="1"/>
    <row r="426" ht="13" customHeight="1"/>
    <row r="427" ht="13" customHeight="1"/>
    <row r="428" ht="13" customHeight="1"/>
    <row r="429" ht="13" customHeight="1"/>
    <row r="430" ht="13" customHeight="1"/>
    <row r="431" ht="13" customHeight="1"/>
    <row r="432" ht="13" customHeight="1"/>
    <row r="433" ht="13" customHeight="1"/>
    <row r="434" ht="13" customHeight="1"/>
    <row r="435" ht="13" customHeight="1"/>
    <row r="436" ht="13" customHeight="1"/>
    <row r="437" ht="13" customHeight="1"/>
    <row r="438" ht="13" customHeight="1"/>
    <row r="439" ht="13" customHeight="1"/>
    <row r="440" ht="13" customHeight="1"/>
    <row r="441" ht="13" customHeight="1"/>
    <row r="442" ht="13" customHeight="1"/>
    <row r="443" ht="13" customHeight="1"/>
    <row r="444" ht="13" customHeight="1"/>
    <row r="445" ht="13" customHeight="1"/>
    <row r="446" ht="13" customHeight="1"/>
    <row r="447" ht="13" customHeight="1"/>
    <row r="448" ht="13" customHeight="1"/>
    <row r="449" ht="13" customHeight="1"/>
    <row r="450" ht="13" customHeight="1"/>
    <row r="451" ht="13" customHeight="1"/>
    <row r="452" ht="13" customHeight="1"/>
    <row r="453" ht="13" customHeight="1"/>
    <row r="454" ht="13" customHeight="1"/>
    <row r="455" ht="13" customHeight="1"/>
    <row r="456" ht="13" customHeight="1"/>
    <row r="457" ht="13" customHeight="1"/>
    <row r="458" ht="13" customHeight="1"/>
    <row r="459" ht="13" customHeight="1"/>
    <row r="460" ht="13" customHeight="1"/>
    <row r="461" ht="13" customHeight="1"/>
    <row r="462" ht="13" customHeight="1"/>
    <row r="463" ht="13" customHeight="1"/>
    <row r="464" ht="13" customHeight="1"/>
    <row r="465" ht="13" customHeight="1"/>
    <row r="466" ht="13" customHeight="1"/>
    <row r="467" ht="13" customHeight="1"/>
    <row r="468" ht="13" customHeight="1"/>
    <row r="469" ht="13" customHeight="1"/>
    <row r="470" ht="13" customHeight="1"/>
    <row r="471" ht="13" customHeight="1"/>
    <row r="472" ht="13" customHeight="1"/>
    <row r="473" ht="13" customHeight="1"/>
    <row r="474" ht="13" customHeight="1"/>
    <row r="475" ht="13" customHeight="1"/>
    <row r="476" ht="13" customHeight="1"/>
    <row r="477" ht="13" customHeight="1"/>
    <row r="478" ht="13" customHeight="1"/>
    <row r="479" ht="13" customHeight="1"/>
    <row r="480" ht="13" customHeight="1"/>
    <row r="481" ht="13" customHeight="1"/>
    <row r="482" ht="13" customHeight="1"/>
    <row r="483" ht="13" customHeight="1"/>
    <row r="484" ht="13" customHeight="1"/>
    <row r="485" ht="13" customHeight="1"/>
    <row r="486" ht="13" customHeight="1"/>
    <row r="487" ht="13" customHeight="1"/>
    <row r="488" ht="13" customHeight="1"/>
    <row r="489" ht="13" customHeight="1"/>
    <row r="490" ht="13" customHeight="1"/>
    <row r="491" ht="13" customHeight="1"/>
    <row r="492" ht="13" customHeight="1"/>
    <row r="493" ht="13" customHeight="1"/>
    <row r="494" ht="13" customHeight="1"/>
    <row r="495" ht="13" customHeight="1"/>
    <row r="496" ht="13" customHeight="1"/>
    <row r="497" ht="13" customHeight="1"/>
    <row r="498" ht="13" customHeight="1"/>
    <row r="499" ht="13" customHeight="1"/>
    <row r="500" ht="13" customHeight="1"/>
    <row r="501" ht="13" customHeight="1"/>
    <row r="502" ht="13" customHeight="1"/>
    <row r="503" ht="13" customHeight="1"/>
    <row r="504" ht="13" customHeight="1"/>
    <row r="505" ht="13" customHeight="1"/>
    <row r="506" ht="13" customHeight="1"/>
    <row r="507" ht="13" customHeight="1"/>
    <row r="508" ht="13" customHeight="1"/>
    <row r="509" ht="13" customHeight="1"/>
    <row r="510" ht="13" customHeight="1"/>
    <row r="511" ht="13" customHeight="1"/>
    <row r="512" ht="13" customHeight="1"/>
    <row r="513" ht="13" customHeight="1"/>
    <row r="514" ht="13" customHeight="1"/>
    <row r="515" ht="13" customHeight="1"/>
    <row r="516" ht="13" customHeight="1"/>
    <row r="517" ht="13" customHeight="1"/>
    <row r="518" ht="13" customHeight="1"/>
    <row r="519" ht="13" customHeight="1"/>
    <row r="520" ht="13" customHeight="1"/>
    <row r="521" ht="13" customHeight="1"/>
    <row r="522" ht="13" customHeight="1"/>
    <row r="523" ht="13" customHeight="1"/>
    <row r="524" ht="13" customHeight="1"/>
    <row r="525" ht="13" customHeight="1"/>
    <row r="526" ht="13" customHeight="1"/>
    <row r="527" ht="13" customHeight="1"/>
    <row r="528" ht="13" customHeight="1"/>
    <row r="529" ht="13" customHeight="1"/>
    <row r="530" ht="13" customHeight="1"/>
    <row r="531" ht="13" customHeight="1"/>
    <row r="532" ht="13" customHeight="1"/>
    <row r="533" ht="13" customHeight="1"/>
    <row r="534" ht="13" customHeight="1"/>
    <row r="535" ht="13" customHeight="1"/>
    <row r="536" ht="13" customHeight="1"/>
    <row r="537" ht="13" customHeight="1"/>
    <row r="538" ht="13" customHeight="1"/>
    <row r="539" ht="13" customHeight="1"/>
    <row r="540" ht="13" customHeight="1"/>
    <row r="541" ht="13" customHeight="1"/>
    <row r="542" ht="13" customHeight="1"/>
    <row r="543" ht="13" customHeight="1"/>
    <row r="544" ht="13" customHeight="1"/>
    <row r="545" ht="13" customHeight="1"/>
    <row r="546" ht="13" customHeight="1"/>
    <row r="547" ht="13" customHeight="1"/>
    <row r="548" ht="13" customHeight="1"/>
    <row r="549" ht="13" customHeight="1"/>
  </sheetData>
  <mergeCells count="22">
    <mergeCell ref="B40:J45"/>
    <mergeCell ref="N48:U48"/>
    <mergeCell ref="B48:J53"/>
    <mergeCell ref="N50:T52"/>
    <mergeCell ref="B1:K1"/>
    <mergeCell ref="B37:K37"/>
    <mergeCell ref="N2:T2"/>
    <mergeCell ref="M3:U8"/>
    <mergeCell ref="M9:U15"/>
    <mergeCell ref="M16:U28"/>
    <mergeCell ref="M29:U29"/>
    <mergeCell ref="M31:U31"/>
    <mergeCell ref="M32:U32"/>
    <mergeCell ref="M33:U33"/>
    <mergeCell ref="M34:U34"/>
    <mergeCell ref="M35:U35"/>
    <mergeCell ref="N36:T36"/>
    <mergeCell ref="M37:U37"/>
    <mergeCell ref="A2:A36"/>
    <mergeCell ref="L2:L36"/>
    <mergeCell ref="B2:K2"/>
    <mergeCell ref="B36:K36"/>
  </mergeCells>
  <phoneticPr fontId="153" type="noConversion"/>
  <pageMargins left="0.7" right="0.7" top="0.75" bottom="0.75" header="0.3" footer="0.3"/>
  <rowBreaks count="1" manualBreakCount="1">
    <brk id="35" max="16383" man="1"/>
  </rowBreaks>
  <colBreaks count="1" manualBreakCount="1">
    <brk id="21" max="1048575" man="1"/>
  </colBreaks>
  <drawing r:id="rId1"/>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14E09"/>
  </sheetPr>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8.83203125" defaultRowHeight="11" x14ac:dyDescent="0"/>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F549"/>
  <sheetViews>
    <sheetView workbookViewId="0">
      <selection activeCell="W32" sqref="W32"/>
    </sheetView>
  </sheetViews>
  <sheetFormatPr baseColWidth="10" defaultColWidth="8.83203125" defaultRowHeight="11" x14ac:dyDescent="0"/>
  <cols>
    <col min="1" max="1" width="4.83203125" style="277" customWidth="1"/>
    <col min="2" max="2" width="3.83203125" style="277" customWidth="1"/>
    <col min="3" max="6" width="9.83203125" style="277" customWidth="1"/>
    <col min="7" max="7" width="24.33203125" style="277" customWidth="1"/>
    <col min="8" max="10" width="9.83203125" style="277" customWidth="1"/>
    <col min="11" max="11" width="55.5" style="277" customWidth="1"/>
    <col min="12" max="12" width="3.83203125" style="277" customWidth="1"/>
    <col min="13" max="13" width="4.83203125" style="277" customWidth="1"/>
    <col min="14" max="14" width="6.83203125" style="277" customWidth="1"/>
    <col min="15" max="15" width="28.83203125" style="277" customWidth="1"/>
    <col min="16" max="18" width="12.83203125" style="277" customWidth="1"/>
    <col min="19" max="19" width="7.1640625" style="277" customWidth="1"/>
    <col min="20" max="20" width="6.5" style="277" customWidth="1"/>
    <col min="21" max="21" width="6.83203125" style="277" customWidth="1"/>
    <col min="22" max="22" width="9.83203125" style="277" customWidth="1"/>
    <col min="23" max="23" width="28.83203125" style="277" customWidth="1"/>
    <col min="24" max="24" width="11.6640625" style="277" customWidth="1"/>
    <col min="25" max="25" width="11.33203125" style="277" customWidth="1"/>
    <col min="26" max="27" width="9.83203125" style="277" customWidth="1"/>
    <col min="28" max="28" width="12.83203125" style="277" customWidth="1"/>
    <col min="29" max="43" width="9.83203125" style="277" customWidth="1"/>
    <col min="44" max="16384" width="8.83203125" style="277"/>
  </cols>
  <sheetData>
    <row r="1" spans="1:32" s="373" customFormat="1" ht="18" customHeight="1">
      <c r="A1" s="310"/>
      <c r="B1" s="1672" t="s">
        <v>1066</v>
      </c>
      <c r="C1" s="1672"/>
      <c r="D1" s="1672"/>
      <c r="E1" s="1672"/>
      <c r="F1" s="1672"/>
      <c r="G1" s="1672"/>
      <c r="H1" s="1672"/>
      <c r="I1" s="1672"/>
      <c r="J1" s="1672"/>
      <c r="K1" s="1672"/>
      <c r="L1" s="1672"/>
      <c r="M1" s="310"/>
      <c r="N1" s="309"/>
      <c r="O1" s="309"/>
      <c r="P1" s="309"/>
      <c r="Q1" s="309"/>
      <c r="R1" s="309"/>
      <c r="S1" s="309"/>
      <c r="T1" s="309"/>
      <c r="U1" s="309"/>
      <c r="V1" s="377"/>
      <c r="W1" s="377"/>
      <c r="X1" s="625"/>
      <c r="Y1" s="625"/>
      <c r="Z1" s="625"/>
      <c r="AA1" s="625"/>
      <c r="AB1" s="625"/>
      <c r="AC1" s="625"/>
      <c r="AD1" s="625"/>
      <c r="AE1" s="625"/>
      <c r="AF1" s="625"/>
    </row>
    <row r="2" spans="1:32" ht="20" customHeight="1">
      <c r="A2" s="1673" t="s">
        <v>1066</v>
      </c>
      <c r="B2" s="1674" t="s">
        <v>1212</v>
      </c>
      <c r="C2" s="1674"/>
      <c r="D2" s="1674"/>
      <c r="E2" s="1674"/>
      <c r="F2" s="1674"/>
      <c r="G2" s="1674"/>
      <c r="H2" s="1674"/>
      <c r="I2" s="1674"/>
      <c r="J2" s="1674"/>
      <c r="K2" s="1674"/>
      <c r="L2" s="1674"/>
      <c r="M2" s="1673" t="s">
        <v>1066</v>
      </c>
      <c r="N2" s="433" t="str">
        <f>O39</f>
        <v>AR</v>
      </c>
      <c r="O2" s="1675" t="s">
        <v>1213</v>
      </c>
      <c r="P2" s="1675"/>
      <c r="Q2" s="1675"/>
      <c r="R2" s="1675"/>
      <c r="S2" s="1675"/>
      <c r="T2" s="1675"/>
      <c r="U2" s="434"/>
      <c r="V2" s="426"/>
      <c r="W2" s="426"/>
      <c r="X2" s="625"/>
      <c r="Y2" s="625"/>
      <c r="Z2" s="625"/>
      <c r="AA2" s="625"/>
      <c r="AB2" s="625"/>
      <c r="AC2" s="625"/>
      <c r="AD2" s="625"/>
      <c r="AE2" s="625"/>
      <c r="AF2" s="625"/>
    </row>
    <row r="3" spans="1:32" ht="16" customHeight="1">
      <c r="A3" s="1673"/>
      <c r="B3" s="308"/>
      <c r="C3" s="308"/>
      <c r="D3" s="308"/>
      <c r="E3" s="308"/>
      <c r="F3" s="308"/>
      <c r="G3" s="308"/>
      <c r="H3" s="308"/>
      <c r="I3" s="308"/>
      <c r="J3" s="308"/>
      <c r="K3" s="308"/>
      <c r="L3" s="308"/>
      <c r="M3" s="1673"/>
      <c r="N3" s="1525" t="s">
        <v>1038</v>
      </c>
      <c r="O3" s="1526"/>
      <c r="P3" s="1526"/>
      <c r="Q3" s="1526"/>
      <c r="R3" s="1526"/>
      <c r="S3" s="1526"/>
      <c r="T3" s="1526"/>
      <c r="U3" s="1527"/>
      <c r="V3" s="424"/>
      <c r="W3" s="424"/>
      <c r="X3" s="625"/>
      <c r="Y3" s="625"/>
      <c r="Z3" s="625"/>
      <c r="AA3" s="625"/>
      <c r="AB3" s="625"/>
      <c r="AC3" s="625"/>
      <c r="AD3" s="625"/>
      <c r="AE3" s="625"/>
      <c r="AF3" s="625"/>
    </row>
    <row r="4" spans="1:32" ht="16" customHeight="1">
      <c r="A4" s="1673"/>
      <c r="B4" s="308"/>
      <c r="C4" s="308"/>
      <c r="D4" s="308"/>
      <c r="E4" s="308"/>
      <c r="F4" s="308"/>
      <c r="G4" s="308"/>
      <c r="H4" s="308"/>
      <c r="I4" s="308"/>
      <c r="J4" s="308"/>
      <c r="K4" s="308"/>
      <c r="L4" s="308"/>
      <c r="M4" s="1673"/>
      <c r="N4" s="1525"/>
      <c r="O4" s="1526"/>
      <c r="P4" s="1526"/>
      <c r="Q4" s="1526"/>
      <c r="R4" s="1526"/>
      <c r="S4" s="1526"/>
      <c r="T4" s="1526"/>
      <c r="U4" s="1527"/>
      <c r="V4" s="424"/>
      <c r="W4" s="424"/>
      <c r="X4" s="1490" t="s">
        <v>1088</v>
      </c>
      <c r="Y4" s="625"/>
      <c r="Z4" s="625"/>
      <c r="AA4" s="625"/>
      <c r="AB4" s="625"/>
      <c r="AC4" s="625"/>
      <c r="AD4" s="625"/>
      <c r="AE4" s="625"/>
      <c r="AF4" s="625"/>
    </row>
    <row r="5" spans="1:32" ht="16" customHeight="1">
      <c r="A5" s="1673"/>
      <c r="B5" s="308"/>
      <c r="C5" s="308"/>
      <c r="D5" s="308"/>
      <c r="E5" s="308"/>
      <c r="F5" s="308"/>
      <c r="G5" s="308"/>
      <c r="H5" s="308"/>
      <c r="I5" s="308"/>
      <c r="J5" s="308"/>
      <c r="K5" s="308"/>
      <c r="L5" s="308"/>
      <c r="M5" s="1673"/>
      <c r="N5" s="1525"/>
      <c r="O5" s="1526"/>
      <c r="P5" s="1526"/>
      <c r="Q5" s="1526"/>
      <c r="R5" s="1526"/>
      <c r="S5" s="1526"/>
      <c r="T5" s="1526"/>
      <c r="U5" s="1527"/>
      <c r="V5" s="424"/>
      <c r="W5" s="424"/>
      <c r="X5" s="1490" t="s">
        <v>1080</v>
      </c>
      <c r="Y5" s="1484">
        <v>11373.740177609156</v>
      </c>
      <c r="Z5" s="625"/>
      <c r="AA5" s="625"/>
      <c r="AB5" s="625"/>
      <c r="AC5" s="625"/>
      <c r="AD5" s="625"/>
      <c r="AE5" s="625"/>
      <c r="AF5" s="625"/>
    </row>
    <row r="6" spans="1:32" ht="16" customHeight="1">
      <c r="A6" s="1673"/>
      <c r="B6" s="308"/>
      <c r="C6" s="308"/>
      <c r="D6" s="308"/>
      <c r="E6" s="308"/>
      <c r="F6" s="308"/>
      <c r="G6" s="308"/>
      <c r="H6" s="308"/>
      <c r="I6" s="308"/>
      <c r="J6" s="308"/>
      <c r="K6" s="308"/>
      <c r="L6" s="308"/>
      <c r="M6" s="1673"/>
      <c r="N6" s="1528"/>
      <c r="O6" s="1529"/>
      <c r="P6" s="1529"/>
      <c r="Q6" s="1529"/>
      <c r="R6" s="1529"/>
      <c r="S6" s="1529"/>
      <c r="T6" s="1529"/>
      <c r="U6" s="1530"/>
      <c r="V6" s="424"/>
      <c r="W6" s="424"/>
      <c r="X6" s="1490" t="s">
        <v>1081</v>
      </c>
      <c r="Y6" s="1484">
        <v>8391.5664842271308</v>
      </c>
      <c r="Z6" s="625"/>
      <c r="AA6" s="625"/>
      <c r="AB6" s="625"/>
      <c r="AC6" s="625"/>
      <c r="AD6" s="625"/>
      <c r="AE6" s="625"/>
      <c r="AF6" s="625"/>
    </row>
    <row r="7" spans="1:32" ht="16" customHeight="1">
      <c r="A7" s="1673"/>
      <c r="B7" s="308"/>
      <c r="C7" s="308"/>
      <c r="D7" s="308"/>
      <c r="E7" s="308"/>
      <c r="F7" s="308"/>
      <c r="G7" s="308"/>
      <c r="H7" s="308"/>
      <c r="I7" s="308"/>
      <c r="J7" s="308"/>
      <c r="K7" s="308"/>
      <c r="L7" s="308"/>
      <c r="M7" s="1673"/>
      <c r="N7" s="1522"/>
      <c r="O7" s="1523"/>
      <c r="P7" s="1523"/>
      <c r="Q7" s="1523"/>
      <c r="R7" s="1523"/>
      <c r="S7" s="1523"/>
      <c r="T7" s="1523"/>
      <c r="U7" s="1524"/>
      <c r="V7" s="424"/>
      <c r="W7" s="424"/>
      <c r="X7" s="1490" t="s">
        <v>1</v>
      </c>
      <c r="Y7" s="1484">
        <v>14411.408437216214</v>
      </c>
      <c r="Z7" s="625"/>
      <c r="AA7" s="625"/>
      <c r="AB7" s="625"/>
      <c r="AC7" s="625"/>
      <c r="AD7" s="625"/>
      <c r="AE7" s="625"/>
      <c r="AF7" s="625"/>
    </row>
    <row r="8" spans="1:32" ht="16" customHeight="1">
      <c r="A8" s="1673"/>
      <c r="B8" s="308"/>
      <c r="C8" s="308"/>
      <c r="D8" s="308"/>
      <c r="E8" s="308"/>
      <c r="F8" s="308"/>
      <c r="G8" s="308"/>
      <c r="H8" s="308"/>
      <c r="I8" s="308"/>
      <c r="J8" s="308"/>
      <c r="K8" s="308"/>
      <c r="L8" s="308"/>
      <c r="M8" s="1673"/>
      <c r="N8" s="1525"/>
      <c r="O8" s="1526"/>
      <c r="P8" s="1526"/>
      <c r="Q8" s="1526"/>
      <c r="R8" s="1526"/>
      <c r="S8" s="1526"/>
      <c r="T8" s="1526"/>
      <c r="U8" s="1527"/>
      <c r="V8" s="424"/>
      <c r="W8" s="424"/>
      <c r="X8" s="1490" t="s">
        <v>2</v>
      </c>
      <c r="Y8" s="1484">
        <v>8150.9314335126828</v>
      </c>
      <c r="Z8" s="625"/>
      <c r="AA8" s="625"/>
      <c r="AB8" s="625"/>
      <c r="AC8" s="625"/>
      <c r="AD8" s="625"/>
      <c r="AE8" s="625"/>
      <c r="AF8" s="625"/>
    </row>
    <row r="9" spans="1:32" ht="16" customHeight="1">
      <c r="A9" s="1673"/>
      <c r="B9" s="308"/>
      <c r="C9" s="308"/>
      <c r="D9" s="308"/>
      <c r="E9" s="308"/>
      <c r="F9" s="308"/>
      <c r="G9" s="308"/>
      <c r="H9" s="308"/>
      <c r="I9" s="308"/>
      <c r="J9" s="308"/>
      <c r="K9" s="308"/>
      <c r="L9" s="308"/>
      <c r="M9" s="1673"/>
      <c r="N9" s="1525"/>
      <c r="O9" s="1526"/>
      <c r="P9" s="1526"/>
      <c r="Q9" s="1526"/>
      <c r="R9" s="1526"/>
      <c r="S9" s="1526"/>
      <c r="T9" s="1526"/>
      <c r="U9" s="1527"/>
      <c r="V9" s="424"/>
      <c r="W9" s="424"/>
      <c r="X9" s="625"/>
      <c r="Y9" s="625"/>
      <c r="Z9" s="625"/>
      <c r="AA9" s="625"/>
      <c r="AB9" s="625"/>
      <c r="AC9" s="625"/>
      <c r="AD9" s="625"/>
      <c r="AE9" s="625"/>
      <c r="AF9" s="625"/>
    </row>
    <row r="10" spans="1:32" ht="16" customHeight="1">
      <c r="A10" s="1673"/>
      <c r="B10" s="308"/>
      <c r="C10" s="308"/>
      <c r="D10" s="308"/>
      <c r="E10" s="308"/>
      <c r="F10" s="308"/>
      <c r="G10" s="308"/>
      <c r="H10" s="308"/>
      <c r="I10" s="308"/>
      <c r="J10" s="308"/>
      <c r="K10" s="308"/>
      <c r="L10" s="308"/>
      <c r="M10" s="1673"/>
      <c r="N10" s="1528"/>
      <c r="O10" s="1529"/>
      <c r="P10" s="1529"/>
      <c r="Q10" s="1529"/>
      <c r="R10" s="1529"/>
      <c r="S10" s="1529"/>
      <c r="T10" s="1529"/>
      <c r="U10" s="1530"/>
      <c r="V10" s="424"/>
      <c r="W10" s="424"/>
      <c r="X10" s="625"/>
      <c r="Y10" s="625"/>
      <c r="Z10" s="625"/>
      <c r="AA10" s="625"/>
      <c r="AB10" s="625"/>
      <c r="AC10" s="625"/>
      <c r="AD10" s="625"/>
      <c r="AE10" s="625"/>
      <c r="AF10" s="625"/>
    </row>
    <row r="11" spans="1:32" ht="16" customHeight="1">
      <c r="A11" s="1673"/>
      <c r="B11" s="308"/>
      <c r="C11" s="308"/>
      <c r="D11" s="308"/>
      <c r="E11" s="308"/>
      <c r="F11" s="308"/>
      <c r="G11" s="308"/>
      <c r="H11" s="308"/>
      <c r="I11" s="308"/>
      <c r="J11" s="308"/>
      <c r="K11" s="308"/>
      <c r="L11" s="308"/>
      <c r="M11" s="1673"/>
      <c r="N11" s="1522"/>
      <c r="O11" s="1523"/>
      <c r="P11" s="1523"/>
      <c r="Q11" s="1523"/>
      <c r="R11" s="1523"/>
      <c r="S11" s="1523"/>
      <c r="T11" s="1523"/>
      <c r="U11" s="1524"/>
      <c r="V11" s="425"/>
      <c r="W11" s="425"/>
      <c r="X11" s="625"/>
      <c r="Y11" s="625"/>
      <c r="Z11" s="625"/>
      <c r="AA11" s="625"/>
      <c r="AB11" s="625"/>
      <c r="AC11" s="625"/>
      <c r="AD11" s="625"/>
      <c r="AE11" s="625"/>
      <c r="AF11" s="625"/>
    </row>
    <row r="12" spans="1:32" ht="16" customHeight="1">
      <c r="A12" s="1673"/>
      <c r="B12" s="308"/>
      <c r="C12" s="308"/>
      <c r="D12" s="308"/>
      <c r="E12" s="308"/>
      <c r="F12" s="308"/>
      <c r="G12" s="308"/>
      <c r="H12" s="308"/>
      <c r="I12" s="308"/>
      <c r="J12" s="308"/>
      <c r="K12" s="308"/>
      <c r="L12" s="308"/>
      <c r="M12" s="1673"/>
      <c r="N12" s="1525"/>
      <c r="O12" s="1526"/>
      <c r="P12" s="1526"/>
      <c r="Q12" s="1526"/>
      <c r="R12" s="1526"/>
      <c r="S12" s="1526"/>
      <c r="T12" s="1526"/>
      <c r="U12" s="1527"/>
      <c r="V12" s="425"/>
      <c r="W12" s="425"/>
      <c r="X12" s="625"/>
      <c r="Y12" s="625"/>
      <c r="Z12" s="625"/>
      <c r="AA12" s="625"/>
      <c r="AB12" s="625"/>
      <c r="AC12" s="625"/>
      <c r="AD12" s="625"/>
      <c r="AE12" s="625"/>
      <c r="AF12" s="625"/>
    </row>
    <row r="13" spans="1:32" ht="16" customHeight="1">
      <c r="A13" s="1673"/>
      <c r="B13" s="308"/>
      <c r="C13" s="308"/>
      <c r="D13" s="308"/>
      <c r="E13" s="308"/>
      <c r="F13" s="308"/>
      <c r="G13" s="308"/>
      <c r="H13" s="308"/>
      <c r="I13" s="308"/>
      <c r="J13" s="308"/>
      <c r="K13" s="308"/>
      <c r="L13" s="308"/>
      <c r="M13" s="1673"/>
      <c r="N13" s="1525"/>
      <c r="O13" s="1526"/>
      <c r="P13" s="1526"/>
      <c r="Q13" s="1526"/>
      <c r="R13" s="1526"/>
      <c r="S13" s="1526"/>
      <c r="T13" s="1526"/>
      <c r="U13" s="1527"/>
      <c r="V13" s="425"/>
      <c r="W13" s="425"/>
      <c r="X13" s="625"/>
      <c r="Y13" s="625"/>
      <c r="Z13" s="625"/>
      <c r="AA13" s="625"/>
      <c r="AB13" s="625"/>
      <c r="AC13" s="625"/>
      <c r="AD13" s="625"/>
      <c r="AE13" s="625"/>
      <c r="AF13" s="625"/>
    </row>
    <row r="14" spans="1:32" ht="16" customHeight="1">
      <c r="A14" s="1673"/>
      <c r="B14" s="308"/>
      <c r="C14" s="308"/>
      <c r="D14" s="308"/>
      <c r="E14" s="308"/>
      <c r="F14" s="308"/>
      <c r="G14" s="308"/>
      <c r="H14" s="308"/>
      <c r="I14" s="308"/>
      <c r="J14" s="308"/>
      <c r="K14" s="308"/>
      <c r="L14" s="308"/>
      <c r="M14" s="1673"/>
      <c r="N14" s="1525"/>
      <c r="O14" s="1526"/>
      <c r="P14" s="1526"/>
      <c r="Q14" s="1526"/>
      <c r="R14" s="1526"/>
      <c r="S14" s="1526"/>
      <c r="T14" s="1526"/>
      <c r="U14" s="1527"/>
      <c r="V14" s="425"/>
      <c r="W14" s="425"/>
      <c r="X14" s="625"/>
      <c r="Y14" s="625"/>
      <c r="Z14" s="625"/>
      <c r="AA14" s="625"/>
      <c r="AB14" s="625"/>
      <c r="AC14" s="625"/>
      <c r="AD14" s="625"/>
      <c r="AE14" s="625"/>
      <c r="AF14" s="625"/>
    </row>
    <row r="15" spans="1:32" ht="16" customHeight="1">
      <c r="A15" s="1673"/>
      <c r="B15" s="308"/>
      <c r="C15" s="308"/>
      <c r="D15" s="308"/>
      <c r="E15" s="308"/>
      <c r="F15" s="308"/>
      <c r="G15" s="308"/>
      <c r="H15" s="308"/>
      <c r="I15" s="308"/>
      <c r="J15" s="308"/>
      <c r="K15" s="308"/>
      <c r="L15" s="308"/>
      <c r="M15" s="1673"/>
      <c r="N15" s="1525"/>
      <c r="O15" s="1526"/>
      <c r="P15" s="1526"/>
      <c r="Q15" s="1526"/>
      <c r="R15" s="1526"/>
      <c r="S15" s="1526"/>
      <c r="T15" s="1526"/>
      <c r="U15" s="1527"/>
      <c r="V15" s="425"/>
      <c r="W15" s="425"/>
      <c r="X15" s="625"/>
      <c r="Y15" s="625"/>
      <c r="Z15" s="625"/>
      <c r="AA15" s="625"/>
      <c r="AB15" s="625"/>
      <c r="AC15" s="625"/>
      <c r="AD15" s="625"/>
      <c r="AE15" s="625"/>
      <c r="AF15" s="625"/>
    </row>
    <row r="16" spans="1:32" ht="16" customHeight="1">
      <c r="A16" s="1673"/>
      <c r="B16" s="308"/>
      <c r="C16" s="308"/>
      <c r="D16" s="308"/>
      <c r="E16" s="308"/>
      <c r="F16" s="308"/>
      <c r="G16" s="308"/>
      <c r="H16" s="308"/>
      <c r="I16" s="308"/>
      <c r="J16" s="308"/>
      <c r="K16" s="308"/>
      <c r="L16" s="308"/>
      <c r="M16" s="1673"/>
      <c r="N16" s="1528"/>
      <c r="O16" s="1529"/>
      <c r="P16" s="1529"/>
      <c r="Q16" s="1529"/>
      <c r="R16" s="1529"/>
      <c r="S16" s="1529"/>
      <c r="T16" s="1529"/>
      <c r="U16" s="1530"/>
      <c r="V16" s="425"/>
      <c r="W16" s="425"/>
      <c r="X16" s="625"/>
      <c r="Y16" s="625"/>
      <c r="Z16" s="625"/>
      <c r="AA16" s="625"/>
      <c r="AB16" s="625"/>
      <c r="AC16" s="625"/>
      <c r="AD16" s="625"/>
      <c r="AE16" s="625"/>
      <c r="AF16" s="625"/>
    </row>
    <row r="17" spans="1:32" ht="16" customHeight="1">
      <c r="A17" s="1673"/>
      <c r="B17" s="308"/>
      <c r="C17" s="308"/>
      <c r="D17" s="308"/>
      <c r="E17" s="308"/>
      <c r="F17" s="308"/>
      <c r="G17" s="308"/>
      <c r="H17" s="308"/>
      <c r="I17" s="308"/>
      <c r="J17" s="308"/>
      <c r="K17" s="308"/>
      <c r="L17" s="308"/>
      <c r="M17" s="1673"/>
      <c r="N17" s="1522"/>
      <c r="O17" s="1523"/>
      <c r="P17" s="1523"/>
      <c r="Q17" s="1523"/>
      <c r="R17" s="1523"/>
      <c r="S17" s="1523"/>
      <c r="T17" s="1523"/>
      <c r="U17" s="1524"/>
      <c r="V17" s="425"/>
      <c r="W17" s="425"/>
      <c r="X17" s="625"/>
      <c r="Y17" s="625"/>
      <c r="Z17" s="625"/>
      <c r="AA17" s="625"/>
      <c r="AB17" s="625"/>
      <c r="AC17" s="625"/>
      <c r="AD17" s="625"/>
      <c r="AE17" s="625"/>
      <c r="AF17" s="625"/>
    </row>
    <row r="18" spans="1:32" ht="16" customHeight="1">
      <c r="A18" s="1673"/>
      <c r="B18" s="308"/>
      <c r="C18" s="308"/>
      <c r="D18" s="308"/>
      <c r="E18" s="308"/>
      <c r="F18" s="308"/>
      <c r="G18" s="308"/>
      <c r="H18" s="308"/>
      <c r="I18" s="308"/>
      <c r="J18" s="308"/>
      <c r="K18" s="308"/>
      <c r="L18" s="308"/>
      <c r="M18" s="1673"/>
      <c r="N18" s="1525"/>
      <c r="O18" s="1526"/>
      <c r="P18" s="1526"/>
      <c r="Q18" s="1526"/>
      <c r="R18" s="1526"/>
      <c r="S18" s="1526"/>
      <c r="T18" s="1526"/>
      <c r="U18" s="1527"/>
      <c r="V18" s="425"/>
      <c r="W18" s="425"/>
      <c r="X18" s="625"/>
      <c r="Y18" s="625"/>
      <c r="Z18" s="625"/>
      <c r="AA18" s="625"/>
      <c r="AB18" s="625"/>
      <c r="AC18" s="625"/>
      <c r="AD18" s="625"/>
      <c r="AE18" s="625"/>
      <c r="AF18" s="625"/>
    </row>
    <row r="19" spans="1:32" ht="16" customHeight="1">
      <c r="A19" s="1673"/>
      <c r="B19" s="308"/>
      <c r="C19" s="308"/>
      <c r="D19" s="308"/>
      <c r="E19" s="308"/>
      <c r="F19" s="308"/>
      <c r="G19" s="308"/>
      <c r="H19" s="308"/>
      <c r="I19" s="308"/>
      <c r="J19" s="308"/>
      <c r="K19" s="308"/>
      <c r="L19" s="308"/>
      <c r="M19" s="1673"/>
      <c r="N19" s="1525"/>
      <c r="O19" s="1526"/>
      <c r="P19" s="1526"/>
      <c r="Q19" s="1526"/>
      <c r="R19" s="1526"/>
      <c r="S19" s="1526"/>
      <c r="T19" s="1526"/>
      <c r="U19" s="1527"/>
      <c r="V19" s="425"/>
      <c r="W19" s="425"/>
      <c r="X19" s="625"/>
      <c r="Y19" s="625"/>
      <c r="Z19" s="625"/>
      <c r="AA19" s="625"/>
      <c r="AB19" s="625"/>
      <c r="AC19" s="625"/>
      <c r="AD19" s="625"/>
      <c r="AE19" s="625"/>
      <c r="AF19" s="625"/>
    </row>
    <row r="20" spans="1:32" ht="16" customHeight="1">
      <c r="A20" s="1673"/>
      <c r="B20" s="308"/>
      <c r="C20" s="308"/>
      <c r="D20" s="308"/>
      <c r="E20" s="308"/>
      <c r="F20" s="308"/>
      <c r="G20" s="308"/>
      <c r="H20" s="308"/>
      <c r="I20" s="308"/>
      <c r="J20" s="308"/>
      <c r="K20" s="308"/>
      <c r="L20" s="308"/>
      <c r="M20" s="1673"/>
      <c r="N20" s="1525"/>
      <c r="O20" s="1526"/>
      <c r="P20" s="1526"/>
      <c r="Q20" s="1526"/>
      <c r="R20" s="1526"/>
      <c r="S20" s="1526"/>
      <c r="T20" s="1526"/>
      <c r="U20" s="1527"/>
      <c r="V20" s="432"/>
      <c r="W20" s="432"/>
      <c r="X20" s="625"/>
      <c r="Y20" s="625"/>
      <c r="Z20" s="625"/>
      <c r="AA20" s="625"/>
      <c r="AB20" s="625"/>
      <c r="AC20" s="625"/>
      <c r="AD20" s="625"/>
      <c r="AE20" s="625"/>
      <c r="AF20" s="625"/>
    </row>
    <row r="21" spans="1:32" ht="16" customHeight="1">
      <c r="A21" s="1673"/>
      <c r="B21" s="308"/>
      <c r="C21" s="308"/>
      <c r="D21" s="308"/>
      <c r="E21" s="308"/>
      <c r="F21" s="308"/>
      <c r="G21" s="308"/>
      <c r="H21" s="308"/>
      <c r="I21" s="308"/>
      <c r="J21" s="308"/>
      <c r="K21" s="308"/>
      <c r="L21" s="308"/>
      <c r="M21" s="1673"/>
      <c r="N21" s="1525"/>
      <c r="O21" s="1526"/>
      <c r="P21" s="1526"/>
      <c r="Q21" s="1526"/>
      <c r="R21" s="1526"/>
      <c r="S21" s="1526"/>
      <c r="T21" s="1526"/>
      <c r="U21" s="1527"/>
      <c r="V21" s="432"/>
      <c r="W21" s="432"/>
      <c r="X21" s="625"/>
      <c r="Y21" s="625"/>
      <c r="Z21" s="625"/>
      <c r="AA21" s="625"/>
      <c r="AB21" s="625"/>
      <c r="AC21" s="625"/>
      <c r="AD21" s="625"/>
      <c r="AE21" s="625"/>
      <c r="AF21" s="625"/>
    </row>
    <row r="22" spans="1:32" ht="16" customHeight="1">
      <c r="A22" s="1673"/>
      <c r="B22" s="308"/>
      <c r="C22" s="308"/>
      <c r="D22" s="308"/>
      <c r="E22" s="308"/>
      <c r="F22" s="308"/>
      <c r="G22" s="308"/>
      <c r="H22" s="308"/>
      <c r="I22" s="308"/>
      <c r="J22" s="308"/>
      <c r="K22" s="308"/>
      <c r="L22" s="308"/>
      <c r="M22" s="1673"/>
      <c r="N22" s="1525"/>
      <c r="O22" s="1526"/>
      <c r="P22" s="1526"/>
      <c r="Q22" s="1526"/>
      <c r="R22" s="1526"/>
      <c r="S22" s="1526"/>
      <c r="T22" s="1526"/>
      <c r="U22" s="1527"/>
      <c r="V22" s="432"/>
      <c r="W22" s="432"/>
      <c r="X22" s="625"/>
      <c r="Y22" s="625"/>
      <c r="Z22" s="625"/>
      <c r="AA22" s="625"/>
      <c r="AB22" s="625"/>
      <c r="AC22" s="625"/>
      <c r="AD22" s="625"/>
      <c r="AE22" s="625"/>
      <c r="AF22" s="625"/>
    </row>
    <row r="23" spans="1:32" ht="16" customHeight="1">
      <c r="A23" s="1673"/>
      <c r="B23" s="308"/>
      <c r="C23" s="308"/>
      <c r="D23" s="308"/>
      <c r="E23" s="308"/>
      <c r="F23" s="308"/>
      <c r="G23" s="308"/>
      <c r="H23" s="308"/>
      <c r="I23" s="308"/>
      <c r="J23" s="308"/>
      <c r="K23" s="308"/>
      <c r="L23" s="308"/>
      <c r="M23" s="1673"/>
      <c r="N23" s="1525"/>
      <c r="O23" s="1526"/>
      <c r="P23" s="1526"/>
      <c r="Q23" s="1526"/>
      <c r="R23" s="1526"/>
      <c r="S23" s="1526"/>
      <c r="T23" s="1526"/>
      <c r="U23" s="1527"/>
      <c r="V23" s="432"/>
      <c r="W23" s="432"/>
      <c r="X23" s="625"/>
      <c r="Y23" s="625"/>
      <c r="Z23" s="625"/>
      <c r="AA23" s="625"/>
      <c r="AB23" s="625"/>
      <c r="AC23" s="625"/>
      <c r="AD23" s="625"/>
      <c r="AE23" s="625"/>
      <c r="AF23" s="625"/>
    </row>
    <row r="24" spans="1:32" ht="16" customHeight="1">
      <c r="A24" s="1673"/>
      <c r="B24" s="308"/>
      <c r="C24" s="308"/>
      <c r="D24" s="308"/>
      <c r="E24" s="308"/>
      <c r="F24" s="308"/>
      <c r="G24" s="308"/>
      <c r="H24" s="308"/>
      <c r="I24" s="308"/>
      <c r="J24" s="308"/>
      <c r="K24" s="308"/>
      <c r="L24" s="308"/>
      <c r="M24" s="1673"/>
      <c r="N24" s="1525"/>
      <c r="O24" s="1526"/>
      <c r="P24" s="1526"/>
      <c r="Q24" s="1526"/>
      <c r="R24" s="1526"/>
      <c r="S24" s="1526"/>
      <c r="T24" s="1526"/>
      <c r="U24" s="1527"/>
      <c r="V24" s="432"/>
      <c r="W24" s="432"/>
      <c r="X24" s="625"/>
      <c r="Y24" s="625"/>
      <c r="Z24" s="625"/>
      <c r="AA24" s="625"/>
      <c r="AB24" s="625"/>
      <c r="AC24" s="625"/>
      <c r="AD24" s="625"/>
      <c r="AE24" s="625"/>
      <c r="AF24" s="625"/>
    </row>
    <row r="25" spans="1:32" ht="16" customHeight="1">
      <c r="A25" s="1673"/>
      <c r="B25" s="308"/>
      <c r="C25" s="308"/>
      <c r="D25" s="308"/>
      <c r="E25" s="308"/>
      <c r="F25" s="308"/>
      <c r="G25" s="308"/>
      <c r="H25" s="308"/>
      <c r="I25" s="308"/>
      <c r="J25" s="308"/>
      <c r="K25" s="308"/>
      <c r="L25" s="308"/>
      <c r="M25" s="1673"/>
      <c r="N25" s="1525"/>
      <c r="O25" s="1526"/>
      <c r="P25" s="1526"/>
      <c r="Q25" s="1526"/>
      <c r="R25" s="1526"/>
      <c r="S25" s="1526"/>
      <c r="T25" s="1526"/>
      <c r="U25" s="1527"/>
      <c r="V25" s="432"/>
      <c r="W25" s="432"/>
      <c r="X25" s="625"/>
      <c r="Y25" s="625"/>
      <c r="Z25" s="625"/>
      <c r="AA25" s="625"/>
      <c r="AB25" s="625"/>
      <c r="AC25" s="625"/>
      <c r="AD25" s="625"/>
      <c r="AE25" s="625"/>
      <c r="AF25" s="625"/>
    </row>
    <row r="26" spans="1:32" ht="16" customHeight="1">
      <c r="A26" s="1673"/>
      <c r="B26" s="308"/>
      <c r="C26" s="308"/>
      <c r="D26" s="308"/>
      <c r="E26" s="308"/>
      <c r="F26" s="308"/>
      <c r="G26" s="308"/>
      <c r="H26" s="308"/>
      <c r="I26" s="308"/>
      <c r="J26" s="308"/>
      <c r="K26" s="308"/>
      <c r="L26" s="308"/>
      <c r="M26" s="1673"/>
      <c r="N26" s="1525"/>
      <c r="O26" s="1526"/>
      <c r="P26" s="1526"/>
      <c r="Q26" s="1526"/>
      <c r="R26" s="1526"/>
      <c r="S26" s="1526"/>
      <c r="T26" s="1526"/>
      <c r="U26" s="1527"/>
      <c r="V26" s="432"/>
      <c r="W26" s="432"/>
      <c r="X26" s="625"/>
      <c r="Y26" s="625"/>
      <c r="Z26" s="625"/>
      <c r="AA26" s="625"/>
      <c r="AB26" s="625"/>
      <c r="AC26" s="625"/>
      <c r="AD26" s="625"/>
      <c r="AE26" s="625"/>
      <c r="AF26" s="625"/>
    </row>
    <row r="27" spans="1:32" ht="16" customHeight="1">
      <c r="A27" s="1673"/>
      <c r="B27" s="308"/>
      <c r="C27" s="308"/>
      <c r="D27" s="308"/>
      <c r="E27" s="308"/>
      <c r="F27" s="308"/>
      <c r="G27" s="308"/>
      <c r="H27" s="308"/>
      <c r="I27" s="308"/>
      <c r="J27" s="308"/>
      <c r="K27" s="308"/>
      <c r="L27" s="308"/>
      <c r="M27" s="1673"/>
      <c r="N27" s="1525"/>
      <c r="O27" s="1526"/>
      <c r="P27" s="1526"/>
      <c r="Q27" s="1526"/>
      <c r="R27" s="1526"/>
      <c r="S27" s="1526"/>
      <c r="T27" s="1526"/>
      <c r="U27" s="1527"/>
      <c r="V27" s="432"/>
      <c r="W27" s="432"/>
      <c r="X27" s="625"/>
      <c r="Y27" s="625"/>
      <c r="Z27" s="625"/>
      <c r="AA27" s="625"/>
      <c r="AB27" s="625"/>
      <c r="AC27" s="625"/>
      <c r="AD27" s="625"/>
      <c r="AE27" s="625"/>
      <c r="AF27" s="625"/>
    </row>
    <row r="28" spans="1:32" ht="16" customHeight="1">
      <c r="A28" s="1673"/>
      <c r="B28" s="308"/>
      <c r="C28" s="308"/>
      <c r="D28" s="308"/>
      <c r="E28" s="308"/>
      <c r="F28" s="308"/>
      <c r="G28" s="308"/>
      <c r="H28" s="308"/>
      <c r="I28" s="308"/>
      <c r="J28" s="308"/>
      <c r="K28" s="308"/>
      <c r="L28" s="308"/>
      <c r="M28" s="1673"/>
      <c r="N28" s="1528"/>
      <c r="O28" s="1529"/>
      <c r="P28" s="1529"/>
      <c r="Q28" s="1529"/>
      <c r="R28" s="1529"/>
      <c r="S28" s="1529"/>
      <c r="T28" s="1529"/>
      <c r="U28" s="1530"/>
      <c r="V28" s="432"/>
      <c r="W28" s="432"/>
      <c r="X28" s="625"/>
      <c r="Y28" s="625"/>
      <c r="Z28" s="625"/>
      <c r="AA28" s="625"/>
      <c r="AB28" s="625"/>
      <c r="AC28" s="625"/>
      <c r="AD28" s="625"/>
      <c r="AE28" s="625"/>
      <c r="AF28" s="625"/>
    </row>
    <row r="29" spans="1:32" ht="16" customHeight="1">
      <c r="A29" s="1673"/>
      <c r="B29" s="308"/>
      <c r="C29" s="308"/>
      <c r="D29" s="308"/>
      <c r="E29" s="308"/>
      <c r="F29" s="308"/>
      <c r="G29" s="308"/>
      <c r="H29" s="308"/>
      <c r="I29" s="308"/>
      <c r="J29" s="308"/>
      <c r="K29" s="308"/>
      <c r="L29" s="308"/>
      <c r="M29" s="1673"/>
      <c r="N29" s="1571" t="s">
        <v>1043</v>
      </c>
      <c r="O29" s="1572"/>
      <c r="P29" s="1572"/>
      <c r="Q29" s="1572"/>
      <c r="R29" s="1572"/>
      <c r="S29" s="1572"/>
      <c r="T29" s="1572"/>
      <c r="U29" s="1573"/>
      <c r="V29" s="432"/>
      <c r="W29" s="432"/>
      <c r="X29" s="625"/>
      <c r="Y29" s="625"/>
      <c r="Z29" s="625"/>
      <c r="AA29" s="625"/>
      <c r="AB29" s="625"/>
      <c r="AC29" s="625"/>
      <c r="AD29" s="625"/>
      <c r="AE29" s="625"/>
      <c r="AF29" s="625"/>
    </row>
    <row r="30" spans="1:32" ht="16" customHeight="1">
      <c r="A30" s="1673"/>
      <c r="B30" s="308"/>
      <c r="C30" s="308"/>
      <c r="D30" s="308"/>
      <c r="E30" s="308"/>
      <c r="F30" s="308"/>
      <c r="G30" s="308"/>
      <c r="H30" s="308"/>
      <c r="I30" s="308"/>
      <c r="J30" s="308"/>
      <c r="K30" s="308"/>
      <c r="L30" s="308"/>
      <c r="M30" s="1673"/>
      <c r="N30" s="1571"/>
      <c r="O30" s="1572"/>
      <c r="P30" s="1572"/>
      <c r="Q30" s="1572"/>
      <c r="R30" s="1572"/>
      <c r="S30" s="1572"/>
      <c r="T30" s="1572"/>
      <c r="U30" s="1573"/>
      <c r="V30" s="432"/>
      <c r="W30" s="432"/>
      <c r="X30" s="625"/>
      <c r="Y30" s="625"/>
      <c r="Z30" s="625"/>
      <c r="AA30" s="625"/>
      <c r="AB30" s="625"/>
      <c r="AC30" s="625"/>
      <c r="AD30" s="625"/>
      <c r="AE30" s="625"/>
      <c r="AF30" s="625"/>
    </row>
    <row r="31" spans="1:32" ht="16" customHeight="1">
      <c r="A31" s="1673"/>
      <c r="B31" s="308"/>
      <c r="C31" s="308"/>
      <c r="D31" s="308"/>
      <c r="E31" s="308"/>
      <c r="F31" s="308"/>
      <c r="G31" s="308"/>
      <c r="H31" s="308"/>
      <c r="I31" s="308"/>
      <c r="J31" s="308"/>
      <c r="K31" s="308"/>
      <c r="L31" s="308"/>
      <c r="M31" s="1673"/>
      <c r="N31" s="1550"/>
      <c r="O31" s="1551"/>
      <c r="P31" s="1551"/>
      <c r="Q31" s="1551"/>
      <c r="R31" s="1551"/>
      <c r="S31" s="1551"/>
      <c r="T31" s="1551"/>
      <c r="U31" s="1552"/>
      <c r="V31" s="432"/>
      <c r="W31" s="432"/>
      <c r="X31" s="625"/>
      <c r="Y31" s="625"/>
      <c r="Z31" s="625"/>
      <c r="AA31" s="625"/>
      <c r="AB31" s="625"/>
      <c r="AC31" s="625"/>
      <c r="AD31" s="625"/>
      <c r="AE31" s="625"/>
      <c r="AF31" s="625"/>
    </row>
    <row r="32" spans="1:32" ht="16" customHeight="1">
      <c r="A32" s="1673"/>
      <c r="B32" s="308"/>
      <c r="C32" s="308"/>
      <c r="D32" s="308"/>
      <c r="E32" s="308"/>
      <c r="F32" s="308"/>
      <c r="G32" s="308"/>
      <c r="H32" s="308"/>
      <c r="I32" s="308"/>
      <c r="J32" s="308"/>
      <c r="K32" s="308"/>
      <c r="L32" s="308"/>
      <c r="M32" s="1673"/>
      <c r="N32" s="1550"/>
      <c r="O32" s="1551"/>
      <c r="P32" s="1551"/>
      <c r="Q32" s="1551"/>
      <c r="R32" s="1551"/>
      <c r="S32" s="1551"/>
      <c r="T32" s="1551"/>
      <c r="U32" s="1552"/>
      <c r="V32" s="432"/>
      <c r="W32" s="432"/>
      <c r="X32" s="625"/>
      <c r="Y32" s="625"/>
      <c r="Z32" s="625"/>
      <c r="AA32" s="625"/>
      <c r="AB32" s="625"/>
      <c r="AC32" s="625"/>
      <c r="AD32" s="625"/>
      <c r="AE32" s="625"/>
      <c r="AF32" s="625"/>
    </row>
    <row r="33" spans="1:32" ht="16" customHeight="1">
      <c r="A33" s="1673"/>
      <c r="B33" s="308"/>
      <c r="C33" s="308"/>
      <c r="D33" s="308"/>
      <c r="E33" s="308"/>
      <c r="F33" s="308"/>
      <c r="G33" s="308"/>
      <c r="H33" s="308"/>
      <c r="I33" s="308"/>
      <c r="J33" s="308"/>
      <c r="K33" s="308"/>
      <c r="L33" s="308"/>
      <c r="M33" s="1673"/>
      <c r="N33" s="1550"/>
      <c r="O33" s="1551"/>
      <c r="P33" s="1551"/>
      <c r="Q33" s="1551"/>
      <c r="R33" s="1551"/>
      <c r="S33" s="1551"/>
      <c r="T33" s="1551"/>
      <c r="U33" s="1552"/>
      <c r="V33" s="432"/>
      <c r="W33" s="432"/>
      <c r="X33" s="625"/>
      <c r="Y33" s="625"/>
      <c r="Z33" s="625"/>
      <c r="AA33" s="625"/>
      <c r="AB33" s="625"/>
      <c r="AC33" s="625"/>
      <c r="AD33" s="625"/>
      <c r="AE33" s="625"/>
      <c r="AF33" s="625"/>
    </row>
    <row r="34" spans="1:32" ht="16" customHeight="1">
      <c r="A34" s="1673"/>
      <c r="B34" s="308"/>
      <c r="C34" s="308"/>
      <c r="D34" s="308"/>
      <c r="E34" s="308"/>
      <c r="F34" s="308"/>
      <c r="G34" s="308"/>
      <c r="H34" s="308"/>
      <c r="I34" s="308"/>
      <c r="J34" s="308"/>
      <c r="K34" s="308"/>
      <c r="L34" s="308"/>
      <c r="M34" s="1673"/>
      <c r="N34" s="1550"/>
      <c r="O34" s="1551"/>
      <c r="P34" s="1551"/>
      <c r="Q34" s="1551"/>
      <c r="R34" s="1551"/>
      <c r="S34" s="1551"/>
      <c r="T34" s="1551"/>
      <c r="U34" s="1552"/>
      <c r="V34" s="425"/>
      <c r="W34" s="425"/>
      <c r="X34" s="625"/>
      <c r="Y34" s="625"/>
      <c r="Z34" s="625"/>
      <c r="AA34" s="625"/>
      <c r="AB34" s="625"/>
      <c r="AC34" s="625"/>
      <c r="AD34" s="625"/>
      <c r="AE34" s="625"/>
      <c r="AF34" s="625"/>
    </row>
    <row r="35" spans="1:32" ht="16" customHeight="1">
      <c r="A35" s="1673"/>
      <c r="B35" s="308"/>
      <c r="C35" s="308"/>
      <c r="D35" s="308"/>
      <c r="E35" s="308"/>
      <c r="F35" s="308"/>
      <c r="G35" s="308"/>
      <c r="H35" s="308"/>
      <c r="I35" s="308"/>
      <c r="J35" s="308"/>
      <c r="K35" s="308"/>
      <c r="L35" s="308"/>
      <c r="M35" s="1673"/>
      <c r="N35" s="1553"/>
      <c r="O35" s="1554"/>
      <c r="P35" s="1554"/>
      <c r="Q35" s="1554"/>
      <c r="R35" s="1554"/>
      <c r="S35" s="1554"/>
      <c r="T35" s="1554"/>
      <c r="U35" s="1555"/>
      <c r="V35" s="377"/>
      <c r="W35" s="377"/>
      <c r="X35" s="625"/>
      <c r="Y35" s="625"/>
      <c r="Z35" s="625"/>
      <c r="AA35" s="625"/>
      <c r="AB35" s="625"/>
      <c r="AC35" s="625"/>
      <c r="AD35" s="625"/>
      <c r="AE35" s="625"/>
      <c r="AF35" s="625"/>
    </row>
    <row r="36" spans="1:32" ht="20" customHeight="1">
      <c r="A36" s="1673"/>
      <c r="B36" s="1674" t="s">
        <v>1212</v>
      </c>
      <c r="C36" s="1674"/>
      <c r="D36" s="1674"/>
      <c r="E36" s="1674"/>
      <c r="F36" s="1674"/>
      <c r="G36" s="1674"/>
      <c r="H36" s="1674"/>
      <c r="I36" s="1674"/>
      <c r="J36" s="1674"/>
      <c r="K36" s="1674"/>
      <c r="L36" s="1674"/>
      <c r="M36" s="1673"/>
      <c r="N36" s="396" t="str">
        <f>O39</f>
        <v>AR</v>
      </c>
      <c r="O36" s="1675" t="s">
        <v>1214</v>
      </c>
      <c r="P36" s="1675"/>
      <c r="Q36" s="1675"/>
      <c r="R36" s="1675"/>
      <c r="S36" s="1675"/>
      <c r="T36" s="1675"/>
      <c r="U36" s="396"/>
      <c r="V36" s="426"/>
      <c r="W36" s="426"/>
      <c r="X36" s="625"/>
      <c r="Y36" s="625"/>
      <c r="Z36" s="625"/>
      <c r="AA36" s="625"/>
      <c r="AB36" s="625"/>
      <c r="AC36" s="625"/>
      <c r="AD36" s="625"/>
      <c r="AE36" s="625"/>
      <c r="AF36" s="625"/>
    </row>
    <row r="37" spans="1:32" ht="18" customHeight="1">
      <c r="A37" s="310"/>
      <c r="B37" s="1672" t="s">
        <v>1066</v>
      </c>
      <c r="C37" s="1672"/>
      <c r="D37" s="1672"/>
      <c r="E37" s="1672"/>
      <c r="F37" s="1672"/>
      <c r="G37" s="1672"/>
      <c r="H37" s="1672"/>
      <c r="I37" s="1672"/>
      <c r="J37" s="1672"/>
      <c r="K37" s="1672"/>
      <c r="L37" s="1672"/>
      <c r="M37" s="310"/>
      <c r="N37" s="620" t="s">
        <v>972</v>
      </c>
      <c r="O37" s="381"/>
      <c r="P37" s="381"/>
      <c r="Q37" s="381"/>
      <c r="R37" s="381"/>
      <c r="S37" s="381"/>
      <c r="T37" s="381"/>
      <c r="U37" s="381"/>
      <c r="V37" s="427"/>
      <c r="W37" s="1684" t="s">
        <v>1014</v>
      </c>
      <c r="X37" s="1684"/>
      <c r="Y37" s="1684"/>
      <c r="Z37" s="1684"/>
      <c r="AA37" s="1684"/>
      <c r="AB37" s="625"/>
      <c r="AC37" s="625"/>
      <c r="AD37" s="625"/>
      <c r="AE37" s="625"/>
      <c r="AF37" s="625"/>
    </row>
    <row r="38" spans="1:32" ht="16" customHeight="1">
      <c r="A38" s="447"/>
      <c r="B38" s="447"/>
      <c r="C38" s="447"/>
      <c r="D38" s="447"/>
      <c r="E38" s="447"/>
      <c r="F38" s="447"/>
      <c r="G38" s="447"/>
      <c r="H38" s="447"/>
      <c r="I38" s="447"/>
      <c r="J38" s="447"/>
      <c r="K38" s="447"/>
      <c r="L38" s="447"/>
      <c r="M38" s="309"/>
      <c r="N38" s="388"/>
      <c r="O38" s="388"/>
      <c r="P38" s="388"/>
      <c r="Q38" s="388"/>
      <c r="R38" s="388"/>
      <c r="S38" s="388"/>
      <c r="T38" s="388"/>
      <c r="U38" s="388"/>
      <c r="V38" s="312"/>
      <c r="W38" s="1684"/>
      <c r="X38" s="1684"/>
      <c r="Y38" s="1684"/>
      <c r="Z38" s="1684"/>
      <c r="AA38" s="1684"/>
      <c r="AB38" s="625"/>
      <c r="AC38" s="625"/>
      <c r="AD38" s="625"/>
      <c r="AE38" s="625"/>
      <c r="AF38" s="625"/>
    </row>
    <row r="39" spans="1:32" ht="16" customHeight="1">
      <c r="A39" s="447"/>
      <c r="B39" s="447"/>
      <c r="C39" s="1548" t="s">
        <v>1006</v>
      </c>
      <c r="D39" s="1548"/>
      <c r="E39" s="1548"/>
      <c r="F39" s="1548"/>
      <c r="G39" s="1548"/>
      <c r="H39" s="1548"/>
      <c r="I39" s="1548"/>
      <c r="J39" s="1548"/>
      <c r="K39" s="447"/>
      <c r="L39" s="447"/>
      <c r="M39" s="309"/>
      <c r="N39" s="388"/>
      <c r="O39" s="475" t="str">
        <f>'FIG3'!W49</f>
        <v>AR</v>
      </c>
      <c r="P39" s="472"/>
      <c r="Q39" s="472"/>
      <c r="R39" s="472"/>
      <c r="S39" s="1683" t="s">
        <v>974</v>
      </c>
      <c r="T39" s="1683"/>
      <c r="U39" s="1683"/>
      <c r="V39" s="312"/>
      <c r="W39" s="473"/>
      <c r="X39" s="473"/>
      <c r="Y39" s="473"/>
      <c r="Z39" s="359"/>
      <c r="AA39" s="625"/>
      <c r="AB39" s="625"/>
      <c r="AC39" s="625"/>
      <c r="AD39" s="625"/>
      <c r="AE39" s="625"/>
      <c r="AF39" s="625"/>
    </row>
    <row r="40" spans="1:32" ht="16" customHeight="1">
      <c r="A40" s="447"/>
      <c r="B40" s="447"/>
      <c r="C40" s="1548"/>
      <c r="D40" s="1548"/>
      <c r="E40" s="1548"/>
      <c r="F40" s="1548"/>
      <c r="G40" s="1548"/>
      <c r="H40" s="1548"/>
      <c r="I40" s="1548"/>
      <c r="J40" s="1548"/>
      <c r="K40" s="447"/>
      <c r="L40" s="447"/>
      <c r="M40" s="309"/>
      <c r="N40" s="388"/>
      <c r="O40" s="599" t="s">
        <v>1069</v>
      </c>
      <c r="P40" s="600">
        <v>1.1299999999999999</v>
      </c>
      <c r="Q40" s="600">
        <v>1</v>
      </c>
      <c r="R40" s="600">
        <v>0.92</v>
      </c>
      <c r="S40" s="1683"/>
      <c r="T40" s="1683"/>
      <c r="U40" s="1683"/>
      <c r="V40" s="312"/>
      <c r="W40" s="120" t="s">
        <v>970</v>
      </c>
      <c r="X40" s="120"/>
      <c r="Y40" s="120" t="s">
        <v>971</v>
      </c>
      <c r="Z40" s="359"/>
      <c r="AA40" s="625"/>
      <c r="AB40" s="625"/>
      <c r="AC40" s="625"/>
      <c r="AD40" s="625"/>
      <c r="AE40" s="625"/>
      <c r="AF40" s="625"/>
    </row>
    <row r="41" spans="1:32" ht="16" customHeight="1">
      <c r="A41" s="447"/>
      <c r="B41" s="447"/>
      <c r="C41" s="1548"/>
      <c r="D41" s="1548"/>
      <c r="E41" s="1548"/>
      <c r="F41" s="1548"/>
      <c r="G41" s="1548"/>
      <c r="H41" s="1548"/>
      <c r="I41" s="1548"/>
      <c r="J41" s="1548"/>
      <c r="K41" s="447"/>
      <c r="L41" s="447"/>
      <c r="M41" s="309"/>
      <c r="N41" s="388"/>
      <c r="O41" s="448"/>
      <c r="P41" s="470" t="s">
        <v>1067</v>
      </c>
      <c r="Q41" s="470" t="s">
        <v>1068</v>
      </c>
      <c r="R41" s="470" t="s">
        <v>1363</v>
      </c>
      <c r="S41" s="1683"/>
      <c r="T41" s="1683"/>
      <c r="U41" s="1683"/>
      <c r="V41" s="312"/>
      <c r="W41" s="625"/>
      <c r="X41" s="625"/>
      <c r="Y41" s="609" t="s">
        <v>1067</v>
      </c>
      <c r="Z41" s="609" t="s">
        <v>1068</v>
      </c>
      <c r="AA41" s="625"/>
      <c r="AB41" s="625"/>
      <c r="AC41" s="625"/>
      <c r="AD41" s="625"/>
      <c r="AE41" s="625"/>
      <c r="AF41" s="625"/>
    </row>
    <row r="42" spans="1:32" ht="16" customHeight="1">
      <c r="A42" s="447"/>
      <c r="B42" s="447"/>
      <c r="C42" s="1548"/>
      <c r="D42" s="1548"/>
      <c r="E42" s="1548"/>
      <c r="F42" s="1548"/>
      <c r="G42" s="1548"/>
      <c r="H42" s="1548"/>
      <c r="I42" s="1548"/>
      <c r="J42" s="1548"/>
      <c r="K42" s="447"/>
      <c r="L42" s="447"/>
      <c r="M42" s="309"/>
      <c r="N42" s="388"/>
      <c r="O42" s="467" t="s">
        <v>1072</v>
      </c>
      <c r="P42" s="747">
        <v>0</v>
      </c>
      <c r="Q42" s="748">
        <v>0</v>
      </c>
      <c r="R42" s="471">
        <f>'FIG3'!E19</f>
        <v>11373.740177609156</v>
      </c>
      <c r="S42" s="1683"/>
      <c r="T42" s="1683"/>
      <c r="U42" s="1683"/>
      <c r="V42" s="312"/>
      <c r="W42" s="749" t="s">
        <v>1072</v>
      </c>
      <c r="X42" s="606"/>
      <c r="Y42" s="752">
        <v>0</v>
      </c>
      <c r="Z42" s="753">
        <v>0</v>
      </c>
      <c r="AA42" s="625"/>
      <c r="AB42" s="625"/>
      <c r="AC42" s="422"/>
      <c r="AD42" s="625"/>
      <c r="AE42" s="625"/>
      <c r="AF42" s="625"/>
    </row>
    <row r="43" spans="1:32" ht="16" customHeight="1">
      <c r="A43" s="447"/>
      <c r="B43" s="447"/>
      <c r="C43" s="1548"/>
      <c r="D43" s="1548"/>
      <c r="E43" s="1548"/>
      <c r="F43" s="1548"/>
      <c r="G43" s="1548"/>
      <c r="H43" s="1548"/>
      <c r="I43" s="1548"/>
      <c r="J43" s="1548"/>
      <c r="K43" s="447"/>
      <c r="L43" s="447"/>
      <c r="M43" s="309"/>
      <c r="N43" s="388"/>
      <c r="O43" s="468" t="s">
        <v>1073</v>
      </c>
      <c r="P43" s="747">
        <v>0</v>
      </c>
      <c r="Q43" s="748">
        <v>0</v>
      </c>
      <c r="R43" s="471">
        <f>'FIG3'!F19</f>
        <v>8391.5664842271308</v>
      </c>
      <c r="S43" s="1683"/>
      <c r="T43" s="1683"/>
      <c r="U43" s="1683"/>
      <c r="V43" s="312"/>
      <c r="W43" s="750" t="s">
        <v>1073</v>
      </c>
      <c r="X43" s="607"/>
      <c r="Y43" s="752">
        <v>0</v>
      </c>
      <c r="Z43" s="753">
        <v>0</v>
      </c>
      <c r="AA43" s="625"/>
      <c r="AB43" s="625"/>
      <c r="AC43" s="625"/>
      <c r="AD43" s="625"/>
      <c r="AE43" s="625"/>
      <c r="AF43" s="625"/>
    </row>
    <row r="44" spans="1:32" ht="16" customHeight="1">
      <c r="A44" s="447"/>
      <c r="B44" s="447"/>
      <c r="C44" s="1548"/>
      <c r="D44" s="1548"/>
      <c r="E44" s="1548"/>
      <c r="F44" s="1548"/>
      <c r="G44" s="1548"/>
      <c r="H44" s="1548"/>
      <c r="I44" s="1548"/>
      <c r="J44" s="1548"/>
      <c r="K44" s="447"/>
      <c r="L44" s="447"/>
      <c r="M44" s="309"/>
      <c r="N44" s="388"/>
      <c r="O44" s="458" t="str">
        <f>'FIG3'!$W$52&amp;" "&amp;'FIG3'!$X$52&amp;"-D"</f>
        <v>Little Rock School District-D</v>
      </c>
      <c r="P44" s="747">
        <v>0</v>
      </c>
      <c r="Q44" s="748">
        <v>0</v>
      </c>
      <c r="R44" s="471">
        <f>'FIG3'!I19</f>
        <v>14411.408437216214</v>
      </c>
      <c r="S44" s="1683"/>
      <c r="T44" s="1683"/>
      <c r="U44" s="1683"/>
      <c r="V44" s="312"/>
      <c r="W44" s="751" t="str">
        <f>'FIG3'!$W$52&amp;" "&amp;'FIG3'!$X$52&amp;"-D"</f>
        <v>Little Rock School District-D</v>
      </c>
      <c r="X44" s="608"/>
      <c r="Y44" s="752">
        <v>0</v>
      </c>
      <c r="Z44" s="753">
        <v>0</v>
      </c>
      <c r="AA44" s="625"/>
      <c r="AB44" s="625"/>
      <c r="AC44" s="625"/>
      <c r="AD44" s="625"/>
      <c r="AE44" s="625"/>
      <c r="AF44" s="625"/>
    </row>
    <row r="45" spans="1:32" ht="16" customHeight="1">
      <c r="A45" s="447"/>
      <c r="B45" s="447"/>
      <c r="C45" s="447"/>
      <c r="D45" s="447"/>
      <c r="E45" s="447"/>
      <c r="F45" s="447"/>
      <c r="G45" s="447"/>
      <c r="H45" s="447"/>
      <c r="I45" s="447"/>
      <c r="J45" s="447"/>
      <c r="K45" s="447"/>
      <c r="L45" s="447"/>
      <c r="M45" s="309"/>
      <c r="N45" s="388"/>
      <c r="O45" s="458" t="str">
        <f>'FIG3'!$W$52&amp;" "&amp;'FIG3'!$X$52&amp;"-C"</f>
        <v>Little Rock School District-C</v>
      </c>
      <c r="P45" s="747">
        <v>0</v>
      </c>
      <c r="Q45" s="748">
        <v>0</v>
      </c>
      <c r="R45" s="471">
        <f>'FIG3'!J19</f>
        <v>8150.9314335126828</v>
      </c>
      <c r="S45" s="1683"/>
      <c r="T45" s="1683"/>
      <c r="U45" s="1683"/>
      <c r="V45" s="312"/>
      <c r="W45" s="751" t="str">
        <f>'FIG3'!$W$52&amp;" "&amp;'FIG3'!$X$52&amp;"-C"</f>
        <v>Little Rock School District-C</v>
      </c>
      <c r="X45" s="608"/>
      <c r="Y45" s="752">
        <v>0</v>
      </c>
      <c r="Z45" s="753">
        <v>0</v>
      </c>
      <c r="AA45" s="625"/>
      <c r="AB45" s="1685" t="s">
        <v>969</v>
      </c>
      <c r="AC45" s="1685"/>
      <c r="AD45" s="1685"/>
      <c r="AE45" s="1685"/>
      <c r="AF45" s="1685"/>
    </row>
    <row r="46" spans="1:32" ht="16" customHeight="1">
      <c r="A46" s="447"/>
      <c r="B46" s="447"/>
      <c r="C46" s="447"/>
      <c r="D46" s="447"/>
      <c r="E46" s="447"/>
      <c r="F46" s="447"/>
      <c r="G46" s="447"/>
      <c r="H46" s="447"/>
      <c r="I46" s="447"/>
      <c r="J46" s="447"/>
      <c r="K46" s="447"/>
      <c r="L46" s="447"/>
      <c r="M46" s="309"/>
      <c r="N46" s="388"/>
      <c r="O46" s="459" t="str">
        <f>'FIG3'!$W$53&amp;" "&amp;'FIG3'!$X$53&amp;"-D"</f>
        <v>FA2L1 FA2L2-D</v>
      </c>
      <c r="P46" s="748">
        <v>0</v>
      </c>
      <c r="Q46" s="748">
        <v>0</v>
      </c>
      <c r="R46" s="471" t="e">
        <f>'FIG3'!K19</f>
        <v>#DIV/0!</v>
      </c>
      <c r="S46" s="1683"/>
      <c r="T46" s="1683"/>
      <c r="U46" s="1683"/>
      <c r="V46" s="312"/>
      <c r="W46" s="751" t="str">
        <f>'FIG3'!$W$53&amp;" "&amp;'FIG3'!$X$53&amp;"-D"</f>
        <v>FA2L1 FA2L2-D</v>
      </c>
      <c r="X46" s="608"/>
      <c r="Y46" s="752">
        <v>0</v>
      </c>
      <c r="Z46" s="753">
        <v>0</v>
      </c>
      <c r="AA46" s="625"/>
      <c r="AB46" s="1685"/>
      <c r="AC46" s="1685"/>
      <c r="AD46" s="1685"/>
      <c r="AE46" s="1685"/>
      <c r="AF46" s="1685"/>
    </row>
    <row r="47" spans="1:32" ht="16" customHeight="1">
      <c r="A47" s="447"/>
      <c r="B47" s="447"/>
      <c r="C47" s="1680" t="s">
        <v>1071</v>
      </c>
      <c r="D47" s="1680"/>
      <c r="E47" s="1680"/>
      <c r="F47" s="1680"/>
      <c r="G47" s="1680"/>
      <c r="H47" s="1680"/>
      <c r="I47" s="1680"/>
      <c r="J47" s="1680"/>
      <c r="K47" s="447"/>
      <c r="L47" s="447"/>
      <c r="M47" s="309"/>
      <c r="N47" s="388"/>
      <c r="O47" s="459" t="str">
        <f>'FIG3'!$W$53&amp;" "&amp;'FIG3'!$X$53&amp;"-C"</f>
        <v>FA2L1 FA2L2-C</v>
      </c>
      <c r="P47" s="748">
        <v>0</v>
      </c>
      <c r="Q47" s="748">
        <v>0</v>
      </c>
      <c r="R47" s="471" t="e">
        <f>'FIG3'!L19</f>
        <v>#DIV/0!</v>
      </c>
      <c r="S47" s="1683"/>
      <c r="T47" s="1683"/>
      <c r="U47" s="1683"/>
      <c r="V47" s="314"/>
      <c r="W47" s="751" t="str">
        <f>'FIG3'!$W$53&amp;" "&amp;'FIG3'!$X$53&amp;"-C"</f>
        <v>FA2L1 FA2L2-C</v>
      </c>
      <c r="X47" s="608"/>
      <c r="Y47" s="752">
        <v>0</v>
      </c>
      <c r="Z47" s="753">
        <v>0</v>
      </c>
      <c r="AA47" s="625"/>
      <c r="AB47" s="1685"/>
      <c r="AC47" s="1685"/>
      <c r="AD47" s="1685"/>
      <c r="AE47" s="1685"/>
      <c r="AF47" s="1685"/>
    </row>
    <row r="48" spans="1:32" ht="16" customHeight="1">
      <c r="A48" s="447"/>
      <c r="B48" s="447"/>
      <c r="C48" s="1680"/>
      <c r="D48" s="1680"/>
      <c r="E48" s="1680"/>
      <c r="F48" s="1680"/>
      <c r="G48" s="1680"/>
      <c r="H48" s="1680"/>
      <c r="I48" s="1680"/>
      <c r="J48" s="1680"/>
      <c r="K48" s="447"/>
      <c r="L48" s="447"/>
      <c r="M48" s="309"/>
      <c r="N48" s="388"/>
      <c r="O48" s="459" t="str">
        <f>'FIG3'!$W$54&amp;" "&amp;'FIG3'!$X$54&amp;"-D"</f>
        <v>FA3L1 FA3L2-D</v>
      </c>
      <c r="P48" s="748">
        <v>0</v>
      </c>
      <c r="Q48" s="748">
        <v>0</v>
      </c>
      <c r="R48" s="471" t="e">
        <f>'FIG3'!M19</f>
        <v>#DIV/0!</v>
      </c>
      <c r="S48" s="1683"/>
      <c r="T48" s="1683"/>
      <c r="U48" s="1683"/>
      <c r="V48" s="314"/>
      <c r="W48" s="751" t="str">
        <f>'FIG3'!$W$54&amp;" "&amp;'FIG3'!$X$54&amp;"-D"</f>
        <v>FA3L1 FA3L2-D</v>
      </c>
      <c r="X48" s="608"/>
      <c r="Y48" s="752">
        <v>0</v>
      </c>
      <c r="Z48" s="753">
        <v>0</v>
      </c>
      <c r="AA48" s="625"/>
      <c r="AB48" s="1685"/>
      <c r="AC48" s="1685"/>
      <c r="AD48" s="1685"/>
      <c r="AE48" s="1685"/>
      <c r="AF48" s="1685"/>
    </row>
    <row r="49" spans="1:32" ht="16" customHeight="1">
      <c r="A49" s="447"/>
      <c r="B49" s="447"/>
      <c r="C49" s="1680"/>
      <c r="D49" s="1680"/>
      <c r="E49" s="1680"/>
      <c r="F49" s="1680"/>
      <c r="G49" s="1680"/>
      <c r="H49" s="1680"/>
      <c r="I49" s="1680"/>
      <c r="J49" s="1680"/>
      <c r="K49" s="447"/>
      <c r="L49" s="447"/>
      <c r="M49" s="309"/>
      <c r="N49" s="388"/>
      <c r="O49" s="459" t="str">
        <f>'FIG3'!$W$54&amp;" "&amp;'FIG3'!$X$54&amp;"-C"</f>
        <v>FA3L1 FA3L2-C</v>
      </c>
      <c r="P49" s="748">
        <v>0</v>
      </c>
      <c r="Q49" s="748">
        <v>0</v>
      </c>
      <c r="R49" s="471" t="e">
        <f>'FIG3'!N19</f>
        <v>#DIV/0!</v>
      </c>
      <c r="S49" s="1683"/>
      <c r="T49" s="1683"/>
      <c r="U49" s="1683"/>
      <c r="V49" s="314"/>
      <c r="W49" s="751" t="str">
        <f>'FIG3'!$W$54&amp;" "&amp;'FIG3'!$X$54&amp;"-C"</f>
        <v>FA3L1 FA3L2-C</v>
      </c>
      <c r="X49" s="608"/>
      <c r="Y49" s="752">
        <v>0</v>
      </c>
      <c r="Z49" s="753">
        <v>0</v>
      </c>
      <c r="AA49" s="625"/>
      <c r="AB49" s="625"/>
      <c r="AC49" s="625"/>
      <c r="AD49" s="625"/>
      <c r="AE49" s="625"/>
      <c r="AF49" s="625"/>
    </row>
    <row r="50" spans="1:32" ht="16" customHeight="1">
      <c r="A50" s="447"/>
      <c r="B50" s="447"/>
      <c r="C50" s="1680"/>
      <c r="D50" s="1680"/>
      <c r="E50" s="1680"/>
      <c r="F50" s="1680"/>
      <c r="G50" s="1680"/>
      <c r="H50" s="1680"/>
      <c r="I50" s="1680"/>
      <c r="J50" s="1680"/>
      <c r="K50" s="447"/>
      <c r="L50" s="447"/>
      <c r="M50" s="309"/>
      <c r="N50" s="388"/>
      <c r="O50" s="459" t="str">
        <f>'FIG3'!$W$55&amp;" "&amp;'FIG3'!$X$55&amp;"-D"</f>
        <v>FA4L1 FA4L2-D</v>
      </c>
      <c r="P50" s="748">
        <v>0</v>
      </c>
      <c r="Q50" s="748">
        <v>0</v>
      </c>
      <c r="R50" s="471" t="e">
        <f>'FIG3'!O19</f>
        <v>#DIV/0!</v>
      </c>
      <c r="S50" s="1683"/>
      <c r="T50" s="1683"/>
      <c r="U50" s="1683"/>
      <c r="V50" s="314"/>
      <c r="W50" s="751" t="str">
        <f>'FIG3'!$W$55&amp;" "&amp;'FIG3'!$X$55&amp;"-D"</f>
        <v>FA4L1 FA4L2-D</v>
      </c>
      <c r="X50" s="608"/>
      <c r="Y50" s="752">
        <v>0</v>
      </c>
      <c r="Z50" s="753">
        <v>0</v>
      </c>
      <c r="AA50" s="625"/>
      <c r="AB50" s="625"/>
      <c r="AC50" s="625"/>
      <c r="AD50" s="625"/>
      <c r="AE50" s="625"/>
      <c r="AF50" s="625"/>
    </row>
    <row r="51" spans="1:32" ht="16" customHeight="1">
      <c r="A51" s="447"/>
      <c r="B51" s="447"/>
      <c r="C51" s="1680"/>
      <c r="D51" s="1680"/>
      <c r="E51" s="1680"/>
      <c r="F51" s="1680"/>
      <c r="G51" s="1680"/>
      <c r="H51" s="1680"/>
      <c r="I51" s="1680"/>
      <c r="J51" s="1680"/>
      <c r="K51" s="447"/>
      <c r="L51" s="447"/>
      <c r="M51" s="309"/>
      <c r="N51" s="388"/>
      <c r="O51" s="459" t="str">
        <f>'FIG3'!$W$55&amp;" "&amp;'FIG3'!$X$55&amp;"-C"</f>
        <v>FA4L1 FA4L2-C</v>
      </c>
      <c r="P51" s="748">
        <v>0</v>
      </c>
      <c r="Q51" s="748">
        <v>0</v>
      </c>
      <c r="R51" s="471" t="e">
        <f>'FIG3'!P19</f>
        <v>#DIV/0!</v>
      </c>
      <c r="S51" s="1683"/>
      <c r="T51" s="1683"/>
      <c r="U51" s="1683"/>
      <c r="V51" s="314"/>
      <c r="W51" s="751" t="str">
        <f>'FIG3'!$W$55&amp;" "&amp;'FIG3'!$X$55&amp;"-C"</f>
        <v>FA4L1 FA4L2-C</v>
      </c>
      <c r="X51" s="608"/>
      <c r="Y51" s="752">
        <v>0</v>
      </c>
      <c r="Z51" s="753">
        <v>0</v>
      </c>
      <c r="AA51" s="625"/>
      <c r="AB51" s="625"/>
      <c r="AC51" s="625"/>
      <c r="AD51" s="625"/>
      <c r="AE51" s="625"/>
      <c r="AF51" s="625"/>
    </row>
    <row r="52" spans="1:32" ht="16" customHeight="1">
      <c r="A52" s="447"/>
      <c r="B52" s="447"/>
      <c r="C52" s="1680"/>
      <c r="D52" s="1680"/>
      <c r="E52" s="1680"/>
      <c r="F52" s="1680"/>
      <c r="G52" s="1680"/>
      <c r="H52" s="1680"/>
      <c r="I52" s="1680"/>
      <c r="J52" s="1680"/>
      <c r="K52" s="447"/>
      <c r="L52" s="447"/>
      <c r="M52" s="309"/>
      <c r="N52" s="388"/>
      <c r="O52" s="459" t="str">
        <f>'FIG3'!$W$56&amp;" "&amp;'FIG3'!$X$56&amp;"-D"</f>
        <v>FA5L1 FA5L2-D</v>
      </c>
      <c r="P52" s="748">
        <v>0</v>
      </c>
      <c r="Q52" s="748">
        <v>0</v>
      </c>
      <c r="R52" s="471" t="e">
        <f>'FIG3'!Q19</f>
        <v>#DIV/0!</v>
      </c>
      <c r="S52" s="1683"/>
      <c r="T52" s="1683"/>
      <c r="U52" s="1683"/>
      <c r="V52" s="312"/>
      <c r="W52" s="751" t="str">
        <f>'FIG3'!$W$56&amp;" "&amp;'FIG3'!$X$56&amp;"-D"</f>
        <v>FA5L1 FA5L2-D</v>
      </c>
      <c r="X52" s="608"/>
      <c r="Y52" s="752">
        <v>0</v>
      </c>
      <c r="Z52" s="753">
        <v>0</v>
      </c>
      <c r="AA52" s="625"/>
      <c r="AB52" s="625"/>
      <c r="AC52" s="625"/>
      <c r="AD52" s="625"/>
      <c r="AE52" s="625"/>
      <c r="AF52" s="625"/>
    </row>
    <row r="53" spans="1:32" ht="16" customHeight="1">
      <c r="A53" s="447"/>
      <c r="B53" s="447"/>
      <c r="C53" s="1680"/>
      <c r="D53" s="1680"/>
      <c r="E53" s="1680"/>
      <c r="F53" s="1680"/>
      <c r="G53" s="1680"/>
      <c r="H53" s="1680"/>
      <c r="I53" s="1680"/>
      <c r="J53" s="1680"/>
      <c r="K53" s="447"/>
      <c r="L53" s="447"/>
      <c r="M53" s="309"/>
      <c r="N53" s="388"/>
      <c r="O53" s="459" t="str">
        <f>'FIG3'!$W$56&amp;" "&amp;'FIG3'!$X$56&amp;"-C"</f>
        <v>FA5L1 FA5L2-C</v>
      </c>
      <c r="P53" s="748">
        <v>0</v>
      </c>
      <c r="Q53" s="748">
        <v>0</v>
      </c>
      <c r="R53" s="471" t="e">
        <f>'FIG3'!R19</f>
        <v>#DIV/0!</v>
      </c>
      <c r="S53" s="1683"/>
      <c r="T53" s="1683"/>
      <c r="U53" s="1683"/>
      <c r="V53" s="429"/>
      <c r="W53" s="751" t="str">
        <f>'FIG3'!$W$56&amp;" "&amp;'FIG3'!$X$56&amp;"-C"</f>
        <v>FA5L1 FA5L2-C</v>
      </c>
      <c r="X53" s="608"/>
      <c r="Y53" s="752">
        <v>0</v>
      </c>
      <c r="Z53" s="753">
        <v>0</v>
      </c>
      <c r="AA53" s="625"/>
      <c r="AB53" s="625"/>
      <c r="AC53" s="625"/>
      <c r="AD53" s="625"/>
      <c r="AE53" s="625"/>
      <c r="AF53" s="625"/>
    </row>
    <row r="54" spans="1:32" ht="16" customHeight="1">
      <c r="A54" s="447"/>
      <c r="B54" s="447"/>
      <c r="C54" s="1680"/>
      <c r="D54" s="1680"/>
      <c r="E54" s="1680"/>
      <c r="F54" s="1680"/>
      <c r="G54" s="1680"/>
      <c r="H54" s="1680"/>
      <c r="I54" s="1680"/>
      <c r="J54" s="1680"/>
      <c r="K54" s="447"/>
      <c r="L54" s="447"/>
      <c r="M54" s="309"/>
      <c r="N54" s="388"/>
      <c r="O54" s="1679" t="s">
        <v>1036</v>
      </c>
      <c r="P54" s="1679"/>
      <c r="Q54" s="1679"/>
      <c r="R54" s="1679"/>
      <c r="S54" s="1679"/>
      <c r="T54" s="1679"/>
      <c r="U54" s="1679"/>
      <c r="V54" s="429"/>
      <c r="W54" s="625"/>
      <c r="X54" s="359"/>
      <c r="Y54" s="625"/>
      <c r="Z54" s="625"/>
      <c r="AA54" s="625"/>
      <c r="AB54" s="625"/>
      <c r="AC54" s="625"/>
      <c r="AD54" s="625"/>
      <c r="AE54" s="625"/>
      <c r="AF54" s="625"/>
    </row>
    <row r="55" spans="1:32" ht="16" customHeight="1">
      <c r="A55" s="447"/>
      <c r="B55" s="447"/>
      <c r="C55" s="447"/>
      <c r="D55" s="447"/>
      <c r="E55" s="447"/>
      <c r="F55" s="447"/>
      <c r="G55" s="447"/>
      <c r="H55" s="447"/>
      <c r="I55" s="447"/>
      <c r="J55" s="447"/>
      <c r="K55" s="447"/>
      <c r="L55" s="447"/>
      <c r="M55" s="309"/>
      <c r="N55" s="389"/>
      <c r="O55" s="1679"/>
      <c r="P55" s="1679"/>
      <c r="Q55" s="1679"/>
      <c r="R55" s="1679"/>
      <c r="S55" s="1679"/>
      <c r="T55" s="1679"/>
      <c r="U55" s="1679"/>
      <c r="V55" s="429"/>
      <c r="W55" s="625"/>
      <c r="X55" s="625"/>
      <c r="Y55" s="625"/>
      <c r="Z55" s="625"/>
      <c r="AA55" s="625"/>
      <c r="AB55" s="625"/>
      <c r="AC55" s="625"/>
      <c r="AD55" s="625"/>
      <c r="AE55" s="625"/>
      <c r="AF55" s="625"/>
    </row>
    <row r="56" spans="1:32" ht="16" customHeight="1">
      <c r="A56" s="447"/>
      <c r="B56" s="447"/>
      <c r="C56" s="447"/>
      <c r="D56" s="447"/>
      <c r="E56" s="447"/>
      <c r="F56" s="447"/>
      <c r="G56" s="447"/>
      <c r="H56" s="447"/>
      <c r="I56" s="447"/>
      <c r="J56" s="447"/>
      <c r="K56" s="447"/>
      <c r="L56" s="447"/>
      <c r="M56" s="309"/>
      <c r="N56" s="389"/>
      <c r="O56" s="1679"/>
      <c r="P56" s="1679"/>
      <c r="Q56" s="1679"/>
      <c r="R56" s="1679"/>
      <c r="S56" s="1679"/>
      <c r="T56" s="1679"/>
      <c r="U56" s="1679"/>
      <c r="V56" s="429"/>
      <c r="W56" s="625"/>
      <c r="X56" s="625"/>
      <c r="Y56" s="625"/>
      <c r="Z56" s="625"/>
      <c r="AA56" s="625"/>
      <c r="AB56" s="625"/>
      <c r="AC56" s="625"/>
      <c r="AD56" s="625"/>
      <c r="AE56" s="625"/>
      <c r="AF56" s="625"/>
    </row>
    <row r="57" spans="1:32" ht="16" customHeight="1">
      <c r="A57" s="447"/>
      <c r="B57" s="447"/>
      <c r="C57" s="447"/>
      <c r="D57" s="447"/>
      <c r="E57" s="447"/>
      <c r="F57" s="447"/>
      <c r="G57" s="447"/>
      <c r="H57" s="447"/>
      <c r="I57" s="447"/>
      <c r="J57" s="447"/>
      <c r="K57" s="447"/>
      <c r="L57" s="447"/>
      <c r="M57" s="309"/>
      <c r="N57" s="389"/>
      <c r="O57" s="1679"/>
      <c r="P57" s="1679"/>
      <c r="Q57" s="1679"/>
      <c r="R57" s="1679"/>
      <c r="S57" s="1679"/>
      <c r="T57" s="1679"/>
      <c r="U57" s="1679"/>
      <c r="V57" s="312"/>
      <c r="W57" s="625"/>
      <c r="X57" s="625"/>
      <c r="Y57" s="625"/>
      <c r="Z57" s="625"/>
      <c r="AA57" s="625"/>
      <c r="AB57" s="625"/>
      <c r="AC57" s="625"/>
      <c r="AD57" s="625"/>
      <c r="AE57" s="625"/>
      <c r="AF57" s="625"/>
    </row>
    <row r="58" spans="1:32" ht="16" customHeight="1">
      <c r="A58" s="447"/>
      <c r="B58" s="447"/>
      <c r="C58" s="1548" t="s">
        <v>1039</v>
      </c>
      <c r="D58" s="1548"/>
      <c r="E58" s="1548"/>
      <c r="F58" s="1548"/>
      <c r="G58" s="1548"/>
      <c r="H58" s="1548"/>
      <c r="I58" s="1548"/>
      <c r="J58" s="1548"/>
      <c r="K58" s="447"/>
      <c r="L58" s="447"/>
      <c r="M58" s="309"/>
      <c r="N58" s="389"/>
      <c r="O58" s="1679"/>
      <c r="P58" s="1679"/>
      <c r="Q58" s="1679"/>
      <c r="R58" s="1679"/>
      <c r="S58" s="1679"/>
      <c r="T58" s="1679"/>
      <c r="U58" s="1679"/>
      <c r="V58" s="625"/>
      <c r="W58" s="625"/>
      <c r="X58" s="625"/>
      <c r="Y58" s="625"/>
      <c r="Z58" s="625"/>
      <c r="AA58" s="625"/>
      <c r="AB58" s="625"/>
      <c r="AC58" s="625"/>
      <c r="AD58" s="625"/>
      <c r="AE58" s="625"/>
      <c r="AF58" s="625"/>
    </row>
    <row r="59" spans="1:32" ht="16" customHeight="1">
      <c r="A59" s="447"/>
      <c r="B59" s="447"/>
      <c r="C59" s="1548"/>
      <c r="D59" s="1548"/>
      <c r="E59" s="1548"/>
      <c r="F59" s="1548"/>
      <c r="G59" s="1548"/>
      <c r="H59" s="1548"/>
      <c r="I59" s="1548"/>
      <c r="J59" s="1548"/>
      <c r="K59" s="447"/>
      <c r="L59" s="447"/>
      <c r="M59" s="309"/>
      <c r="N59" s="389"/>
      <c r="O59" s="389"/>
      <c r="P59" s="389"/>
      <c r="Q59" s="389"/>
      <c r="R59" s="389"/>
      <c r="S59" s="389"/>
      <c r="T59" s="389"/>
      <c r="U59" s="389"/>
      <c r="V59" s="625"/>
      <c r="W59" s="625"/>
      <c r="X59" s="625"/>
      <c r="Y59" s="625"/>
      <c r="Z59" s="377"/>
      <c r="AA59" s="377"/>
      <c r="AB59" s="625"/>
      <c r="AC59" s="625"/>
      <c r="AD59" s="625"/>
      <c r="AE59" s="625"/>
      <c r="AF59" s="625"/>
    </row>
    <row r="60" spans="1:32" ht="16" customHeight="1">
      <c r="A60" s="447"/>
      <c r="B60" s="447"/>
      <c r="C60" s="1548"/>
      <c r="D60" s="1548"/>
      <c r="E60" s="1548"/>
      <c r="F60" s="1548"/>
      <c r="G60" s="1548"/>
      <c r="H60" s="1548"/>
      <c r="I60" s="1548"/>
      <c r="J60" s="1548"/>
      <c r="K60" s="447"/>
      <c r="L60" s="447"/>
      <c r="M60" s="309"/>
      <c r="N60" s="389"/>
      <c r="O60" s="601"/>
      <c r="P60" s="602" t="s">
        <v>1004</v>
      </c>
      <c r="Q60" s="602" t="s">
        <v>1005</v>
      </c>
      <c r="R60" s="602" t="s">
        <v>968</v>
      </c>
      <c r="S60" s="1681" t="s">
        <v>973</v>
      </c>
      <c r="T60" s="1682"/>
      <c r="U60" s="1682"/>
      <c r="V60" s="613"/>
      <c r="W60" s="625" t="s">
        <v>975</v>
      </c>
      <c r="X60" s="610"/>
      <c r="Y60" s="610"/>
      <c r="Z60" s="423"/>
      <c r="AA60" s="377"/>
      <c r="AB60" s="625"/>
      <c r="AC60" s="625"/>
      <c r="AD60" s="625"/>
      <c r="AE60" s="625"/>
      <c r="AF60" s="625"/>
    </row>
    <row r="61" spans="1:32" ht="16" customHeight="1">
      <c r="A61" s="447"/>
      <c r="B61" s="447"/>
      <c r="C61" s="1548"/>
      <c r="D61" s="1548"/>
      <c r="E61" s="1548"/>
      <c r="F61" s="1548"/>
      <c r="G61" s="1548"/>
      <c r="H61" s="1548"/>
      <c r="I61" s="1548"/>
      <c r="J61" s="1548"/>
      <c r="K61" s="447"/>
      <c r="L61" s="447"/>
      <c r="M61" s="309"/>
      <c r="N61" s="389"/>
      <c r="O61" s="603" t="str">
        <f t="shared" ref="O61:O72" si="0">O42</f>
        <v>Statewide District (D)</v>
      </c>
      <c r="P61" s="604">
        <f t="shared" ref="P61:R72" si="1">P42*P$40</f>
        <v>0</v>
      </c>
      <c r="Q61" s="605">
        <f t="shared" si="1"/>
        <v>0</v>
      </c>
      <c r="R61" s="605">
        <f t="shared" si="1"/>
        <v>10463.840963400424</v>
      </c>
      <c r="S61" s="1681"/>
      <c r="T61" s="1682"/>
      <c r="U61" s="1682"/>
      <c r="V61" s="625"/>
      <c r="W61" s="625"/>
      <c r="X61" s="611"/>
      <c r="Y61" s="612"/>
      <c r="Z61" s="377"/>
      <c r="AA61" s="430"/>
      <c r="AB61" s="431"/>
      <c r="AC61" s="625"/>
      <c r="AD61" s="625"/>
      <c r="AE61" s="625"/>
      <c r="AF61" s="625"/>
    </row>
    <row r="62" spans="1:32" ht="16" customHeight="1">
      <c r="A62" s="447"/>
      <c r="B62" s="447"/>
      <c r="C62" s="1548"/>
      <c r="D62" s="1548"/>
      <c r="E62" s="1548"/>
      <c r="F62" s="1548"/>
      <c r="G62" s="1548"/>
      <c r="H62" s="1548"/>
      <c r="I62" s="1548"/>
      <c r="J62" s="1548"/>
      <c r="K62" s="447"/>
      <c r="L62" s="447"/>
      <c r="M62" s="309"/>
      <c r="N62" s="389"/>
      <c r="O62" s="603" t="str">
        <f t="shared" si="0"/>
        <v>Statewide Charter (C)</v>
      </c>
      <c r="P62" s="604">
        <f t="shared" si="1"/>
        <v>0</v>
      </c>
      <c r="Q62" s="605">
        <f t="shared" si="1"/>
        <v>0</v>
      </c>
      <c r="R62" s="605">
        <f t="shared" si="1"/>
        <v>7720.2411654889611</v>
      </c>
      <c r="S62" s="1681"/>
      <c r="T62" s="1682"/>
      <c r="U62" s="1682"/>
      <c r="V62" s="507"/>
      <c r="W62" s="625" t="s">
        <v>976</v>
      </c>
      <c r="X62" s="611"/>
      <c r="Y62" s="612"/>
      <c r="Z62" s="377"/>
      <c r="AA62" s="430"/>
      <c r="AB62" s="431"/>
      <c r="AC62" s="625"/>
      <c r="AD62" s="625"/>
      <c r="AE62" s="625"/>
      <c r="AF62" s="625"/>
    </row>
    <row r="63" spans="1:32" ht="16" customHeight="1">
      <c r="A63" s="447"/>
      <c r="B63" s="447"/>
      <c r="C63" s="1548"/>
      <c r="D63" s="1548"/>
      <c r="E63" s="1548"/>
      <c r="F63" s="1548"/>
      <c r="G63" s="1548"/>
      <c r="H63" s="1548"/>
      <c r="I63" s="1548"/>
      <c r="J63" s="1548"/>
      <c r="K63" s="447"/>
      <c r="L63" s="447"/>
      <c r="M63" s="309"/>
      <c r="N63" s="440"/>
      <c r="O63" s="603" t="str">
        <f t="shared" si="0"/>
        <v>Little Rock School District-D</v>
      </c>
      <c r="P63" s="604">
        <f t="shared" si="1"/>
        <v>0</v>
      </c>
      <c r="Q63" s="605">
        <f t="shared" si="1"/>
        <v>0</v>
      </c>
      <c r="R63" s="605">
        <f t="shared" si="1"/>
        <v>13258.495762238917</v>
      </c>
      <c r="S63" s="1681"/>
      <c r="T63" s="1682"/>
      <c r="U63" s="1682"/>
      <c r="V63" s="625"/>
      <c r="W63" s="625"/>
      <c r="X63" s="611"/>
      <c r="Y63" s="612"/>
      <c r="Z63" s="625"/>
      <c r="AA63" s="430"/>
      <c r="AB63" s="431"/>
      <c r="AC63" s="625"/>
      <c r="AD63" s="625"/>
      <c r="AE63" s="625"/>
      <c r="AF63" s="625"/>
    </row>
    <row r="64" spans="1:32" ht="16" customHeight="1">
      <c r="A64" s="447"/>
      <c r="B64" s="447"/>
      <c r="C64" s="1548"/>
      <c r="D64" s="1548"/>
      <c r="E64" s="1548"/>
      <c r="F64" s="1548"/>
      <c r="G64" s="1548"/>
      <c r="H64" s="1548"/>
      <c r="I64" s="1548"/>
      <c r="J64" s="1548"/>
      <c r="K64" s="447"/>
      <c r="L64" s="447"/>
      <c r="M64" s="309"/>
      <c r="N64" s="389"/>
      <c r="O64" s="603" t="str">
        <f t="shared" si="0"/>
        <v>Little Rock School District-C</v>
      </c>
      <c r="P64" s="604">
        <f t="shared" si="1"/>
        <v>0</v>
      </c>
      <c r="Q64" s="605">
        <f t="shared" si="1"/>
        <v>0</v>
      </c>
      <c r="R64" s="605">
        <f t="shared" si="1"/>
        <v>7498.8569188316687</v>
      </c>
      <c r="S64" s="1681"/>
      <c r="T64" s="1682"/>
      <c r="U64" s="1682"/>
      <c r="V64" s="625"/>
      <c r="W64" s="625"/>
      <c r="X64" s="611"/>
      <c r="Y64" s="612"/>
      <c r="Z64" s="625"/>
      <c r="AA64" s="430"/>
      <c r="AB64" s="431"/>
      <c r="AC64" s="625"/>
      <c r="AD64" s="625"/>
      <c r="AE64" s="625"/>
      <c r="AF64" s="625"/>
    </row>
    <row r="65" spans="1:32" ht="16" customHeight="1">
      <c r="A65" s="447"/>
      <c r="B65" s="447"/>
      <c r="C65" s="1548"/>
      <c r="D65" s="1548"/>
      <c r="E65" s="1548"/>
      <c r="F65" s="1548"/>
      <c r="G65" s="1548"/>
      <c r="H65" s="1548"/>
      <c r="I65" s="1548"/>
      <c r="J65" s="1548"/>
      <c r="K65" s="447"/>
      <c r="L65" s="447"/>
      <c r="M65" s="309"/>
      <c r="N65" s="389"/>
      <c r="O65" s="603" t="str">
        <f t="shared" si="0"/>
        <v>FA2L1 FA2L2-D</v>
      </c>
      <c r="P65" s="605">
        <f t="shared" si="1"/>
        <v>0</v>
      </c>
      <c r="Q65" s="605">
        <f t="shared" si="1"/>
        <v>0</v>
      </c>
      <c r="R65" s="604" t="e">
        <f t="shared" si="1"/>
        <v>#DIV/0!</v>
      </c>
      <c r="S65" s="1681"/>
      <c r="T65" s="1682"/>
      <c r="U65" s="1682"/>
      <c r="V65" s="625"/>
      <c r="W65" s="625"/>
      <c r="X65" s="612"/>
      <c r="Y65" s="612"/>
      <c r="Z65" s="625"/>
      <c r="AA65" s="625"/>
      <c r="AB65" s="625"/>
      <c r="AC65" s="625"/>
      <c r="AD65" s="625"/>
      <c r="AE65" s="625"/>
      <c r="AF65" s="625"/>
    </row>
    <row r="66" spans="1:32" ht="16" customHeight="1">
      <c r="A66" s="447"/>
      <c r="B66" s="447"/>
      <c r="C66" s="1548"/>
      <c r="D66" s="1548"/>
      <c r="E66" s="1548"/>
      <c r="F66" s="1548"/>
      <c r="G66" s="1548"/>
      <c r="H66" s="1548"/>
      <c r="I66" s="1548"/>
      <c r="J66" s="1548"/>
      <c r="K66" s="447"/>
      <c r="L66" s="447"/>
      <c r="M66" s="309"/>
      <c r="N66" s="389"/>
      <c r="O66" s="603" t="str">
        <f t="shared" si="0"/>
        <v>FA2L1 FA2L2-C</v>
      </c>
      <c r="P66" s="605">
        <f t="shared" si="1"/>
        <v>0</v>
      </c>
      <c r="Q66" s="605">
        <f t="shared" si="1"/>
        <v>0</v>
      </c>
      <c r="R66" s="604" t="e">
        <f t="shared" si="1"/>
        <v>#DIV/0!</v>
      </c>
      <c r="S66" s="1681"/>
      <c r="T66" s="1682"/>
      <c r="U66" s="1682"/>
      <c r="V66" s="625"/>
      <c r="W66" s="625"/>
      <c r="X66" s="612"/>
      <c r="Y66" s="612"/>
      <c r="Z66" s="625"/>
      <c r="AA66" s="625"/>
      <c r="AB66" s="625"/>
      <c r="AC66" s="625"/>
      <c r="AD66" s="625"/>
      <c r="AE66" s="625"/>
      <c r="AF66" s="625"/>
    </row>
    <row r="67" spans="1:32" ht="16" customHeight="1">
      <c r="A67" s="447"/>
      <c r="B67" s="447"/>
      <c r="C67" s="1548"/>
      <c r="D67" s="1548"/>
      <c r="E67" s="1548"/>
      <c r="F67" s="1548"/>
      <c r="G67" s="1548"/>
      <c r="H67" s="1548"/>
      <c r="I67" s="1548"/>
      <c r="J67" s="1548"/>
      <c r="K67" s="447"/>
      <c r="L67" s="447"/>
      <c r="M67" s="309"/>
      <c r="N67" s="389"/>
      <c r="O67" s="603" t="str">
        <f t="shared" si="0"/>
        <v>FA3L1 FA3L2-D</v>
      </c>
      <c r="P67" s="605">
        <f t="shared" si="1"/>
        <v>0</v>
      </c>
      <c r="Q67" s="605">
        <f t="shared" si="1"/>
        <v>0</v>
      </c>
      <c r="R67" s="604" t="e">
        <f t="shared" si="1"/>
        <v>#DIV/0!</v>
      </c>
      <c r="S67" s="1681"/>
      <c r="T67" s="1682"/>
      <c r="U67" s="1682"/>
      <c r="V67" s="625"/>
      <c r="W67" s="625"/>
      <c r="X67" s="612"/>
      <c r="Y67" s="612"/>
      <c r="Z67" s="625"/>
      <c r="AA67" s="625"/>
      <c r="AB67" s="625"/>
      <c r="AC67" s="625"/>
      <c r="AD67" s="625"/>
      <c r="AE67" s="625"/>
      <c r="AF67" s="625"/>
    </row>
    <row r="68" spans="1:32" ht="16" customHeight="1">
      <c r="A68" s="447"/>
      <c r="B68" s="447"/>
      <c r="C68" s="494"/>
      <c r="D68" s="494"/>
      <c r="E68" s="494"/>
      <c r="F68" s="494"/>
      <c r="G68" s="494"/>
      <c r="H68" s="494"/>
      <c r="I68" s="494"/>
      <c r="J68" s="494"/>
      <c r="K68" s="447"/>
      <c r="L68" s="447"/>
      <c r="M68" s="309"/>
      <c r="N68" s="389"/>
      <c r="O68" s="603" t="str">
        <f t="shared" si="0"/>
        <v>FA3L1 FA3L2-C</v>
      </c>
      <c r="P68" s="605">
        <f t="shared" si="1"/>
        <v>0</v>
      </c>
      <c r="Q68" s="605">
        <f t="shared" si="1"/>
        <v>0</v>
      </c>
      <c r="R68" s="604" t="e">
        <f t="shared" si="1"/>
        <v>#DIV/0!</v>
      </c>
      <c r="S68" s="1681"/>
      <c r="T68" s="1682"/>
      <c r="U68" s="1682"/>
      <c r="V68" s="625"/>
      <c r="W68" s="625"/>
      <c r="X68" s="612"/>
      <c r="Y68" s="612"/>
      <c r="Z68" s="625"/>
      <c r="AA68" s="625"/>
      <c r="AB68" s="625"/>
      <c r="AC68" s="625"/>
      <c r="AD68" s="625"/>
      <c r="AE68" s="625"/>
      <c r="AF68" s="625"/>
    </row>
    <row r="69" spans="1:32" ht="16" customHeight="1">
      <c r="A69" s="447"/>
      <c r="B69" s="447"/>
      <c r="C69" s="494"/>
      <c r="D69" s="494"/>
      <c r="E69" s="494"/>
      <c r="F69" s="494"/>
      <c r="G69" s="494"/>
      <c r="H69" s="494"/>
      <c r="I69" s="494"/>
      <c r="J69" s="494"/>
      <c r="K69" s="447"/>
      <c r="L69" s="447"/>
      <c r="M69" s="309"/>
      <c r="N69" s="389"/>
      <c r="O69" s="603" t="str">
        <f t="shared" si="0"/>
        <v>FA4L1 FA4L2-D</v>
      </c>
      <c r="P69" s="605">
        <f t="shared" si="1"/>
        <v>0</v>
      </c>
      <c r="Q69" s="605">
        <f t="shared" si="1"/>
        <v>0</v>
      </c>
      <c r="R69" s="604" t="e">
        <f t="shared" si="1"/>
        <v>#DIV/0!</v>
      </c>
      <c r="S69" s="1681"/>
      <c r="T69" s="1682"/>
      <c r="U69" s="1682"/>
      <c r="V69" s="625"/>
      <c r="W69" s="625"/>
      <c r="X69" s="612"/>
      <c r="Y69" s="612"/>
      <c r="Z69" s="625"/>
      <c r="AA69" s="625"/>
      <c r="AB69" s="625"/>
      <c r="AC69" s="625"/>
      <c r="AD69" s="625"/>
      <c r="AE69" s="625"/>
      <c r="AF69" s="625"/>
    </row>
    <row r="70" spans="1:32" ht="16" customHeight="1">
      <c r="A70" s="447"/>
      <c r="B70" s="447"/>
      <c r="C70" s="494"/>
      <c r="D70" s="494"/>
      <c r="E70" s="494"/>
      <c r="F70" s="494"/>
      <c r="G70" s="494"/>
      <c r="H70" s="494"/>
      <c r="I70" s="494"/>
      <c r="J70" s="494"/>
      <c r="K70" s="447"/>
      <c r="L70" s="447"/>
      <c r="M70" s="309"/>
      <c r="N70" s="389"/>
      <c r="O70" s="603" t="str">
        <f t="shared" si="0"/>
        <v>FA4L1 FA4L2-C</v>
      </c>
      <c r="P70" s="605">
        <f t="shared" si="1"/>
        <v>0</v>
      </c>
      <c r="Q70" s="605">
        <f t="shared" si="1"/>
        <v>0</v>
      </c>
      <c r="R70" s="604" t="e">
        <f t="shared" si="1"/>
        <v>#DIV/0!</v>
      </c>
      <c r="S70" s="1681"/>
      <c r="T70" s="1682"/>
      <c r="U70" s="1682"/>
      <c r="V70" s="625"/>
      <c r="W70" s="625"/>
      <c r="X70" s="612"/>
      <c r="Y70" s="612"/>
      <c r="Z70" s="625"/>
      <c r="AA70" s="625"/>
      <c r="AB70" s="625"/>
      <c r="AC70" s="625"/>
      <c r="AD70" s="625"/>
      <c r="AE70" s="625"/>
      <c r="AF70" s="625"/>
    </row>
    <row r="71" spans="1:32" ht="16" customHeight="1">
      <c r="A71" s="447"/>
      <c r="B71" s="447"/>
      <c r="C71" s="494"/>
      <c r="D71" s="494"/>
      <c r="E71" s="494"/>
      <c r="F71" s="494"/>
      <c r="G71" s="494"/>
      <c r="H71" s="494"/>
      <c r="I71" s="494"/>
      <c r="J71" s="494"/>
      <c r="K71" s="447"/>
      <c r="L71" s="447"/>
      <c r="M71" s="309"/>
      <c r="N71" s="389"/>
      <c r="O71" s="603" t="str">
        <f t="shared" si="0"/>
        <v>FA5L1 FA5L2-D</v>
      </c>
      <c r="P71" s="605">
        <f t="shared" si="1"/>
        <v>0</v>
      </c>
      <c r="Q71" s="605">
        <f t="shared" si="1"/>
        <v>0</v>
      </c>
      <c r="R71" s="604" t="e">
        <f t="shared" si="1"/>
        <v>#DIV/0!</v>
      </c>
      <c r="S71" s="1681"/>
      <c r="T71" s="1682"/>
      <c r="U71" s="1682"/>
      <c r="V71" s="625"/>
      <c r="W71" s="625"/>
      <c r="X71" s="612"/>
      <c r="Y71" s="612"/>
      <c r="Z71" s="625"/>
      <c r="AA71" s="625"/>
      <c r="AB71" s="625"/>
      <c r="AC71" s="625"/>
      <c r="AD71" s="625"/>
      <c r="AE71" s="625"/>
      <c r="AF71" s="625"/>
    </row>
    <row r="72" spans="1:32" ht="16" customHeight="1">
      <c r="A72" s="447"/>
      <c r="B72" s="447"/>
      <c r="C72" s="447"/>
      <c r="D72" s="447"/>
      <c r="E72" s="447"/>
      <c r="F72" s="447"/>
      <c r="G72" s="447"/>
      <c r="H72" s="447"/>
      <c r="I72" s="447"/>
      <c r="J72" s="447"/>
      <c r="K72" s="447"/>
      <c r="L72" s="447"/>
      <c r="M72" s="309"/>
      <c r="N72" s="389"/>
      <c r="O72" s="603" t="str">
        <f t="shared" si="0"/>
        <v>FA5L1 FA5L2-C</v>
      </c>
      <c r="P72" s="605">
        <f t="shared" si="1"/>
        <v>0</v>
      </c>
      <c r="Q72" s="605">
        <f t="shared" si="1"/>
        <v>0</v>
      </c>
      <c r="R72" s="604" t="e">
        <f t="shared" si="1"/>
        <v>#DIV/0!</v>
      </c>
      <c r="S72" s="1681"/>
      <c r="T72" s="1682"/>
      <c r="U72" s="1682"/>
      <c r="V72" s="625"/>
      <c r="W72" s="3"/>
      <c r="X72" s="612"/>
      <c r="Y72" s="612"/>
      <c r="Z72" s="625"/>
      <c r="AA72" s="625"/>
      <c r="AB72" s="625"/>
      <c r="AC72" s="625"/>
      <c r="AD72" s="625"/>
      <c r="AE72" s="625"/>
      <c r="AF72" s="625"/>
    </row>
    <row r="73" spans="1:32" ht="16" customHeight="1">
      <c r="A73" s="447"/>
      <c r="B73" s="447"/>
      <c r="C73" s="447"/>
      <c r="D73" s="447"/>
      <c r="E73" s="447"/>
      <c r="F73" s="447"/>
      <c r="G73" s="447"/>
      <c r="H73" s="447"/>
      <c r="I73" s="447"/>
      <c r="J73" s="447"/>
      <c r="K73" s="447"/>
      <c r="L73" s="447"/>
      <c r="M73" s="309"/>
      <c r="N73" s="389"/>
      <c r="O73" s="1679" t="s">
        <v>912</v>
      </c>
      <c r="P73" s="1679"/>
      <c r="Q73" s="1679"/>
      <c r="R73" s="1679"/>
      <c r="S73" s="1679"/>
      <c r="T73" s="1679"/>
      <c r="U73" s="1679"/>
      <c r="V73" s="625"/>
      <c r="W73" s="625"/>
      <c r="X73" s="625"/>
      <c r="Y73" s="625"/>
      <c r="Z73" s="625"/>
      <c r="AA73" s="625"/>
      <c r="AB73" s="625"/>
      <c r="AC73" s="625"/>
      <c r="AD73" s="625"/>
      <c r="AE73" s="625"/>
      <c r="AF73" s="625"/>
    </row>
    <row r="74" spans="1:32" ht="16" customHeight="1">
      <c r="A74" s="447"/>
      <c r="B74" s="447"/>
      <c r="C74" s="447"/>
      <c r="D74" s="447"/>
      <c r="E74" s="447"/>
      <c r="F74" s="447"/>
      <c r="G74" s="447"/>
      <c r="H74" s="447"/>
      <c r="I74" s="447"/>
      <c r="J74" s="447"/>
      <c r="K74" s="447"/>
      <c r="L74" s="447"/>
      <c r="M74" s="309"/>
      <c r="N74" s="389"/>
      <c r="O74" s="1679"/>
      <c r="P74" s="1679"/>
      <c r="Q74" s="1679"/>
      <c r="R74" s="1679"/>
      <c r="S74" s="1679"/>
      <c r="T74" s="1679"/>
      <c r="U74" s="1679"/>
      <c r="V74" s="625"/>
      <c r="W74" s="625"/>
      <c r="X74" s="625"/>
      <c r="Y74" s="625"/>
      <c r="Z74" s="625"/>
      <c r="AA74" s="625"/>
      <c r="AB74" s="625"/>
      <c r="AC74" s="625"/>
      <c r="AD74" s="625"/>
      <c r="AE74" s="625"/>
      <c r="AF74" s="625"/>
    </row>
    <row r="75" spans="1:32" ht="16" customHeight="1">
      <c r="A75" s="447"/>
      <c r="B75" s="447"/>
      <c r="C75" s="447"/>
      <c r="D75" s="447"/>
      <c r="E75" s="447"/>
      <c r="F75" s="447"/>
      <c r="G75" s="447"/>
      <c r="H75" s="447"/>
      <c r="I75" s="447"/>
      <c r="J75" s="447"/>
      <c r="K75" s="447"/>
      <c r="L75" s="447"/>
      <c r="M75" s="309"/>
      <c r="N75" s="389"/>
      <c r="O75" s="1679"/>
      <c r="P75" s="1679"/>
      <c r="Q75" s="1679"/>
      <c r="R75" s="1679"/>
      <c r="S75" s="1679"/>
      <c r="T75" s="1679"/>
      <c r="U75" s="1679"/>
      <c r="V75" s="625"/>
      <c r="W75" s="625"/>
      <c r="X75" s="625"/>
      <c r="Y75" s="625"/>
      <c r="Z75" s="625"/>
      <c r="AA75" s="625"/>
      <c r="AB75" s="625"/>
      <c r="AC75" s="625"/>
      <c r="AD75" s="625"/>
      <c r="AE75" s="625"/>
      <c r="AF75" s="625"/>
    </row>
    <row r="76" spans="1:32" ht="16" customHeight="1">
      <c r="A76" s="447"/>
      <c r="B76" s="447"/>
      <c r="C76" s="447"/>
      <c r="D76" s="447"/>
      <c r="E76" s="447"/>
      <c r="F76" s="447"/>
      <c r="G76" s="447"/>
      <c r="H76" s="447"/>
      <c r="I76" s="447"/>
      <c r="J76" s="447"/>
      <c r="K76" s="447"/>
      <c r="L76" s="447"/>
      <c r="M76" s="309"/>
      <c r="N76" s="389"/>
      <c r="O76" s="1679"/>
      <c r="P76" s="1679"/>
      <c r="Q76" s="1679"/>
      <c r="R76" s="1679"/>
      <c r="S76" s="1679"/>
      <c r="T76" s="1679"/>
      <c r="U76" s="1679"/>
      <c r="V76" s="625"/>
      <c r="W76" s="625"/>
      <c r="X76" s="625"/>
      <c r="Y76" s="625"/>
      <c r="Z76" s="625"/>
      <c r="AA76" s="625"/>
      <c r="AB76" s="625"/>
      <c r="AC76" s="625"/>
      <c r="AD76" s="625"/>
      <c r="AE76" s="625"/>
      <c r="AF76" s="625"/>
    </row>
    <row r="77" spans="1:32" ht="16" customHeight="1">
      <c r="A77" s="447"/>
      <c r="B77" s="447"/>
      <c r="C77" s="447"/>
      <c r="D77" s="447"/>
      <c r="E77" s="447"/>
      <c r="F77" s="447"/>
      <c r="G77" s="447"/>
      <c r="H77" s="447"/>
      <c r="I77" s="447"/>
      <c r="J77" s="447"/>
      <c r="K77" s="447"/>
      <c r="L77" s="447"/>
      <c r="M77" s="309"/>
      <c r="N77" s="389"/>
      <c r="O77" s="1679"/>
      <c r="P77" s="1679"/>
      <c r="Q77" s="1679"/>
      <c r="R77" s="1679"/>
      <c r="S77" s="1679"/>
      <c r="T77" s="1679"/>
      <c r="U77" s="1679"/>
      <c r="V77" s="625"/>
      <c r="W77" s="625"/>
      <c r="X77" s="625"/>
      <c r="Y77" s="625"/>
      <c r="Z77" s="625"/>
      <c r="AA77" s="625"/>
      <c r="AB77" s="625"/>
      <c r="AC77" s="625"/>
      <c r="AD77" s="625"/>
      <c r="AE77" s="625"/>
      <c r="AF77" s="625"/>
    </row>
    <row r="78" spans="1:32" ht="16" customHeight="1">
      <c r="M78" s="359"/>
    </row>
    <row r="79" spans="1:32" ht="16" customHeight="1">
      <c r="M79" s="359"/>
    </row>
    <row r="80" spans="1:32" ht="16" customHeight="1">
      <c r="M80" s="359"/>
    </row>
    <row r="81" spans="13:13" ht="16" customHeight="1">
      <c r="M81" s="359"/>
    </row>
    <row r="82" spans="13:13" ht="16" customHeight="1">
      <c r="M82" s="359"/>
    </row>
    <row r="83" spans="13:13" ht="16" customHeight="1">
      <c r="M83" s="359"/>
    </row>
    <row r="84" spans="13:13" ht="16" customHeight="1">
      <c r="M84" s="359"/>
    </row>
    <row r="85" spans="13:13" ht="13" customHeight="1"/>
    <row r="86" spans="13:13" ht="13" customHeight="1"/>
    <row r="87" spans="13:13" ht="13" customHeight="1"/>
    <row r="88" spans="13:13" ht="13" customHeight="1"/>
    <row r="89" spans="13:13" ht="13" customHeight="1"/>
    <row r="90" spans="13:13" ht="13" customHeight="1"/>
    <row r="91" spans="13:13" ht="13" customHeight="1"/>
    <row r="92" spans="13:13" ht="13" customHeight="1"/>
    <row r="93" spans="13:13" ht="13" customHeight="1"/>
    <row r="94" spans="13:13" ht="13" customHeight="1"/>
    <row r="95" spans="13:13" ht="13" customHeight="1"/>
    <row r="96" spans="13:13" ht="13" customHeight="1"/>
    <row r="97" ht="13" customHeight="1"/>
    <row r="98" ht="13" customHeight="1"/>
    <row r="99" ht="13" customHeight="1"/>
    <row r="100" ht="13" customHeight="1"/>
    <row r="101" ht="13" customHeight="1"/>
    <row r="102" ht="13" customHeight="1"/>
    <row r="103" ht="13" customHeight="1"/>
    <row r="104" ht="13" customHeight="1"/>
    <row r="105" ht="13" customHeight="1"/>
    <row r="106" ht="13" customHeight="1"/>
    <row r="107" ht="13" customHeight="1"/>
    <row r="108" ht="13" customHeight="1"/>
    <row r="109" ht="13" customHeight="1"/>
    <row r="110" ht="13" customHeight="1"/>
    <row r="111" ht="13" customHeight="1"/>
    <row r="112" ht="13" customHeight="1"/>
    <row r="113" ht="13" customHeight="1"/>
    <row r="114" ht="13" customHeight="1"/>
    <row r="115" ht="13" customHeight="1"/>
    <row r="116" ht="13" customHeight="1"/>
    <row r="117" ht="13" customHeight="1"/>
    <row r="118" ht="13" customHeight="1"/>
    <row r="119" ht="13" customHeight="1"/>
    <row r="120" ht="13" customHeight="1"/>
    <row r="121" ht="13" customHeight="1"/>
    <row r="122" ht="13" customHeight="1"/>
    <row r="123" ht="13" customHeight="1"/>
    <row r="124" ht="13" customHeight="1"/>
    <row r="125" ht="13" customHeight="1"/>
    <row r="126" ht="13" customHeight="1"/>
    <row r="127" ht="13" customHeight="1"/>
    <row r="128" ht="13" customHeight="1"/>
    <row r="129" ht="13" customHeight="1"/>
    <row r="130" ht="13" customHeight="1"/>
    <row r="131" ht="13" customHeight="1"/>
    <row r="132" ht="13" customHeight="1"/>
    <row r="133" ht="13" customHeight="1"/>
    <row r="134" ht="13" customHeight="1"/>
    <row r="135" ht="13" customHeight="1"/>
    <row r="136" ht="13" customHeight="1"/>
    <row r="137" ht="13" customHeight="1"/>
    <row r="138" ht="13" customHeight="1"/>
    <row r="139" ht="13" customHeight="1"/>
    <row r="140" ht="13" customHeight="1"/>
    <row r="141" ht="13" customHeight="1"/>
    <row r="142" ht="13" customHeight="1"/>
    <row r="143" ht="13" customHeight="1"/>
    <row r="144" ht="13" customHeight="1"/>
    <row r="145" ht="13" customHeight="1"/>
    <row r="146" ht="13" customHeight="1"/>
    <row r="147" ht="13" customHeight="1"/>
    <row r="148" ht="13" customHeight="1"/>
    <row r="149" ht="13" customHeight="1"/>
    <row r="150" ht="13" customHeight="1"/>
    <row r="151" ht="13" customHeight="1"/>
    <row r="152" ht="13" customHeight="1"/>
    <row r="153" ht="13" customHeight="1"/>
    <row r="154" ht="13" customHeight="1"/>
    <row r="155" ht="13" customHeight="1"/>
    <row r="156" ht="13" customHeight="1"/>
    <row r="157" ht="13" customHeight="1"/>
    <row r="158" ht="13" customHeight="1"/>
    <row r="159" ht="13" customHeight="1"/>
    <row r="160" ht="13" customHeight="1"/>
    <row r="161" ht="13" customHeight="1"/>
    <row r="162" ht="13" customHeight="1"/>
    <row r="163" ht="13" customHeight="1"/>
    <row r="164" ht="13" customHeight="1"/>
    <row r="165" ht="13" customHeight="1"/>
    <row r="166" ht="13" customHeight="1"/>
    <row r="167" ht="13" customHeight="1"/>
    <row r="168" ht="13" customHeight="1"/>
    <row r="169" ht="13" customHeight="1"/>
    <row r="170" ht="13" customHeight="1"/>
    <row r="171" ht="13" customHeight="1"/>
    <row r="172" ht="13" customHeight="1"/>
    <row r="173" ht="13" customHeight="1"/>
    <row r="174" ht="13" customHeight="1"/>
    <row r="175" ht="13" customHeight="1"/>
    <row r="176" ht="13" customHeight="1"/>
    <row r="177" ht="13" customHeight="1"/>
    <row r="178" ht="13" customHeight="1"/>
    <row r="179" ht="13" customHeight="1"/>
    <row r="180" ht="13" customHeight="1"/>
    <row r="181" ht="13" customHeight="1"/>
    <row r="182" ht="13" customHeight="1"/>
    <row r="183" ht="13" customHeight="1"/>
    <row r="184" ht="13" customHeight="1"/>
    <row r="185" ht="13" customHeight="1"/>
    <row r="186" ht="13" customHeight="1"/>
    <row r="187" ht="13" customHeight="1"/>
    <row r="188" ht="13" customHeight="1"/>
    <row r="189" ht="13" customHeight="1"/>
    <row r="190" ht="13" customHeight="1"/>
    <row r="191" ht="13" customHeight="1"/>
    <row r="192" ht="13" customHeight="1"/>
    <row r="193" ht="13" customHeight="1"/>
    <row r="194" ht="13" customHeight="1"/>
    <row r="195" ht="13" customHeight="1"/>
    <row r="196" ht="13" customHeight="1"/>
    <row r="197" ht="13" customHeight="1"/>
    <row r="198" ht="13" customHeight="1"/>
    <row r="199" ht="13" customHeight="1"/>
    <row r="200" ht="13" customHeight="1"/>
    <row r="201" ht="13" customHeight="1"/>
    <row r="202" ht="13" customHeight="1"/>
    <row r="203" ht="13" customHeight="1"/>
    <row r="204" ht="13" customHeight="1"/>
    <row r="205" ht="13" customHeight="1"/>
    <row r="206" ht="13" customHeight="1"/>
    <row r="207" ht="13" customHeight="1"/>
    <row r="208" ht="13" customHeight="1"/>
    <row r="209" ht="13" customHeight="1"/>
    <row r="210" ht="13" customHeight="1"/>
    <row r="211" ht="13" customHeight="1"/>
    <row r="212" ht="13" customHeight="1"/>
    <row r="213" ht="13" customHeight="1"/>
    <row r="214" ht="13" customHeight="1"/>
    <row r="215" ht="13" customHeight="1"/>
    <row r="216" ht="13" customHeight="1"/>
    <row r="217" ht="13" customHeight="1"/>
    <row r="218" ht="13" customHeight="1"/>
    <row r="219" ht="13" customHeight="1"/>
    <row r="220" ht="13" customHeight="1"/>
    <row r="221" ht="13" customHeight="1"/>
    <row r="222" ht="13" customHeight="1"/>
    <row r="223" ht="13" customHeight="1"/>
    <row r="224" ht="13" customHeight="1"/>
    <row r="225" ht="13" customHeight="1"/>
    <row r="226" ht="13" customHeight="1"/>
    <row r="227" ht="13" customHeight="1"/>
    <row r="228" ht="13" customHeight="1"/>
    <row r="229" ht="13" customHeight="1"/>
    <row r="230" ht="13" customHeight="1"/>
    <row r="231" ht="13" customHeight="1"/>
    <row r="232" ht="13" customHeight="1"/>
    <row r="233" ht="13" customHeight="1"/>
    <row r="234" ht="13" customHeight="1"/>
    <row r="235" ht="13" customHeight="1"/>
    <row r="236" ht="13" customHeight="1"/>
    <row r="237" ht="13" customHeight="1"/>
    <row r="238" ht="13" customHeight="1"/>
    <row r="239" ht="13" customHeight="1"/>
    <row r="240" ht="13" customHeight="1"/>
    <row r="241" ht="13" customHeight="1"/>
    <row r="242" ht="13" customHeight="1"/>
    <row r="243" ht="13" customHeight="1"/>
    <row r="244" ht="13" customHeight="1"/>
    <row r="245" ht="13" customHeight="1"/>
    <row r="246" ht="13" customHeight="1"/>
    <row r="247" ht="13" customHeight="1"/>
    <row r="248" ht="13" customHeight="1"/>
    <row r="249" ht="13" customHeight="1"/>
    <row r="250" ht="13" customHeight="1"/>
    <row r="251" ht="13" customHeight="1"/>
    <row r="252" ht="13" customHeight="1"/>
    <row r="253" ht="13" customHeight="1"/>
    <row r="254" ht="13" customHeight="1"/>
    <row r="255" ht="13" customHeight="1"/>
    <row r="256" ht="13" customHeight="1"/>
    <row r="257" ht="13" customHeight="1"/>
    <row r="258" ht="13" customHeight="1"/>
    <row r="259" ht="13" customHeight="1"/>
    <row r="260" ht="13" customHeight="1"/>
    <row r="261" ht="13" customHeight="1"/>
    <row r="262" ht="13" customHeight="1"/>
    <row r="263" ht="13" customHeight="1"/>
    <row r="264" ht="13" customHeight="1"/>
    <row r="265" ht="13" customHeight="1"/>
    <row r="266" ht="13" customHeight="1"/>
    <row r="267" ht="13" customHeight="1"/>
    <row r="268" ht="13" customHeight="1"/>
    <row r="269" ht="13" customHeight="1"/>
    <row r="270" ht="13" customHeight="1"/>
    <row r="271" ht="13" customHeight="1"/>
    <row r="272" ht="13" customHeight="1"/>
    <row r="273" ht="13" customHeight="1"/>
    <row r="274" ht="13" customHeight="1"/>
    <row r="275" ht="13" customHeight="1"/>
    <row r="276" ht="13" customHeight="1"/>
    <row r="277" ht="13" customHeight="1"/>
    <row r="278" ht="13" customHeight="1"/>
    <row r="279" ht="13" customHeight="1"/>
    <row r="280" ht="13" customHeight="1"/>
    <row r="281" ht="13" customHeight="1"/>
    <row r="282" ht="13" customHeight="1"/>
    <row r="283" ht="13" customHeight="1"/>
    <row r="284" ht="13" customHeight="1"/>
    <row r="285" ht="13" customHeight="1"/>
    <row r="286" ht="13" customHeight="1"/>
    <row r="287" ht="13" customHeight="1"/>
    <row r="288" ht="13" customHeight="1"/>
    <row r="289" ht="13" customHeight="1"/>
    <row r="290" ht="13" customHeight="1"/>
    <row r="291" ht="13" customHeight="1"/>
    <row r="292" ht="13" customHeight="1"/>
    <row r="293" ht="13" customHeight="1"/>
    <row r="294" ht="13" customHeight="1"/>
    <row r="295" ht="13" customHeight="1"/>
    <row r="296" ht="13" customHeight="1"/>
    <row r="297" ht="13" customHeight="1"/>
    <row r="298" ht="13" customHeight="1"/>
    <row r="299" ht="13" customHeight="1"/>
    <row r="300" ht="13" customHeight="1"/>
    <row r="301" ht="13" customHeight="1"/>
    <row r="302" ht="13" customHeight="1"/>
    <row r="303" ht="13" customHeight="1"/>
    <row r="304" ht="13" customHeight="1"/>
    <row r="305" ht="13" customHeight="1"/>
    <row r="306" ht="13" customHeight="1"/>
    <row r="307" ht="13" customHeight="1"/>
    <row r="308" ht="13" customHeight="1"/>
    <row r="309" ht="13" customHeight="1"/>
    <row r="310" ht="13" customHeight="1"/>
    <row r="311" ht="13" customHeight="1"/>
    <row r="312" ht="13" customHeight="1"/>
    <row r="313" ht="13" customHeight="1"/>
    <row r="314" ht="13" customHeight="1"/>
    <row r="315" ht="13" customHeight="1"/>
    <row r="316" ht="13" customHeight="1"/>
    <row r="317" ht="13" customHeight="1"/>
    <row r="318" ht="13" customHeight="1"/>
    <row r="319" ht="13" customHeight="1"/>
    <row r="320" ht="13" customHeight="1"/>
    <row r="321" ht="13" customHeight="1"/>
    <row r="322" ht="13" customHeight="1"/>
    <row r="323" ht="13" customHeight="1"/>
    <row r="324" ht="13" customHeight="1"/>
    <row r="325" ht="13" customHeight="1"/>
    <row r="326" ht="13" customHeight="1"/>
    <row r="327" ht="13" customHeight="1"/>
    <row r="328" ht="13" customHeight="1"/>
    <row r="329" ht="13" customHeight="1"/>
    <row r="330" ht="13" customHeight="1"/>
    <row r="331" ht="13" customHeight="1"/>
    <row r="332" ht="13" customHeight="1"/>
    <row r="333" ht="13" customHeight="1"/>
    <row r="334" ht="13" customHeight="1"/>
    <row r="335" ht="13" customHeight="1"/>
    <row r="336" ht="13" customHeight="1"/>
    <row r="337" ht="13" customHeight="1"/>
    <row r="338" ht="13" customHeight="1"/>
    <row r="339" ht="13" customHeight="1"/>
    <row r="340" ht="13" customHeight="1"/>
    <row r="341" ht="13" customHeight="1"/>
    <row r="342" ht="13" customHeight="1"/>
    <row r="343" ht="13" customHeight="1"/>
    <row r="344" ht="13" customHeight="1"/>
    <row r="345" ht="13" customHeight="1"/>
    <row r="346" ht="13" customHeight="1"/>
    <row r="347" ht="13" customHeight="1"/>
    <row r="348" ht="13" customHeight="1"/>
    <row r="349" ht="13" customHeight="1"/>
    <row r="350" ht="13" customHeight="1"/>
    <row r="351" ht="13" customHeight="1"/>
    <row r="352" ht="13" customHeight="1"/>
    <row r="353" ht="13" customHeight="1"/>
    <row r="354" ht="13" customHeight="1"/>
    <row r="355" ht="13" customHeight="1"/>
    <row r="356" ht="13" customHeight="1"/>
    <row r="357" ht="13" customHeight="1"/>
    <row r="358" ht="13" customHeight="1"/>
    <row r="359" ht="13" customHeight="1"/>
    <row r="360" ht="13" customHeight="1"/>
    <row r="361" ht="13" customHeight="1"/>
    <row r="362" ht="13" customHeight="1"/>
    <row r="363" ht="13" customHeight="1"/>
    <row r="364" ht="13" customHeight="1"/>
    <row r="365" ht="13" customHeight="1"/>
    <row r="366" ht="13" customHeight="1"/>
    <row r="367" ht="13" customHeight="1"/>
    <row r="368" ht="13" customHeight="1"/>
    <row r="369" ht="13" customHeight="1"/>
    <row r="370" ht="13" customHeight="1"/>
    <row r="371" ht="13" customHeight="1"/>
    <row r="372" ht="13" customHeight="1"/>
    <row r="373" ht="13" customHeight="1"/>
    <row r="374" ht="13" customHeight="1"/>
    <row r="375" ht="13" customHeight="1"/>
    <row r="376" ht="13" customHeight="1"/>
    <row r="377" ht="13" customHeight="1"/>
    <row r="378" ht="13" customHeight="1"/>
    <row r="379" ht="13" customHeight="1"/>
    <row r="380" ht="13" customHeight="1"/>
    <row r="381" ht="13" customHeight="1"/>
    <row r="382" ht="13" customHeight="1"/>
    <row r="383" ht="13" customHeight="1"/>
    <row r="384" ht="13" customHeight="1"/>
    <row r="385" ht="13" customHeight="1"/>
    <row r="386" ht="13" customHeight="1"/>
    <row r="387" ht="13" customHeight="1"/>
    <row r="388" ht="13" customHeight="1"/>
    <row r="389" ht="13" customHeight="1"/>
    <row r="390" ht="13" customHeight="1"/>
    <row r="391" ht="13" customHeight="1"/>
    <row r="392" ht="13" customHeight="1"/>
    <row r="393" ht="13" customHeight="1"/>
    <row r="394" ht="13" customHeight="1"/>
    <row r="395" ht="13" customHeight="1"/>
    <row r="396" ht="13" customHeight="1"/>
    <row r="397" ht="13" customHeight="1"/>
    <row r="398" ht="13" customHeight="1"/>
    <row r="399" ht="13" customHeight="1"/>
    <row r="400" ht="13" customHeight="1"/>
    <row r="401" ht="13" customHeight="1"/>
    <row r="402" ht="13" customHeight="1"/>
    <row r="403" ht="13" customHeight="1"/>
    <row r="404" ht="13" customHeight="1"/>
    <row r="405" ht="13" customHeight="1"/>
    <row r="406" ht="13" customHeight="1"/>
    <row r="407" ht="13" customHeight="1"/>
    <row r="408" ht="13" customHeight="1"/>
    <row r="409" ht="13" customHeight="1"/>
    <row r="410" ht="13" customHeight="1"/>
    <row r="411" ht="13" customHeight="1"/>
    <row r="412" ht="13" customHeight="1"/>
    <row r="413" ht="13" customHeight="1"/>
    <row r="414" ht="13" customHeight="1"/>
    <row r="415" ht="13" customHeight="1"/>
    <row r="416" ht="13" customHeight="1"/>
    <row r="417" ht="13" customHeight="1"/>
    <row r="418" ht="13" customHeight="1"/>
    <row r="419" ht="13" customHeight="1"/>
    <row r="420" ht="13" customHeight="1"/>
    <row r="421" ht="13" customHeight="1"/>
    <row r="422" ht="13" customHeight="1"/>
    <row r="423" ht="13" customHeight="1"/>
    <row r="424" ht="13" customHeight="1"/>
    <row r="425" ht="13" customHeight="1"/>
    <row r="426" ht="13" customHeight="1"/>
    <row r="427" ht="13" customHeight="1"/>
    <row r="428" ht="13" customHeight="1"/>
    <row r="429" ht="13" customHeight="1"/>
    <row r="430" ht="13" customHeight="1"/>
    <row r="431" ht="13" customHeight="1"/>
    <row r="432" ht="13" customHeight="1"/>
    <row r="433" ht="13" customHeight="1"/>
    <row r="434" ht="13" customHeight="1"/>
    <row r="435" ht="13" customHeight="1"/>
    <row r="436" ht="13" customHeight="1"/>
    <row r="437" ht="13" customHeight="1"/>
    <row r="438" ht="13" customHeight="1"/>
    <row r="439" ht="13" customHeight="1"/>
    <row r="440" ht="13" customHeight="1"/>
    <row r="441" ht="13" customHeight="1"/>
    <row r="442" ht="13" customHeight="1"/>
    <row r="443" ht="13" customHeight="1"/>
    <row r="444" ht="13" customHeight="1"/>
    <row r="445" ht="13" customHeight="1"/>
    <row r="446" ht="13" customHeight="1"/>
    <row r="447" ht="13" customHeight="1"/>
    <row r="448" ht="13" customHeight="1"/>
    <row r="449" ht="13" customHeight="1"/>
    <row r="450" ht="13" customHeight="1"/>
    <row r="451" ht="13" customHeight="1"/>
    <row r="452" ht="13" customHeight="1"/>
    <row r="453" ht="13" customHeight="1"/>
    <row r="454" ht="13" customHeight="1"/>
    <row r="455" ht="13" customHeight="1"/>
    <row r="456" ht="13" customHeight="1"/>
    <row r="457" ht="13" customHeight="1"/>
    <row r="458" ht="13" customHeight="1"/>
    <row r="459" ht="13" customHeight="1"/>
    <row r="460" ht="13" customHeight="1"/>
    <row r="461" ht="13" customHeight="1"/>
    <row r="462" ht="13" customHeight="1"/>
    <row r="463" ht="13" customHeight="1"/>
    <row r="464" ht="13" customHeight="1"/>
    <row r="465" ht="13" customHeight="1"/>
    <row r="466" ht="13" customHeight="1"/>
    <row r="467" ht="13" customHeight="1"/>
    <row r="468" ht="13" customHeight="1"/>
    <row r="469" ht="13" customHeight="1"/>
    <row r="470" ht="13" customHeight="1"/>
    <row r="471" ht="13" customHeight="1"/>
    <row r="472" ht="13" customHeight="1"/>
    <row r="473" ht="13" customHeight="1"/>
    <row r="474" ht="13" customHeight="1"/>
    <row r="475" ht="13" customHeight="1"/>
    <row r="476" ht="13" customHeight="1"/>
    <row r="477" ht="13" customHeight="1"/>
    <row r="478" ht="13" customHeight="1"/>
    <row r="479" ht="13" customHeight="1"/>
    <row r="480" ht="13" customHeight="1"/>
    <row r="481" ht="13" customHeight="1"/>
    <row r="482" ht="13" customHeight="1"/>
    <row r="483" ht="13" customHeight="1"/>
    <row r="484" ht="13" customHeight="1"/>
    <row r="485" ht="13" customHeight="1"/>
    <row r="486" ht="13" customHeight="1"/>
    <row r="487" ht="13" customHeight="1"/>
    <row r="488" ht="13" customHeight="1"/>
    <row r="489" ht="13" customHeight="1"/>
    <row r="490" ht="13" customHeight="1"/>
    <row r="491" ht="13" customHeight="1"/>
    <row r="492" ht="13" customHeight="1"/>
    <row r="493" ht="13" customHeight="1"/>
    <row r="494" ht="13" customHeight="1"/>
    <row r="495" ht="13" customHeight="1"/>
    <row r="496" ht="13" customHeight="1"/>
    <row r="497" ht="13" customHeight="1"/>
    <row r="498" ht="13" customHeight="1"/>
    <row r="499" ht="13" customHeight="1"/>
    <row r="500" ht="13" customHeight="1"/>
    <row r="501" ht="13" customHeight="1"/>
    <row r="502" ht="13" customHeight="1"/>
    <row r="503" ht="13" customHeight="1"/>
    <row r="504" ht="13" customHeight="1"/>
    <row r="505" ht="13" customHeight="1"/>
    <row r="506" ht="13" customHeight="1"/>
    <row r="507" ht="13" customHeight="1"/>
    <row r="508" ht="13" customHeight="1"/>
    <row r="509" ht="13" customHeight="1"/>
    <row r="510" ht="13" customHeight="1"/>
    <row r="511" ht="13" customHeight="1"/>
    <row r="512" ht="13" customHeight="1"/>
    <row r="513" ht="13" customHeight="1"/>
    <row r="514" ht="13" customHeight="1"/>
    <row r="515" ht="13" customHeight="1"/>
    <row r="516" ht="13" customHeight="1"/>
    <row r="517" ht="13" customHeight="1"/>
    <row r="518" ht="13" customHeight="1"/>
    <row r="519" ht="13" customHeight="1"/>
    <row r="520" ht="13" customHeight="1"/>
    <row r="521" ht="13" customHeight="1"/>
    <row r="522" ht="13" customHeight="1"/>
    <row r="523" ht="13" customHeight="1"/>
    <row r="524" ht="13" customHeight="1"/>
    <row r="525" ht="13" customHeight="1"/>
    <row r="526" ht="13" customHeight="1"/>
    <row r="527" ht="13" customHeight="1"/>
    <row r="528" ht="13" customHeight="1"/>
    <row r="529" ht="13" customHeight="1"/>
    <row r="530" ht="13" customHeight="1"/>
    <row r="531" ht="13" customHeight="1"/>
    <row r="532" ht="13" customHeight="1"/>
    <row r="533" ht="13" customHeight="1"/>
    <row r="534" ht="13" customHeight="1"/>
    <row r="535" ht="13" customHeight="1"/>
    <row r="536" ht="13" customHeight="1"/>
    <row r="537" ht="13" customHeight="1"/>
    <row r="538" ht="13" customHeight="1"/>
    <row r="539" ht="13" customHeight="1"/>
    <row r="540" ht="13" customHeight="1"/>
    <row r="541" ht="13" customHeight="1"/>
    <row r="542" ht="13" customHeight="1"/>
    <row r="543" ht="13" customHeight="1"/>
    <row r="544" ht="13" customHeight="1"/>
    <row r="545" ht="13" customHeight="1"/>
    <row r="546" ht="13" customHeight="1"/>
    <row r="547" ht="13" customHeight="1"/>
    <row r="548" ht="13" customHeight="1"/>
    <row r="549" ht="13" customHeight="1"/>
  </sheetData>
  <mergeCells count="28">
    <mergeCell ref="W37:AA38"/>
    <mergeCell ref="AB45:AF48"/>
    <mergeCell ref="A2:A36"/>
    <mergeCell ref="M2:M36"/>
    <mergeCell ref="B2:L2"/>
    <mergeCell ref="B36:L36"/>
    <mergeCell ref="C58:J67"/>
    <mergeCell ref="O73:U77"/>
    <mergeCell ref="C47:J54"/>
    <mergeCell ref="C39:J44"/>
    <mergeCell ref="B37:L37"/>
    <mergeCell ref="S60:U72"/>
    <mergeCell ref="S39:U53"/>
    <mergeCell ref="O54:U58"/>
    <mergeCell ref="B1:L1"/>
    <mergeCell ref="N17:U28"/>
    <mergeCell ref="O2:T2"/>
    <mergeCell ref="O36:T36"/>
    <mergeCell ref="N3:U6"/>
    <mergeCell ref="N7:U10"/>
    <mergeCell ref="N11:U16"/>
    <mergeCell ref="N29:U29"/>
    <mergeCell ref="N30:U30"/>
    <mergeCell ref="N31:U31"/>
    <mergeCell ref="N32:U32"/>
    <mergeCell ref="N33:U33"/>
    <mergeCell ref="N34:U34"/>
    <mergeCell ref="N35:U35"/>
  </mergeCells>
  <phoneticPr fontId="153" type="noConversion"/>
  <conditionalFormatting sqref="O71:O72">
    <cfRule type="expression" dxfId="112" priority="57">
      <formula>$O$52="FA5L1 FA5L2-D"</formula>
    </cfRule>
  </conditionalFormatting>
  <conditionalFormatting sqref="O69:O70">
    <cfRule type="expression" dxfId="111" priority="58">
      <formula>$O$50="FA4L1 FA4L2-D"</formula>
    </cfRule>
  </conditionalFormatting>
  <conditionalFormatting sqref="O67:O68">
    <cfRule type="expression" dxfId="110" priority="59">
      <formula>$O$48="FA3L1 FA3L2-D"</formula>
    </cfRule>
  </conditionalFormatting>
  <conditionalFormatting sqref="O65:O66">
    <cfRule type="expression" dxfId="109" priority="60">
      <formula>$O$46="FA2L1 FA2L2-D"</formula>
    </cfRule>
  </conditionalFormatting>
  <conditionalFormatting sqref="P52:Q53">
    <cfRule type="expression" dxfId="108" priority="12">
      <formula>$O$52="FA5L1 FA5L2-D"</formula>
    </cfRule>
  </conditionalFormatting>
  <conditionalFormatting sqref="P50:Q51">
    <cfRule type="expression" dxfId="107" priority="13">
      <formula>$O$50="FA4L1 FA4L2-D"</formula>
    </cfRule>
  </conditionalFormatting>
  <conditionalFormatting sqref="P48:Q49">
    <cfRule type="expression" dxfId="106" priority="14">
      <formula>$O$48="FA3L1 FA3L2-D"</formula>
    </cfRule>
  </conditionalFormatting>
  <conditionalFormatting sqref="P46:Q47">
    <cfRule type="expression" dxfId="105" priority="15">
      <formula>$O$46="FA2L1 FA2L2-D"</formula>
    </cfRule>
  </conditionalFormatting>
  <conditionalFormatting sqref="P44:Q45">
    <cfRule type="expression" dxfId="104" priority="16">
      <formula>$O$44="FA1L1 FA1L2-D"</formula>
    </cfRule>
  </conditionalFormatting>
  <conditionalFormatting sqref="P71:R72">
    <cfRule type="expression" dxfId="103" priority="7">
      <formula>$O$52="FA5L1 FA5L2-D"</formula>
    </cfRule>
  </conditionalFormatting>
  <conditionalFormatting sqref="P69:R70">
    <cfRule type="expression" dxfId="102" priority="8">
      <formula>$O$50="FA4L1 FA4L2-D"</formula>
    </cfRule>
  </conditionalFormatting>
  <conditionalFormatting sqref="P67:R68">
    <cfRule type="expression" dxfId="101" priority="9">
      <formula>$O$48="FA3L1 FA3L2-D"</formula>
    </cfRule>
  </conditionalFormatting>
  <conditionalFormatting sqref="P65:R66">
    <cfRule type="expression" dxfId="100" priority="10">
      <formula>$O$46="FA2L1 FA2L2-D"</formula>
    </cfRule>
  </conditionalFormatting>
  <conditionalFormatting sqref="P63:R64">
    <cfRule type="expression" dxfId="99" priority="11">
      <formula>$O$44="FA1L1 FA1L2-D"</formula>
    </cfRule>
  </conditionalFormatting>
  <conditionalFormatting sqref="O63:O64">
    <cfRule type="expression" dxfId="98" priority="6">
      <formula>$O$44="FA1L1 FA1L2-D"</formula>
    </cfRule>
  </conditionalFormatting>
  <conditionalFormatting sqref="O52:O53">
    <cfRule type="expression" dxfId="97" priority="1">
      <formula>$O$52="FA5L1 FA5L2-D"</formula>
    </cfRule>
  </conditionalFormatting>
  <conditionalFormatting sqref="O50:O51">
    <cfRule type="expression" dxfId="96" priority="2">
      <formula>$O$50="FA4L1 FA4L2-D"</formula>
    </cfRule>
  </conditionalFormatting>
  <conditionalFormatting sqref="O48:O49">
    <cfRule type="expression" dxfId="95" priority="3">
      <formula>$O$48="FA3L1 FA3L2-D"</formula>
    </cfRule>
  </conditionalFormatting>
  <conditionalFormatting sqref="O46:O47">
    <cfRule type="expression" dxfId="94" priority="4">
      <formula>$O$46="FA2L1 FA2L2-D"</formula>
    </cfRule>
  </conditionalFormatting>
  <conditionalFormatting sqref="O44:O45">
    <cfRule type="expression" dxfId="93" priority="5">
      <formula>$O$44="FA1L1 FA1L2-D"</formula>
    </cfRule>
  </conditionalFormatting>
  <pageMargins left="1.25" right="1.25" top="1.25" bottom="1.25" header="0.3" footer="0.3"/>
  <pageSetup orientation="portrait" horizontalDpi="4294967292" verticalDpi="4294967292"/>
  <rowBreaks count="1" manualBreakCount="1">
    <brk id="35" max="16383" man="1"/>
  </rowBreaks>
  <colBreaks count="1" manualBreakCount="1">
    <brk id="21" max="1048575" man="1"/>
  </colBreaks>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F549"/>
  <sheetViews>
    <sheetView workbookViewId="0">
      <selection activeCell="W16" sqref="W16"/>
    </sheetView>
  </sheetViews>
  <sheetFormatPr baseColWidth="10" defaultColWidth="8.83203125" defaultRowHeight="11" x14ac:dyDescent="0"/>
  <cols>
    <col min="1" max="1" width="4.83203125" style="387" customWidth="1"/>
    <col min="2" max="2" width="3.83203125" style="387" customWidth="1"/>
    <col min="3" max="6" width="9.83203125" style="387" customWidth="1"/>
    <col min="7" max="7" width="24.33203125" style="387" customWidth="1"/>
    <col min="8" max="10" width="9.83203125" style="387" customWidth="1"/>
    <col min="11" max="11" width="55.5" style="387" customWidth="1"/>
    <col min="12" max="12" width="3.83203125" style="387" customWidth="1"/>
    <col min="13" max="13" width="4.83203125" style="387" customWidth="1"/>
    <col min="14" max="14" width="6.83203125" style="387" customWidth="1"/>
    <col min="15" max="15" width="28.83203125" style="387" customWidth="1"/>
    <col min="16" max="18" width="12.83203125" style="387" customWidth="1"/>
    <col min="19" max="19" width="7.1640625" style="387" customWidth="1"/>
    <col min="20" max="20" width="6.5" style="387" customWidth="1"/>
    <col min="21" max="21" width="6.83203125" style="387" customWidth="1"/>
    <col min="22" max="22" width="9.83203125" style="387" customWidth="1"/>
    <col min="23" max="23" width="28.83203125" style="387" customWidth="1"/>
    <col min="24" max="24" width="11.6640625" style="387" customWidth="1"/>
    <col min="25" max="25" width="11.33203125" style="387" customWidth="1"/>
    <col min="26" max="27" width="9.83203125" style="387" customWidth="1"/>
    <col min="28" max="28" width="12.83203125" style="387" customWidth="1"/>
    <col min="29" max="29" width="9.83203125" style="387" customWidth="1"/>
    <col min="30" max="30" width="12" style="387" customWidth="1"/>
    <col min="31" max="43" width="9.83203125" style="387" customWidth="1"/>
    <col min="44" max="16384" width="8.83203125" style="387"/>
  </cols>
  <sheetData>
    <row r="1" spans="1:32" ht="18" customHeight="1">
      <c r="A1" s="390"/>
      <c r="B1" s="1549" t="s">
        <v>1066</v>
      </c>
      <c r="C1" s="1549"/>
      <c r="D1" s="1549"/>
      <c r="E1" s="1549"/>
      <c r="F1" s="1549"/>
      <c r="G1" s="1549"/>
      <c r="H1" s="1549"/>
      <c r="I1" s="1549"/>
      <c r="J1" s="1549"/>
      <c r="K1" s="1549"/>
      <c r="L1" s="1549"/>
      <c r="M1" s="390"/>
      <c r="N1" s="392"/>
      <c r="O1" s="392"/>
      <c r="P1" s="392"/>
      <c r="Q1" s="392"/>
      <c r="R1" s="392"/>
      <c r="S1" s="392"/>
      <c r="T1" s="392"/>
      <c r="U1" s="392"/>
      <c r="V1" s="763"/>
      <c r="W1" s="763"/>
      <c r="X1" s="764"/>
      <c r="Y1" s="764"/>
      <c r="Z1" s="764"/>
      <c r="AA1" s="764"/>
      <c r="AB1" s="764"/>
      <c r="AC1" s="764"/>
      <c r="AD1" s="764"/>
      <c r="AE1" s="764"/>
      <c r="AF1" s="764"/>
    </row>
    <row r="2" spans="1:32" ht="20" customHeight="1">
      <c r="A2" s="1563" t="s">
        <v>1066</v>
      </c>
      <c r="B2" s="1564" t="s">
        <v>1215</v>
      </c>
      <c r="C2" s="1564"/>
      <c r="D2" s="1564"/>
      <c r="E2" s="1564"/>
      <c r="F2" s="1564"/>
      <c r="G2" s="1564"/>
      <c r="H2" s="1564"/>
      <c r="I2" s="1564"/>
      <c r="J2" s="1564"/>
      <c r="K2" s="1564"/>
      <c r="L2" s="1564"/>
      <c r="M2" s="1563" t="s">
        <v>1066</v>
      </c>
      <c r="N2" s="397" t="str">
        <f>O39</f>
        <v>AR</v>
      </c>
      <c r="O2" s="1559" t="s">
        <v>1216</v>
      </c>
      <c r="P2" s="1559"/>
      <c r="Q2" s="1559"/>
      <c r="R2" s="1559"/>
      <c r="S2" s="1559"/>
      <c r="T2" s="1559"/>
      <c r="U2" s="398"/>
      <c r="V2" s="765"/>
      <c r="W2" s="765"/>
      <c r="X2" s="764"/>
      <c r="Y2" s="764"/>
      <c r="Z2" s="764"/>
      <c r="AA2" s="764"/>
      <c r="AB2" s="764"/>
      <c r="AC2" s="764"/>
      <c r="AD2" s="764"/>
      <c r="AE2" s="764"/>
      <c r="AF2" s="764"/>
    </row>
    <row r="3" spans="1:32" ht="16" customHeight="1">
      <c r="A3" s="1563"/>
      <c r="B3" s="391"/>
      <c r="C3" s="391"/>
      <c r="D3" s="391"/>
      <c r="E3" s="391"/>
      <c r="F3" s="391"/>
      <c r="G3" s="391"/>
      <c r="H3" s="391"/>
      <c r="I3" s="391"/>
      <c r="J3" s="391"/>
      <c r="K3" s="391"/>
      <c r="L3" s="391"/>
      <c r="M3" s="1563"/>
      <c r="N3" s="1525" t="s">
        <v>1038</v>
      </c>
      <c r="O3" s="1526"/>
      <c r="P3" s="1526"/>
      <c r="Q3" s="1526"/>
      <c r="R3" s="1526"/>
      <c r="S3" s="1526"/>
      <c r="T3" s="1526"/>
      <c r="U3" s="1527"/>
      <c r="V3" s="766"/>
      <c r="W3" s="766" t="s">
        <v>1088</v>
      </c>
      <c r="X3" s="764"/>
      <c r="Y3" s="764"/>
      <c r="Z3" s="764"/>
      <c r="AA3" s="764"/>
      <c r="AB3" s="764"/>
      <c r="AC3" s="764"/>
      <c r="AD3" s="764" t="s">
        <v>1363</v>
      </c>
      <c r="AE3" s="764"/>
      <c r="AF3" s="764"/>
    </row>
    <row r="4" spans="1:32" ht="16" customHeight="1">
      <c r="A4" s="1563"/>
      <c r="B4" s="391"/>
      <c r="C4" s="391"/>
      <c r="D4" s="391"/>
      <c r="E4" s="391"/>
      <c r="F4" s="391"/>
      <c r="G4" s="391"/>
      <c r="H4" s="391"/>
      <c r="I4" s="391"/>
      <c r="J4" s="391"/>
      <c r="K4" s="391"/>
      <c r="L4" s="391"/>
      <c r="M4" s="1563"/>
      <c r="N4" s="1525"/>
      <c r="O4" s="1526"/>
      <c r="P4" s="1526"/>
      <c r="Q4" s="1526"/>
      <c r="R4" s="1526"/>
      <c r="S4" s="1526"/>
      <c r="T4" s="1526"/>
      <c r="U4" s="1527"/>
      <c r="V4" s="766"/>
      <c r="W4" s="766" t="s">
        <v>1080</v>
      </c>
      <c r="X4" s="1488">
        <v>10054.367651775983</v>
      </c>
      <c r="Y4" s="764"/>
      <c r="Z4" s="764"/>
      <c r="AA4" s="764"/>
      <c r="AB4" s="764"/>
      <c r="AC4" s="764" t="s">
        <v>0</v>
      </c>
      <c r="AD4" s="1488">
        <v>9250.0182396339042</v>
      </c>
      <c r="AE4" s="764"/>
      <c r="AF4" s="764"/>
    </row>
    <row r="5" spans="1:32" ht="16" customHeight="1">
      <c r="A5" s="1563"/>
      <c r="B5" s="391"/>
      <c r="C5" s="391"/>
      <c r="D5" s="391"/>
      <c r="E5" s="391"/>
      <c r="F5" s="391"/>
      <c r="G5" s="391"/>
      <c r="H5" s="391"/>
      <c r="I5" s="391"/>
      <c r="J5" s="391"/>
      <c r="K5" s="391"/>
      <c r="L5" s="391"/>
      <c r="M5" s="1563"/>
      <c r="N5" s="1525"/>
      <c r="O5" s="1526"/>
      <c r="P5" s="1526"/>
      <c r="Q5" s="1526"/>
      <c r="R5" s="1526"/>
      <c r="S5" s="1526"/>
      <c r="T5" s="1526"/>
      <c r="U5" s="1527"/>
      <c r="V5" s="766"/>
      <c r="W5" s="766" t="s">
        <v>1081</v>
      </c>
      <c r="X5" s="1488">
        <v>7450.4969952681395</v>
      </c>
      <c r="Y5" s="764"/>
      <c r="Z5" s="764"/>
      <c r="AA5" s="764"/>
      <c r="AB5" s="764"/>
      <c r="AC5" s="764" t="s">
        <v>1081</v>
      </c>
      <c r="AD5" s="1488">
        <v>6854.4572356466888</v>
      </c>
      <c r="AE5" s="764"/>
      <c r="AF5" s="764"/>
    </row>
    <row r="6" spans="1:32" ht="16" customHeight="1">
      <c r="A6" s="1563"/>
      <c r="B6" s="391"/>
      <c r="C6" s="391"/>
      <c r="D6" s="391"/>
      <c r="E6" s="391"/>
      <c r="F6" s="391"/>
      <c r="G6" s="391"/>
      <c r="H6" s="391"/>
      <c r="I6" s="391"/>
      <c r="J6" s="391"/>
      <c r="K6" s="391"/>
      <c r="L6" s="391"/>
      <c r="M6" s="1563"/>
      <c r="N6" s="1525"/>
      <c r="O6" s="1526"/>
      <c r="P6" s="1526"/>
      <c r="Q6" s="1526"/>
      <c r="R6" s="1526"/>
      <c r="S6" s="1526"/>
      <c r="T6" s="1526"/>
      <c r="U6" s="1527"/>
      <c r="V6" s="766"/>
      <c r="W6" s="766" t="s">
        <v>1</v>
      </c>
      <c r="X6" s="1488">
        <v>13725.114869148849</v>
      </c>
      <c r="Y6" s="764"/>
      <c r="Z6" s="764"/>
      <c r="AA6" s="764"/>
      <c r="AB6" s="764"/>
      <c r="AC6" s="764" t="s">
        <v>1</v>
      </c>
      <c r="AD6" s="1488">
        <v>12627.105679616941</v>
      </c>
      <c r="AE6" s="764"/>
      <c r="AF6" s="764"/>
    </row>
    <row r="7" spans="1:32" ht="16" customHeight="1">
      <c r="A7" s="1563"/>
      <c r="B7" s="391"/>
      <c r="C7" s="391"/>
      <c r="D7" s="391"/>
      <c r="E7" s="391"/>
      <c r="F7" s="391"/>
      <c r="G7" s="391"/>
      <c r="H7" s="391"/>
      <c r="I7" s="391"/>
      <c r="J7" s="391"/>
      <c r="K7" s="391"/>
      <c r="L7" s="391"/>
      <c r="M7" s="1563"/>
      <c r="N7" s="1525"/>
      <c r="O7" s="1526"/>
      <c r="P7" s="1526"/>
      <c r="Q7" s="1526"/>
      <c r="R7" s="1526"/>
      <c r="S7" s="1526"/>
      <c r="T7" s="1526"/>
      <c r="U7" s="1527"/>
      <c r="V7" s="766"/>
      <c r="W7" s="766" t="s">
        <v>2</v>
      </c>
      <c r="X7" s="1488">
        <v>7433.2692966948507</v>
      </c>
      <c r="Y7" s="764"/>
      <c r="Z7" s="764"/>
      <c r="AA7" s="764"/>
      <c r="AB7" s="764"/>
      <c r="AC7" s="1482" t="s">
        <v>2</v>
      </c>
      <c r="AD7" s="1488">
        <v>6838.6077529592631</v>
      </c>
      <c r="AE7" s="764"/>
      <c r="AF7" s="764"/>
    </row>
    <row r="8" spans="1:32" ht="16" customHeight="1">
      <c r="A8" s="1563"/>
      <c r="B8" s="391"/>
      <c r="C8" s="391"/>
      <c r="D8" s="391"/>
      <c r="E8" s="391"/>
      <c r="F8" s="391"/>
      <c r="G8" s="391"/>
      <c r="H8" s="391"/>
      <c r="I8" s="391"/>
      <c r="J8" s="391"/>
      <c r="K8" s="391"/>
      <c r="L8" s="391"/>
      <c r="M8" s="1563"/>
      <c r="N8" s="1525"/>
      <c r="O8" s="1526"/>
      <c r="P8" s="1526"/>
      <c r="Q8" s="1526"/>
      <c r="R8" s="1526"/>
      <c r="S8" s="1526"/>
      <c r="T8" s="1526"/>
      <c r="U8" s="1527"/>
      <c r="V8" s="766"/>
      <c r="W8" s="766"/>
      <c r="X8" s="764"/>
      <c r="Y8" s="764"/>
      <c r="Z8" s="764"/>
      <c r="AA8" s="764"/>
      <c r="AB8" s="764"/>
      <c r="AC8" s="764"/>
      <c r="AD8" s="764"/>
      <c r="AE8" s="764"/>
      <c r="AF8" s="764"/>
    </row>
    <row r="9" spans="1:32" ht="16" customHeight="1">
      <c r="A9" s="1563"/>
      <c r="B9" s="391"/>
      <c r="C9" s="391"/>
      <c r="D9" s="391"/>
      <c r="E9" s="391"/>
      <c r="F9" s="391"/>
      <c r="G9" s="391"/>
      <c r="H9" s="391"/>
      <c r="I9" s="391"/>
      <c r="J9" s="391"/>
      <c r="K9" s="391"/>
      <c r="L9" s="391"/>
      <c r="M9" s="1563"/>
      <c r="N9" s="1525"/>
      <c r="O9" s="1526"/>
      <c r="P9" s="1526"/>
      <c r="Q9" s="1526"/>
      <c r="R9" s="1526"/>
      <c r="S9" s="1526"/>
      <c r="T9" s="1526"/>
      <c r="U9" s="1527"/>
      <c r="V9" s="766"/>
      <c r="W9" s="766"/>
      <c r="X9" s="764"/>
      <c r="Y9" s="764"/>
      <c r="Z9" s="764"/>
      <c r="AA9" s="764"/>
      <c r="AB9" s="764"/>
      <c r="AC9" s="764"/>
      <c r="AD9" s="764"/>
      <c r="AE9" s="764"/>
      <c r="AF9" s="764"/>
    </row>
    <row r="10" spans="1:32" ht="16" customHeight="1">
      <c r="A10" s="1563"/>
      <c r="B10" s="391"/>
      <c r="C10" s="391"/>
      <c r="D10" s="391"/>
      <c r="E10" s="391"/>
      <c r="F10" s="391"/>
      <c r="G10" s="391"/>
      <c r="H10" s="391"/>
      <c r="I10" s="391"/>
      <c r="J10" s="391"/>
      <c r="K10" s="391"/>
      <c r="L10" s="391"/>
      <c r="M10" s="1563"/>
      <c r="N10" s="1528"/>
      <c r="O10" s="1529"/>
      <c r="P10" s="1529"/>
      <c r="Q10" s="1529"/>
      <c r="R10" s="1529"/>
      <c r="S10" s="1529"/>
      <c r="T10" s="1529"/>
      <c r="U10" s="1530"/>
      <c r="V10" s="766"/>
      <c r="W10" s="766"/>
      <c r="X10" s="764"/>
      <c r="Y10" s="764"/>
      <c r="Z10" s="764"/>
      <c r="AA10" s="764"/>
      <c r="AB10" s="764"/>
      <c r="AC10" s="764"/>
      <c r="AD10" s="764"/>
      <c r="AE10" s="764"/>
      <c r="AF10" s="764"/>
    </row>
    <row r="11" spans="1:32" ht="16" customHeight="1">
      <c r="A11" s="1563"/>
      <c r="B11" s="391"/>
      <c r="C11" s="391"/>
      <c r="D11" s="391"/>
      <c r="E11" s="391"/>
      <c r="F11" s="391"/>
      <c r="G11" s="391"/>
      <c r="H11" s="391"/>
      <c r="I11" s="391"/>
      <c r="J11" s="391"/>
      <c r="K11" s="391"/>
      <c r="L11" s="391"/>
      <c r="M11" s="1563"/>
      <c r="N11" s="1522"/>
      <c r="O11" s="1523"/>
      <c r="P11" s="1523"/>
      <c r="Q11" s="1523"/>
      <c r="R11" s="1523"/>
      <c r="S11" s="1523"/>
      <c r="T11" s="1523"/>
      <c r="U11" s="1524"/>
      <c r="V11" s="767"/>
      <c r="W11" s="767"/>
      <c r="X11" s="764"/>
      <c r="Y11" s="764"/>
      <c r="Z11" s="764"/>
      <c r="AA11" s="764"/>
      <c r="AB11" s="764"/>
      <c r="AC11" s="764"/>
      <c r="AD11" s="764"/>
      <c r="AE11" s="764"/>
      <c r="AF11" s="764"/>
    </row>
    <row r="12" spans="1:32" ht="16" customHeight="1">
      <c r="A12" s="1563"/>
      <c r="B12" s="391"/>
      <c r="C12" s="391"/>
      <c r="D12" s="391"/>
      <c r="E12" s="391"/>
      <c r="F12" s="391"/>
      <c r="G12" s="391"/>
      <c r="H12" s="391"/>
      <c r="I12" s="391"/>
      <c r="J12" s="391"/>
      <c r="K12" s="391"/>
      <c r="L12" s="391"/>
      <c r="M12" s="1563"/>
      <c r="N12" s="1525"/>
      <c r="O12" s="1526"/>
      <c r="P12" s="1526"/>
      <c r="Q12" s="1526"/>
      <c r="R12" s="1526"/>
      <c r="S12" s="1526"/>
      <c r="T12" s="1526"/>
      <c r="U12" s="1527"/>
      <c r="V12" s="767"/>
      <c r="W12" s="767"/>
      <c r="X12" s="764"/>
      <c r="Y12" s="764"/>
      <c r="Z12" s="764"/>
      <c r="AA12" s="764"/>
      <c r="AB12" s="764"/>
      <c r="AC12" s="764"/>
      <c r="AD12" s="764"/>
      <c r="AE12" s="764"/>
      <c r="AF12" s="764"/>
    </row>
    <row r="13" spans="1:32" ht="16" customHeight="1">
      <c r="A13" s="1563"/>
      <c r="B13" s="391"/>
      <c r="C13" s="391"/>
      <c r="D13" s="391"/>
      <c r="E13" s="391"/>
      <c r="F13" s="391"/>
      <c r="G13" s="391"/>
      <c r="H13" s="391"/>
      <c r="I13" s="391"/>
      <c r="J13" s="391"/>
      <c r="K13" s="391"/>
      <c r="L13" s="391"/>
      <c r="M13" s="1563"/>
      <c r="N13" s="1525"/>
      <c r="O13" s="1526"/>
      <c r="P13" s="1526"/>
      <c r="Q13" s="1526"/>
      <c r="R13" s="1526"/>
      <c r="S13" s="1526"/>
      <c r="T13" s="1526"/>
      <c r="U13" s="1527"/>
      <c r="V13" s="767"/>
      <c r="W13" s="767"/>
      <c r="X13" s="764"/>
      <c r="Y13" s="764"/>
      <c r="Z13" s="764"/>
      <c r="AA13" s="764"/>
      <c r="AB13" s="764"/>
      <c r="AC13" s="764"/>
      <c r="AD13" s="764"/>
      <c r="AE13" s="764"/>
      <c r="AF13" s="764"/>
    </row>
    <row r="14" spans="1:32" ht="16" customHeight="1">
      <c r="A14" s="1563"/>
      <c r="B14" s="391"/>
      <c r="C14" s="391"/>
      <c r="D14" s="391"/>
      <c r="E14" s="391"/>
      <c r="F14" s="391"/>
      <c r="G14" s="391"/>
      <c r="H14" s="391"/>
      <c r="I14" s="391"/>
      <c r="J14" s="391"/>
      <c r="K14" s="391"/>
      <c r="L14" s="391"/>
      <c r="M14" s="1563"/>
      <c r="N14" s="1525"/>
      <c r="O14" s="1526"/>
      <c r="P14" s="1526"/>
      <c r="Q14" s="1526"/>
      <c r="R14" s="1526"/>
      <c r="S14" s="1526"/>
      <c r="T14" s="1526"/>
      <c r="U14" s="1527"/>
      <c r="V14" s="767"/>
      <c r="W14" s="767"/>
      <c r="X14" s="764"/>
      <c r="Y14" s="764"/>
      <c r="Z14" s="764"/>
      <c r="AA14" s="764"/>
      <c r="AB14" s="764"/>
      <c r="AC14" s="764"/>
      <c r="AD14" s="764"/>
      <c r="AE14" s="764"/>
      <c r="AF14" s="764"/>
    </row>
    <row r="15" spans="1:32" ht="16" customHeight="1">
      <c r="A15" s="1563"/>
      <c r="B15" s="391"/>
      <c r="C15" s="391"/>
      <c r="D15" s="391"/>
      <c r="E15" s="391"/>
      <c r="F15" s="391"/>
      <c r="G15" s="391"/>
      <c r="H15" s="391"/>
      <c r="I15" s="391"/>
      <c r="J15" s="391"/>
      <c r="K15" s="391"/>
      <c r="L15" s="391"/>
      <c r="M15" s="1563"/>
      <c r="N15" s="1525"/>
      <c r="O15" s="1526"/>
      <c r="P15" s="1526"/>
      <c r="Q15" s="1526"/>
      <c r="R15" s="1526"/>
      <c r="S15" s="1526"/>
      <c r="T15" s="1526"/>
      <c r="U15" s="1527"/>
      <c r="V15" s="767"/>
      <c r="W15" s="767"/>
      <c r="X15" s="764"/>
      <c r="Y15" s="764"/>
      <c r="Z15" s="764"/>
      <c r="AA15" s="764"/>
      <c r="AB15" s="764"/>
      <c r="AC15" s="764"/>
      <c r="AD15" s="764"/>
      <c r="AE15" s="764"/>
      <c r="AF15" s="764"/>
    </row>
    <row r="16" spans="1:32" ht="16" customHeight="1">
      <c r="A16" s="1563"/>
      <c r="B16" s="391"/>
      <c r="C16" s="391"/>
      <c r="D16" s="391"/>
      <c r="E16" s="391"/>
      <c r="F16" s="391"/>
      <c r="G16" s="391"/>
      <c r="H16" s="391"/>
      <c r="I16" s="391"/>
      <c r="J16" s="391"/>
      <c r="K16" s="391"/>
      <c r="L16" s="391"/>
      <c r="M16" s="1563"/>
      <c r="N16" s="1528"/>
      <c r="O16" s="1529"/>
      <c r="P16" s="1529"/>
      <c r="Q16" s="1529"/>
      <c r="R16" s="1529"/>
      <c r="S16" s="1529"/>
      <c r="T16" s="1529"/>
      <c r="U16" s="1530"/>
      <c r="V16" s="767"/>
      <c r="W16" s="767"/>
      <c r="X16" s="764"/>
      <c r="Y16" s="764"/>
      <c r="Z16" s="764"/>
      <c r="AA16" s="764"/>
      <c r="AB16" s="764"/>
      <c r="AC16" s="764"/>
      <c r="AD16" s="764"/>
      <c r="AE16" s="764"/>
      <c r="AF16" s="764"/>
    </row>
    <row r="17" spans="1:32" ht="16" customHeight="1">
      <c r="A17" s="1563"/>
      <c r="B17" s="391"/>
      <c r="C17" s="391"/>
      <c r="D17" s="391"/>
      <c r="E17" s="391"/>
      <c r="F17" s="391"/>
      <c r="G17" s="391"/>
      <c r="H17" s="391"/>
      <c r="I17" s="391"/>
      <c r="J17" s="391"/>
      <c r="K17" s="391"/>
      <c r="L17" s="391"/>
      <c r="M17" s="1563"/>
      <c r="N17" s="1522"/>
      <c r="O17" s="1523"/>
      <c r="P17" s="1523"/>
      <c r="Q17" s="1523"/>
      <c r="R17" s="1523"/>
      <c r="S17" s="1523"/>
      <c r="T17" s="1523"/>
      <c r="U17" s="1524"/>
      <c r="V17" s="767"/>
      <c r="W17" s="767"/>
      <c r="X17" s="764"/>
      <c r="Y17" s="764"/>
      <c r="Z17" s="764"/>
      <c r="AA17" s="764"/>
      <c r="AB17" s="764"/>
      <c r="AC17" s="764"/>
      <c r="AD17" s="764"/>
      <c r="AE17" s="764"/>
      <c r="AF17" s="764"/>
    </row>
    <row r="18" spans="1:32" ht="16" customHeight="1">
      <c r="A18" s="1563"/>
      <c r="B18" s="391"/>
      <c r="C18" s="391"/>
      <c r="D18" s="391"/>
      <c r="E18" s="391"/>
      <c r="F18" s="391"/>
      <c r="G18" s="391"/>
      <c r="H18" s="391"/>
      <c r="I18" s="391"/>
      <c r="J18" s="391"/>
      <c r="K18" s="391"/>
      <c r="L18" s="391"/>
      <c r="M18" s="1563"/>
      <c r="N18" s="1525"/>
      <c r="O18" s="1526"/>
      <c r="P18" s="1526"/>
      <c r="Q18" s="1526"/>
      <c r="R18" s="1526"/>
      <c r="S18" s="1526"/>
      <c r="T18" s="1526"/>
      <c r="U18" s="1527"/>
      <c r="V18" s="767"/>
      <c r="W18" s="767"/>
      <c r="X18" s="764"/>
      <c r="Y18" s="764"/>
      <c r="Z18" s="764"/>
      <c r="AA18" s="764"/>
      <c r="AB18" s="764"/>
      <c r="AC18" s="764"/>
      <c r="AD18" s="764"/>
      <c r="AE18" s="764"/>
      <c r="AF18" s="764"/>
    </row>
    <row r="19" spans="1:32" ht="16" customHeight="1">
      <c r="A19" s="1563"/>
      <c r="B19" s="391"/>
      <c r="C19" s="391"/>
      <c r="D19" s="391"/>
      <c r="E19" s="391"/>
      <c r="F19" s="391"/>
      <c r="G19" s="391"/>
      <c r="H19" s="391"/>
      <c r="I19" s="391"/>
      <c r="J19" s="391"/>
      <c r="K19" s="391"/>
      <c r="L19" s="391"/>
      <c r="M19" s="1563"/>
      <c r="N19" s="1525"/>
      <c r="O19" s="1526"/>
      <c r="P19" s="1526"/>
      <c r="Q19" s="1526"/>
      <c r="R19" s="1526"/>
      <c r="S19" s="1526"/>
      <c r="T19" s="1526"/>
      <c r="U19" s="1527"/>
      <c r="V19" s="767"/>
      <c r="W19" s="767"/>
      <c r="X19" s="764"/>
      <c r="Y19" s="764"/>
      <c r="Z19" s="764"/>
      <c r="AA19" s="764"/>
      <c r="AB19" s="764"/>
      <c r="AC19" s="764"/>
      <c r="AD19" s="764"/>
      <c r="AE19" s="764"/>
      <c r="AF19" s="764"/>
    </row>
    <row r="20" spans="1:32" ht="16" customHeight="1">
      <c r="A20" s="1563"/>
      <c r="B20" s="391"/>
      <c r="C20" s="391"/>
      <c r="D20" s="391"/>
      <c r="E20" s="391"/>
      <c r="F20" s="391"/>
      <c r="G20" s="391"/>
      <c r="H20" s="391"/>
      <c r="I20" s="391"/>
      <c r="J20" s="391"/>
      <c r="K20" s="391"/>
      <c r="L20" s="391"/>
      <c r="M20" s="1563"/>
      <c r="N20" s="1525"/>
      <c r="O20" s="1526"/>
      <c r="P20" s="1526"/>
      <c r="Q20" s="1526"/>
      <c r="R20" s="1526"/>
      <c r="S20" s="1526"/>
      <c r="T20" s="1526"/>
      <c r="U20" s="1527"/>
      <c r="V20" s="768"/>
      <c r="W20" s="768"/>
      <c r="X20" s="764"/>
      <c r="Y20" s="764"/>
      <c r="Z20" s="764"/>
      <c r="AA20" s="764"/>
      <c r="AB20" s="764"/>
      <c r="AC20" s="764"/>
      <c r="AD20" s="764"/>
      <c r="AE20" s="764"/>
      <c r="AF20" s="764"/>
    </row>
    <row r="21" spans="1:32" ht="16" customHeight="1">
      <c r="A21" s="1563"/>
      <c r="B21" s="391"/>
      <c r="C21" s="391"/>
      <c r="D21" s="391"/>
      <c r="E21" s="391"/>
      <c r="F21" s="391"/>
      <c r="G21" s="391"/>
      <c r="H21" s="391"/>
      <c r="I21" s="391"/>
      <c r="J21" s="391"/>
      <c r="K21" s="391"/>
      <c r="L21" s="391"/>
      <c r="M21" s="1563"/>
      <c r="N21" s="1525"/>
      <c r="O21" s="1526"/>
      <c r="P21" s="1526"/>
      <c r="Q21" s="1526"/>
      <c r="R21" s="1526"/>
      <c r="S21" s="1526"/>
      <c r="T21" s="1526"/>
      <c r="U21" s="1527"/>
      <c r="V21" s="768"/>
      <c r="W21" s="768"/>
      <c r="X21" s="764"/>
      <c r="Y21" s="764"/>
      <c r="Z21" s="764"/>
      <c r="AA21" s="764"/>
      <c r="AB21" s="764"/>
      <c r="AC21" s="764"/>
      <c r="AD21" s="764"/>
      <c r="AE21" s="764"/>
      <c r="AF21" s="764"/>
    </row>
    <row r="22" spans="1:32" ht="16" customHeight="1">
      <c r="A22" s="1563"/>
      <c r="B22" s="391"/>
      <c r="C22" s="391"/>
      <c r="D22" s="391"/>
      <c r="E22" s="391"/>
      <c r="F22" s="391"/>
      <c r="G22" s="391"/>
      <c r="H22" s="391"/>
      <c r="I22" s="391"/>
      <c r="J22" s="391"/>
      <c r="K22" s="391"/>
      <c r="L22" s="391"/>
      <c r="M22" s="1563"/>
      <c r="N22" s="1525"/>
      <c r="O22" s="1526"/>
      <c r="P22" s="1526"/>
      <c r="Q22" s="1526"/>
      <c r="R22" s="1526"/>
      <c r="S22" s="1526"/>
      <c r="T22" s="1526"/>
      <c r="U22" s="1527"/>
      <c r="V22" s="768"/>
      <c r="W22" s="768"/>
      <c r="X22" s="764"/>
      <c r="Y22" s="764"/>
      <c r="Z22" s="764"/>
      <c r="AA22" s="764"/>
      <c r="AB22" s="764"/>
      <c r="AC22" s="764"/>
      <c r="AD22" s="764"/>
      <c r="AE22" s="764"/>
      <c r="AF22" s="764"/>
    </row>
    <row r="23" spans="1:32" ht="16" customHeight="1">
      <c r="A23" s="1563"/>
      <c r="B23" s="391"/>
      <c r="C23" s="391"/>
      <c r="D23" s="391"/>
      <c r="E23" s="391"/>
      <c r="F23" s="391"/>
      <c r="G23" s="391"/>
      <c r="H23" s="391"/>
      <c r="I23" s="391"/>
      <c r="J23" s="391"/>
      <c r="K23" s="391"/>
      <c r="L23" s="391"/>
      <c r="M23" s="1563"/>
      <c r="N23" s="1525"/>
      <c r="O23" s="1526"/>
      <c r="P23" s="1526"/>
      <c r="Q23" s="1526"/>
      <c r="R23" s="1526"/>
      <c r="S23" s="1526"/>
      <c r="T23" s="1526"/>
      <c r="U23" s="1527"/>
      <c r="V23" s="768"/>
      <c r="W23" s="768"/>
      <c r="X23" s="764"/>
      <c r="Y23" s="764"/>
      <c r="Z23" s="764"/>
      <c r="AA23" s="764"/>
      <c r="AB23" s="764"/>
      <c r="AC23" s="764"/>
      <c r="AD23" s="764"/>
      <c r="AE23" s="764"/>
      <c r="AF23" s="764"/>
    </row>
    <row r="24" spans="1:32" ht="16" customHeight="1">
      <c r="A24" s="1563"/>
      <c r="B24" s="391"/>
      <c r="C24" s="391"/>
      <c r="D24" s="391"/>
      <c r="E24" s="391"/>
      <c r="F24" s="391"/>
      <c r="G24" s="391"/>
      <c r="H24" s="391"/>
      <c r="I24" s="391"/>
      <c r="J24" s="391"/>
      <c r="K24" s="391"/>
      <c r="L24" s="391"/>
      <c r="M24" s="1563"/>
      <c r="N24" s="1525"/>
      <c r="O24" s="1526"/>
      <c r="P24" s="1526"/>
      <c r="Q24" s="1526"/>
      <c r="R24" s="1526"/>
      <c r="S24" s="1526"/>
      <c r="T24" s="1526"/>
      <c r="U24" s="1527"/>
      <c r="V24" s="768"/>
      <c r="W24" s="768"/>
      <c r="X24" s="764"/>
      <c r="Y24" s="764"/>
      <c r="Z24" s="764"/>
      <c r="AA24" s="764"/>
      <c r="AB24" s="764"/>
      <c r="AC24" s="764"/>
      <c r="AD24" s="764"/>
      <c r="AE24" s="764"/>
      <c r="AF24" s="764"/>
    </row>
    <row r="25" spans="1:32" ht="16" customHeight="1">
      <c r="A25" s="1563"/>
      <c r="B25" s="391"/>
      <c r="C25" s="391"/>
      <c r="D25" s="391"/>
      <c r="E25" s="391"/>
      <c r="F25" s="391"/>
      <c r="G25" s="391"/>
      <c r="H25" s="391"/>
      <c r="I25" s="391"/>
      <c r="J25" s="391"/>
      <c r="K25" s="391"/>
      <c r="L25" s="391"/>
      <c r="M25" s="1563"/>
      <c r="N25" s="1525"/>
      <c r="O25" s="1526"/>
      <c r="P25" s="1526"/>
      <c r="Q25" s="1526"/>
      <c r="R25" s="1526"/>
      <c r="S25" s="1526"/>
      <c r="T25" s="1526"/>
      <c r="U25" s="1527"/>
      <c r="V25" s="768"/>
      <c r="W25" s="768"/>
      <c r="X25" s="764"/>
      <c r="Y25" s="764"/>
      <c r="Z25" s="764"/>
      <c r="AA25" s="764"/>
      <c r="AB25" s="764"/>
      <c r="AC25" s="764"/>
      <c r="AD25" s="764"/>
      <c r="AE25" s="764"/>
      <c r="AF25" s="764"/>
    </row>
    <row r="26" spans="1:32" ht="16" customHeight="1">
      <c r="A26" s="1563"/>
      <c r="B26" s="391"/>
      <c r="C26" s="391"/>
      <c r="D26" s="391"/>
      <c r="E26" s="391"/>
      <c r="F26" s="391"/>
      <c r="G26" s="391"/>
      <c r="H26" s="391"/>
      <c r="I26" s="391"/>
      <c r="J26" s="391"/>
      <c r="K26" s="391"/>
      <c r="L26" s="391"/>
      <c r="M26" s="1563"/>
      <c r="N26" s="1525"/>
      <c r="O26" s="1526"/>
      <c r="P26" s="1526"/>
      <c r="Q26" s="1526"/>
      <c r="R26" s="1526"/>
      <c r="S26" s="1526"/>
      <c r="T26" s="1526"/>
      <c r="U26" s="1527"/>
      <c r="V26" s="768"/>
      <c r="W26" s="768"/>
      <c r="X26" s="764"/>
      <c r="Y26" s="764"/>
      <c r="Z26" s="764"/>
      <c r="AA26" s="764"/>
      <c r="AB26" s="764"/>
      <c r="AC26" s="764"/>
      <c r="AD26" s="764"/>
      <c r="AE26" s="764"/>
      <c r="AF26" s="764"/>
    </row>
    <row r="27" spans="1:32" ht="16" customHeight="1">
      <c r="A27" s="1563"/>
      <c r="B27" s="391"/>
      <c r="C27" s="391"/>
      <c r="D27" s="391"/>
      <c r="E27" s="391"/>
      <c r="F27" s="391"/>
      <c r="G27" s="391"/>
      <c r="H27" s="391"/>
      <c r="I27" s="391"/>
      <c r="J27" s="391"/>
      <c r="K27" s="391"/>
      <c r="L27" s="391"/>
      <c r="M27" s="1563"/>
      <c r="N27" s="1525"/>
      <c r="O27" s="1526"/>
      <c r="P27" s="1526"/>
      <c r="Q27" s="1526"/>
      <c r="R27" s="1526"/>
      <c r="S27" s="1526"/>
      <c r="T27" s="1526"/>
      <c r="U27" s="1527"/>
      <c r="V27" s="768"/>
      <c r="W27" s="768"/>
      <c r="X27" s="764"/>
      <c r="Y27" s="764"/>
      <c r="Z27" s="764"/>
      <c r="AA27" s="764"/>
      <c r="AB27" s="764"/>
      <c r="AC27" s="764"/>
      <c r="AD27" s="764"/>
      <c r="AE27" s="764"/>
      <c r="AF27" s="764"/>
    </row>
    <row r="28" spans="1:32" ht="16" customHeight="1">
      <c r="A28" s="1563"/>
      <c r="B28" s="391"/>
      <c r="C28" s="391"/>
      <c r="D28" s="391"/>
      <c r="E28" s="391"/>
      <c r="F28" s="391"/>
      <c r="G28" s="391"/>
      <c r="H28" s="391"/>
      <c r="I28" s="391"/>
      <c r="J28" s="391"/>
      <c r="K28" s="391"/>
      <c r="L28" s="391"/>
      <c r="M28" s="1563"/>
      <c r="N28" s="1528"/>
      <c r="O28" s="1529"/>
      <c r="P28" s="1529"/>
      <c r="Q28" s="1529"/>
      <c r="R28" s="1529"/>
      <c r="S28" s="1529"/>
      <c r="T28" s="1529"/>
      <c r="U28" s="1530"/>
      <c r="V28" s="768"/>
      <c r="W28" s="768"/>
      <c r="X28" s="764"/>
      <c r="Y28" s="764"/>
      <c r="Z28" s="764"/>
      <c r="AA28" s="764"/>
      <c r="AB28" s="764"/>
      <c r="AC28" s="764"/>
      <c r="AD28" s="764"/>
      <c r="AE28" s="764"/>
      <c r="AF28" s="764"/>
    </row>
    <row r="29" spans="1:32" ht="16" customHeight="1">
      <c r="A29" s="1563"/>
      <c r="B29" s="391"/>
      <c r="C29" s="391"/>
      <c r="D29" s="391"/>
      <c r="E29" s="391"/>
      <c r="F29" s="391"/>
      <c r="G29" s="391"/>
      <c r="H29" s="391"/>
      <c r="I29" s="391"/>
      <c r="J29" s="391"/>
      <c r="K29" s="391"/>
      <c r="L29" s="391"/>
      <c r="M29" s="1563"/>
      <c r="N29" s="1571" t="s">
        <v>1043</v>
      </c>
      <c r="O29" s="1572"/>
      <c r="P29" s="1572"/>
      <c r="Q29" s="1572"/>
      <c r="R29" s="1572"/>
      <c r="S29" s="1572"/>
      <c r="T29" s="1572"/>
      <c r="U29" s="1573"/>
      <c r="V29" s="768"/>
      <c r="W29" s="768"/>
      <c r="X29" s="764"/>
      <c r="Y29" s="764"/>
      <c r="Z29" s="764"/>
      <c r="AA29" s="764"/>
      <c r="AB29" s="764"/>
      <c r="AC29" s="764"/>
      <c r="AD29" s="764"/>
      <c r="AE29" s="764"/>
      <c r="AF29" s="764"/>
    </row>
    <row r="30" spans="1:32" ht="16" customHeight="1">
      <c r="A30" s="1563"/>
      <c r="B30" s="391"/>
      <c r="C30" s="391"/>
      <c r="D30" s="391"/>
      <c r="E30" s="391"/>
      <c r="F30" s="391"/>
      <c r="G30" s="391"/>
      <c r="H30" s="391"/>
      <c r="I30" s="391"/>
      <c r="J30" s="391"/>
      <c r="K30" s="391"/>
      <c r="L30" s="391"/>
      <c r="M30" s="1563"/>
      <c r="N30" s="1571" t="s">
        <v>1016</v>
      </c>
      <c r="O30" s="1572"/>
      <c r="P30" s="1572"/>
      <c r="Q30" s="1572"/>
      <c r="R30" s="1572"/>
      <c r="S30" s="1572"/>
      <c r="T30" s="1572"/>
      <c r="U30" s="1573"/>
      <c r="V30" s="768"/>
      <c r="W30" s="768"/>
      <c r="X30" s="764"/>
      <c r="Y30" s="764"/>
      <c r="Z30" s="764"/>
      <c r="AA30" s="764"/>
      <c r="AB30" s="764"/>
      <c r="AC30" s="764"/>
      <c r="AD30" s="764"/>
      <c r="AE30" s="764"/>
      <c r="AF30" s="764"/>
    </row>
    <row r="31" spans="1:32" ht="16" customHeight="1">
      <c r="A31" s="1563"/>
      <c r="B31" s="391"/>
      <c r="C31" s="391"/>
      <c r="D31" s="391"/>
      <c r="E31" s="391"/>
      <c r="F31" s="391"/>
      <c r="G31" s="391"/>
      <c r="H31" s="391"/>
      <c r="I31" s="391"/>
      <c r="J31" s="391"/>
      <c r="K31" s="391"/>
      <c r="L31" s="391"/>
      <c r="M31" s="1563"/>
      <c r="N31" s="1550"/>
      <c r="O31" s="1551"/>
      <c r="P31" s="1551"/>
      <c r="Q31" s="1551"/>
      <c r="R31" s="1551"/>
      <c r="S31" s="1551"/>
      <c r="T31" s="1551"/>
      <c r="U31" s="1552"/>
      <c r="V31" s="768"/>
      <c r="W31" s="768"/>
      <c r="X31" s="764"/>
      <c r="Y31" s="764"/>
      <c r="Z31" s="764"/>
      <c r="AA31" s="764"/>
      <c r="AB31" s="764"/>
      <c r="AC31" s="764"/>
      <c r="AD31" s="764"/>
      <c r="AE31" s="764"/>
      <c r="AF31" s="764"/>
    </row>
    <row r="32" spans="1:32" ht="16" customHeight="1">
      <c r="A32" s="1563"/>
      <c r="B32" s="391"/>
      <c r="C32" s="391"/>
      <c r="D32" s="391"/>
      <c r="E32" s="391"/>
      <c r="F32" s="391"/>
      <c r="G32" s="391"/>
      <c r="H32" s="391"/>
      <c r="I32" s="391"/>
      <c r="J32" s="391"/>
      <c r="K32" s="391"/>
      <c r="L32" s="391"/>
      <c r="M32" s="1563"/>
      <c r="N32" s="1550"/>
      <c r="O32" s="1551"/>
      <c r="P32" s="1551"/>
      <c r="Q32" s="1551"/>
      <c r="R32" s="1551"/>
      <c r="S32" s="1551"/>
      <c r="T32" s="1551"/>
      <c r="U32" s="1552"/>
      <c r="V32" s="768"/>
      <c r="W32" s="768"/>
      <c r="X32" s="764"/>
      <c r="Y32" s="764"/>
      <c r="Z32" s="764"/>
      <c r="AA32" s="764"/>
      <c r="AB32" s="764"/>
      <c r="AC32" s="764"/>
      <c r="AD32" s="764"/>
      <c r="AE32" s="764"/>
      <c r="AF32" s="764"/>
    </row>
    <row r="33" spans="1:32" ht="16" customHeight="1">
      <c r="A33" s="1563"/>
      <c r="B33" s="391"/>
      <c r="C33" s="391"/>
      <c r="D33" s="391"/>
      <c r="E33" s="391"/>
      <c r="F33" s="391"/>
      <c r="G33" s="391"/>
      <c r="H33" s="391"/>
      <c r="I33" s="391"/>
      <c r="J33" s="391"/>
      <c r="K33" s="391"/>
      <c r="L33" s="391"/>
      <c r="M33" s="1563"/>
      <c r="N33" s="1550"/>
      <c r="O33" s="1551"/>
      <c r="P33" s="1551"/>
      <c r="Q33" s="1551"/>
      <c r="R33" s="1551"/>
      <c r="S33" s="1551"/>
      <c r="T33" s="1551"/>
      <c r="U33" s="1552"/>
      <c r="V33" s="768"/>
      <c r="W33" s="768"/>
      <c r="X33" s="764"/>
      <c r="Y33" s="764"/>
      <c r="Z33" s="764"/>
      <c r="AA33" s="764"/>
      <c r="AB33" s="764"/>
      <c r="AC33" s="764"/>
      <c r="AD33" s="764"/>
      <c r="AE33" s="764"/>
      <c r="AF33" s="764"/>
    </row>
    <row r="34" spans="1:32" ht="16" customHeight="1">
      <c r="A34" s="1563"/>
      <c r="B34" s="391"/>
      <c r="C34" s="391"/>
      <c r="D34" s="391"/>
      <c r="E34" s="391"/>
      <c r="F34" s="391"/>
      <c r="G34" s="391"/>
      <c r="H34" s="391"/>
      <c r="I34" s="391"/>
      <c r="J34" s="391"/>
      <c r="K34" s="391"/>
      <c r="L34" s="391"/>
      <c r="M34" s="1563"/>
      <c r="N34" s="1550"/>
      <c r="O34" s="1551"/>
      <c r="P34" s="1551"/>
      <c r="Q34" s="1551"/>
      <c r="R34" s="1551"/>
      <c r="S34" s="1551"/>
      <c r="T34" s="1551"/>
      <c r="U34" s="1552"/>
      <c r="V34" s="767"/>
      <c r="W34" s="767"/>
      <c r="X34" s="764"/>
      <c r="Y34" s="764"/>
      <c r="Z34" s="764"/>
      <c r="AA34" s="764"/>
      <c r="AB34" s="764"/>
      <c r="AC34" s="764"/>
      <c r="AD34" s="764"/>
      <c r="AE34" s="764"/>
      <c r="AF34" s="764"/>
    </row>
    <row r="35" spans="1:32" ht="16" customHeight="1">
      <c r="A35" s="1563"/>
      <c r="B35" s="391"/>
      <c r="C35" s="391"/>
      <c r="D35" s="391"/>
      <c r="E35" s="391"/>
      <c r="F35" s="391"/>
      <c r="G35" s="391"/>
      <c r="H35" s="391"/>
      <c r="I35" s="391"/>
      <c r="J35" s="391"/>
      <c r="K35" s="391"/>
      <c r="L35" s="391"/>
      <c r="M35" s="1563"/>
      <c r="N35" s="1553"/>
      <c r="O35" s="1554"/>
      <c r="P35" s="1554"/>
      <c r="Q35" s="1554"/>
      <c r="R35" s="1554"/>
      <c r="S35" s="1554"/>
      <c r="T35" s="1554"/>
      <c r="U35" s="1555"/>
      <c r="V35" s="763"/>
      <c r="W35" s="763"/>
      <c r="X35" s="764"/>
      <c r="Y35" s="764"/>
      <c r="Z35" s="764"/>
      <c r="AA35" s="764"/>
      <c r="AB35" s="764"/>
      <c r="AC35" s="764"/>
      <c r="AD35" s="764"/>
      <c r="AE35" s="764"/>
      <c r="AF35" s="764"/>
    </row>
    <row r="36" spans="1:32" ht="20" customHeight="1">
      <c r="A36" s="1563"/>
      <c r="B36" s="1564" t="s">
        <v>1215</v>
      </c>
      <c r="C36" s="1564"/>
      <c r="D36" s="1564"/>
      <c r="E36" s="1564"/>
      <c r="F36" s="1564"/>
      <c r="G36" s="1564"/>
      <c r="H36" s="1564"/>
      <c r="I36" s="1564"/>
      <c r="J36" s="1564"/>
      <c r="K36" s="1564"/>
      <c r="L36" s="1564"/>
      <c r="M36" s="1563"/>
      <c r="N36" s="729" t="str">
        <f>O39</f>
        <v>AR</v>
      </c>
      <c r="O36" s="1559" t="s">
        <v>1217</v>
      </c>
      <c r="P36" s="1559"/>
      <c r="Q36" s="1559"/>
      <c r="R36" s="1559"/>
      <c r="S36" s="1559"/>
      <c r="T36" s="1559"/>
      <c r="U36" s="729"/>
      <c r="V36" s="765"/>
      <c r="W36" s="765"/>
      <c r="X36" s="764"/>
      <c r="Y36" s="764"/>
      <c r="Z36" s="764"/>
      <c r="AA36" s="764"/>
      <c r="AB36" s="764"/>
      <c r="AC36" s="764"/>
      <c r="AD36" s="764"/>
      <c r="AE36" s="764"/>
      <c r="AF36" s="764"/>
    </row>
    <row r="37" spans="1:32" ht="18" customHeight="1">
      <c r="A37" s="390"/>
      <c r="B37" s="1549" t="s">
        <v>1066</v>
      </c>
      <c r="C37" s="1549"/>
      <c r="D37" s="1549"/>
      <c r="E37" s="1549"/>
      <c r="F37" s="1549"/>
      <c r="G37" s="1549"/>
      <c r="H37" s="1549"/>
      <c r="I37" s="1549"/>
      <c r="J37" s="1549"/>
      <c r="K37" s="1549"/>
      <c r="L37" s="1549"/>
      <c r="M37" s="390"/>
      <c r="N37" s="769" t="s">
        <v>972</v>
      </c>
      <c r="O37" s="770"/>
      <c r="P37" s="770"/>
      <c r="Q37" s="770"/>
      <c r="R37" s="770"/>
      <c r="S37" s="770"/>
      <c r="T37" s="770"/>
      <c r="U37" s="770"/>
      <c r="V37" s="771"/>
      <c r="W37" s="1577" t="s">
        <v>1014</v>
      </c>
      <c r="X37" s="1577"/>
      <c r="Y37" s="1577"/>
      <c r="Z37" s="1577"/>
      <c r="AA37" s="1577"/>
      <c r="AB37" s="1577"/>
      <c r="AC37" s="764"/>
      <c r="AD37" s="764"/>
      <c r="AE37" s="764"/>
      <c r="AF37" s="764"/>
    </row>
    <row r="38" spans="1:32" ht="16" customHeight="1">
      <c r="A38" s="446"/>
      <c r="B38" s="446"/>
      <c r="C38" s="446"/>
      <c r="D38" s="446"/>
      <c r="E38" s="446"/>
      <c r="F38" s="446"/>
      <c r="G38" s="446"/>
      <c r="H38" s="446"/>
      <c r="I38" s="446"/>
      <c r="J38" s="446"/>
      <c r="K38" s="446"/>
      <c r="L38" s="446"/>
      <c r="M38" s="392"/>
      <c r="N38" s="393"/>
      <c r="O38" s="393"/>
      <c r="P38" s="393"/>
      <c r="Q38" s="393"/>
      <c r="R38" s="393"/>
      <c r="S38" s="393"/>
      <c r="T38" s="393"/>
      <c r="U38" s="393"/>
      <c r="V38" s="772"/>
      <c r="W38" s="1577"/>
      <c r="X38" s="1577"/>
      <c r="Y38" s="1577"/>
      <c r="Z38" s="1577"/>
      <c r="AA38" s="1577"/>
      <c r="AB38" s="1577"/>
      <c r="AC38" s="764"/>
      <c r="AD38" s="764"/>
      <c r="AE38" s="764"/>
      <c r="AF38" s="764"/>
    </row>
    <row r="39" spans="1:32" ht="16" customHeight="1">
      <c r="A39" s="446"/>
      <c r="B39" s="446"/>
      <c r="C39" s="1548" t="s">
        <v>1006</v>
      </c>
      <c r="D39" s="1548"/>
      <c r="E39" s="1548"/>
      <c r="F39" s="1548"/>
      <c r="G39" s="1548"/>
      <c r="H39" s="1548"/>
      <c r="I39" s="1548"/>
      <c r="J39" s="1548"/>
      <c r="K39" s="446"/>
      <c r="L39" s="446"/>
      <c r="M39" s="392"/>
      <c r="N39" s="393"/>
      <c r="O39" s="773" t="str">
        <f>'FIG3'!W49</f>
        <v>AR</v>
      </c>
      <c r="P39" s="774"/>
      <c r="Q39" s="774"/>
      <c r="R39" s="774"/>
      <c r="S39" s="1689" t="s">
        <v>974</v>
      </c>
      <c r="T39" s="1689"/>
      <c r="U39" s="1689"/>
      <c r="V39" s="772"/>
      <c r="W39" s="775"/>
      <c r="X39" s="775"/>
      <c r="Y39" s="775"/>
      <c r="Z39" s="776"/>
      <c r="AA39" s="764"/>
      <c r="AB39" s="764"/>
      <c r="AC39" s="764"/>
      <c r="AD39" s="764"/>
      <c r="AE39" s="764"/>
      <c r="AF39" s="764"/>
    </row>
    <row r="40" spans="1:32" ht="16" customHeight="1">
      <c r="A40" s="446"/>
      <c r="B40" s="446"/>
      <c r="C40" s="1548"/>
      <c r="D40" s="1548"/>
      <c r="E40" s="1548"/>
      <c r="F40" s="1548"/>
      <c r="G40" s="1548"/>
      <c r="H40" s="1548"/>
      <c r="I40" s="1548"/>
      <c r="J40" s="1548"/>
      <c r="K40" s="446"/>
      <c r="L40" s="446"/>
      <c r="M40" s="392"/>
      <c r="N40" s="393"/>
      <c r="O40" s="777" t="s">
        <v>1069</v>
      </c>
      <c r="P40" s="778">
        <v>1.1299999999999999</v>
      </c>
      <c r="Q40" s="778">
        <v>1</v>
      </c>
      <c r="R40" s="778">
        <v>0.92</v>
      </c>
      <c r="S40" s="1689"/>
      <c r="T40" s="1689"/>
      <c r="U40" s="1689"/>
      <c r="V40" s="772"/>
      <c r="W40" s="272" t="s">
        <v>970</v>
      </c>
      <c r="X40" s="272"/>
      <c r="Y40" s="272" t="s">
        <v>971</v>
      </c>
      <c r="Z40" s="776"/>
      <c r="AA40" s="764"/>
      <c r="AB40" s="764"/>
      <c r="AC40" s="764"/>
      <c r="AD40" s="764"/>
      <c r="AE40" s="764"/>
      <c r="AF40" s="764"/>
    </row>
    <row r="41" spans="1:32" ht="16" customHeight="1">
      <c r="A41" s="446"/>
      <c r="B41" s="446"/>
      <c r="C41" s="1548"/>
      <c r="D41" s="1548"/>
      <c r="E41" s="1548"/>
      <c r="F41" s="1548"/>
      <c r="G41" s="1548"/>
      <c r="H41" s="1548"/>
      <c r="I41" s="1548"/>
      <c r="J41" s="1548"/>
      <c r="K41" s="446"/>
      <c r="L41" s="446"/>
      <c r="M41" s="392"/>
      <c r="N41" s="393"/>
      <c r="O41" s="777"/>
      <c r="P41" s="779" t="s">
        <v>1067</v>
      </c>
      <c r="Q41" s="779" t="s">
        <v>1068</v>
      </c>
      <c r="R41" s="779" t="s">
        <v>1363</v>
      </c>
      <c r="S41" s="1689"/>
      <c r="T41" s="1689"/>
      <c r="U41" s="1689"/>
      <c r="V41" s="772"/>
      <c r="W41" s="764"/>
      <c r="X41" s="764"/>
      <c r="Y41" s="780" t="s">
        <v>1067</v>
      </c>
      <c r="Z41" s="780" t="s">
        <v>1068</v>
      </c>
      <c r="AA41" s="764"/>
      <c r="AB41" s="764"/>
      <c r="AC41" s="764"/>
      <c r="AD41" s="764"/>
      <c r="AE41" s="764"/>
      <c r="AF41" s="764"/>
    </row>
    <row r="42" spans="1:32" ht="16" customHeight="1">
      <c r="A42" s="446"/>
      <c r="B42" s="446"/>
      <c r="C42" s="1548"/>
      <c r="D42" s="1548"/>
      <c r="E42" s="1548"/>
      <c r="F42" s="1548"/>
      <c r="G42" s="1548"/>
      <c r="H42" s="1548"/>
      <c r="I42" s="1548"/>
      <c r="J42" s="1548"/>
      <c r="K42" s="446"/>
      <c r="L42" s="446"/>
      <c r="M42" s="392"/>
      <c r="N42" s="393"/>
      <c r="O42" s="781" t="s">
        <v>1072</v>
      </c>
      <c r="P42" s="747">
        <v>0</v>
      </c>
      <c r="Q42" s="748">
        <v>0</v>
      </c>
      <c r="R42" s="1487">
        <f>'FIG3'!E13+'FIG3'!E14+'FIG3'!E15+'FIG3'!E17+'FIG3'!E18</f>
        <v>10054.367651775983</v>
      </c>
      <c r="S42" s="1689"/>
      <c r="T42" s="1689"/>
      <c r="U42" s="1689"/>
      <c r="V42" s="772"/>
      <c r="W42" s="749" t="s">
        <v>1072</v>
      </c>
      <c r="X42" s="784"/>
      <c r="Y42" s="752">
        <v>0</v>
      </c>
      <c r="Z42" s="753">
        <v>0</v>
      </c>
      <c r="AA42" s="764"/>
      <c r="AB42" s="764"/>
      <c r="AC42" s="764"/>
      <c r="AD42" s="764"/>
      <c r="AE42" s="764"/>
      <c r="AF42" s="764"/>
    </row>
    <row r="43" spans="1:32" ht="16" customHeight="1">
      <c r="A43" s="446"/>
      <c r="B43" s="446"/>
      <c r="C43" s="1548"/>
      <c r="D43" s="1548"/>
      <c r="E43" s="1548"/>
      <c r="F43" s="1548"/>
      <c r="G43" s="1548"/>
      <c r="H43" s="1548"/>
      <c r="I43" s="1548"/>
      <c r="J43" s="1548"/>
      <c r="K43" s="446"/>
      <c r="L43" s="446"/>
      <c r="M43" s="392"/>
      <c r="N43" s="393"/>
      <c r="O43" s="785" t="s">
        <v>1073</v>
      </c>
      <c r="P43" s="747">
        <v>0</v>
      </c>
      <c r="Q43" s="748">
        <v>0</v>
      </c>
      <c r="R43" s="1487">
        <f>'FIG3'!F13+'FIG3'!F14+'FIG3'!F15+'FIG3'!F17+'FIG3'!F18</f>
        <v>7450.4969952681395</v>
      </c>
      <c r="S43" s="1689"/>
      <c r="T43" s="1689"/>
      <c r="U43" s="1689"/>
      <c r="V43" s="772"/>
      <c r="W43" s="750" t="s">
        <v>1073</v>
      </c>
      <c r="X43" s="786"/>
      <c r="Y43" s="752">
        <v>0</v>
      </c>
      <c r="Z43" s="753">
        <v>0</v>
      </c>
      <c r="AA43" s="764"/>
      <c r="AB43" s="764"/>
      <c r="AC43" s="764"/>
      <c r="AD43" s="764"/>
      <c r="AE43" s="764"/>
      <c r="AF43" s="764"/>
    </row>
    <row r="44" spans="1:32" ht="16" customHeight="1">
      <c r="A44" s="446"/>
      <c r="B44" s="446"/>
      <c r="C44" s="1548"/>
      <c r="D44" s="1548"/>
      <c r="E44" s="1548"/>
      <c r="F44" s="1548"/>
      <c r="G44" s="1548"/>
      <c r="H44" s="1548"/>
      <c r="I44" s="1548"/>
      <c r="J44" s="1548"/>
      <c r="K44" s="446"/>
      <c r="L44" s="446"/>
      <c r="M44" s="392"/>
      <c r="N44" s="393"/>
      <c r="O44" s="782" t="str">
        <f>'FIG3'!$W$52&amp;" "&amp;'FIG3'!$X$52&amp;"-D"</f>
        <v>Little Rock School District-D</v>
      </c>
      <c r="P44" s="747">
        <v>0</v>
      </c>
      <c r="Q44" s="748">
        <v>0</v>
      </c>
      <c r="R44" s="1487">
        <f>'FIG3'!I13+'FIG3'!I14+'FIG3'!I15+'FIG3'!I17+'FIG3'!I18</f>
        <v>13725.114869148849</v>
      </c>
      <c r="S44" s="1689"/>
      <c r="T44" s="1689"/>
      <c r="U44" s="1689"/>
      <c r="V44" s="772"/>
      <c r="W44" s="751" t="str">
        <f>'FIG3'!$W$52&amp;" "&amp;'FIG3'!$X$52&amp;"-D"</f>
        <v>Little Rock School District-D</v>
      </c>
      <c r="X44" s="787"/>
      <c r="Y44" s="752">
        <v>0</v>
      </c>
      <c r="Z44" s="753">
        <v>0</v>
      </c>
      <c r="AA44" s="764"/>
      <c r="AB44" s="764"/>
      <c r="AC44" s="764"/>
      <c r="AD44" s="764"/>
      <c r="AE44" s="764"/>
      <c r="AF44" s="764"/>
    </row>
    <row r="45" spans="1:32" ht="16" customHeight="1">
      <c r="A45" s="446"/>
      <c r="B45" s="446"/>
      <c r="C45" s="446"/>
      <c r="D45" s="446"/>
      <c r="E45" s="446"/>
      <c r="F45" s="446"/>
      <c r="G45" s="446"/>
      <c r="H45" s="446"/>
      <c r="I45" s="446"/>
      <c r="J45" s="446"/>
      <c r="K45" s="446"/>
      <c r="L45" s="446"/>
      <c r="M45" s="392"/>
      <c r="N45" s="393"/>
      <c r="O45" s="782" t="str">
        <f>'FIG3'!$W$52&amp;" "&amp;'FIG3'!$X$52&amp;"-C"</f>
        <v>Little Rock School District-C</v>
      </c>
      <c r="P45" s="747">
        <v>0</v>
      </c>
      <c r="Q45" s="748">
        <v>0</v>
      </c>
      <c r="R45" s="1487">
        <f>'FIG3'!J13+'FIG3'!J14+'FIG3'!J15+'FIG3'!J17+'FIG3'!J18</f>
        <v>7433.2692966948507</v>
      </c>
      <c r="S45" s="1689"/>
      <c r="T45" s="1689"/>
      <c r="U45" s="1689"/>
      <c r="V45" s="772"/>
      <c r="W45" s="751" t="str">
        <f>'FIG3'!$W$52&amp;" "&amp;'FIG3'!$X$52&amp;"-C"</f>
        <v>Little Rock School District-C</v>
      </c>
      <c r="X45" s="787"/>
      <c r="Y45" s="752">
        <v>0</v>
      </c>
      <c r="Z45" s="753">
        <v>0</v>
      </c>
      <c r="AA45" s="764"/>
      <c r="AB45" s="1686" t="s">
        <v>969</v>
      </c>
      <c r="AC45" s="1686"/>
      <c r="AD45" s="1686"/>
      <c r="AE45" s="1686"/>
      <c r="AF45" s="1686"/>
    </row>
    <row r="46" spans="1:32" ht="16" customHeight="1">
      <c r="A46" s="446"/>
      <c r="B46" s="446"/>
      <c r="C46" s="446"/>
      <c r="D46" s="446"/>
      <c r="E46" s="446"/>
      <c r="F46" s="446"/>
      <c r="G46" s="446"/>
      <c r="H46" s="446"/>
      <c r="I46" s="446"/>
      <c r="J46" s="446"/>
      <c r="K46" s="446"/>
      <c r="L46" s="446"/>
      <c r="M46" s="392"/>
      <c r="N46" s="393"/>
      <c r="O46" s="783" t="str">
        <f>'FIG3'!$W$53&amp;" "&amp;'FIG3'!$X$53&amp;"-D"</f>
        <v>FA2L1 FA2L2-D</v>
      </c>
      <c r="P46" s="748">
        <v>0</v>
      </c>
      <c r="Q46" s="748">
        <v>0</v>
      </c>
      <c r="R46" s="1487" t="e">
        <f>'FIG3'!K13+'FIG3'!K14+'FIG3'!K15+'FIG3'!K17+'FIG3'!K18</f>
        <v>#DIV/0!</v>
      </c>
      <c r="S46" s="1689"/>
      <c r="T46" s="1689"/>
      <c r="U46" s="1689"/>
      <c r="V46" s="772"/>
      <c r="W46" s="751" t="str">
        <f>'FIG3'!$W$53&amp;" "&amp;'FIG3'!$X$53&amp;"-D"</f>
        <v>FA2L1 FA2L2-D</v>
      </c>
      <c r="X46" s="787"/>
      <c r="Y46" s="752">
        <v>0</v>
      </c>
      <c r="Z46" s="753">
        <v>0</v>
      </c>
      <c r="AA46" s="764"/>
      <c r="AB46" s="1686"/>
      <c r="AC46" s="1686"/>
      <c r="AD46" s="1686"/>
      <c r="AE46" s="1686"/>
      <c r="AF46" s="1686"/>
    </row>
    <row r="47" spans="1:32" ht="16" customHeight="1">
      <c r="A47" s="446"/>
      <c r="B47" s="446"/>
      <c r="C47" s="1680" t="s">
        <v>1071</v>
      </c>
      <c r="D47" s="1680"/>
      <c r="E47" s="1680"/>
      <c r="F47" s="1680"/>
      <c r="G47" s="1680"/>
      <c r="H47" s="1680"/>
      <c r="I47" s="1680"/>
      <c r="J47" s="1680"/>
      <c r="K47" s="446"/>
      <c r="L47" s="446"/>
      <c r="M47" s="392"/>
      <c r="N47" s="393"/>
      <c r="O47" s="783" t="str">
        <f>'FIG3'!$W$53&amp;" "&amp;'FIG3'!$X$53&amp;"-C"</f>
        <v>FA2L1 FA2L2-C</v>
      </c>
      <c r="P47" s="748">
        <v>0</v>
      </c>
      <c r="Q47" s="748">
        <v>0</v>
      </c>
      <c r="R47" s="1487" t="e">
        <f>'FIG3'!L13+'FIG3'!L14+'FIG3'!L15+'FIG3'!L17+'FIG3'!L18</f>
        <v>#DIV/0!</v>
      </c>
      <c r="S47" s="1689"/>
      <c r="T47" s="1689"/>
      <c r="U47" s="1689"/>
      <c r="V47" s="788"/>
      <c r="W47" s="751" t="str">
        <f>'FIG3'!$W$53&amp;" "&amp;'FIG3'!$X$53&amp;"-C"</f>
        <v>FA2L1 FA2L2-C</v>
      </c>
      <c r="X47" s="787"/>
      <c r="Y47" s="752">
        <v>0</v>
      </c>
      <c r="Z47" s="753">
        <v>0</v>
      </c>
      <c r="AA47" s="764"/>
      <c r="AB47" s="1686"/>
      <c r="AC47" s="1686"/>
      <c r="AD47" s="1686"/>
      <c r="AE47" s="1686"/>
      <c r="AF47" s="1686"/>
    </row>
    <row r="48" spans="1:32" ht="16" customHeight="1">
      <c r="A48" s="446"/>
      <c r="B48" s="446"/>
      <c r="C48" s="1680"/>
      <c r="D48" s="1680"/>
      <c r="E48" s="1680"/>
      <c r="F48" s="1680"/>
      <c r="G48" s="1680"/>
      <c r="H48" s="1680"/>
      <c r="I48" s="1680"/>
      <c r="J48" s="1680"/>
      <c r="K48" s="446"/>
      <c r="L48" s="446"/>
      <c r="M48" s="392"/>
      <c r="N48" s="393"/>
      <c r="O48" s="783" t="str">
        <f>'FIG3'!$W$54&amp;" "&amp;'FIG3'!$X$54&amp;"-D"</f>
        <v>FA3L1 FA3L2-D</v>
      </c>
      <c r="P48" s="748">
        <v>0</v>
      </c>
      <c r="Q48" s="748">
        <v>0</v>
      </c>
      <c r="R48" s="1487" t="e">
        <f>'FIG3'!M13+'FIG3'!M14+'FIG3'!M15+'FIG3'!M17+'FIG3'!M18</f>
        <v>#DIV/0!</v>
      </c>
      <c r="S48" s="1689"/>
      <c r="T48" s="1689"/>
      <c r="U48" s="1689"/>
      <c r="V48" s="788"/>
      <c r="W48" s="751" t="str">
        <f>'FIG3'!$W$54&amp;" "&amp;'FIG3'!$X$54&amp;"-D"</f>
        <v>FA3L1 FA3L2-D</v>
      </c>
      <c r="X48" s="787"/>
      <c r="Y48" s="752">
        <v>0</v>
      </c>
      <c r="Z48" s="753">
        <v>0</v>
      </c>
      <c r="AA48" s="764"/>
      <c r="AB48" s="1686"/>
      <c r="AC48" s="1686"/>
      <c r="AD48" s="1686"/>
      <c r="AE48" s="1686"/>
      <c r="AF48" s="1686"/>
    </row>
    <row r="49" spans="1:32" ht="16" customHeight="1">
      <c r="A49" s="446"/>
      <c r="B49" s="446"/>
      <c r="C49" s="1680"/>
      <c r="D49" s="1680"/>
      <c r="E49" s="1680"/>
      <c r="F49" s="1680"/>
      <c r="G49" s="1680"/>
      <c r="H49" s="1680"/>
      <c r="I49" s="1680"/>
      <c r="J49" s="1680"/>
      <c r="K49" s="446"/>
      <c r="L49" s="446"/>
      <c r="M49" s="392"/>
      <c r="N49" s="393"/>
      <c r="O49" s="783" t="str">
        <f>'FIG3'!$W$54&amp;" "&amp;'FIG3'!$X$54&amp;"-C"</f>
        <v>FA3L1 FA3L2-C</v>
      </c>
      <c r="P49" s="748">
        <v>0</v>
      </c>
      <c r="Q49" s="748">
        <v>0</v>
      </c>
      <c r="R49" s="1487" t="e">
        <f>'FIG3'!N13+'FIG3'!N14+'FIG3'!N15+'FIG3'!N17+'FIG3'!N18</f>
        <v>#DIV/0!</v>
      </c>
      <c r="S49" s="1689"/>
      <c r="T49" s="1689"/>
      <c r="U49" s="1689"/>
      <c r="V49" s="788"/>
      <c r="W49" s="751" t="str">
        <f>'FIG3'!$W$54&amp;" "&amp;'FIG3'!$X$54&amp;"-C"</f>
        <v>FA3L1 FA3L2-C</v>
      </c>
      <c r="X49" s="787"/>
      <c r="Y49" s="752">
        <v>0</v>
      </c>
      <c r="Z49" s="753">
        <v>0</v>
      </c>
      <c r="AA49" s="764"/>
      <c r="AB49" s="764"/>
      <c r="AC49" s="764"/>
      <c r="AD49" s="764"/>
      <c r="AE49" s="764"/>
      <c r="AF49" s="764"/>
    </row>
    <row r="50" spans="1:32" ht="16" customHeight="1">
      <c r="A50" s="446"/>
      <c r="B50" s="446"/>
      <c r="C50" s="1680"/>
      <c r="D50" s="1680"/>
      <c r="E50" s="1680"/>
      <c r="F50" s="1680"/>
      <c r="G50" s="1680"/>
      <c r="H50" s="1680"/>
      <c r="I50" s="1680"/>
      <c r="J50" s="1680"/>
      <c r="K50" s="446"/>
      <c r="L50" s="446"/>
      <c r="M50" s="392"/>
      <c r="N50" s="393"/>
      <c r="O50" s="783" t="str">
        <f>'FIG3'!$W$55&amp;" "&amp;'FIG3'!$X$55&amp;"-D"</f>
        <v>FA4L1 FA4L2-D</v>
      </c>
      <c r="P50" s="748">
        <v>0</v>
      </c>
      <c r="Q50" s="748">
        <v>0</v>
      </c>
      <c r="R50" s="1487" t="e">
        <f>'FIG3'!O13+'FIG3'!O14+'FIG3'!O15+'FIG3'!O17+'FIG3'!O18</f>
        <v>#DIV/0!</v>
      </c>
      <c r="S50" s="1689"/>
      <c r="T50" s="1689"/>
      <c r="U50" s="1689"/>
      <c r="V50" s="788"/>
      <c r="W50" s="751" t="str">
        <f>'FIG3'!$W$55&amp;" "&amp;'FIG3'!$X$55&amp;"-D"</f>
        <v>FA4L1 FA4L2-D</v>
      </c>
      <c r="X50" s="787"/>
      <c r="Y50" s="752">
        <v>0</v>
      </c>
      <c r="Z50" s="753">
        <v>0</v>
      </c>
      <c r="AA50" s="764"/>
      <c r="AB50" s="764"/>
      <c r="AC50" s="764"/>
      <c r="AD50" s="764"/>
      <c r="AE50" s="764"/>
      <c r="AF50" s="764"/>
    </row>
    <row r="51" spans="1:32" ht="16" customHeight="1">
      <c r="A51" s="446"/>
      <c r="B51" s="446"/>
      <c r="C51" s="1680"/>
      <c r="D51" s="1680"/>
      <c r="E51" s="1680"/>
      <c r="F51" s="1680"/>
      <c r="G51" s="1680"/>
      <c r="H51" s="1680"/>
      <c r="I51" s="1680"/>
      <c r="J51" s="1680"/>
      <c r="K51" s="446"/>
      <c r="L51" s="446"/>
      <c r="M51" s="392"/>
      <c r="N51" s="393"/>
      <c r="O51" s="783" t="str">
        <f>'FIG3'!$W$55&amp;" "&amp;'FIG3'!$X$55&amp;"-C"</f>
        <v>FA4L1 FA4L2-C</v>
      </c>
      <c r="P51" s="748">
        <v>0</v>
      </c>
      <c r="Q51" s="748">
        <v>0</v>
      </c>
      <c r="R51" s="1487" t="e">
        <f>'FIG3'!P13+'FIG3'!P14+'FIG3'!P15+'FIG3'!P17+'FIG3'!P18</f>
        <v>#DIV/0!</v>
      </c>
      <c r="S51" s="1689"/>
      <c r="T51" s="1689"/>
      <c r="U51" s="1689"/>
      <c r="V51" s="788"/>
      <c r="W51" s="751" t="str">
        <f>'FIG3'!$W$55&amp;" "&amp;'FIG3'!$X$55&amp;"-C"</f>
        <v>FA4L1 FA4L2-C</v>
      </c>
      <c r="X51" s="787"/>
      <c r="Y51" s="752">
        <v>0</v>
      </c>
      <c r="Z51" s="753">
        <v>0</v>
      </c>
      <c r="AA51" s="764"/>
      <c r="AB51" s="764"/>
      <c r="AC51" s="764"/>
      <c r="AD51" s="764"/>
      <c r="AE51" s="764"/>
      <c r="AF51" s="764"/>
    </row>
    <row r="52" spans="1:32" ht="16" customHeight="1">
      <c r="A52" s="446"/>
      <c r="B52" s="446"/>
      <c r="C52" s="1680"/>
      <c r="D52" s="1680"/>
      <c r="E52" s="1680"/>
      <c r="F52" s="1680"/>
      <c r="G52" s="1680"/>
      <c r="H52" s="1680"/>
      <c r="I52" s="1680"/>
      <c r="J52" s="1680"/>
      <c r="K52" s="446"/>
      <c r="L52" s="446"/>
      <c r="M52" s="392"/>
      <c r="N52" s="393"/>
      <c r="O52" s="783" t="str">
        <f>'FIG3'!$W$56&amp;" "&amp;'FIG3'!$X$56&amp;"-D"</f>
        <v>FA5L1 FA5L2-D</v>
      </c>
      <c r="P52" s="748">
        <v>0</v>
      </c>
      <c r="Q52" s="748">
        <v>0</v>
      </c>
      <c r="R52" s="1487" t="e">
        <f>'FIG3'!Q13+'FIG3'!Q14+'FIG3'!Q15+'FIG3'!Q17+'FIG3'!Q18</f>
        <v>#DIV/0!</v>
      </c>
      <c r="S52" s="1689"/>
      <c r="T52" s="1689"/>
      <c r="U52" s="1689"/>
      <c r="V52" s="772"/>
      <c r="W52" s="751" t="str">
        <f>'FIG3'!$W$56&amp;" "&amp;'FIG3'!$X$56&amp;"-D"</f>
        <v>FA5L1 FA5L2-D</v>
      </c>
      <c r="X52" s="787"/>
      <c r="Y52" s="752">
        <v>0</v>
      </c>
      <c r="Z52" s="753">
        <v>0</v>
      </c>
      <c r="AA52" s="764"/>
      <c r="AB52" s="764"/>
      <c r="AC52" s="764"/>
      <c r="AD52" s="764"/>
      <c r="AE52" s="764"/>
      <c r="AF52" s="764"/>
    </row>
    <row r="53" spans="1:32" ht="16" customHeight="1">
      <c r="A53" s="446"/>
      <c r="B53" s="446"/>
      <c r="C53" s="1680"/>
      <c r="D53" s="1680"/>
      <c r="E53" s="1680"/>
      <c r="F53" s="1680"/>
      <c r="G53" s="1680"/>
      <c r="H53" s="1680"/>
      <c r="I53" s="1680"/>
      <c r="J53" s="1680"/>
      <c r="K53" s="446"/>
      <c r="L53" s="446"/>
      <c r="M53" s="392"/>
      <c r="N53" s="393"/>
      <c r="O53" s="783" t="str">
        <f>'FIG3'!$W$56&amp;" "&amp;'FIG3'!$X$56&amp;"-C"</f>
        <v>FA5L1 FA5L2-C</v>
      </c>
      <c r="P53" s="748">
        <v>0</v>
      </c>
      <c r="Q53" s="748">
        <v>0</v>
      </c>
      <c r="R53" s="1487" t="e">
        <f>'FIG3'!R13+'FIG3'!R14+'FIG3'!R15+'FIG3'!R17+'FIG3'!R18</f>
        <v>#DIV/0!</v>
      </c>
      <c r="S53" s="1689"/>
      <c r="T53" s="1689"/>
      <c r="U53" s="1689"/>
      <c r="V53" s="789"/>
      <c r="W53" s="751" t="str">
        <f>'FIG3'!$W$56&amp;" "&amp;'FIG3'!$X$56&amp;"-C"</f>
        <v>FA5L1 FA5L2-C</v>
      </c>
      <c r="X53" s="787"/>
      <c r="Y53" s="752">
        <v>0</v>
      </c>
      <c r="Z53" s="753">
        <v>0</v>
      </c>
      <c r="AA53" s="764"/>
      <c r="AB53" s="764"/>
      <c r="AC53" s="764"/>
      <c r="AD53" s="764"/>
      <c r="AE53" s="764"/>
      <c r="AF53" s="764"/>
    </row>
    <row r="54" spans="1:32" ht="16" customHeight="1">
      <c r="A54" s="446"/>
      <c r="B54" s="446"/>
      <c r="C54" s="1680"/>
      <c r="D54" s="1680"/>
      <c r="E54" s="1680"/>
      <c r="F54" s="1680"/>
      <c r="G54" s="1680"/>
      <c r="H54" s="1680"/>
      <c r="I54" s="1680"/>
      <c r="J54" s="1680"/>
      <c r="K54" s="446"/>
      <c r="L54" s="446"/>
      <c r="M54" s="392"/>
      <c r="N54" s="393"/>
      <c r="O54" s="1690" t="s">
        <v>1036</v>
      </c>
      <c r="P54" s="1690"/>
      <c r="Q54" s="1690"/>
      <c r="R54" s="1690"/>
      <c r="S54" s="1690"/>
      <c r="T54" s="1690"/>
      <c r="U54" s="1690"/>
      <c r="V54" s="789"/>
      <c r="W54" s="790"/>
      <c r="X54" s="764"/>
      <c r="Y54" s="764"/>
      <c r="Z54" s="764"/>
      <c r="AA54" s="764"/>
      <c r="AB54" s="764"/>
      <c r="AC54" s="764"/>
      <c r="AD54" s="764"/>
      <c r="AE54" s="764"/>
      <c r="AF54" s="764"/>
    </row>
    <row r="55" spans="1:32" ht="16" customHeight="1">
      <c r="A55" s="446"/>
      <c r="B55" s="446"/>
      <c r="C55" s="446"/>
      <c r="D55" s="446"/>
      <c r="E55" s="446"/>
      <c r="F55" s="446"/>
      <c r="G55" s="446"/>
      <c r="H55" s="446"/>
      <c r="I55" s="446"/>
      <c r="J55" s="446"/>
      <c r="K55" s="446"/>
      <c r="L55" s="446"/>
      <c r="M55" s="392"/>
      <c r="N55" s="394"/>
      <c r="O55" s="1690"/>
      <c r="P55" s="1690"/>
      <c r="Q55" s="1690"/>
      <c r="R55" s="1690"/>
      <c r="S55" s="1690"/>
      <c r="T55" s="1690"/>
      <c r="U55" s="1690"/>
      <c r="V55" s="789"/>
      <c r="W55" s="775"/>
      <c r="X55" s="775"/>
      <c r="Y55" s="775"/>
      <c r="Z55" s="764"/>
      <c r="AA55" s="764"/>
      <c r="AB55" s="764"/>
      <c r="AC55" s="764"/>
      <c r="AD55" s="764"/>
      <c r="AE55" s="764"/>
      <c r="AF55" s="764"/>
    </row>
    <row r="56" spans="1:32" ht="16" customHeight="1">
      <c r="A56" s="446"/>
      <c r="B56" s="446"/>
      <c r="C56" s="446"/>
      <c r="D56" s="446"/>
      <c r="E56" s="446"/>
      <c r="F56" s="446"/>
      <c r="G56" s="446"/>
      <c r="H56" s="446"/>
      <c r="I56" s="446"/>
      <c r="J56" s="446"/>
      <c r="K56" s="446"/>
      <c r="L56" s="446"/>
      <c r="M56" s="392"/>
      <c r="N56" s="394"/>
      <c r="O56" s="1690"/>
      <c r="P56" s="1690"/>
      <c r="Q56" s="1690"/>
      <c r="R56" s="1690"/>
      <c r="S56" s="1690"/>
      <c r="T56" s="1690"/>
      <c r="U56" s="1690"/>
      <c r="V56" s="789"/>
      <c r="W56" s="775"/>
      <c r="X56" s="775"/>
      <c r="Y56" s="775"/>
      <c r="Z56" s="764"/>
      <c r="AA56" s="764"/>
      <c r="AB56" s="764"/>
      <c r="AC56" s="764"/>
      <c r="AD56" s="764"/>
      <c r="AE56" s="764"/>
      <c r="AF56" s="764"/>
    </row>
    <row r="57" spans="1:32" ht="16" customHeight="1">
      <c r="A57" s="446"/>
      <c r="B57" s="446"/>
      <c r="C57" s="446"/>
      <c r="D57" s="446"/>
      <c r="E57" s="446"/>
      <c r="F57" s="446"/>
      <c r="G57" s="446"/>
      <c r="H57" s="446"/>
      <c r="I57" s="446"/>
      <c r="J57" s="446"/>
      <c r="K57" s="446"/>
      <c r="L57" s="446"/>
      <c r="M57" s="392"/>
      <c r="N57" s="394"/>
      <c r="O57" s="1690"/>
      <c r="P57" s="1690"/>
      <c r="Q57" s="1690"/>
      <c r="R57" s="1690"/>
      <c r="S57" s="1690"/>
      <c r="T57" s="1690"/>
      <c r="U57" s="1690"/>
      <c r="V57" s="772"/>
      <c r="W57" s="775"/>
      <c r="X57" s="775"/>
      <c r="Y57" s="775"/>
      <c r="Z57" s="764"/>
      <c r="AA57" s="764"/>
      <c r="AB57" s="764"/>
      <c r="AC57" s="764"/>
      <c r="AD57" s="764"/>
      <c r="AE57" s="764"/>
      <c r="AF57" s="764"/>
    </row>
    <row r="58" spans="1:32" ht="16" customHeight="1">
      <c r="A58" s="446"/>
      <c r="B58" s="446"/>
      <c r="C58" s="1548" t="s">
        <v>1039</v>
      </c>
      <c r="D58" s="1548"/>
      <c r="E58" s="1548"/>
      <c r="F58" s="1548"/>
      <c r="G58" s="1548"/>
      <c r="H58" s="1548"/>
      <c r="I58" s="1548"/>
      <c r="J58" s="1548"/>
      <c r="K58" s="446"/>
      <c r="L58" s="446"/>
      <c r="M58" s="392"/>
      <c r="N58" s="394"/>
      <c r="O58" s="1690"/>
      <c r="P58" s="1690"/>
      <c r="Q58" s="1690"/>
      <c r="R58" s="1690"/>
      <c r="S58" s="1690"/>
      <c r="T58" s="1690"/>
      <c r="U58" s="1690"/>
      <c r="V58" s="764"/>
      <c r="W58" s="775"/>
      <c r="X58" s="775"/>
      <c r="Y58" s="775"/>
      <c r="Z58" s="764"/>
      <c r="AA58" s="764"/>
      <c r="AB58" s="764"/>
      <c r="AC58" s="764"/>
      <c r="AD58" s="764"/>
      <c r="AE58" s="764"/>
      <c r="AF58" s="764"/>
    </row>
    <row r="59" spans="1:32" ht="16" customHeight="1">
      <c r="A59" s="446"/>
      <c r="B59" s="446"/>
      <c r="C59" s="1548"/>
      <c r="D59" s="1548"/>
      <c r="E59" s="1548"/>
      <c r="F59" s="1548"/>
      <c r="G59" s="1548"/>
      <c r="H59" s="1548"/>
      <c r="I59" s="1548"/>
      <c r="J59" s="1548"/>
      <c r="K59" s="446"/>
      <c r="L59" s="446"/>
      <c r="M59" s="392"/>
      <c r="N59" s="394"/>
      <c r="O59" s="844"/>
      <c r="P59" s="844"/>
      <c r="Q59" s="844"/>
      <c r="R59" s="844"/>
      <c r="S59" s="844"/>
      <c r="T59" s="844"/>
      <c r="U59" s="844"/>
      <c r="V59" s="764"/>
      <c r="W59" s="764"/>
      <c r="X59" s="272"/>
      <c r="Y59" s="791"/>
      <c r="Z59" s="763"/>
      <c r="AA59" s="763"/>
      <c r="AB59" s="764"/>
      <c r="AC59" s="764"/>
      <c r="AD59" s="764"/>
      <c r="AE59" s="764"/>
      <c r="AF59" s="764"/>
    </row>
    <row r="60" spans="1:32" ht="16" customHeight="1">
      <c r="A60" s="446"/>
      <c r="B60" s="446"/>
      <c r="C60" s="1548"/>
      <c r="D60" s="1548"/>
      <c r="E60" s="1548"/>
      <c r="F60" s="1548"/>
      <c r="G60" s="1548"/>
      <c r="H60" s="1548"/>
      <c r="I60" s="1548"/>
      <c r="J60" s="1548"/>
      <c r="K60" s="446"/>
      <c r="L60" s="446"/>
      <c r="M60" s="392"/>
      <c r="N60" s="394"/>
      <c r="O60" s="792"/>
      <c r="P60" s="793" t="s">
        <v>1004</v>
      </c>
      <c r="Q60" s="793" t="s">
        <v>1005</v>
      </c>
      <c r="R60" s="793" t="s">
        <v>968</v>
      </c>
      <c r="S60" s="1687" t="s">
        <v>973</v>
      </c>
      <c r="T60" s="1688"/>
      <c r="U60" s="1688"/>
      <c r="V60" s="794"/>
      <c r="W60" s="764" t="s">
        <v>975</v>
      </c>
      <c r="X60" s="795"/>
      <c r="Y60" s="796"/>
      <c r="Z60" s="797"/>
      <c r="AA60" s="763"/>
      <c r="AB60" s="764"/>
      <c r="AC60" s="764"/>
      <c r="AD60" s="764"/>
      <c r="AE60" s="764"/>
      <c r="AF60" s="764"/>
    </row>
    <row r="61" spans="1:32" ht="16" customHeight="1">
      <c r="A61" s="446"/>
      <c r="B61" s="446"/>
      <c r="C61" s="1548"/>
      <c r="D61" s="1548"/>
      <c r="E61" s="1548"/>
      <c r="F61" s="1548"/>
      <c r="G61" s="1548"/>
      <c r="H61" s="1548"/>
      <c r="I61" s="1548"/>
      <c r="J61" s="1548"/>
      <c r="K61" s="446"/>
      <c r="L61" s="446"/>
      <c r="M61" s="392"/>
      <c r="N61" s="394"/>
      <c r="O61" s="798" t="str">
        <f>O42</f>
        <v>Statewide District (D)</v>
      </c>
      <c r="P61" s="799">
        <f t="shared" ref="P61:Q64" si="0">P42*P$40</f>
        <v>0</v>
      </c>
      <c r="Q61" s="800">
        <f t="shared" si="0"/>
        <v>0</v>
      </c>
      <c r="R61" s="800">
        <f>R42</f>
        <v>10054.367651775983</v>
      </c>
      <c r="S61" s="1687"/>
      <c r="T61" s="1688"/>
      <c r="U61" s="1688"/>
      <c r="V61" s="764"/>
      <c r="W61" s="764"/>
      <c r="X61" s="795"/>
      <c r="Y61" s="796"/>
      <c r="Z61" s="763"/>
      <c r="AA61" s="801"/>
      <c r="AB61" s="802"/>
      <c r="AC61" s="764"/>
      <c r="AD61" s="764"/>
      <c r="AE61" s="764"/>
      <c r="AF61" s="764"/>
    </row>
    <row r="62" spans="1:32" ht="16" customHeight="1">
      <c r="A62" s="446"/>
      <c r="B62" s="446"/>
      <c r="C62" s="1548"/>
      <c r="D62" s="1548"/>
      <c r="E62" s="1548"/>
      <c r="F62" s="1548"/>
      <c r="G62" s="1548"/>
      <c r="H62" s="1548"/>
      <c r="I62" s="1548"/>
      <c r="J62" s="1548"/>
      <c r="K62" s="446"/>
      <c r="L62" s="446"/>
      <c r="M62" s="392"/>
      <c r="N62" s="394"/>
      <c r="O62" s="798" t="str">
        <f>O43</f>
        <v>Statewide Charter (C)</v>
      </c>
      <c r="P62" s="799">
        <f t="shared" si="0"/>
        <v>0</v>
      </c>
      <c r="Q62" s="800">
        <f t="shared" si="0"/>
        <v>0</v>
      </c>
      <c r="R62" s="800">
        <f>R43</f>
        <v>7450.4969952681395</v>
      </c>
      <c r="S62" s="1687"/>
      <c r="T62" s="1688"/>
      <c r="U62" s="1688"/>
      <c r="V62" s="803"/>
      <c r="W62" s="764" t="s">
        <v>976</v>
      </c>
      <c r="X62" s="795"/>
      <c r="Y62" s="796"/>
      <c r="Z62" s="763"/>
      <c r="AA62" s="801"/>
      <c r="AB62" s="802"/>
      <c r="AC62" s="764"/>
      <c r="AD62" s="764"/>
      <c r="AE62" s="764"/>
      <c r="AF62" s="764"/>
    </row>
    <row r="63" spans="1:32" ht="16" customHeight="1">
      <c r="A63" s="446"/>
      <c r="B63" s="446"/>
      <c r="C63" s="1548"/>
      <c r="D63" s="1548"/>
      <c r="E63" s="1548"/>
      <c r="F63" s="1548"/>
      <c r="G63" s="1548"/>
      <c r="H63" s="1548"/>
      <c r="I63" s="1548"/>
      <c r="J63" s="1548"/>
      <c r="K63" s="446"/>
      <c r="L63" s="446"/>
      <c r="M63" s="392"/>
      <c r="N63" s="804"/>
      <c r="O63" s="799" t="str">
        <f>O44</f>
        <v>Little Rock School District-D</v>
      </c>
      <c r="P63" s="799">
        <f t="shared" si="0"/>
        <v>0</v>
      </c>
      <c r="Q63" s="800">
        <f t="shared" si="0"/>
        <v>0</v>
      </c>
      <c r="R63" s="800">
        <f>13725</f>
        <v>13725</v>
      </c>
      <c r="S63" s="1687"/>
      <c r="T63" s="1688"/>
      <c r="U63" s="1688"/>
      <c r="V63" s="764"/>
      <c r="W63" s="764"/>
      <c r="X63" s="795"/>
      <c r="Y63" s="796"/>
      <c r="Z63" s="764"/>
      <c r="AA63" s="801"/>
      <c r="AB63" s="802"/>
      <c r="AC63" s="764"/>
      <c r="AD63" s="764"/>
      <c r="AE63" s="764"/>
      <c r="AF63" s="764"/>
    </row>
    <row r="64" spans="1:32" ht="16" customHeight="1">
      <c r="A64" s="446"/>
      <c r="B64" s="446"/>
      <c r="C64" s="1548"/>
      <c r="D64" s="1548"/>
      <c r="E64" s="1548"/>
      <c r="F64" s="1548"/>
      <c r="G64" s="1548"/>
      <c r="H64" s="1548"/>
      <c r="I64" s="1548"/>
      <c r="J64" s="1548"/>
      <c r="K64" s="446"/>
      <c r="L64" s="446"/>
      <c r="M64" s="392"/>
      <c r="N64" s="394"/>
      <c r="O64" s="799" t="str">
        <f>O45</f>
        <v>Little Rock School District-C</v>
      </c>
      <c r="P64" s="799">
        <f t="shared" si="0"/>
        <v>0</v>
      </c>
      <c r="Q64" s="800">
        <f t="shared" si="0"/>
        <v>0</v>
      </c>
      <c r="R64" s="800">
        <f>7433</f>
        <v>7433</v>
      </c>
      <c r="S64" s="1687"/>
      <c r="T64" s="1688"/>
      <c r="U64" s="1688"/>
      <c r="V64" s="764"/>
      <c r="W64" s="764"/>
      <c r="X64" s="795"/>
      <c r="Y64" s="796"/>
      <c r="Z64" s="764"/>
      <c r="AA64" s="801"/>
      <c r="AB64" s="802"/>
      <c r="AC64" s="764"/>
      <c r="AD64" s="764"/>
      <c r="AE64" s="764"/>
      <c r="AF64" s="764"/>
    </row>
    <row r="65" spans="1:32" ht="16" customHeight="1">
      <c r="A65" s="446"/>
      <c r="B65" s="446"/>
      <c r="C65" s="1548"/>
      <c r="D65" s="1548"/>
      <c r="E65" s="1548"/>
      <c r="F65" s="1548"/>
      <c r="G65" s="1548"/>
      <c r="H65" s="1548"/>
      <c r="I65" s="1548"/>
      <c r="J65" s="1548"/>
      <c r="K65" s="446"/>
      <c r="L65" s="446"/>
      <c r="M65" s="392"/>
      <c r="N65" s="394"/>
      <c r="O65" s="798" t="str">
        <f t="shared" ref="O65:O70" si="1">O48</f>
        <v>FA3L1 FA3L2-D</v>
      </c>
      <c r="P65" s="800">
        <f t="shared" ref="P65:R70" si="2">P48*P$40</f>
        <v>0</v>
      </c>
      <c r="Q65" s="800">
        <f t="shared" si="2"/>
        <v>0</v>
      </c>
      <c r="R65" s="799" t="e">
        <f t="shared" si="2"/>
        <v>#DIV/0!</v>
      </c>
      <c r="S65" s="1687"/>
      <c r="T65" s="1688"/>
      <c r="U65" s="1688"/>
      <c r="V65" s="764"/>
      <c r="W65" s="764"/>
      <c r="X65" s="795"/>
      <c r="Y65" s="796"/>
      <c r="Z65" s="764"/>
      <c r="AA65" s="764"/>
      <c r="AB65" s="764"/>
      <c r="AC65" s="764"/>
      <c r="AD65" s="764"/>
      <c r="AE65" s="764"/>
      <c r="AF65" s="764"/>
    </row>
    <row r="66" spans="1:32" ht="16" customHeight="1">
      <c r="A66" s="446"/>
      <c r="B66" s="446"/>
      <c r="C66" s="1548"/>
      <c r="D66" s="1548"/>
      <c r="E66" s="1548"/>
      <c r="F66" s="1548"/>
      <c r="G66" s="1548"/>
      <c r="H66" s="1548"/>
      <c r="I66" s="1548"/>
      <c r="J66" s="1548"/>
      <c r="K66" s="446"/>
      <c r="L66" s="446"/>
      <c r="M66" s="392"/>
      <c r="N66" s="394"/>
      <c r="O66" s="798" t="str">
        <f t="shared" si="1"/>
        <v>FA3L1 FA3L2-C</v>
      </c>
      <c r="P66" s="800">
        <f t="shared" si="2"/>
        <v>0</v>
      </c>
      <c r="Q66" s="800">
        <f t="shared" si="2"/>
        <v>0</v>
      </c>
      <c r="R66" s="799" t="e">
        <f t="shared" si="2"/>
        <v>#DIV/0!</v>
      </c>
      <c r="S66" s="1687"/>
      <c r="T66" s="1688"/>
      <c r="U66" s="1688"/>
      <c r="V66" s="764"/>
      <c r="W66" s="764"/>
      <c r="X66" s="795"/>
      <c r="Y66" s="796"/>
      <c r="Z66" s="764"/>
      <c r="AA66" s="764"/>
      <c r="AB66" s="764"/>
      <c r="AC66" s="764"/>
      <c r="AD66" s="764"/>
      <c r="AE66" s="764"/>
      <c r="AF66" s="764"/>
    </row>
    <row r="67" spans="1:32" ht="16" customHeight="1">
      <c r="A67" s="446"/>
      <c r="B67" s="446"/>
      <c r="C67" s="1548"/>
      <c r="D67" s="1548"/>
      <c r="E67" s="1548"/>
      <c r="F67" s="1548"/>
      <c r="G67" s="1548"/>
      <c r="H67" s="1548"/>
      <c r="I67" s="1548"/>
      <c r="J67" s="1548"/>
      <c r="K67" s="446"/>
      <c r="L67" s="446"/>
      <c r="M67" s="392"/>
      <c r="N67" s="394"/>
      <c r="O67" s="798" t="str">
        <f t="shared" si="1"/>
        <v>FA4L1 FA4L2-D</v>
      </c>
      <c r="P67" s="800">
        <f t="shared" si="2"/>
        <v>0</v>
      </c>
      <c r="Q67" s="800">
        <f t="shared" si="2"/>
        <v>0</v>
      </c>
      <c r="R67" s="799" t="e">
        <f t="shared" si="2"/>
        <v>#DIV/0!</v>
      </c>
      <c r="S67" s="1687"/>
      <c r="T67" s="1688"/>
      <c r="U67" s="1688"/>
      <c r="V67" s="764"/>
      <c r="W67" s="764"/>
      <c r="X67" s="795"/>
      <c r="Y67" s="796"/>
      <c r="Z67" s="764"/>
      <c r="AA67" s="764"/>
      <c r="AB67" s="764"/>
      <c r="AC67" s="764"/>
      <c r="AD67" s="764"/>
      <c r="AE67" s="764"/>
      <c r="AF67" s="764"/>
    </row>
    <row r="68" spans="1:32" ht="16" customHeight="1">
      <c r="A68" s="446"/>
      <c r="B68" s="446"/>
      <c r="C68" s="494"/>
      <c r="D68" s="494"/>
      <c r="E68" s="494"/>
      <c r="F68" s="494"/>
      <c r="G68" s="494"/>
      <c r="H68" s="494"/>
      <c r="I68" s="494"/>
      <c r="J68" s="494"/>
      <c r="K68" s="446"/>
      <c r="L68" s="446"/>
      <c r="M68" s="392"/>
      <c r="N68" s="394"/>
      <c r="O68" s="798" t="str">
        <f t="shared" si="1"/>
        <v>FA4L1 FA4L2-C</v>
      </c>
      <c r="P68" s="800">
        <f t="shared" si="2"/>
        <v>0</v>
      </c>
      <c r="Q68" s="800">
        <f t="shared" si="2"/>
        <v>0</v>
      </c>
      <c r="R68" s="799" t="e">
        <f t="shared" si="2"/>
        <v>#DIV/0!</v>
      </c>
      <c r="S68" s="1687"/>
      <c r="T68" s="1688"/>
      <c r="U68" s="1688"/>
      <c r="V68" s="764"/>
      <c r="W68" s="764"/>
      <c r="X68" s="795"/>
      <c r="Y68" s="796"/>
      <c r="Z68" s="764"/>
      <c r="AA68" s="764"/>
      <c r="AB68" s="764"/>
      <c r="AC68" s="764"/>
      <c r="AD68" s="764"/>
      <c r="AE68" s="764"/>
      <c r="AF68" s="764"/>
    </row>
    <row r="69" spans="1:32" ht="16" customHeight="1">
      <c r="A69" s="446"/>
      <c r="B69" s="446"/>
      <c r="C69" s="494"/>
      <c r="D69" s="494"/>
      <c r="E69" s="494"/>
      <c r="F69" s="494"/>
      <c r="G69" s="494"/>
      <c r="H69" s="494"/>
      <c r="I69" s="494"/>
      <c r="J69" s="494"/>
      <c r="K69" s="446"/>
      <c r="L69" s="446"/>
      <c r="M69" s="392"/>
      <c r="N69" s="394"/>
      <c r="O69" s="798" t="str">
        <f t="shared" si="1"/>
        <v>FA5L1 FA5L2-D</v>
      </c>
      <c r="P69" s="800">
        <f t="shared" si="2"/>
        <v>0</v>
      </c>
      <c r="Q69" s="800">
        <f t="shared" si="2"/>
        <v>0</v>
      </c>
      <c r="R69" s="799" t="e">
        <f t="shared" si="2"/>
        <v>#DIV/0!</v>
      </c>
      <c r="S69" s="1687"/>
      <c r="T69" s="1688"/>
      <c r="U69" s="1688"/>
      <c r="V69" s="764"/>
      <c r="W69" s="764"/>
      <c r="X69" s="795"/>
      <c r="Y69" s="796"/>
      <c r="Z69" s="764"/>
      <c r="AA69" s="764"/>
      <c r="AB69" s="764"/>
      <c r="AC69" s="764"/>
      <c r="AD69" s="764"/>
      <c r="AE69" s="764"/>
      <c r="AF69" s="764"/>
    </row>
    <row r="70" spans="1:32" ht="16" customHeight="1">
      <c r="A70" s="446"/>
      <c r="B70" s="446"/>
      <c r="C70" s="494"/>
      <c r="D70" s="494"/>
      <c r="E70" s="494"/>
      <c r="F70" s="494"/>
      <c r="G70" s="494"/>
      <c r="H70" s="494"/>
      <c r="I70" s="494"/>
      <c r="J70" s="494"/>
      <c r="K70" s="446"/>
      <c r="L70" s="446"/>
      <c r="M70" s="392"/>
      <c r="N70" s="394"/>
      <c r="O70" s="798" t="str">
        <f t="shared" si="1"/>
        <v>FA5L1 FA5L2-C</v>
      </c>
      <c r="P70" s="800">
        <f t="shared" si="2"/>
        <v>0</v>
      </c>
      <c r="Q70" s="800">
        <f t="shared" si="2"/>
        <v>0</v>
      </c>
      <c r="R70" s="799" t="e">
        <f t="shared" si="2"/>
        <v>#DIV/0!</v>
      </c>
      <c r="S70" s="1687"/>
      <c r="T70" s="1688"/>
      <c r="U70" s="1688"/>
      <c r="V70" s="764"/>
      <c r="W70" s="764"/>
      <c r="X70" s="795"/>
      <c r="Y70" s="796"/>
      <c r="Z70" s="764"/>
      <c r="AA70" s="764"/>
      <c r="AB70" s="764"/>
      <c r="AC70" s="764"/>
      <c r="AD70" s="764"/>
      <c r="AE70" s="764"/>
      <c r="AF70" s="764"/>
    </row>
    <row r="71" spans="1:32" ht="16" customHeight="1">
      <c r="A71" s="446"/>
      <c r="B71" s="446"/>
      <c r="C71" s="494"/>
      <c r="D71" s="494"/>
      <c r="E71" s="494"/>
      <c r="F71" s="494"/>
      <c r="G71" s="494"/>
      <c r="H71" s="494"/>
      <c r="I71" s="494"/>
      <c r="J71" s="494"/>
      <c r="K71" s="446"/>
      <c r="L71" s="446"/>
      <c r="M71" s="392"/>
      <c r="N71" s="394"/>
      <c r="O71" s="1489" t="s">
        <v>912</v>
      </c>
      <c r="P71" s="1489"/>
      <c r="Q71" s="1489"/>
      <c r="R71" s="1489"/>
      <c r="S71" s="1687"/>
      <c r="T71" s="1688"/>
      <c r="U71" s="1688"/>
      <c r="V71" s="764"/>
      <c r="W71" s="764"/>
      <c r="X71" s="795"/>
      <c r="Y71" s="796"/>
      <c r="Z71" s="764"/>
      <c r="AA71" s="764"/>
      <c r="AB71" s="764"/>
      <c r="AC71" s="764"/>
      <c r="AD71" s="764"/>
      <c r="AE71" s="764"/>
      <c r="AF71" s="764"/>
    </row>
    <row r="72" spans="1:32" ht="16" customHeight="1">
      <c r="A72" s="446"/>
      <c r="B72" s="446"/>
      <c r="C72" s="446"/>
      <c r="D72" s="446"/>
      <c r="E72" s="446"/>
      <c r="F72" s="446"/>
      <c r="G72" s="446"/>
      <c r="H72" s="446"/>
      <c r="I72" s="446"/>
      <c r="J72" s="446"/>
      <c r="K72" s="446"/>
      <c r="L72" s="446"/>
      <c r="M72" s="392"/>
      <c r="N72" s="394"/>
      <c r="O72" s="1489"/>
      <c r="P72" s="1489"/>
      <c r="Q72" s="1489"/>
      <c r="R72" s="1489"/>
      <c r="S72" s="1687"/>
      <c r="T72" s="1688"/>
      <c r="U72" s="1688"/>
      <c r="V72" s="764"/>
      <c r="W72" s="265"/>
      <c r="X72" s="764"/>
      <c r="Y72" s="764"/>
      <c r="Z72" s="764"/>
      <c r="AA72" s="764"/>
      <c r="AB72" s="764"/>
      <c r="AC72" s="764"/>
      <c r="AD72" s="764"/>
      <c r="AE72" s="764"/>
      <c r="AF72" s="764"/>
    </row>
    <row r="73" spans="1:32" ht="16" customHeight="1">
      <c r="A73" s="446"/>
      <c r="B73" s="446"/>
      <c r="C73" s="446"/>
      <c r="D73" s="446"/>
      <c r="E73" s="446"/>
      <c r="F73" s="446"/>
      <c r="G73" s="446"/>
      <c r="H73" s="446"/>
      <c r="I73" s="446"/>
      <c r="J73" s="446"/>
      <c r="K73" s="446"/>
      <c r="L73" s="446"/>
      <c r="M73" s="392"/>
      <c r="N73" s="394"/>
      <c r="O73" s="1489"/>
      <c r="P73" s="1489"/>
      <c r="Q73" s="1489"/>
      <c r="R73" s="1489"/>
      <c r="S73" s="1489"/>
      <c r="T73" s="1489"/>
      <c r="U73" s="1489"/>
      <c r="V73" s="764"/>
      <c r="W73" s="764"/>
      <c r="X73" s="764"/>
      <c r="Y73" s="764"/>
      <c r="Z73" s="764"/>
      <c r="AA73" s="764"/>
      <c r="AB73" s="764"/>
      <c r="AC73" s="764"/>
      <c r="AD73" s="764"/>
      <c r="AE73" s="764"/>
      <c r="AF73" s="764"/>
    </row>
    <row r="74" spans="1:32" ht="16" customHeight="1">
      <c r="A74" s="446"/>
      <c r="B74" s="446"/>
      <c r="C74" s="446"/>
      <c r="D74" s="446"/>
      <c r="E74" s="446"/>
      <c r="F74" s="446"/>
      <c r="G74" s="446"/>
      <c r="H74" s="446"/>
      <c r="I74" s="446"/>
      <c r="J74" s="446"/>
      <c r="K74" s="446"/>
      <c r="L74" s="446"/>
      <c r="M74" s="392"/>
      <c r="N74" s="394"/>
      <c r="O74" s="1489"/>
      <c r="P74" s="1489"/>
      <c r="Q74" s="1489"/>
      <c r="R74" s="1489"/>
      <c r="S74" s="1489"/>
      <c r="T74" s="1489"/>
      <c r="U74" s="1489"/>
      <c r="V74" s="764"/>
      <c r="W74" s="764"/>
      <c r="X74" s="764"/>
      <c r="Y74" s="764"/>
      <c r="Z74" s="764"/>
      <c r="AA74" s="764"/>
      <c r="AB74" s="764"/>
      <c r="AC74" s="764"/>
      <c r="AD74" s="764"/>
      <c r="AE74" s="764"/>
      <c r="AF74" s="764"/>
    </row>
    <row r="75" spans="1:32" ht="16" customHeight="1">
      <c r="A75" s="446"/>
      <c r="B75" s="446"/>
      <c r="C75" s="446"/>
      <c r="D75" s="446"/>
      <c r="E75" s="446"/>
      <c r="F75" s="446"/>
      <c r="G75" s="446"/>
      <c r="H75" s="446"/>
      <c r="I75" s="446"/>
      <c r="J75" s="446"/>
      <c r="K75" s="446"/>
      <c r="L75" s="446"/>
      <c r="M75" s="392"/>
      <c r="N75" s="394"/>
      <c r="O75" s="1489"/>
      <c r="P75" s="1489"/>
      <c r="Q75" s="1489"/>
      <c r="R75" s="1489"/>
      <c r="S75" s="1489"/>
      <c r="T75" s="1489"/>
      <c r="U75" s="1489"/>
      <c r="V75" s="764"/>
      <c r="W75" s="764"/>
      <c r="X75" s="764"/>
      <c r="Y75" s="764"/>
      <c r="Z75" s="764"/>
      <c r="AA75" s="764"/>
      <c r="AB75" s="764"/>
      <c r="AC75" s="764"/>
      <c r="AD75" s="764"/>
      <c r="AE75" s="764"/>
      <c r="AF75" s="764"/>
    </row>
    <row r="76" spans="1:32" ht="16" customHeight="1">
      <c r="A76" s="446"/>
      <c r="B76" s="446"/>
      <c r="C76" s="446"/>
      <c r="D76" s="446"/>
      <c r="E76" s="446"/>
      <c r="F76" s="446"/>
      <c r="G76" s="446"/>
      <c r="H76" s="446"/>
      <c r="I76" s="446"/>
      <c r="J76" s="446"/>
      <c r="K76" s="446"/>
      <c r="L76" s="446"/>
      <c r="M76" s="392"/>
      <c r="N76" s="394"/>
      <c r="S76" s="1489"/>
      <c r="T76" s="1489"/>
      <c r="U76" s="1489"/>
      <c r="V76" s="764"/>
      <c r="W76" s="764"/>
      <c r="X76" s="764"/>
      <c r="Y76" s="764"/>
      <c r="Z76" s="764"/>
      <c r="AA76" s="764"/>
      <c r="AB76" s="764"/>
      <c r="AC76" s="764"/>
      <c r="AD76" s="764"/>
      <c r="AE76" s="764"/>
      <c r="AF76" s="764"/>
    </row>
    <row r="77" spans="1:32" ht="16" customHeight="1">
      <c r="A77" s="446"/>
      <c r="B77" s="446"/>
      <c r="C77" s="446"/>
      <c r="D77" s="446"/>
      <c r="E77" s="446"/>
      <c r="F77" s="446"/>
      <c r="G77" s="446"/>
      <c r="H77" s="446"/>
      <c r="I77" s="446"/>
      <c r="J77" s="446"/>
      <c r="K77" s="446"/>
      <c r="L77" s="446"/>
      <c r="M77" s="392"/>
      <c r="N77" s="394"/>
      <c r="S77" s="1489"/>
      <c r="T77" s="1489"/>
      <c r="U77" s="1489"/>
      <c r="V77" s="764"/>
      <c r="W77" s="764"/>
      <c r="X77" s="764"/>
      <c r="Y77" s="764"/>
      <c r="Z77" s="764"/>
      <c r="AA77" s="764"/>
      <c r="AB77" s="764"/>
      <c r="AC77" s="764"/>
      <c r="AD77" s="764"/>
      <c r="AE77" s="764"/>
      <c r="AF77" s="764"/>
    </row>
    <row r="78" spans="1:32" ht="13" customHeight="1">
      <c r="M78" s="359"/>
    </row>
    <row r="79" spans="1:32" ht="13" customHeight="1">
      <c r="M79" s="359"/>
    </row>
    <row r="80" spans="1:32" ht="13" customHeight="1">
      <c r="M80" s="359"/>
    </row>
    <row r="81" spans="13:13" ht="13" customHeight="1">
      <c r="M81" s="359"/>
    </row>
    <row r="82" spans="13:13" ht="13" customHeight="1">
      <c r="M82" s="359"/>
    </row>
    <row r="83" spans="13:13" ht="13" customHeight="1">
      <c r="M83" s="359"/>
    </row>
    <row r="84" spans="13:13" ht="13" customHeight="1">
      <c r="M84" s="359"/>
    </row>
    <row r="85" spans="13:13" ht="13" customHeight="1"/>
    <row r="86" spans="13:13" ht="13" customHeight="1"/>
    <row r="87" spans="13:13" ht="13" customHeight="1"/>
    <row r="88" spans="13:13" ht="13" customHeight="1"/>
    <row r="89" spans="13:13" ht="13" customHeight="1"/>
    <row r="90" spans="13:13" ht="13" customHeight="1"/>
    <row r="91" spans="13:13" ht="13" customHeight="1"/>
    <row r="92" spans="13:13" ht="13" customHeight="1"/>
    <row r="93" spans="13:13" ht="13" customHeight="1"/>
    <row r="94" spans="13:13" ht="13" customHeight="1"/>
    <row r="95" spans="13:13" ht="13" customHeight="1"/>
    <row r="96" spans="13:13" ht="13" customHeight="1"/>
    <row r="97" ht="13" customHeight="1"/>
    <row r="98" ht="13" customHeight="1"/>
    <row r="99" ht="13" customHeight="1"/>
    <row r="100" ht="13" customHeight="1"/>
    <row r="101" ht="13" customHeight="1"/>
    <row r="102" ht="13" customHeight="1"/>
    <row r="103" ht="13" customHeight="1"/>
    <row r="104" ht="13" customHeight="1"/>
    <row r="105" ht="13" customHeight="1"/>
    <row r="106" ht="13" customHeight="1"/>
    <row r="107" ht="13" customHeight="1"/>
    <row r="108" ht="13" customHeight="1"/>
    <row r="109" ht="13" customHeight="1"/>
    <row r="110" ht="13" customHeight="1"/>
    <row r="111" ht="13" customHeight="1"/>
    <row r="112" ht="13" customHeight="1"/>
    <row r="113" ht="13" customHeight="1"/>
    <row r="114" ht="13" customHeight="1"/>
    <row r="115" ht="13" customHeight="1"/>
    <row r="116" ht="13" customHeight="1"/>
    <row r="117" ht="13" customHeight="1"/>
    <row r="118" ht="13" customHeight="1"/>
    <row r="119" ht="13" customHeight="1"/>
    <row r="120" ht="13" customHeight="1"/>
    <row r="121" ht="13" customHeight="1"/>
    <row r="122" ht="13" customHeight="1"/>
    <row r="123" ht="13" customHeight="1"/>
    <row r="124" ht="13" customHeight="1"/>
    <row r="125" ht="13" customHeight="1"/>
    <row r="126" ht="13" customHeight="1"/>
    <row r="127" ht="13" customHeight="1"/>
    <row r="128" ht="13" customHeight="1"/>
    <row r="129" ht="13" customHeight="1"/>
    <row r="130" ht="13" customHeight="1"/>
    <row r="131" ht="13" customHeight="1"/>
    <row r="132" ht="13" customHeight="1"/>
    <row r="133" ht="13" customHeight="1"/>
    <row r="134" ht="13" customHeight="1"/>
    <row r="135" ht="13" customHeight="1"/>
    <row r="136" ht="13" customHeight="1"/>
    <row r="137" ht="13" customHeight="1"/>
    <row r="138" ht="13" customHeight="1"/>
    <row r="139" ht="13" customHeight="1"/>
    <row r="140" ht="13" customHeight="1"/>
    <row r="141" ht="13" customHeight="1"/>
    <row r="142" ht="13" customHeight="1"/>
    <row r="143" ht="13" customHeight="1"/>
    <row r="144" ht="13" customHeight="1"/>
    <row r="145" ht="13" customHeight="1"/>
    <row r="146" ht="13" customHeight="1"/>
    <row r="147" ht="13" customHeight="1"/>
    <row r="148" ht="13" customHeight="1"/>
    <row r="149" ht="13" customHeight="1"/>
    <row r="150" ht="13" customHeight="1"/>
    <row r="151" ht="13" customHeight="1"/>
    <row r="152" ht="13" customHeight="1"/>
    <row r="153" ht="13" customHeight="1"/>
    <row r="154" ht="13" customHeight="1"/>
    <row r="155" ht="13" customHeight="1"/>
    <row r="156" ht="13" customHeight="1"/>
    <row r="157" ht="13" customHeight="1"/>
    <row r="158" ht="13" customHeight="1"/>
    <row r="159" ht="13" customHeight="1"/>
    <row r="160" ht="13" customHeight="1"/>
    <row r="161" ht="13" customHeight="1"/>
    <row r="162" ht="13" customHeight="1"/>
    <row r="163" ht="13" customHeight="1"/>
    <row r="164" ht="13" customHeight="1"/>
    <row r="165" ht="13" customHeight="1"/>
    <row r="166" ht="13" customHeight="1"/>
    <row r="167" ht="13" customHeight="1"/>
    <row r="168" ht="13" customHeight="1"/>
    <row r="169" ht="13" customHeight="1"/>
    <row r="170" ht="13" customHeight="1"/>
    <row r="171" ht="13" customHeight="1"/>
    <row r="172" ht="13" customHeight="1"/>
    <row r="173" ht="13" customHeight="1"/>
    <row r="174" ht="13" customHeight="1"/>
    <row r="175" ht="13" customHeight="1"/>
    <row r="176" ht="13" customHeight="1"/>
    <row r="177" ht="13" customHeight="1"/>
    <row r="178" ht="13" customHeight="1"/>
    <row r="179" ht="13" customHeight="1"/>
    <row r="180" ht="13" customHeight="1"/>
    <row r="181" ht="13" customHeight="1"/>
    <row r="182" ht="13" customHeight="1"/>
    <row r="183" ht="13" customHeight="1"/>
    <row r="184" ht="13" customHeight="1"/>
    <row r="185" ht="13" customHeight="1"/>
    <row r="186" ht="13" customHeight="1"/>
    <row r="187" ht="13" customHeight="1"/>
    <row r="188" ht="13" customHeight="1"/>
    <row r="189" ht="13" customHeight="1"/>
    <row r="190" ht="13" customHeight="1"/>
    <row r="191" ht="13" customHeight="1"/>
    <row r="192" ht="13" customHeight="1"/>
    <row r="193" ht="13" customHeight="1"/>
    <row r="194" ht="13" customHeight="1"/>
    <row r="195" ht="13" customHeight="1"/>
    <row r="196" ht="13" customHeight="1"/>
    <row r="197" ht="13" customHeight="1"/>
    <row r="198" ht="13" customHeight="1"/>
    <row r="199" ht="13" customHeight="1"/>
    <row r="200" ht="13" customHeight="1"/>
    <row r="201" ht="13" customHeight="1"/>
    <row r="202" ht="13" customHeight="1"/>
    <row r="203" ht="13" customHeight="1"/>
    <row r="204" ht="13" customHeight="1"/>
    <row r="205" ht="13" customHeight="1"/>
    <row r="206" ht="13" customHeight="1"/>
    <row r="207" ht="13" customHeight="1"/>
    <row r="208" ht="13" customHeight="1"/>
    <row r="209" ht="13" customHeight="1"/>
    <row r="210" ht="13" customHeight="1"/>
    <row r="211" ht="13" customHeight="1"/>
    <row r="212" ht="13" customHeight="1"/>
    <row r="213" ht="13" customHeight="1"/>
    <row r="214" ht="13" customHeight="1"/>
    <row r="215" ht="13" customHeight="1"/>
    <row r="216" ht="13" customHeight="1"/>
    <row r="217" ht="13" customHeight="1"/>
    <row r="218" ht="13" customHeight="1"/>
    <row r="219" ht="13" customHeight="1"/>
    <row r="220" ht="13" customHeight="1"/>
    <row r="221" ht="13" customHeight="1"/>
    <row r="222" ht="13" customHeight="1"/>
    <row r="223" ht="13" customHeight="1"/>
    <row r="224" ht="13" customHeight="1"/>
    <row r="225" ht="13" customHeight="1"/>
    <row r="226" ht="13" customHeight="1"/>
    <row r="227" ht="13" customHeight="1"/>
    <row r="228" ht="13" customHeight="1"/>
    <row r="229" ht="13" customHeight="1"/>
    <row r="230" ht="13" customHeight="1"/>
    <row r="231" ht="13" customHeight="1"/>
    <row r="232" ht="13" customHeight="1"/>
    <row r="233" ht="13" customHeight="1"/>
    <row r="234" ht="13" customHeight="1"/>
    <row r="235" ht="13" customHeight="1"/>
    <row r="236" ht="13" customHeight="1"/>
    <row r="237" ht="13" customHeight="1"/>
    <row r="238" ht="13" customHeight="1"/>
    <row r="239" ht="13" customHeight="1"/>
    <row r="240" ht="13" customHeight="1"/>
    <row r="241" ht="13" customHeight="1"/>
    <row r="242" ht="13" customHeight="1"/>
    <row r="243" ht="13" customHeight="1"/>
    <row r="244" ht="13" customHeight="1"/>
    <row r="245" ht="13" customHeight="1"/>
    <row r="246" ht="13" customHeight="1"/>
    <row r="247" ht="13" customHeight="1"/>
    <row r="248" ht="13" customHeight="1"/>
    <row r="249" ht="13" customHeight="1"/>
    <row r="250" ht="13" customHeight="1"/>
    <row r="251" ht="13" customHeight="1"/>
    <row r="252" ht="13" customHeight="1"/>
    <row r="253" ht="13" customHeight="1"/>
    <row r="254" ht="13" customHeight="1"/>
    <row r="255" ht="13" customHeight="1"/>
    <row r="256" ht="13" customHeight="1"/>
    <row r="257" ht="13" customHeight="1"/>
    <row r="258" ht="13" customHeight="1"/>
    <row r="259" ht="13" customHeight="1"/>
    <row r="260" ht="13" customHeight="1"/>
    <row r="261" ht="13" customHeight="1"/>
    <row r="262" ht="13" customHeight="1"/>
    <row r="263" ht="13" customHeight="1"/>
    <row r="264" ht="13" customHeight="1"/>
    <row r="265" ht="13" customHeight="1"/>
    <row r="266" ht="13" customHeight="1"/>
    <row r="267" ht="13" customHeight="1"/>
    <row r="268" ht="13" customHeight="1"/>
    <row r="269" ht="13" customHeight="1"/>
    <row r="270" ht="13" customHeight="1"/>
    <row r="271" ht="13" customHeight="1"/>
    <row r="272" ht="13" customHeight="1"/>
    <row r="273" ht="13" customHeight="1"/>
    <row r="274" ht="13" customHeight="1"/>
    <row r="275" ht="13" customHeight="1"/>
    <row r="276" ht="13" customHeight="1"/>
    <row r="277" ht="13" customHeight="1"/>
    <row r="278" ht="13" customHeight="1"/>
    <row r="279" ht="13" customHeight="1"/>
    <row r="280" ht="13" customHeight="1"/>
    <row r="281" ht="13" customHeight="1"/>
    <row r="282" ht="13" customHeight="1"/>
    <row r="283" ht="13" customHeight="1"/>
    <row r="284" ht="13" customHeight="1"/>
    <row r="285" ht="13" customHeight="1"/>
    <row r="286" ht="13" customHeight="1"/>
    <row r="287" ht="13" customHeight="1"/>
    <row r="288" ht="13" customHeight="1"/>
    <row r="289" ht="13" customHeight="1"/>
    <row r="290" ht="13" customHeight="1"/>
    <row r="291" ht="13" customHeight="1"/>
    <row r="292" ht="13" customHeight="1"/>
    <row r="293" ht="13" customHeight="1"/>
    <row r="294" ht="13" customHeight="1"/>
    <row r="295" ht="13" customHeight="1"/>
    <row r="296" ht="13" customHeight="1"/>
    <row r="297" ht="13" customHeight="1"/>
    <row r="298" ht="13" customHeight="1"/>
    <row r="299" ht="13" customHeight="1"/>
    <row r="300" ht="13" customHeight="1"/>
    <row r="301" ht="13" customHeight="1"/>
    <row r="302" ht="13" customHeight="1"/>
    <row r="303" ht="13" customHeight="1"/>
    <row r="304" ht="13" customHeight="1"/>
    <row r="305" ht="13" customHeight="1"/>
    <row r="306" ht="13" customHeight="1"/>
    <row r="307" ht="13" customHeight="1"/>
    <row r="308" ht="13" customHeight="1"/>
    <row r="309" ht="13" customHeight="1"/>
    <row r="310" ht="13" customHeight="1"/>
    <row r="311" ht="13" customHeight="1"/>
    <row r="312" ht="13" customHeight="1"/>
    <row r="313" ht="13" customHeight="1"/>
    <row r="314" ht="13" customHeight="1"/>
    <row r="315" ht="13" customHeight="1"/>
    <row r="316" ht="13" customHeight="1"/>
    <row r="317" ht="13" customHeight="1"/>
    <row r="318" ht="13" customHeight="1"/>
    <row r="319" ht="13" customHeight="1"/>
    <row r="320" ht="13" customHeight="1"/>
    <row r="321" ht="13" customHeight="1"/>
    <row r="322" ht="13" customHeight="1"/>
    <row r="323" ht="13" customHeight="1"/>
    <row r="324" ht="13" customHeight="1"/>
    <row r="325" ht="13" customHeight="1"/>
    <row r="326" ht="13" customHeight="1"/>
    <row r="327" ht="13" customHeight="1"/>
    <row r="328" ht="13" customHeight="1"/>
    <row r="329" ht="13" customHeight="1"/>
    <row r="330" ht="13" customHeight="1"/>
    <row r="331" ht="13" customHeight="1"/>
    <row r="332" ht="13" customHeight="1"/>
    <row r="333" ht="13" customHeight="1"/>
    <row r="334" ht="13" customHeight="1"/>
    <row r="335" ht="13" customHeight="1"/>
    <row r="336" ht="13" customHeight="1"/>
    <row r="337" ht="13" customHeight="1"/>
    <row r="338" ht="13" customHeight="1"/>
    <row r="339" ht="13" customHeight="1"/>
    <row r="340" ht="13" customHeight="1"/>
    <row r="341" ht="13" customHeight="1"/>
    <row r="342" ht="13" customHeight="1"/>
    <row r="343" ht="13" customHeight="1"/>
    <row r="344" ht="13" customHeight="1"/>
    <row r="345" ht="13" customHeight="1"/>
    <row r="346" ht="13" customHeight="1"/>
    <row r="347" ht="13" customHeight="1"/>
    <row r="348" ht="13" customHeight="1"/>
    <row r="349" ht="13" customHeight="1"/>
    <row r="350" ht="13" customHeight="1"/>
    <row r="351" ht="13" customHeight="1"/>
    <row r="352" ht="13" customHeight="1"/>
    <row r="353" ht="13" customHeight="1"/>
    <row r="354" ht="13" customHeight="1"/>
    <row r="355" ht="13" customHeight="1"/>
    <row r="356" ht="13" customHeight="1"/>
    <row r="357" ht="13" customHeight="1"/>
    <row r="358" ht="13" customHeight="1"/>
    <row r="359" ht="13" customHeight="1"/>
    <row r="360" ht="13" customHeight="1"/>
    <row r="361" ht="13" customHeight="1"/>
    <row r="362" ht="13" customHeight="1"/>
    <row r="363" ht="13" customHeight="1"/>
    <row r="364" ht="13" customHeight="1"/>
    <row r="365" ht="13" customHeight="1"/>
    <row r="366" ht="13" customHeight="1"/>
    <row r="367" ht="13" customHeight="1"/>
    <row r="368" ht="13" customHeight="1"/>
    <row r="369" ht="13" customHeight="1"/>
    <row r="370" ht="13" customHeight="1"/>
    <row r="371" ht="13" customHeight="1"/>
    <row r="372" ht="13" customHeight="1"/>
    <row r="373" ht="13" customHeight="1"/>
    <row r="374" ht="13" customHeight="1"/>
    <row r="375" ht="13" customHeight="1"/>
    <row r="376" ht="13" customHeight="1"/>
    <row r="377" ht="13" customHeight="1"/>
    <row r="378" ht="13" customHeight="1"/>
    <row r="379" ht="13" customHeight="1"/>
    <row r="380" ht="13" customHeight="1"/>
    <row r="381" ht="13" customHeight="1"/>
    <row r="382" ht="13" customHeight="1"/>
    <row r="383" ht="13" customHeight="1"/>
    <row r="384" ht="13" customHeight="1"/>
    <row r="385" ht="13" customHeight="1"/>
    <row r="386" ht="13" customHeight="1"/>
    <row r="387" ht="13" customHeight="1"/>
    <row r="388" ht="13" customHeight="1"/>
    <row r="389" ht="13" customHeight="1"/>
    <row r="390" ht="13" customHeight="1"/>
    <row r="391" ht="13" customHeight="1"/>
    <row r="392" ht="13" customHeight="1"/>
    <row r="393" ht="13" customHeight="1"/>
    <row r="394" ht="13" customHeight="1"/>
    <row r="395" ht="13" customHeight="1"/>
    <row r="396" ht="13" customHeight="1"/>
    <row r="397" ht="13" customHeight="1"/>
    <row r="398" ht="13" customHeight="1"/>
    <row r="399" ht="13" customHeight="1"/>
    <row r="400" ht="13" customHeight="1"/>
    <row r="401" ht="13" customHeight="1"/>
    <row r="402" ht="13" customHeight="1"/>
    <row r="403" ht="13" customHeight="1"/>
    <row r="404" ht="13" customHeight="1"/>
    <row r="405" ht="13" customHeight="1"/>
    <row r="406" ht="13" customHeight="1"/>
    <row r="407" ht="13" customHeight="1"/>
    <row r="408" ht="13" customHeight="1"/>
    <row r="409" ht="13" customHeight="1"/>
    <row r="410" ht="13" customHeight="1"/>
    <row r="411" ht="13" customHeight="1"/>
    <row r="412" ht="13" customHeight="1"/>
    <row r="413" ht="13" customHeight="1"/>
    <row r="414" ht="13" customHeight="1"/>
    <row r="415" ht="13" customHeight="1"/>
    <row r="416" ht="13" customHeight="1"/>
    <row r="417" ht="13" customHeight="1"/>
    <row r="418" ht="13" customHeight="1"/>
    <row r="419" ht="13" customHeight="1"/>
    <row r="420" ht="13" customHeight="1"/>
    <row r="421" ht="13" customHeight="1"/>
    <row r="422" ht="13" customHeight="1"/>
    <row r="423" ht="13" customHeight="1"/>
    <row r="424" ht="13" customHeight="1"/>
    <row r="425" ht="13" customHeight="1"/>
    <row r="426" ht="13" customHeight="1"/>
    <row r="427" ht="13" customHeight="1"/>
    <row r="428" ht="13" customHeight="1"/>
    <row r="429" ht="13" customHeight="1"/>
    <row r="430" ht="13" customHeight="1"/>
    <row r="431" ht="13" customHeight="1"/>
    <row r="432" ht="13" customHeight="1"/>
    <row r="433" ht="13" customHeight="1"/>
    <row r="434" ht="13" customHeight="1"/>
    <row r="435" ht="13" customHeight="1"/>
    <row r="436" ht="13" customHeight="1"/>
    <row r="437" ht="13" customHeight="1"/>
    <row r="438" ht="13" customHeight="1"/>
    <row r="439" ht="13" customHeight="1"/>
    <row r="440" ht="13" customHeight="1"/>
    <row r="441" ht="13" customHeight="1"/>
    <row r="442" ht="13" customHeight="1"/>
    <row r="443" ht="13" customHeight="1"/>
    <row r="444" ht="13" customHeight="1"/>
    <row r="445" ht="13" customHeight="1"/>
    <row r="446" ht="13" customHeight="1"/>
    <row r="447" ht="13" customHeight="1"/>
    <row r="448" ht="13" customHeight="1"/>
    <row r="449" ht="13" customHeight="1"/>
    <row r="450" ht="13" customHeight="1"/>
    <row r="451" ht="13" customHeight="1"/>
    <row r="452" ht="13" customHeight="1"/>
    <row r="453" ht="13" customHeight="1"/>
    <row r="454" ht="13" customHeight="1"/>
    <row r="455" ht="13" customHeight="1"/>
    <row r="456" ht="13" customHeight="1"/>
    <row r="457" ht="13" customHeight="1"/>
    <row r="458" ht="13" customHeight="1"/>
    <row r="459" ht="13" customHeight="1"/>
    <row r="460" ht="13" customHeight="1"/>
    <row r="461" ht="13" customHeight="1"/>
    <row r="462" ht="13" customHeight="1"/>
    <row r="463" ht="13" customHeight="1"/>
    <row r="464" ht="13" customHeight="1"/>
    <row r="465" ht="13" customHeight="1"/>
    <row r="466" ht="13" customHeight="1"/>
    <row r="467" ht="13" customHeight="1"/>
    <row r="468" ht="13" customHeight="1"/>
    <row r="469" ht="13" customHeight="1"/>
    <row r="470" ht="13" customHeight="1"/>
    <row r="471" ht="13" customHeight="1"/>
    <row r="472" ht="13" customHeight="1"/>
    <row r="473" ht="13" customHeight="1"/>
    <row r="474" ht="13" customHeight="1"/>
    <row r="475" ht="13" customHeight="1"/>
    <row r="476" ht="13" customHeight="1"/>
    <row r="477" ht="13" customHeight="1"/>
    <row r="478" ht="13" customHeight="1"/>
    <row r="479" ht="13" customHeight="1"/>
    <row r="480" ht="13" customHeight="1"/>
    <row r="481" ht="13" customHeight="1"/>
    <row r="482" ht="13" customHeight="1"/>
    <row r="483" ht="13" customHeight="1"/>
    <row r="484" ht="13" customHeight="1"/>
    <row r="485" ht="13" customHeight="1"/>
    <row r="486" ht="13" customHeight="1"/>
    <row r="487" ht="13" customHeight="1"/>
    <row r="488" ht="13" customHeight="1"/>
    <row r="489" ht="13" customHeight="1"/>
    <row r="490" ht="13" customHeight="1"/>
    <row r="491" ht="13" customHeight="1"/>
    <row r="492" ht="13" customHeight="1"/>
    <row r="493" ht="13" customHeight="1"/>
    <row r="494" ht="13" customHeight="1"/>
    <row r="495" ht="13" customHeight="1"/>
    <row r="496" ht="13" customHeight="1"/>
    <row r="497" ht="13" customHeight="1"/>
    <row r="498" ht="13" customHeight="1"/>
    <row r="499" ht="13" customHeight="1"/>
    <row r="500" ht="13" customHeight="1"/>
    <row r="501" ht="13" customHeight="1"/>
    <row r="502" ht="13" customHeight="1"/>
    <row r="503" ht="13" customHeight="1"/>
    <row r="504" ht="13" customHeight="1"/>
    <row r="505" ht="13" customHeight="1"/>
    <row r="506" ht="13" customHeight="1"/>
    <row r="507" ht="13" customHeight="1"/>
    <row r="508" ht="13" customHeight="1"/>
    <row r="509" ht="13" customHeight="1"/>
    <row r="510" ht="13" customHeight="1"/>
    <row r="511" ht="13" customHeight="1"/>
    <row r="512" ht="13" customHeight="1"/>
    <row r="513" ht="13" customHeight="1"/>
    <row r="514" ht="13" customHeight="1"/>
    <row r="515" ht="13" customHeight="1"/>
    <row r="516" ht="13" customHeight="1"/>
    <row r="517" ht="13" customHeight="1"/>
    <row r="518" ht="13" customHeight="1"/>
    <row r="519" ht="13" customHeight="1"/>
    <row r="520" ht="13" customHeight="1"/>
    <row r="521" ht="13" customHeight="1"/>
    <row r="522" ht="13" customHeight="1"/>
    <row r="523" ht="13" customHeight="1"/>
    <row r="524" ht="13" customHeight="1"/>
    <row r="525" ht="13" customHeight="1"/>
    <row r="526" ht="13" customHeight="1"/>
    <row r="527" ht="13" customHeight="1"/>
    <row r="528" ht="13" customHeight="1"/>
    <row r="529" ht="13" customHeight="1"/>
    <row r="530" ht="13" customHeight="1"/>
    <row r="531" ht="13" customHeight="1"/>
    <row r="532" ht="13" customHeight="1"/>
    <row r="533" ht="13" customHeight="1"/>
    <row r="534" ht="13" customHeight="1"/>
    <row r="535" ht="13" customHeight="1"/>
    <row r="536" ht="13" customHeight="1"/>
    <row r="537" ht="13" customHeight="1"/>
    <row r="538" ht="13" customHeight="1"/>
    <row r="539" ht="13" customHeight="1"/>
    <row r="540" ht="13" customHeight="1"/>
    <row r="541" ht="13" customHeight="1"/>
    <row r="542" ht="13" customHeight="1"/>
    <row r="543" ht="13" customHeight="1"/>
    <row r="544" ht="13" customHeight="1"/>
    <row r="545" ht="13" customHeight="1"/>
    <row r="546" ht="13" customHeight="1"/>
    <row r="547" ht="13" customHeight="1"/>
    <row r="548" ht="13" customHeight="1"/>
    <row r="549" ht="13" customHeight="1"/>
  </sheetData>
  <mergeCells count="26">
    <mergeCell ref="S60:U72"/>
    <mergeCell ref="S39:U53"/>
    <mergeCell ref="O54:U58"/>
    <mergeCell ref="C58:J67"/>
    <mergeCell ref="B1:L1"/>
    <mergeCell ref="B37:L37"/>
    <mergeCell ref="O2:T2"/>
    <mergeCell ref="N11:U16"/>
    <mergeCell ref="N29:U29"/>
    <mergeCell ref="N30:U30"/>
    <mergeCell ref="O36:T36"/>
    <mergeCell ref="N3:U10"/>
    <mergeCell ref="N31:U31"/>
    <mergeCell ref="N32:U32"/>
    <mergeCell ref="N33:U33"/>
    <mergeCell ref="N34:U34"/>
    <mergeCell ref="N35:U35"/>
    <mergeCell ref="N17:U28"/>
    <mergeCell ref="W37:AB38"/>
    <mergeCell ref="AB45:AF48"/>
    <mergeCell ref="A2:A36"/>
    <mergeCell ref="M2:M36"/>
    <mergeCell ref="B2:L2"/>
    <mergeCell ref="B36:L36"/>
    <mergeCell ref="C39:J44"/>
    <mergeCell ref="C47:J54"/>
  </mergeCells>
  <phoneticPr fontId="153" type="noConversion"/>
  <conditionalFormatting sqref="O52:Q53">
    <cfRule type="expression" dxfId="92" priority="24">
      <formula>$O$52="FA5L1 FA5L2-D"</formula>
    </cfRule>
  </conditionalFormatting>
  <conditionalFormatting sqref="O69:O70">
    <cfRule type="expression" dxfId="91" priority="19">
      <formula>$O$52="FA5L1 FA5L2-D"</formula>
    </cfRule>
  </conditionalFormatting>
  <conditionalFormatting sqref="O67:O68">
    <cfRule type="expression" dxfId="90" priority="20">
      <formula>$O$50="FA4L1 FA4L2-D"</formula>
    </cfRule>
  </conditionalFormatting>
  <conditionalFormatting sqref="O65:O66">
    <cfRule type="expression" dxfId="89" priority="21">
      <formula>$O$48="FA3L1 FA3L2-D"</formula>
    </cfRule>
  </conditionalFormatting>
  <conditionalFormatting sqref="P69:R70">
    <cfRule type="expression" dxfId="88" priority="14">
      <formula>$O$52="FA5L1 FA5L2-D"</formula>
    </cfRule>
  </conditionalFormatting>
  <conditionalFormatting sqref="P67:R68">
    <cfRule type="expression" dxfId="87" priority="15">
      <formula>$O$50="FA4L1 FA4L2-D"</formula>
    </cfRule>
  </conditionalFormatting>
  <conditionalFormatting sqref="P65:R66">
    <cfRule type="expression" dxfId="86" priority="16">
      <formula>$O$48="FA3L1 FA3L2-D"</formula>
    </cfRule>
  </conditionalFormatting>
  <conditionalFormatting sqref="P63:R64">
    <cfRule type="expression" dxfId="85" priority="18">
      <formula>$O$44="FA1L1 FA1L2-D"</formula>
    </cfRule>
  </conditionalFormatting>
  <conditionalFormatting sqref="O63:O64">
    <cfRule type="expression" dxfId="84" priority="5">
      <formula>$O$44="FA1L1 FA1L2-D"</formula>
    </cfRule>
  </conditionalFormatting>
  <conditionalFormatting sqref="O44:Q45">
    <cfRule type="expression" dxfId="83" priority="4">
      <formula>$O$44="FA1L1 FA1L2-D"</formula>
    </cfRule>
  </conditionalFormatting>
  <conditionalFormatting sqref="O46:Q47">
    <cfRule type="expression" dxfId="82" priority="3">
      <formula>$O$46="FA2L1 FA2L2-D"</formula>
    </cfRule>
  </conditionalFormatting>
  <conditionalFormatting sqref="O48:Q49">
    <cfRule type="expression" dxfId="81" priority="2">
      <formula>$O$48="FA3L1 FA3L2-D"</formula>
    </cfRule>
  </conditionalFormatting>
  <conditionalFormatting sqref="O50:Q51">
    <cfRule type="expression" dxfId="80" priority="1">
      <formula>$O$50="FA4L1 FA4L2-D"</formula>
    </cfRule>
  </conditionalFormatting>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P549"/>
  <sheetViews>
    <sheetView topLeftCell="D1" workbookViewId="0">
      <selection activeCell="O61" sqref="O61"/>
    </sheetView>
  </sheetViews>
  <sheetFormatPr baseColWidth="10" defaultColWidth="8.83203125" defaultRowHeight="11" x14ac:dyDescent="0"/>
  <cols>
    <col min="1" max="1" width="4.83203125" style="387" customWidth="1"/>
    <col min="2" max="2" width="3.83203125" style="387" customWidth="1"/>
    <col min="3" max="6" width="9.83203125" style="387" customWidth="1"/>
    <col min="7" max="7" width="24.33203125" style="387" customWidth="1"/>
    <col min="8" max="10" width="9.83203125" style="387" customWidth="1"/>
    <col min="11" max="11" width="55.5" style="387" customWidth="1"/>
    <col min="12" max="12" width="3.83203125" style="387" customWidth="1"/>
    <col min="13" max="13" width="4.83203125" style="387" customWidth="1"/>
    <col min="14" max="14" width="6.83203125" style="387" customWidth="1"/>
    <col min="15" max="15" width="28.83203125" style="387" customWidth="1"/>
    <col min="16" max="18" width="12.83203125" style="387" customWidth="1"/>
    <col min="19" max="19" width="7.1640625" style="387" customWidth="1"/>
    <col min="20" max="20" width="6.5" style="387" customWidth="1"/>
    <col min="21" max="21" width="6.83203125" style="387" customWidth="1"/>
    <col min="22" max="22" width="9.83203125" style="387" customWidth="1"/>
    <col min="23" max="23" width="28.83203125" style="387" customWidth="1"/>
    <col min="24" max="24" width="11.6640625" style="387" customWidth="1"/>
    <col min="25" max="25" width="11.33203125" style="387" customWidth="1"/>
    <col min="26" max="27" width="9.83203125" style="387" customWidth="1"/>
    <col min="28" max="28" width="12.83203125" style="387" customWidth="1"/>
    <col min="29" max="43" width="9.83203125" style="387" customWidth="1"/>
    <col min="44" max="16384" width="8.83203125" style="387"/>
  </cols>
  <sheetData>
    <row r="1" spans="1:32" ht="18" customHeight="1">
      <c r="A1" s="310"/>
      <c r="B1" s="1672" t="s">
        <v>1066</v>
      </c>
      <c r="C1" s="1672"/>
      <c r="D1" s="1672"/>
      <c r="E1" s="1672"/>
      <c r="F1" s="1672"/>
      <c r="G1" s="1672"/>
      <c r="H1" s="1672"/>
      <c r="I1" s="1672"/>
      <c r="J1" s="1672"/>
      <c r="K1" s="1672"/>
      <c r="L1" s="1672"/>
      <c r="M1" s="310"/>
      <c r="N1" s="309"/>
      <c r="O1" s="309"/>
      <c r="P1" s="309"/>
      <c r="Q1" s="309"/>
      <c r="R1" s="309"/>
      <c r="S1" s="309"/>
      <c r="T1" s="309"/>
      <c r="U1" s="309"/>
      <c r="V1" s="377"/>
      <c r="W1" s="377"/>
      <c r="X1" s="625"/>
      <c r="Y1" s="625"/>
      <c r="Z1" s="625"/>
      <c r="AA1" s="625"/>
      <c r="AB1" s="625"/>
      <c r="AC1" s="625"/>
      <c r="AD1" s="625"/>
      <c r="AE1" s="625"/>
      <c r="AF1" s="625"/>
    </row>
    <row r="2" spans="1:32" ht="20" customHeight="1">
      <c r="A2" s="1673" t="s">
        <v>1066</v>
      </c>
      <c r="B2" s="1674" t="s">
        <v>1218</v>
      </c>
      <c r="C2" s="1674"/>
      <c r="D2" s="1674"/>
      <c r="E2" s="1674"/>
      <c r="F2" s="1674"/>
      <c r="G2" s="1674"/>
      <c r="H2" s="1674"/>
      <c r="I2" s="1674"/>
      <c r="J2" s="1674"/>
      <c r="K2" s="1674"/>
      <c r="L2" s="1674"/>
      <c r="M2" s="1673" t="s">
        <v>1066</v>
      </c>
      <c r="N2" s="433" t="str">
        <f>O39</f>
        <v>AR</v>
      </c>
      <c r="O2" s="1675" t="s">
        <v>1219</v>
      </c>
      <c r="P2" s="1675"/>
      <c r="Q2" s="1675"/>
      <c r="R2" s="1675"/>
      <c r="S2" s="1675"/>
      <c r="T2" s="1675"/>
      <c r="U2" s="434"/>
      <c r="V2" s="426"/>
      <c r="W2" s="426"/>
      <c r="X2" s="625"/>
      <c r="Y2" s="625"/>
      <c r="Z2" s="625"/>
      <c r="AA2" s="625"/>
      <c r="AB2" s="625"/>
      <c r="AC2" s="625"/>
      <c r="AD2" s="625"/>
      <c r="AE2" s="625"/>
      <c r="AF2" s="625"/>
    </row>
    <row r="3" spans="1:32" ht="16" customHeight="1">
      <c r="A3" s="1673"/>
      <c r="B3" s="308"/>
      <c r="C3" s="308"/>
      <c r="D3" s="308"/>
      <c r="E3" s="308"/>
      <c r="F3" s="308"/>
      <c r="G3" s="308"/>
      <c r="H3" s="308"/>
      <c r="I3" s="308"/>
      <c r="J3" s="308"/>
      <c r="K3" s="308"/>
      <c r="L3" s="308"/>
      <c r="M3" s="1673"/>
      <c r="N3" s="1525" t="s">
        <v>990</v>
      </c>
      <c r="O3" s="1526"/>
      <c r="P3" s="1526"/>
      <c r="Q3" s="1526"/>
      <c r="R3" s="1526"/>
      <c r="S3" s="1526"/>
      <c r="T3" s="1526"/>
      <c r="U3" s="1527"/>
      <c r="V3" s="424"/>
      <c r="W3" s="424"/>
      <c r="X3" s="625"/>
      <c r="Y3" s="625"/>
      <c r="Z3" s="625"/>
      <c r="AA3" s="625"/>
      <c r="AB3" s="625"/>
      <c r="AC3" s="625"/>
      <c r="AD3" s="625"/>
      <c r="AE3" s="625"/>
      <c r="AF3" s="625"/>
    </row>
    <row r="4" spans="1:32" ht="16" customHeight="1">
      <c r="A4" s="1673"/>
      <c r="B4" s="308"/>
      <c r="C4" s="308"/>
      <c r="D4" s="308"/>
      <c r="E4" s="308"/>
      <c r="F4" s="308"/>
      <c r="G4" s="308"/>
      <c r="H4" s="308"/>
      <c r="I4" s="308"/>
      <c r="J4" s="308"/>
      <c r="K4" s="308"/>
      <c r="L4" s="308"/>
      <c r="M4" s="1673"/>
      <c r="N4" s="1525"/>
      <c r="O4" s="1526"/>
      <c r="P4" s="1526"/>
      <c r="Q4" s="1526"/>
      <c r="R4" s="1526"/>
      <c r="S4" s="1526"/>
      <c r="T4" s="1526"/>
      <c r="U4" s="1527"/>
      <c r="V4" s="424"/>
      <c r="W4" s="424"/>
      <c r="X4" s="625"/>
      <c r="Y4" s="625"/>
      <c r="Z4" s="625"/>
      <c r="AA4" s="625"/>
      <c r="AB4" s="625"/>
      <c r="AC4" s="625"/>
      <c r="AD4" s="625"/>
      <c r="AE4" s="625"/>
      <c r="AF4" s="625"/>
    </row>
    <row r="5" spans="1:32" ht="16" customHeight="1">
      <c r="A5" s="1673"/>
      <c r="B5" s="308"/>
      <c r="C5" s="308"/>
      <c r="D5" s="308"/>
      <c r="E5" s="308"/>
      <c r="F5" s="308"/>
      <c r="G5" s="308"/>
      <c r="H5" s="308"/>
      <c r="I5" s="308"/>
      <c r="J5" s="308"/>
      <c r="K5" s="308"/>
      <c r="L5" s="308"/>
      <c r="M5" s="1673"/>
      <c r="N5" s="1525"/>
      <c r="O5" s="1526"/>
      <c r="P5" s="1526"/>
      <c r="Q5" s="1526"/>
      <c r="R5" s="1526"/>
      <c r="S5" s="1526"/>
      <c r="T5" s="1526"/>
      <c r="U5" s="1527"/>
      <c r="V5" s="424"/>
      <c r="W5" s="424"/>
      <c r="X5" s="625"/>
      <c r="Y5" s="625"/>
      <c r="Z5" s="625"/>
      <c r="AA5" s="625"/>
      <c r="AB5" s="625" t="s">
        <v>5</v>
      </c>
      <c r="AC5" s="1484">
        <v>1319</v>
      </c>
      <c r="AD5" s="625"/>
      <c r="AE5" s="625"/>
      <c r="AF5" s="625"/>
    </row>
    <row r="6" spans="1:32" ht="16" customHeight="1">
      <c r="A6" s="1673"/>
      <c r="B6" s="308"/>
      <c r="C6" s="308"/>
      <c r="D6" s="308"/>
      <c r="E6" s="308"/>
      <c r="F6" s="308"/>
      <c r="G6" s="308"/>
      <c r="H6" s="308"/>
      <c r="I6" s="308"/>
      <c r="J6" s="308"/>
      <c r="K6" s="308"/>
      <c r="L6" s="308"/>
      <c r="M6" s="1673"/>
      <c r="N6" s="1525"/>
      <c r="O6" s="1526"/>
      <c r="P6" s="1526"/>
      <c r="Q6" s="1526"/>
      <c r="R6" s="1526"/>
      <c r="S6" s="1526"/>
      <c r="T6" s="1526"/>
      <c r="U6" s="1527"/>
      <c r="V6" s="424"/>
      <c r="W6" s="424"/>
      <c r="X6" s="625"/>
      <c r="Y6" s="625"/>
      <c r="Z6" s="625"/>
      <c r="AA6" s="625"/>
      <c r="AB6" s="625" t="s">
        <v>4</v>
      </c>
      <c r="AC6" s="1484">
        <v>941.06948895899052</v>
      </c>
      <c r="AD6" s="625"/>
      <c r="AE6" s="625"/>
      <c r="AF6" s="625"/>
    </row>
    <row r="7" spans="1:32" ht="16" customHeight="1">
      <c r="A7" s="1673"/>
      <c r="B7" s="308"/>
      <c r="C7" s="308"/>
      <c r="D7" s="308"/>
      <c r="E7" s="308"/>
      <c r="F7" s="308"/>
      <c r="G7" s="308"/>
      <c r="H7" s="308"/>
      <c r="I7" s="308"/>
      <c r="J7" s="308"/>
      <c r="K7" s="308"/>
      <c r="L7" s="308"/>
      <c r="M7" s="1673"/>
      <c r="N7" s="1525"/>
      <c r="O7" s="1526"/>
      <c r="P7" s="1526"/>
      <c r="Q7" s="1526"/>
      <c r="R7" s="1526"/>
      <c r="S7" s="1526"/>
      <c r="T7" s="1526"/>
      <c r="U7" s="1527"/>
      <c r="V7" s="424"/>
      <c r="W7" s="424"/>
      <c r="X7" s="625"/>
      <c r="Y7" s="625"/>
      <c r="Z7" s="625"/>
      <c r="AA7" s="625"/>
      <c r="AB7" s="625" t="s">
        <v>1</v>
      </c>
      <c r="AC7" s="1484">
        <v>686.29356806736564</v>
      </c>
      <c r="AD7" s="625"/>
      <c r="AE7" s="625"/>
      <c r="AF7" s="625"/>
    </row>
    <row r="8" spans="1:32" ht="16" customHeight="1">
      <c r="A8" s="1673"/>
      <c r="B8" s="308"/>
      <c r="C8" s="308"/>
      <c r="D8" s="308"/>
      <c r="E8" s="308"/>
      <c r="F8" s="308"/>
      <c r="G8" s="308"/>
      <c r="H8" s="308"/>
      <c r="I8" s="308"/>
      <c r="J8" s="308"/>
      <c r="K8" s="308"/>
      <c r="L8" s="308"/>
      <c r="M8" s="1673"/>
      <c r="N8" s="1525"/>
      <c r="O8" s="1526"/>
      <c r="P8" s="1526"/>
      <c r="Q8" s="1526"/>
      <c r="R8" s="1526"/>
      <c r="S8" s="1526"/>
      <c r="T8" s="1526"/>
      <c r="U8" s="1527"/>
      <c r="V8" s="424"/>
      <c r="W8" s="424"/>
      <c r="X8" s="625"/>
      <c r="Y8" s="625"/>
      <c r="Z8" s="625"/>
      <c r="AA8" s="625"/>
      <c r="AB8" s="625" t="s">
        <v>3</v>
      </c>
      <c r="AC8" s="1484">
        <v>717.66213681783245</v>
      </c>
      <c r="AD8" s="625"/>
      <c r="AE8" s="625"/>
      <c r="AF8" s="625"/>
    </row>
    <row r="9" spans="1:32" ht="16" customHeight="1">
      <c r="A9" s="1673"/>
      <c r="B9" s="308"/>
      <c r="C9" s="308"/>
      <c r="D9" s="308"/>
      <c r="E9" s="308"/>
      <c r="F9" s="308"/>
      <c r="G9" s="308"/>
      <c r="H9" s="308"/>
      <c r="I9" s="308"/>
      <c r="J9" s="308"/>
      <c r="K9" s="308"/>
      <c r="L9" s="308"/>
      <c r="M9" s="1673"/>
      <c r="N9" s="1525"/>
      <c r="O9" s="1526"/>
      <c r="P9" s="1526"/>
      <c r="Q9" s="1526"/>
      <c r="R9" s="1526"/>
      <c r="S9" s="1526"/>
      <c r="T9" s="1526"/>
      <c r="U9" s="1527"/>
      <c r="V9" s="424"/>
      <c r="W9" s="424"/>
      <c r="X9" s="625"/>
      <c r="Y9" s="625"/>
      <c r="Z9" s="625"/>
      <c r="AA9" s="625"/>
      <c r="AB9" s="625"/>
      <c r="AC9" s="625"/>
      <c r="AD9" s="625"/>
      <c r="AE9" s="625"/>
      <c r="AF9" s="625"/>
    </row>
    <row r="10" spans="1:32" ht="16" customHeight="1">
      <c r="A10" s="1673"/>
      <c r="B10" s="308"/>
      <c r="C10" s="308"/>
      <c r="D10" s="308"/>
      <c r="E10" s="308"/>
      <c r="F10" s="308"/>
      <c r="G10" s="308"/>
      <c r="H10" s="308"/>
      <c r="I10" s="308"/>
      <c r="J10" s="308"/>
      <c r="K10" s="308"/>
      <c r="L10" s="308"/>
      <c r="M10" s="1673"/>
      <c r="N10" s="1528"/>
      <c r="O10" s="1529"/>
      <c r="P10" s="1529"/>
      <c r="Q10" s="1529"/>
      <c r="R10" s="1529"/>
      <c r="S10" s="1529"/>
      <c r="T10" s="1529"/>
      <c r="U10" s="1530"/>
      <c r="V10" s="424"/>
      <c r="W10" s="424"/>
      <c r="X10" s="625"/>
      <c r="Y10" s="625"/>
      <c r="Z10" s="625"/>
      <c r="AA10" s="625"/>
      <c r="AB10" s="625"/>
      <c r="AC10" s="625"/>
      <c r="AD10" s="625"/>
      <c r="AE10" s="625"/>
      <c r="AF10" s="625"/>
    </row>
    <row r="11" spans="1:32" ht="16" customHeight="1">
      <c r="A11" s="1673"/>
      <c r="B11" s="308"/>
      <c r="C11" s="308"/>
      <c r="D11" s="308"/>
      <c r="E11" s="308"/>
      <c r="F11" s="308"/>
      <c r="G11" s="308"/>
      <c r="H11" s="308"/>
      <c r="I11" s="308"/>
      <c r="J11" s="308"/>
      <c r="K11" s="308"/>
      <c r="L11" s="308"/>
      <c r="M11" s="1673"/>
      <c r="N11" s="1522"/>
      <c r="O11" s="1523"/>
      <c r="P11" s="1523"/>
      <c r="Q11" s="1523"/>
      <c r="R11" s="1523"/>
      <c r="S11" s="1523"/>
      <c r="T11" s="1523"/>
      <c r="U11" s="1524"/>
      <c r="V11" s="425"/>
      <c r="W11" s="425"/>
      <c r="X11" s="625"/>
      <c r="Y11" s="625"/>
      <c r="Z11" s="625"/>
      <c r="AA11" s="625"/>
      <c r="AB11" s="625"/>
      <c r="AC11" s="625"/>
      <c r="AD11" s="625"/>
      <c r="AE11" s="625"/>
      <c r="AF11" s="625"/>
    </row>
    <row r="12" spans="1:32" ht="16" customHeight="1">
      <c r="A12" s="1673"/>
      <c r="B12" s="308"/>
      <c r="C12" s="308"/>
      <c r="D12" s="308"/>
      <c r="E12" s="308"/>
      <c r="F12" s="308"/>
      <c r="G12" s="308"/>
      <c r="H12" s="308"/>
      <c r="I12" s="308"/>
      <c r="J12" s="308"/>
      <c r="K12" s="308"/>
      <c r="L12" s="308"/>
      <c r="M12" s="1673"/>
      <c r="N12" s="1525"/>
      <c r="O12" s="1526"/>
      <c r="P12" s="1526"/>
      <c r="Q12" s="1526"/>
      <c r="R12" s="1526"/>
      <c r="S12" s="1526"/>
      <c r="T12" s="1526"/>
      <c r="U12" s="1527"/>
      <c r="V12" s="425"/>
      <c r="W12" s="425"/>
      <c r="X12" s="625"/>
      <c r="Y12" s="625"/>
      <c r="Z12" s="625"/>
      <c r="AA12" s="625"/>
      <c r="AB12" s="625"/>
      <c r="AC12" s="625"/>
      <c r="AD12" s="625"/>
      <c r="AE12" s="625"/>
      <c r="AF12" s="625"/>
    </row>
    <row r="13" spans="1:32" ht="16" customHeight="1">
      <c r="A13" s="1673"/>
      <c r="B13" s="308"/>
      <c r="C13" s="308"/>
      <c r="D13" s="308"/>
      <c r="E13" s="308"/>
      <c r="F13" s="308"/>
      <c r="G13" s="308"/>
      <c r="H13" s="308"/>
      <c r="I13" s="308"/>
      <c r="J13" s="308"/>
      <c r="K13" s="308"/>
      <c r="L13" s="308"/>
      <c r="M13" s="1673"/>
      <c r="N13" s="1525"/>
      <c r="O13" s="1526"/>
      <c r="P13" s="1526"/>
      <c r="Q13" s="1526"/>
      <c r="R13" s="1526"/>
      <c r="S13" s="1526"/>
      <c r="T13" s="1526"/>
      <c r="U13" s="1527"/>
      <c r="V13" s="425"/>
      <c r="W13" s="425"/>
      <c r="X13" s="625"/>
      <c r="Y13" s="625"/>
      <c r="Z13" s="625"/>
      <c r="AA13" s="625"/>
      <c r="AB13" s="625"/>
      <c r="AC13" s="625"/>
      <c r="AD13" s="625"/>
      <c r="AE13" s="625"/>
      <c r="AF13" s="625"/>
    </row>
    <row r="14" spans="1:32" ht="16" customHeight="1">
      <c r="A14" s="1673"/>
      <c r="B14" s="308"/>
      <c r="C14" s="308"/>
      <c r="D14" s="308"/>
      <c r="E14" s="308"/>
      <c r="F14" s="308"/>
      <c r="G14" s="308"/>
      <c r="H14" s="308"/>
      <c r="I14" s="308"/>
      <c r="J14" s="308"/>
      <c r="K14" s="308"/>
      <c r="L14" s="308"/>
      <c r="M14" s="1673"/>
      <c r="N14" s="1525"/>
      <c r="O14" s="1526"/>
      <c r="P14" s="1526"/>
      <c r="Q14" s="1526"/>
      <c r="R14" s="1526"/>
      <c r="S14" s="1526"/>
      <c r="T14" s="1526"/>
      <c r="U14" s="1527"/>
      <c r="V14" s="425"/>
      <c r="W14" s="425"/>
      <c r="X14" s="625"/>
      <c r="Y14" s="625"/>
      <c r="Z14" s="625"/>
      <c r="AA14" s="625"/>
      <c r="AB14" s="625"/>
      <c r="AC14" s="625"/>
      <c r="AD14" s="625"/>
      <c r="AE14" s="625"/>
      <c r="AF14" s="625"/>
    </row>
    <row r="15" spans="1:32" ht="16" customHeight="1">
      <c r="A15" s="1673"/>
      <c r="B15" s="308"/>
      <c r="C15" s="308"/>
      <c r="D15" s="308"/>
      <c r="E15" s="308"/>
      <c r="F15" s="308"/>
      <c r="G15" s="308"/>
      <c r="H15" s="308"/>
      <c r="I15" s="308"/>
      <c r="J15" s="308"/>
      <c r="K15" s="308"/>
      <c r="L15" s="308"/>
      <c r="M15" s="1673"/>
      <c r="N15" s="1525"/>
      <c r="O15" s="1526"/>
      <c r="P15" s="1526"/>
      <c r="Q15" s="1526"/>
      <c r="R15" s="1526"/>
      <c r="S15" s="1526"/>
      <c r="T15" s="1526"/>
      <c r="U15" s="1527"/>
      <c r="V15" s="425"/>
      <c r="W15" s="425"/>
      <c r="X15" s="625"/>
      <c r="Y15" s="625"/>
      <c r="Z15" s="625"/>
      <c r="AA15" s="625"/>
      <c r="AB15" s="625"/>
      <c r="AC15" s="625"/>
      <c r="AD15" s="625"/>
      <c r="AE15" s="625"/>
      <c r="AF15" s="625"/>
    </row>
    <row r="16" spans="1:32" ht="16" customHeight="1">
      <c r="A16" s="1673"/>
      <c r="B16" s="308"/>
      <c r="C16" s="308"/>
      <c r="D16" s="308"/>
      <c r="E16" s="308"/>
      <c r="F16" s="308"/>
      <c r="G16" s="308"/>
      <c r="H16" s="308"/>
      <c r="I16" s="308"/>
      <c r="J16" s="308"/>
      <c r="K16" s="308"/>
      <c r="L16" s="308"/>
      <c r="M16" s="1673"/>
      <c r="N16" s="1528"/>
      <c r="O16" s="1529"/>
      <c r="P16" s="1529"/>
      <c r="Q16" s="1529"/>
      <c r="R16" s="1529"/>
      <c r="S16" s="1529"/>
      <c r="T16" s="1529"/>
      <c r="U16" s="1530"/>
      <c r="V16" s="425"/>
      <c r="W16" s="425"/>
      <c r="X16" s="625"/>
      <c r="Y16" s="625"/>
      <c r="Z16" s="625"/>
      <c r="AA16" s="625"/>
      <c r="AB16" s="625"/>
      <c r="AC16" s="625"/>
      <c r="AD16" s="625"/>
      <c r="AE16" s="625"/>
      <c r="AF16" s="625"/>
    </row>
    <row r="17" spans="1:32" ht="16" customHeight="1">
      <c r="A17" s="1673"/>
      <c r="B17" s="308"/>
      <c r="C17" s="308"/>
      <c r="D17" s="308"/>
      <c r="E17" s="308"/>
      <c r="F17" s="308"/>
      <c r="G17" s="308"/>
      <c r="H17" s="308"/>
      <c r="I17" s="308"/>
      <c r="J17" s="308"/>
      <c r="K17" s="308"/>
      <c r="L17" s="308"/>
      <c r="M17" s="1673"/>
      <c r="N17" s="1522"/>
      <c r="O17" s="1523"/>
      <c r="P17" s="1523"/>
      <c r="Q17" s="1523"/>
      <c r="R17" s="1523"/>
      <c r="S17" s="1523"/>
      <c r="T17" s="1523"/>
      <c r="U17" s="1524"/>
      <c r="V17" s="425"/>
      <c r="W17" s="425"/>
      <c r="X17" s="625"/>
      <c r="Y17" s="625"/>
      <c r="Z17" s="625"/>
      <c r="AA17" s="625"/>
      <c r="AB17" s="625"/>
      <c r="AC17" s="625"/>
      <c r="AD17" s="625"/>
      <c r="AE17" s="625"/>
      <c r="AF17" s="625"/>
    </row>
    <row r="18" spans="1:32" ht="16" customHeight="1">
      <c r="A18" s="1673"/>
      <c r="B18" s="308"/>
      <c r="C18" s="308"/>
      <c r="D18" s="308"/>
      <c r="E18" s="308"/>
      <c r="F18" s="308"/>
      <c r="G18" s="308"/>
      <c r="H18" s="308"/>
      <c r="I18" s="308"/>
      <c r="J18" s="308"/>
      <c r="K18" s="308"/>
      <c r="L18" s="308"/>
      <c r="M18" s="1673"/>
      <c r="N18" s="1525"/>
      <c r="O18" s="1526"/>
      <c r="P18" s="1526"/>
      <c r="Q18" s="1526"/>
      <c r="R18" s="1526"/>
      <c r="S18" s="1526"/>
      <c r="T18" s="1526"/>
      <c r="U18" s="1527"/>
      <c r="V18" s="425"/>
      <c r="W18" s="425"/>
      <c r="X18" s="625"/>
      <c r="Y18" s="625"/>
      <c r="Z18" s="625"/>
      <c r="AA18" s="625"/>
      <c r="AB18" s="625"/>
      <c r="AC18" s="625"/>
      <c r="AD18" s="625"/>
      <c r="AE18" s="625"/>
      <c r="AF18" s="625"/>
    </row>
    <row r="19" spans="1:32" ht="16" customHeight="1">
      <c r="A19" s="1673"/>
      <c r="B19" s="308"/>
      <c r="C19" s="308"/>
      <c r="D19" s="308"/>
      <c r="E19" s="308"/>
      <c r="F19" s="308"/>
      <c r="G19" s="308"/>
      <c r="H19" s="308"/>
      <c r="I19" s="308"/>
      <c r="J19" s="308"/>
      <c r="K19" s="308"/>
      <c r="L19" s="308"/>
      <c r="M19" s="1673"/>
      <c r="N19" s="1525"/>
      <c r="O19" s="1526"/>
      <c r="P19" s="1526"/>
      <c r="Q19" s="1526"/>
      <c r="R19" s="1526"/>
      <c r="S19" s="1526"/>
      <c r="T19" s="1526"/>
      <c r="U19" s="1527"/>
      <c r="V19" s="425"/>
      <c r="W19" s="425"/>
      <c r="X19" s="625"/>
      <c r="Y19" s="625"/>
      <c r="Z19" s="625"/>
      <c r="AA19" s="625"/>
      <c r="AB19" s="625"/>
      <c r="AC19" s="625"/>
      <c r="AD19" s="625"/>
      <c r="AE19" s="625"/>
      <c r="AF19" s="625"/>
    </row>
    <row r="20" spans="1:32" ht="16" customHeight="1">
      <c r="A20" s="1673"/>
      <c r="B20" s="308"/>
      <c r="C20" s="308"/>
      <c r="D20" s="308"/>
      <c r="E20" s="308"/>
      <c r="F20" s="308"/>
      <c r="G20" s="308"/>
      <c r="H20" s="308"/>
      <c r="I20" s="308"/>
      <c r="J20" s="308"/>
      <c r="K20" s="308"/>
      <c r="L20" s="308"/>
      <c r="M20" s="1673"/>
      <c r="N20" s="1525"/>
      <c r="O20" s="1526"/>
      <c r="P20" s="1526"/>
      <c r="Q20" s="1526"/>
      <c r="R20" s="1526"/>
      <c r="S20" s="1526"/>
      <c r="T20" s="1526"/>
      <c r="U20" s="1527"/>
      <c r="V20" s="432"/>
      <c r="W20" s="432"/>
      <c r="X20" s="625"/>
      <c r="Y20" s="625"/>
      <c r="Z20" s="625"/>
      <c r="AA20" s="625"/>
      <c r="AB20" s="625"/>
      <c r="AC20" s="625"/>
      <c r="AD20" s="625"/>
      <c r="AE20" s="625"/>
      <c r="AF20" s="625"/>
    </row>
    <row r="21" spans="1:32" ht="16" customHeight="1">
      <c r="A21" s="1673"/>
      <c r="B21" s="308"/>
      <c r="C21" s="308"/>
      <c r="D21" s="308"/>
      <c r="E21" s="308"/>
      <c r="F21" s="308"/>
      <c r="G21" s="308"/>
      <c r="H21" s="308"/>
      <c r="I21" s="308"/>
      <c r="J21" s="308"/>
      <c r="K21" s="308"/>
      <c r="L21" s="308"/>
      <c r="M21" s="1673"/>
      <c r="N21" s="1525"/>
      <c r="O21" s="1526"/>
      <c r="P21" s="1526"/>
      <c r="Q21" s="1526"/>
      <c r="R21" s="1526"/>
      <c r="S21" s="1526"/>
      <c r="T21" s="1526"/>
      <c r="U21" s="1527"/>
      <c r="V21" s="432"/>
      <c r="W21" s="432"/>
      <c r="X21" s="625"/>
      <c r="Y21" s="625"/>
      <c r="Z21" s="625"/>
      <c r="AA21" s="625"/>
      <c r="AB21" s="625"/>
      <c r="AC21" s="625"/>
      <c r="AD21" s="625"/>
      <c r="AE21" s="625"/>
      <c r="AF21" s="625"/>
    </row>
    <row r="22" spans="1:32" ht="16" customHeight="1">
      <c r="A22" s="1673"/>
      <c r="B22" s="308"/>
      <c r="C22" s="308"/>
      <c r="D22" s="308"/>
      <c r="E22" s="308"/>
      <c r="F22" s="308"/>
      <c r="G22" s="308"/>
      <c r="H22" s="308"/>
      <c r="I22" s="308"/>
      <c r="J22" s="308"/>
      <c r="K22" s="308"/>
      <c r="L22" s="308"/>
      <c r="M22" s="1673"/>
      <c r="N22" s="1525"/>
      <c r="O22" s="1526"/>
      <c r="P22" s="1526"/>
      <c r="Q22" s="1526"/>
      <c r="R22" s="1526"/>
      <c r="S22" s="1526"/>
      <c r="T22" s="1526"/>
      <c r="U22" s="1527"/>
      <c r="V22" s="432"/>
      <c r="W22" s="432"/>
      <c r="X22" s="625"/>
      <c r="Y22" s="625"/>
      <c r="Z22" s="625"/>
      <c r="AA22" s="625"/>
      <c r="AB22" s="625"/>
      <c r="AC22" s="625"/>
      <c r="AD22" s="625"/>
      <c r="AE22" s="625"/>
      <c r="AF22" s="625"/>
    </row>
    <row r="23" spans="1:32" ht="16" customHeight="1">
      <c r="A23" s="1673"/>
      <c r="B23" s="308"/>
      <c r="C23" s="308"/>
      <c r="D23" s="308"/>
      <c r="E23" s="308"/>
      <c r="F23" s="308"/>
      <c r="G23" s="308"/>
      <c r="H23" s="308"/>
      <c r="I23" s="308"/>
      <c r="J23" s="308"/>
      <c r="K23" s="308"/>
      <c r="L23" s="308"/>
      <c r="M23" s="1673"/>
      <c r="N23" s="1525"/>
      <c r="O23" s="1526"/>
      <c r="P23" s="1526"/>
      <c r="Q23" s="1526"/>
      <c r="R23" s="1526"/>
      <c r="S23" s="1526"/>
      <c r="T23" s="1526"/>
      <c r="U23" s="1527"/>
      <c r="V23" s="432"/>
      <c r="W23" s="432"/>
      <c r="X23" s="625"/>
      <c r="Y23" s="625"/>
      <c r="Z23" s="625"/>
      <c r="AA23" s="625"/>
      <c r="AB23" s="625"/>
      <c r="AC23" s="625"/>
      <c r="AD23" s="625"/>
      <c r="AE23" s="625"/>
      <c r="AF23" s="625"/>
    </row>
    <row r="24" spans="1:32" ht="16" customHeight="1">
      <c r="A24" s="1673"/>
      <c r="B24" s="308"/>
      <c r="C24" s="308"/>
      <c r="D24" s="308"/>
      <c r="E24" s="308"/>
      <c r="F24" s="308"/>
      <c r="G24" s="308"/>
      <c r="H24" s="308"/>
      <c r="I24" s="308"/>
      <c r="J24" s="308"/>
      <c r="K24" s="308"/>
      <c r="L24" s="308"/>
      <c r="M24" s="1673"/>
      <c r="N24" s="1525"/>
      <c r="O24" s="1526"/>
      <c r="P24" s="1526"/>
      <c r="Q24" s="1526"/>
      <c r="R24" s="1526"/>
      <c r="S24" s="1526"/>
      <c r="T24" s="1526"/>
      <c r="U24" s="1527"/>
      <c r="V24" s="432"/>
      <c r="W24" s="432"/>
      <c r="X24" s="625"/>
      <c r="Y24" s="625"/>
      <c r="Z24" s="625"/>
      <c r="AA24" s="625"/>
      <c r="AB24" s="625"/>
      <c r="AC24" s="625"/>
      <c r="AD24" s="625"/>
      <c r="AE24" s="625"/>
      <c r="AF24" s="625"/>
    </row>
    <row r="25" spans="1:32" ht="16" customHeight="1">
      <c r="A25" s="1673"/>
      <c r="B25" s="308"/>
      <c r="C25" s="308"/>
      <c r="D25" s="308"/>
      <c r="E25" s="308"/>
      <c r="F25" s="308"/>
      <c r="G25" s="308"/>
      <c r="H25" s="308"/>
      <c r="I25" s="308"/>
      <c r="J25" s="308"/>
      <c r="K25" s="308"/>
      <c r="L25" s="308"/>
      <c r="M25" s="1673"/>
      <c r="N25" s="1525"/>
      <c r="O25" s="1526"/>
      <c r="P25" s="1526"/>
      <c r="Q25" s="1526"/>
      <c r="R25" s="1526"/>
      <c r="S25" s="1526"/>
      <c r="T25" s="1526"/>
      <c r="U25" s="1527"/>
      <c r="V25" s="432"/>
      <c r="W25" s="432"/>
      <c r="X25" s="625"/>
      <c r="Y25" s="625"/>
      <c r="Z25" s="625"/>
      <c r="AA25" s="625"/>
      <c r="AB25" s="625"/>
      <c r="AC25" s="625"/>
      <c r="AD25" s="625"/>
      <c r="AE25" s="625"/>
      <c r="AF25" s="625"/>
    </row>
    <row r="26" spans="1:32" ht="16" customHeight="1">
      <c r="A26" s="1673"/>
      <c r="B26" s="308"/>
      <c r="C26" s="308"/>
      <c r="D26" s="308"/>
      <c r="E26" s="308"/>
      <c r="F26" s="308"/>
      <c r="G26" s="308"/>
      <c r="H26" s="308"/>
      <c r="I26" s="308"/>
      <c r="J26" s="308"/>
      <c r="K26" s="308"/>
      <c r="L26" s="308"/>
      <c r="M26" s="1673"/>
      <c r="N26" s="1525"/>
      <c r="O26" s="1526"/>
      <c r="P26" s="1526"/>
      <c r="Q26" s="1526"/>
      <c r="R26" s="1526"/>
      <c r="S26" s="1526"/>
      <c r="T26" s="1526"/>
      <c r="U26" s="1527"/>
      <c r="V26" s="432"/>
      <c r="W26" s="432"/>
      <c r="X26" s="625"/>
      <c r="Y26" s="625"/>
      <c r="Z26" s="625"/>
      <c r="AA26" s="625"/>
      <c r="AB26" s="625"/>
      <c r="AC26" s="625"/>
      <c r="AD26" s="625"/>
      <c r="AE26" s="625"/>
      <c r="AF26" s="625"/>
    </row>
    <row r="27" spans="1:32" ht="16" customHeight="1">
      <c r="A27" s="1673"/>
      <c r="B27" s="308"/>
      <c r="C27" s="308"/>
      <c r="D27" s="308"/>
      <c r="E27" s="308"/>
      <c r="F27" s="308"/>
      <c r="G27" s="308"/>
      <c r="H27" s="308"/>
      <c r="I27" s="308"/>
      <c r="J27" s="308"/>
      <c r="K27" s="308"/>
      <c r="L27" s="308"/>
      <c r="M27" s="1673"/>
      <c r="N27" s="1525"/>
      <c r="O27" s="1526"/>
      <c r="P27" s="1526"/>
      <c r="Q27" s="1526"/>
      <c r="R27" s="1526"/>
      <c r="S27" s="1526"/>
      <c r="T27" s="1526"/>
      <c r="U27" s="1527"/>
      <c r="V27" s="432"/>
      <c r="W27" s="432"/>
      <c r="X27" s="625"/>
      <c r="Y27" s="625"/>
      <c r="Z27" s="625"/>
      <c r="AA27" s="625"/>
      <c r="AB27" s="625"/>
      <c r="AC27" s="625"/>
      <c r="AD27" s="625"/>
      <c r="AE27" s="625"/>
      <c r="AF27" s="625"/>
    </row>
    <row r="28" spans="1:32" ht="16" customHeight="1">
      <c r="A28" s="1673"/>
      <c r="B28" s="308"/>
      <c r="C28" s="308"/>
      <c r="D28" s="308"/>
      <c r="E28" s="308"/>
      <c r="F28" s="308"/>
      <c r="G28" s="308"/>
      <c r="H28" s="308"/>
      <c r="I28" s="308"/>
      <c r="J28" s="308"/>
      <c r="K28" s="308"/>
      <c r="L28" s="308"/>
      <c r="M28" s="1673"/>
      <c r="N28" s="1525"/>
      <c r="O28" s="1526"/>
      <c r="P28" s="1526"/>
      <c r="Q28" s="1526"/>
      <c r="R28" s="1526"/>
      <c r="S28" s="1526"/>
      <c r="T28" s="1526"/>
      <c r="U28" s="1527"/>
      <c r="V28" s="432"/>
      <c r="W28" s="432"/>
      <c r="X28" s="625"/>
      <c r="Y28" s="625"/>
      <c r="Z28" s="625"/>
      <c r="AA28" s="625"/>
      <c r="AB28" s="625"/>
      <c r="AC28" s="625"/>
      <c r="AD28" s="625"/>
      <c r="AE28" s="625"/>
      <c r="AF28" s="625"/>
    </row>
    <row r="29" spans="1:32" ht="16" customHeight="1">
      <c r="A29" s="1673"/>
      <c r="B29" s="308"/>
      <c r="C29" s="308"/>
      <c r="D29" s="308"/>
      <c r="E29" s="308"/>
      <c r="F29" s="308"/>
      <c r="G29" s="308"/>
      <c r="H29" s="308"/>
      <c r="I29" s="308"/>
      <c r="J29" s="308"/>
      <c r="K29" s="308"/>
      <c r="L29" s="308"/>
      <c r="M29" s="1673"/>
      <c r="N29" s="1528"/>
      <c r="O29" s="1529"/>
      <c r="P29" s="1529"/>
      <c r="Q29" s="1529"/>
      <c r="R29" s="1529"/>
      <c r="S29" s="1529"/>
      <c r="T29" s="1529"/>
      <c r="U29" s="1530"/>
      <c r="V29" s="432"/>
      <c r="W29" s="432"/>
      <c r="X29" s="625"/>
      <c r="Y29" s="625"/>
      <c r="Z29" s="625"/>
      <c r="AA29" s="625"/>
      <c r="AB29" s="625"/>
      <c r="AC29" s="625"/>
      <c r="AD29" s="625"/>
      <c r="AE29" s="625"/>
      <c r="AF29" s="625"/>
    </row>
    <row r="30" spans="1:32" ht="16" customHeight="1">
      <c r="A30" s="1673"/>
      <c r="B30" s="308"/>
      <c r="C30" s="308"/>
      <c r="D30" s="308"/>
      <c r="E30" s="308"/>
      <c r="F30" s="308"/>
      <c r="G30" s="308"/>
      <c r="H30" s="308"/>
      <c r="I30" s="308"/>
      <c r="J30" s="308"/>
      <c r="K30" s="308"/>
      <c r="L30" s="308"/>
      <c r="M30" s="1673"/>
      <c r="N30" s="1571" t="s">
        <v>1043</v>
      </c>
      <c r="O30" s="1572"/>
      <c r="P30" s="1572"/>
      <c r="Q30" s="1572"/>
      <c r="R30" s="1572"/>
      <c r="S30" s="1572"/>
      <c r="T30" s="1572"/>
      <c r="U30" s="1573"/>
      <c r="V30" s="432"/>
      <c r="W30" s="432"/>
      <c r="X30" s="625"/>
      <c r="Y30" s="625"/>
      <c r="Z30" s="625"/>
      <c r="AA30" s="625"/>
      <c r="AB30" s="625"/>
      <c r="AC30" s="625"/>
      <c r="AD30" s="625"/>
      <c r="AE30" s="625"/>
      <c r="AF30" s="625"/>
    </row>
    <row r="31" spans="1:32" ht="16" customHeight="1">
      <c r="A31" s="1673"/>
      <c r="B31" s="308"/>
      <c r="C31" s="308"/>
      <c r="D31" s="308"/>
      <c r="E31" s="308"/>
      <c r="F31" s="308"/>
      <c r="G31" s="308"/>
      <c r="H31" s="308"/>
      <c r="I31" s="308"/>
      <c r="J31" s="308"/>
      <c r="K31" s="308"/>
      <c r="L31" s="308"/>
      <c r="M31" s="1673"/>
      <c r="N31" s="1571" t="s">
        <v>1015</v>
      </c>
      <c r="O31" s="1572"/>
      <c r="P31" s="1572"/>
      <c r="Q31" s="1572"/>
      <c r="R31" s="1572"/>
      <c r="S31" s="1572"/>
      <c r="T31" s="1572"/>
      <c r="U31" s="1573"/>
      <c r="V31" s="432"/>
      <c r="W31" s="432"/>
      <c r="X31" s="625"/>
      <c r="Y31" s="625"/>
      <c r="Z31" s="625"/>
      <c r="AA31" s="625"/>
      <c r="AB31" s="625"/>
      <c r="AC31" s="625"/>
      <c r="AD31" s="625"/>
      <c r="AE31" s="625"/>
      <c r="AF31" s="625"/>
    </row>
    <row r="32" spans="1:32" ht="16" customHeight="1">
      <c r="A32" s="1673"/>
      <c r="B32" s="308"/>
      <c r="C32" s="308"/>
      <c r="D32" s="308"/>
      <c r="E32" s="308"/>
      <c r="F32" s="308"/>
      <c r="G32" s="308"/>
      <c r="H32" s="308"/>
      <c r="I32" s="308"/>
      <c r="J32" s="308"/>
      <c r="K32" s="308"/>
      <c r="L32" s="308"/>
      <c r="M32" s="1673"/>
      <c r="N32" s="1550"/>
      <c r="O32" s="1551"/>
      <c r="P32" s="1551"/>
      <c r="Q32" s="1551"/>
      <c r="R32" s="1551"/>
      <c r="S32" s="1551"/>
      <c r="T32" s="1551"/>
      <c r="U32" s="1552"/>
      <c r="V32" s="432"/>
      <c r="W32" s="432"/>
      <c r="X32" s="625"/>
      <c r="Y32" s="625"/>
      <c r="Z32" s="625"/>
      <c r="AA32" s="625"/>
      <c r="AB32" s="625"/>
      <c r="AC32" s="625"/>
      <c r="AD32" s="625"/>
      <c r="AE32" s="625"/>
      <c r="AF32" s="625"/>
    </row>
    <row r="33" spans="1:42" ht="16" customHeight="1">
      <c r="A33" s="1673"/>
      <c r="B33" s="308"/>
      <c r="C33" s="308"/>
      <c r="D33" s="308"/>
      <c r="E33" s="308"/>
      <c r="F33" s="308"/>
      <c r="G33" s="308"/>
      <c r="H33" s="308"/>
      <c r="I33" s="308"/>
      <c r="J33" s="308"/>
      <c r="K33" s="308"/>
      <c r="L33" s="308"/>
      <c r="M33" s="1673"/>
      <c r="N33" s="1550"/>
      <c r="O33" s="1551"/>
      <c r="P33" s="1551"/>
      <c r="Q33" s="1551"/>
      <c r="R33" s="1551"/>
      <c r="S33" s="1551"/>
      <c r="T33" s="1551"/>
      <c r="U33" s="1552"/>
      <c r="V33" s="432"/>
      <c r="W33" s="432"/>
      <c r="X33" s="625"/>
      <c r="Y33" s="625"/>
      <c r="Z33" s="625"/>
      <c r="AA33" s="625"/>
      <c r="AB33" s="625"/>
      <c r="AC33" s="625"/>
      <c r="AD33" s="625"/>
      <c r="AE33" s="625"/>
      <c r="AF33" s="625"/>
    </row>
    <row r="34" spans="1:42" ht="16" customHeight="1">
      <c r="A34" s="1673"/>
      <c r="B34" s="308"/>
      <c r="C34" s="308"/>
      <c r="D34" s="308"/>
      <c r="E34" s="308"/>
      <c r="F34" s="308"/>
      <c r="G34" s="308"/>
      <c r="H34" s="308"/>
      <c r="I34" s="308"/>
      <c r="J34" s="308"/>
      <c r="K34" s="308"/>
      <c r="L34" s="308"/>
      <c r="M34" s="1673"/>
      <c r="N34" s="1550"/>
      <c r="O34" s="1551"/>
      <c r="P34" s="1551"/>
      <c r="Q34" s="1551"/>
      <c r="R34" s="1551"/>
      <c r="S34" s="1551"/>
      <c r="T34" s="1551"/>
      <c r="U34" s="1552"/>
      <c r="V34" s="425"/>
      <c r="W34" s="425"/>
      <c r="X34" s="625"/>
      <c r="Y34" s="625"/>
      <c r="Z34" s="625"/>
      <c r="AA34" s="625"/>
      <c r="AB34" s="625"/>
      <c r="AC34" s="625"/>
      <c r="AD34" s="625"/>
      <c r="AE34" s="625"/>
      <c r="AF34" s="625"/>
    </row>
    <row r="35" spans="1:42" ht="16" customHeight="1">
      <c r="A35" s="1673"/>
      <c r="B35" s="308"/>
      <c r="C35" s="308"/>
      <c r="D35" s="308"/>
      <c r="E35" s="308"/>
      <c r="F35" s="308"/>
      <c r="G35" s="308"/>
      <c r="H35" s="308"/>
      <c r="I35" s="308"/>
      <c r="J35" s="308"/>
      <c r="K35" s="308"/>
      <c r="L35" s="308"/>
      <c r="M35" s="1673"/>
      <c r="N35" s="1553"/>
      <c r="O35" s="1554"/>
      <c r="P35" s="1554"/>
      <c r="Q35" s="1554"/>
      <c r="R35" s="1554"/>
      <c r="S35" s="1554"/>
      <c r="T35" s="1554"/>
      <c r="U35" s="1555"/>
      <c r="V35" s="377"/>
      <c r="W35" s="377"/>
      <c r="X35" s="625"/>
      <c r="Y35" s="625"/>
      <c r="Z35" s="625"/>
      <c r="AA35" s="625"/>
      <c r="AB35" s="625"/>
      <c r="AC35" s="625"/>
      <c r="AD35" s="625"/>
      <c r="AE35" s="625"/>
      <c r="AF35" s="625"/>
    </row>
    <row r="36" spans="1:42" ht="20" customHeight="1">
      <c r="A36" s="1673"/>
      <c r="B36" s="1674" t="s">
        <v>1218</v>
      </c>
      <c r="C36" s="1674"/>
      <c r="D36" s="1674"/>
      <c r="E36" s="1674"/>
      <c r="F36" s="1674"/>
      <c r="G36" s="1674"/>
      <c r="H36" s="1674"/>
      <c r="I36" s="1674"/>
      <c r="J36" s="1674"/>
      <c r="K36" s="1674"/>
      <c r="L36" s="1674"/>
      <c r="M36" s="1673"/>
      <c r="N36" s="396" t="str">
        <f>O39</f>
        <v>AR</v>
      </c>
      <c r="O36" s="1675" t="s">
        <v>1220</v>
      </c>
      <c r="P36" s="1675"/>
      <c r="Q36" s="1675"/>
      <c r="R36" s="1675"/>
      <c r="S36" s="1675"/>
      <c r="T36" s="1675"/>
      <c r="U36" s="396"/>
      <c r="V36" s="426"/>
      <c r="W36" s="426"/>
      <c r="X36" s="625"/>
      <c r="Y36" s="625"/>
      <c r="Z36" s="625"/>
      <c r="AA36" s="625"/>
      <c r="AB36" s="625"/>
      <c r="AC36" s="625"/>
      <c r="AD36" s="625"/>
      <c r="AE36" s="625"/>
      <c r="AF36" s="625"/>
    </row>
    <row r="37" spans="1:42" ht="18" customHeight="1">
      <c r="A37" s="310"/>
      <c r="B37" s="1672" t="s">
        <v>1066</v>
      </c>
      <c r="C37" s="1672"/>
      <c r="D37" s="1672"/>
      <c r="E37" s="1672"/>
      <c r="F37" s="1672"/>
      <c r="G37" s="1672"/>
      <c r="H37" s="1672"/>
      <c r="I37" s="1672"/>
      <c r="J37" s="1672"/>
      <c r="K37" s="1672"/>
      <c r="L37" s="1672"/>
      <c r="M37" s="310"/>
      <c r="N37" s="620" t="s">
        <v>1074</v>
      </c>
      <c r="O37" s="381"/>
      <c r="P37" s="381"/>
      <c r="Q37" s="381"/>
      <c r="R37" s="381"/>
      <c r="S37" s="381"/>
      <c r="T37" s="381"/>
      <c r="U37" s="381"/>
      <c r="V37" s="427"/>
      <c r="W37" s="1684" t="s">
        <v>1014</v>
      </c>
      <c r="X37" s="1684"/>
      <c r="Y37" s="1684"/>
      <c r="Z37" s="1684"/>
      <c r="AA37" s="1684"/>
      <c r="AB37" s="625"/>
      <c r="AC37" s="625"/>
      <c r="AD37" s="625"/>
      <c r="AE37" s="625"/>
      <c r="AF37" s="625"/>
    </row>
    <row r="38" spans="1:42" ht="16" customHeight="1">
      <c r="A38" s="447"/>
      <c r="B38" s="447"/>
      <c r="C38" s="447"/>
      <c r="D38" s="447"/>
      <c r="E38" s="447"/>
      <c r="F38" s="447"/>
      <c r="G38" s="447"/>
      <c r="H38" s="447"/>
      <c r="I38" s="447"/>
      <c r="J38" s="447"/>
      <c r="K38" s="447"/>
      <c r="L38" s="447"/>
      <c r="M38" s="309"/>
      <c r="N38" s="388"/>
      <c r="O38" s="388"/>
      <c r="P38" s="388"/>
      <c r="Q38" s="388"/>
      <c r="R38" s="388"/>
      <c r="S38" s="388"/>
      <c r="T38" s="388"/>
      <c r="U38" s="388"/>
      <c r="V38" s="312"/>
      <c r="W38" s="1684"/>
      <c r="X38" s="1684"/>
      <c r="Y38" s="1684"/>
      <c r="Z38" s="1684"/>
      <c r="AA38" s="1684"/>
      <c r="AB38" s="625"/>
      <c r="AC38" s="625"/>
      <c r="AD38" s="359"/>
      <c r="AE38" s="359"/>
      <c r="AF38" s="359"/>
      <c r="AG38" s="359"/>
      <c r="AH38" s="359"/>
      <c r="AI38" s="359"/>
      <c r="AJ38" s="359"/>
      <c r="AK38" s="359"/>
      <c r="AL38" s="359"/>
      <c r="AM38" s="359"/>
      <c r="AN38" s="359"/>
      <c r="AO38" s="359"/>
      <c r="AP38" s="359"/>
    </row>
    <row r="39" spans="1:42" ht="16" customHeight="1">
      <c r="A39" s="447"/>
      <c r="B39" s="447"/>
      <c r="C39" s="1548" t="s">
        <v>1006</v>
      </c>
      <c r="D39" s="1548"/>
      <c r="E39" s="1548"/>
      <c r="F39" s="1548"/>
      <c r="G39" s="1548"/>
      <c r="H39" s="1548"/>
      <c r="I39" s="1548"/>
      <c r="J39" s="1548"/>
      <c r="K39" s="447"/>
      <c r="L39" s="447"/>
      <c r="M39" s="309"/>
      <c r="N39" s="388"/>
      <c r="O39" s="475" t="str">
        <f>'FIG3'!W49</f>
        <v>AR</v>
      </c>
      <c r="P39" s="472"/>
      <c r="Q39" s="472"/>
      <c r="R39" s="472"/>
      <c r="S39" s="1683" t="s">
        <v>974</v>
      </c>
      <c r="T39" s="1683"/>
      <c r="U39" s="1683"/>
      <c r="V39" s="312"/>
      <c r="W39" s="473"/>
      <c r="X39" s="473"/>
      <c r="Y39" s="473"/>
      <c r="Z39" s="359"/>
      <c r="AA39" s="625"/>
      <c r="AB39" s="625"/>
      <c r="AC39" s="625"/>
      <c r="AD39" s="359"/>
      <c r="AE39" s="359"/>
      <c r="AF39" s="359"/>
      <c r="AG39" s="359"/>
      <c r="AH39" s="627"/>
      <c r="AI39" s="627"/>
      <c r="AJ39" s="627"/>
      <c r="AK39" s="627"/>
      <c r="AL39" s="473"/>
      <c r="AM39" s="473"/>
      <c r="AN39" s="473"/>
      <c r="AO39" s="473"/>
      <c r="AP39" s="359"/>
    </row>
    <row r="40" spans="1:42" ht="16" customHeight="1">
      <c r="A40" s="447"/>
      <c r="B40" s="447"/>
      <c r="C40" s="1548"/>
      <c r="D40" s="1548"/>
      <c r="E40" s="1548"/>
      <c r="F40" s="1548"/>
      <c r="G40" s="1548"/>
      <c r="H40" s="1548"/>
      <c r="I40" s="1548"/>
      <c r="J40" s="1548"/>
      <c r="K40" s="447"/>
      <c r="L40" s="447"/>
      <c r="M40" s="309"/>
      <c r="N40" s="388"/>
      <c r="O40" s="448" t="s">
        <v>1069</v>
      </c>
      <c r="P40" s="469">
        <v>1.1299999999999999</v>
      </c>
      <c r="Q40" s="469">
        <v>1</v>
      </c>
      <c r="R40" s="469">
        <v>0.92</v>
      </c>
      <c r="S40" s="1683"/>
      <c r="T40" s="1683"/>
      <c r="U40" s="1683"/>
      <c r="V40" s="312"/>
      <c r="W40" s="120" t="s">
        <v>970</v>
      </c>
      <c r="X40" s="120"/>
      <c r="Y40" s="120" t="s">
        <v>971</v>
      </c>
      <c r="Z40" s="359"/>
      <c r="AA40" s="625"/>
      <c r="AB40" s="625"/>
      <c r="AC40" s="625"/>
      <c r="AD40" s="359"/>
      <c r="AE40" s="359"/>
      <c r="AF40" s="359"/>
      <c r="AG40" s="359"/>
      <c r="AH40" s="627"/>
      <c r="AI40" s="627"/>
      <c r="AJ40" s="627"/>
      <c r="AK40" s="627"/>
      <c r="AL40" s="473"/>
      <c r="AM40" s="473"/>
      <c r="AN40" s="473"/>
      <c r="AO40" s="473"/>
      <c r="AP40" s="359"/>
    </row>
    <row r="41" spans="1:42" ht="16" customHeight="1">
      <c r="A41" s="447"/>
      <c r="B41" s="447"/>
      <c r="C41" s="1548"/>
      <c r="D41" s="1548"/>
      <c r="E41" s="1548"/>
      <c r="F41" s="1548"/>
      <c r="G41" s="1548"/>
      <c r="H41" s="1548"/>
      <c r="I41" s="1548"/>
      <c r="J41" s="1548"/>
      <c r="K41" s="447"/>
      <c r="L41" s="447"/>
      <c r="M41" s="309"/>
      <c r="N41" s="388"/>
      <c r="O41" s="448"/>
      <c r="P41" s="470" t="s">
        <v>1067</v>
      </c>
      <c r="Q41" s="470" t="s">
        <v>1068</v>
      </c>
      <c r="R41" s="470" t="s">
        <v>1363</v>
      </c>
      <c r="S41" s="1683"/>
      <c r="T41" s="1683"/>
      <c r="U41" s="1683"/>
      <c r="V41" s="312"/>
      <c r="W41" s="625"/>
      <c r="X41" s="625"/>
      <c r="Y41" s="609" t="s">
        <v>1067</v>
      </c>
      <c r="Z41" s="609" t="s">
        <v>1068</v>
      </c>
      <c r="AA41" s="625"/>
      <c r="AB41" s="625"/>
      <c r="AC41" s="625"/>
      <c r="AD41" s="359"/>
      <c r="AE41" s="359"/>
      <c r="AF41" s="359"/>
      <c r="AG41" s="359"/>
      <c r="AH41" s="627"/>
      <c r="AI41" s="627"/>
      <c r="AJ41" s="627"/>
      <c r="AK41" s="627"/>
      <c r="AL41" s="473"/>
      <c r="AM41" s="473"/>
      <c r="AN41" s="473"/>
      <c r="AO41" s="473"/>
      <c r="AP41" s="359"/>
    </row>
    <row r="42" spans="1:42" ht="16" customHeight="1">
      <c r="A42" s="447"/>
      <c r="B42" s="447"/>
      <c r="C42" s="1548"/>
      <c r="D42" s="1548"/>
      <c r="E42" s="1548"/>
      <c r="F42" s="1548"/>
      <c r="G42" s="1548"/>
      <c r="H42" s="1548"/>
      <c r="I42" s="1548"/>
      <c r="J42" s="1548"/>
      <c r="K42" s="447"/>
      <c r="L42" s="447"/>
      <c r="M42" s="309"/>
      <c r="N42" s="388"/>
      <c r="O42" s="467" t="s">
        <v>1072</v>
      </c>
      <c r="P42" s="747" t="s">
        <v>1357</v>
      </c>
      <c r="Q42" s="748" t="s">
        <v>1357</v>
      </c>
      <c r="R42" s="1487">
        <f>R61</f>
        <v>1319</v>
      </c>
      <c r="S42" s="1683"/>
      <c r="T42" s="1683"/>
      <c r="U42" s="1683"/>
      <c r="V42" s="312"/>
      <c r="W42" s="749" t="s">
        <v>1072</v>
      </c>
      <c r="X42" s="606"/>
      <c r="Y42" s="752">
        <v>0</v>
      </c>
      <c r="Z42" s="753">
        <v>0</v>
      </c>
      <c r="AA42" s="625"/>
      <c r="AB42" s="625"/>
      <c r="AC42" s="625"/>
      <c r="AD42" s="359"/>
      <c r="AE42" s="359"/>
      <c r="AF42" s="359"/>
      <c r="AG42" s="359"/>
      <c r="AH42" s="627"/>
      <c r="AI42" s="627"/>
      <c r="AJ42" s="627"/>
      <c r="AK42" s="627"/>
      <c r="AL42" s="473"/>
      <c r="AM42" s="473"/>
      <c r="AN42" s="473"/>
      <c r="AO42" s="473"/>
      <c r="AP42" s="359"/>
    </row>
    <row r="43" spans="1:42" ht="16" customHeight="1">
      <c r="A43" s="447"/>
      <c r="B43" s="447"/>
      <c r="C43" s="1548"/>
      <c r="D43" s="1548"/>
      <c r="E43" s="1548"/>
      <c r="F43" s="1548"/>
      <c r="G43" s="1548"/>
      <c r="H43" s="1548"/>
      <c r="I43" s="1548"/>
      <c r="J43" s="1548"/>
      <c r="K43" s="447"/>
      <c r="L43" s="447"/>
      <c r="M43" s="309"/>
      <c r="N43" s="388"/>
      <c r="O43" s="468" t="s">
        <v>1073</v>
      </c>
      <c r="P43" s="747" t="s">
        <v>1357</v>
      </c>
      <c r="Q43" s="748" t="s">
        <v>1357</v>
      </c>
      <c r="R43" s="1487">
        <f>'FIG3'!F16</f>
        <v>941.06948895899052</v>
      </c>
      <c r="S43" s="1683"/>
      <c r="T43" s="1683"/>
      <c r="U43" s="1683"/>
      <c r="V43" s="312"/>
      <c r="W43" s="750" t="s">
        <v>1073</v>
      </c>
      <c r="X43" s="607"/>
      <c r="Y43" s="752">
        <v>0</v>
      </c>
      <c r="Z43" s="753">
        <v>0</v>
      </c>
      <c r="AA43" s="625"/>
      <c r="AB43" s="625"/>
      <c r="AC43" s="625"/>
      <c r="AD43" s="359"/>
      <c r="AE43" s="359"/>
      <c r="AF43" s="359"/>
      <c r="AG43" s="359"/>
      <c r="AH43" s="627"/>
      <c r="AI43" s="627"/>
      <c r="AJ43" s="627"/>
      <c r="AK43" s="627"/>
      <c r="AL43" s="627"/>
      <c r="AM43" s="359"/>
      <c r="AN43" s="359"/>
      <c r="AO43" s="359"/>
      <c r="AP43" s="359"/>
    </row>
    <row r="44" spans="1:42" ht="16" customHeight="1">
      <c r="A44" s="447"/>
      <c r="B44" s="447"/>
      <c r="C44" s="1548"/>
      <c r="D44" s="1548"/>
      <c r="E44" s="1548"/>
      <c r="F44" s="1548"/>
      <c r="G44" s="1548"/>
      <c r="H44" s="1548"/>
      <c r="I44" s="1548"/>
      <c r="J44" s="1548"/>
      <c r="K44" s="447"/>
      <c r="L44" s="447"/>
      <c r="M44" s="309"/>
      <c r="N44" s="388"/>
      <c r="O44" s="438" t="str">
        <f>'FIG3'!$W$52&amp;" "&amp;'FIG3'!$X$52&amp;"-D"</f>
        <v>Little Rock School District-D</v>
      </c>
      <c r="P44" s="747" t="s">
        <v>1357</v>
      </c>
      <c r="Q44" s="748" t="s">
        <v>1357</v>
      </c>
      <c r="R44" s="1487">
        <f>'FIG3'!I16</f>
        <v>686.29356806736564</v>
      </c>
      <c r="S44" s="1683"/>
      <c r="T44" s="1683"/>
      <c r="U44" s="1683"/>
      <c r="V44" s="312"/>
      <c r="W44" s="751" t="str">
        <f>'FIG3'!$W$52&amp;" "&amp;'FIG3'!$X$52&amp;"-D"</f>
        <v>Little Rock School District-D</v>
      </c>
      <c r="X44" s="608"/>
      <c r="Y44" s="752">
        <v>0</v>
      </c>
      <c r="Z44" s="753">
        <v>0</v>
      </c>
      <c r="AA44" s="625"/>
      <c r="AB44" s="625"/>
      <c r="AC44" s="625"/>
      <c r="AD44" s="359"/>
      <c r="AE44" s="359"/>
      <c r="AF44" s="359"/>
      <c r="AG44" s="359"/>
      <c r="AH44" s="627"/>
      <c r="AI44" s="627"/>
      <c r="AJ44" s="627"/>
      <c r="AK44" s="627"/>
      <c r="AL44" s="627"/>
      <c r="AM44" s="359"/>
      <c r="AN44" s="359"/>
      <c r="AO44" s="359"/>
      <c r="AP44" s="359"/>
    </row>
    <row r="45" spans="1:42" ht="16" customHeight="1">
      <c r="A45" s="447"/>
      <c r="B45" s="447"/>
      <c r="C45" s="447"/>
      <c r="D45" s="447"/>
      <c r="E45" s="447"/>
      <c r="F45" s="447"/>
      <c r="G45" s="447"/>
      <c r="H45" s="447"/>
      <c r="I45" s="447"/>
      <c r="J45" s="447"/>
      <c r="K45" s="447"/>
      <c r="L45" s="447"/>
      <c r="M45" s="309"/>
      <c r="N45" s="388"/>
      <c r="O45" s="438" t="str">
        <f>'FIG3'!$W$52&amp;" "&amp;'FIG3'!$X$52&amp;"-C"</f>
        <v>Little Rock School District-C</v>
      </c>
      <c r="P45" s="747" t="s">
        <v>1357</v>
      </c>
      <c r="Q45" s="748" t="s">
        <v>1357</v>
      </c>
      <c r="R45" s="1487">
        <f>'FIG3'!J16</f>
        <v>717.66213681783245</v>
      </c>
      <c r="S45" s="1683"/>
      <c r="T45" s="1683"/>
      <c r="U45" s="1683"/>
      <c r="V45" s="312"/>
      <c r="W45" s="751" t="str">
        <f>'FIG3'!$W$52&amp;" "&amp;'FIG3'!$X$52&amp;"-C"</f>
        <v>Little Rock School District-C</v>
      </c>
      <c r="X45" s="608"/>
      <c r="Y45" s="752">
        <v>0</v>
      </c>
      <c r="Z45" s="753">
        <v>0</v>
      </c>
      <c r="AA45" s="625"/>
      <c r="AB45" s="1685" t="s">
        <v>969</v>
      </c>
      <c r="AC45" s="1685"/>
      <c r="AD45" s="1685"/>
      <c r="AE45" s="1685"/>
      <c r="AF45" s="1685"/>
      <c r="AG45" s="359"/>
      <c r="AH45" s="627"/>
      <c r="AI45" s="627"/>
      <c r="AJ45" s="627"/>
      <c r="AK45" s="627"/>
      <c r="AL45" s="627"/>
      <c r="AM45" s="359"/>
      <c r="AN45" s="359"/>
      <c r="AO45" s="359"/>
      <c r="AP45" s="359"/>
    </row>
    <row r="46" spans="1:42" ht="16" customHeight="1">
      <c r="A46" s="447"/>
      <c r="B46" s="447"/>
      <c r="C46" s="447"/>
      <c r="D46" s="447"/>
      <c r="E46" s="447"/>
      <c r="F46" s="447"/>
      <c r="G46" s="447"/>
      <c r="H46" s="447"/>
      <c r="I46" s="447"/>
      <c r="J46" s="447"/>
      <c r="K46" s="447"/>
      <c r="L46" s="447"/>
      <c r="M46" s="309"/>
      <c r="N46" s="388"/>
      <c r="O46" s="438" t="str">
        <f>'FIG3'!$W$53&amp;" "&amp;'FIG3'!$X$53&amp;"-D"</f>
        <v>FA2L1 FA2L2-D</v>
      </c>
      <c r="P46" s="747">
        <v>0</v>
      </c>
      <c r="Q46" s="748" t="s">
        <v>49</v>
      </c>
      <c r="R46" s="1487" t="e">
        <f>'FIG3'!K16</f>
        <v>#DIV/0!</v>
      </c>
      <c r="S46" s="1683"/>
      <c r="T46" s="1683"/>
      <c r="U46" s="1683"/>
      <c r="V46" s="312"/>
      <c r="W46" s="751" t="str">
        <f>'FIG3'!$W$53&amp;" "&amp;'FIG3'!$X$53&amp;"-D"</f>
        <v>FA2L1 FA2L2-D</v>
      </c>
      <c r="X46" s="608"/>
      <c r="Y46" s="752">
        <v>0</v>
      </c>
      <c r="Z46" s="753">
        <v>0</v>
      </c>
      <c r="AA46" s="625"/>
      <c r="AB46" s="1685"/>
      <c r="AC46" s="1685"/>
      <c r="AD46" s="1685"/>
      <c r="AE46" s="1685"/>
      <c r="AF46" s="1685"/>
      <c r="AG46" s="359"/>
      <c r="AH46" s="627"/>
      <c r="AI46" s="627"/>
      <c r="AJ46" s="627"/>
      <c r="AK46" s="627"/>
      <c r="AL46" s="627"/>
      <c r="AM46" s="359"/>
      <c r="AN46" s="359"/>
      <c r="AO46" s="359"/>
      <c r="AP46" s="359"/>
    </row>
    <row r="47" spans="1:42" ht="16" customHeight="1">
      <c r="A47" s="447"/>
      <c r="B47" s="447"/>
      <c r="C47" s="1680" t="s">
        <v>1071</v>
      </c>
      <c r="D47" s="1680"/>
      <c r="E47" s="1680"/>
      <c r="F47" s="1680"/>
      <c r="G47" s="1680"/>
      <c r="H47" s="1680"/>
      <c r="I47" s="1680"/>
      <c r="J47" s="1680"/>
      <c r="K47" s="447"/>
      <c r="L47" s="447"/>
      <c r="M47" s="309"/>
      <c r="N47" s="388"/>
      <c r="O47" s="438" t="str">
        <f>'FIG3'!$W$53&amp;" "&amp;'FIG3'!$X$53&amp;"-C"</f>
        <v>FA2L1 FA2L2-C</v>
      </c>
      <c r="P47" s="747">
        <v>0</v>
      </c>
      <c r="Q47" s="748">
        <v>0</v>
      </c>
      <c r="R47" s="1487" t="e">
        <f>'FIG3'!L16</f>
        <v>#DIV/0!</v>
      </c>
      <c r="S47" s="1683"/>
      <c r="T47" s="1683"/>
      <c r="U47" s="1683"/>
      <c r="V47" s="314"/>
      <c r="W47" s="751" t="str">
        <f>'FIG3'!$W$53&amp;" "&amp;'FIG3'!$X$53&amp;"-C"</f>
        <v>FA2L1 FA2L2-C</v>
      </c>
      <c r="X47" s="608"/>
      <c r="Y47" s="752">
        <v>0</v>
      </c>
      <c r="Z47" s="753">
        <v>0</v>
      </c>
      <c r="AA47" s="625"/>
      <c r="AB47" s="1685"/>
      <c r="AC47" s="1685"/>
      <c r="AD47" s="1685"/>
      <c r="AE47" s="1685"/>
      <c r="AF47" s="1685"/>
      <c r="AG47" s="359"/>
      <c r="AH47" s="627"/>
      <c r="AI47" s="314"/>
      <c r="AJ47" s="314"/>
      <c r="AK47" s="314"/>
      <c r="AL47" s="314"/>
      <c r="AM47" s="359"/>
      <c r="AN47" s="359"/>
      <c r="AO47" s="359"/>
      <c r="AP47" s="359"/>
    </row>
    <row r="48" spans="1:42" ht="16" customHeight="1">
      <c r="A48" s="447"/>
      <c r="B48" s="447"/>
      <c r="C48" s="1680"/>
      <c r="D48" s="1680"/>
      <c r="E48" s="1680"/>
      <c r="F48" s="1680"/>
      <c r="G48" s="1680"/>
      <c r="H48" s="1680"/>
      <c r="I48" s="1680"/>
      <c r="J48" s="1680"/>
      <c r="K48" s="447"/>
      <c r="L48" s="447"/>
      <c r="M48" s="309"/>
      <c r="N48" s="388"/>
      <c r="O48" s="438" t="str">
        <f>'FIG3'!$W$54&amp;" "&amp;'FIG3'!$X$54&amp;"-D"</f>
        <v>FA3L1 FA3L2-D</v>
      </c>
      <c r="P48" s="747">
        <v>0</v>
      </c>
      <c r="Q48" s="748">
        <v>0</v>
      </c>
      <c r="R48" s="1487" t="e">
        <f>'FIG3'!M16</f>
        <v>#DIV/0!</v>
      </c>
      <c r="S48" s="1683"/>
      <c r="T48" s="1683"/>
      <c r="U48" s="1683"/>
      <c r="V48" s="314"/>
      <c r="W48" s="751" t="str">
        <f>'FIG3'!$W$54&amp;" "&amp;'FIG3'!$X$54&amp;"-D"</f>
        <v>FA3L1 FA3L2-D</v>
      </c>
      <c r="X48" s="608"/>
      <c r="Y48" s="752">
        <v>0</v>
      </c>
      <c r="Z48" s="753">
        <v>0</v>
      </c>
      <c r="AA48" s="625"/>
      <c r="AB48" s="1685"/>
      <c r="AC48" s="1685"/>
      <c r="AD48" s="1685"/>
      <c r="AE48" s="1685"/>
      <c r="AF48" s="1685"/>
      <c r="AG48" s="359"/>
      <c r="AH48" s="627"/>
      <c r="AI48" s="314"/>
      <c r="AJ48" s="314"/>
      <c r="AK48" s="314"/>
      <c r="AL48" s="314"/>
      <c r="AM48" s="359"/>
      <c r="AN48" s="359"/>
      <c r="AO48" s="359"/>
      <c r="AP48" s="359"/>
    </row>
    <row r="49" spans="1:42" ht="16" customHeight="1">
      <c r="A49" s="447"/>
      <c r="B49" s="447"/>
      <c r="C49" s="1680"/>
      <c r="D49" s="1680"/>
      <c r="E49" s="1680"/>
      <c r="F49" s="1680"/>
      <c r="G49" s="1680"/>
      <c r="H49" s="1680"/>
      <c r="I49" s="1680"/>
      <c r="J49" s="1680"/>
      <c r="K49" s="447"/>
      <c r="L49" s="447"/>
      <c r="M49" s="309"/>
      <c r="N49" s="388"/>
      <c r="O49" s="438" t="str">
        <f>'FIG3'!$W$54&amp;" "&amp;'FIG3'!$X$54&amp;"-C"</f>
        <v>FA3L1 FA3L2-C</v>
      </c>
      <c r="P49" s="747">
        <v>0</v>
      </c>
      <c r="Q49" s="748">
        <v>0</v>
      </c>
      <c r="R49" s="1487" t="e">
        <f>'FIG3'!N16</f>
        <v>#DIV/0!</v>
      </c>
      <c r="S49" s="1683"/>
      <c r="T49" s="1683"/>
      <c r="U49" s="1683"/>
      <c r="V49" s="314"/>
      <c r="W49" s="751" t="str">
        <f>'FIG3'!$W$54&amp;" "&amp;'FIG3'!$X$54&amp;"-C"</f>
        <v>FA3L1 FA3L2-C</v>
      </c>
      <c r="X49" s="608"/>
      <c r="Y49" s="752">
        <v>0</v>
      </c>
      <c r="Z49" s="753">
        <v>0</v>
      </c>
      <c r="AA49" s="625"/>
      <c r="AB49" s="625"/>
      <c r="AC49" s="625"/>
      <c r="AD49" s="359"/>
      <c r="AE49" s="359"/>
      <c r="AF49" s="359"/>
      <c r="AG49" s="359"/>
      <c r="AH49" s="627"/>
      <c r="AI49" s="314"/>
      <c r="AJ49" s="314"/>
      <c r="AK49" s="314"/>
      <c r="AL49" s="314"/>
      <c r="AM49" s="359"/>
      <c r="AN49" s="359"/>
      <c r="AO49" s="359"/>
      <c r="AP49" s="359"/>
    </row>
    <row r="50" spans="1:42" ht="16" customHeight="1">
      <c r="A50" s="447"/>
      <c r="B50" s="447"/>
      <c r="C50" s="1680"/>
      <c r="D50" s="1680"/>
      <c r="E50" s="1680"/>
      <c r="F50" s="1680"/>
      <c r="G50" s="1680"/>
      <c r="H50" s="1680"/>
      <c r="I50" s="1680"/>
      <c r="J50" s="1680"/>
      <c r="K50" s="447"/>
      <c r="L50" s="447"/>
      <c r="M50" s="309"/>
      <c r="N50" s="388"/>
      <c r="O50" s="438" t="str">
        <f>'FIG3'!$W$55&amp;" "&amp;'FIG3'!$X$55&amp;"-D"</f>
        <v>FA4L1 FA4L2-D</v>
      </c>
      <c r="P50" s="747">
        <v>0</v>
      </c>
      <c r="Q50" s="748">
        <v>0</v>
      </c>
      <c r="R50" s="1487" t="e">
        <f>'FIG3'!O16</f>
        <v>#DIV/0!</v>
      </c>
      <c r="S50" s="1683"/>
      <c r="T50" s="1683"/>
      <c r="U50" s="1683"/>
      <c r="V50" s="314"/>
      <c r="W50" s="751" t="str">
        <f>'FIG3'!$W$55&amp;" "&amp;'FIG3'!$X$55&amp;"-D"</f>
        <v>FA4L1 FA4L2-D</v>
      </c>
      <c r="X50" s="608"/>
      <c r="Y50" s="752">
        <v>0</v>
      </c>
      <c r="Z50" s="753">
        <v>0</v>
      </c>
      <c r="AA50" s="625"/>
      <c r="AB50" s="625"/>
      <c r="AC50" s="625"/>
      <c r="AD50" s="359"/>
      <c r="AE50" s="359"/>
      <c r="AF50" s="359"/>
      <c r="AG50" s="359"/>
      <c r="AH50" s="627"/>
      <c r="AI50" s="314"/>
      <c r="AJ50" s="314"/>
      <c r="AK50" s="314"/>
      <c r="AL50" s="314"/>
      <c r="AM50" s="359"/>
      <c r="AN50" s="359"/>
      <c r="AO50" s="359"/>
      <c r="AP50" s="359"/>
    </row>
    <row r="51" spans="1:42" ht="16" customHeight="1">
      <c r="A51" s="447"/>
      <c r="B51" s="447"/>
      <c r="C51" s="1680"/>
      <c r="D51" s="1680"/>
      <c r="E51" s="1680"/>
      <c r="F51" s="1680"/>
      <c r="G51" s="1680"/>
      <c r="H51" s="1680"/>
      <c r="I51" s="1680"/>
      <c r="J51" s="1680"/>
      <c r="K51" s="447"/>
      <c r="L51" s="447"/>
      <c r="M51" s="309"/>
      <c r="N51" s="388"/>
      <c r="O51" s="438" t="str">
        <f>'FIG3'!$W$55&amp;" "&amp;'FIG3'!$X$55&amp;"-C"</f>
        <v>FA4L1 FA4L2-C</v>
      </c>
      <c r="P51" s="747">
        <v>0</v>
      </c>
      <c r="Q51" s="748">
        <v>0</v>
      </c>
      <c r="R51" s="1487" t="e">
        <f>'FIG3'!P16</f>
        <v>#DIV/0!</v>
      </c>
      <c r="S51" s="1683"/>
      <c r="T51" s="1683"/>
      <c r="U51" s="1683"/>
      <c r="V51" s="314"/>
      <c r="W51" s="751" t="str">
        <f>'FIG3'!$W$55&amp;" "&amp;'FIG3'!$X$55&amp;"-C"</f>
        <v>FA4L1 FA4L2-C</v>
      </c>
      <c r="X51" s="608"/>
      <c r="Y51" s="752">
        <v>0</v>
      </c>
      <c r="Z51" s="753">
        <v>0</v>
      </c>
      <c r="AA51" s="625"/>
      <c r="AB51" s="625"/>
      <c r="AC51" s="625"/>
      <c r="AD51" s="359"/>
      <c r="AE51" s="359"/>
      <c r="AF51" s="359"/>
      <c r="AG51" s="359"/>
      <c r="AH51" s="627"/>
      <c r="AI51" s="314"/>
      <c r="AJ51" s="314"/>
      <c r="AK51" s="314"/>
      <c r="AL51" s="314"/>
      <c r="AM51" s="359"/>
      <c r="AN51" s="359"/>
      <c r="AO51" s="359"/>
      <c r="AP51" s="359"/>
    </row>
    <row r="52" spans="1:42" ht="16" customHeight="1">
      <c r="A52" s="447"/>
      <c r="B52" s="447"/>
      <c r="C52" s="1680"/>
      <c r="D52" s="1680"/>
      <c r="E52" s="1680"/>
      <c r="F52" s="1680"/>
      <c r="G52" s="1680"/>
      <c r="H52" s="1680"/>
      <c r="I52" s="1680"/>
      <c r="J52" s="1680"/>
      <c r="K52" s="447"/>
      <c r="L52" s="447"/>
      <c r="M52" s="309"/>
      <c r="N52" s="388"/>
      <c r="O52" s="438" t="str">
        <f>'FIG3'!$W$56&amp;" "&amp;'FIG3'!$X$56&amp;"-D"</f>
        <v>FA5L1 FA5L2-D</v>
      </c>
      <c r="P52" s="747">
        <v>0</v>
      </c>
      <c r="Q52" s="748">
        <v>0</v>
      </c>
      <c r="R52" s="1487" t="e">
        <f>'FIG3'!Q16</f>
        <v>#DIV/0!</v>
      </c>
      <c r="S52" s="1683"/>
      <c r="T52" s="1683"/>
      <c r="U52" s="1683"/>
      <c r="V52" s="312"/>
      <c r="W52" s="751" t="str">
        <f>'FIG3'!$W$56&amp;" "&amp;'FIG3'!$X$56&amp;"-D"</f>
        <v>FA5L1 FA5L2-D</v>
      </c>
      <c r="X52" s="608"/>
      <c r="Y52" s="752">
        <v>0</v>
      </c>
      <c r="Z52" s="753">
        <v>0</v>
      </c>
      <c r="AA52" s="625"/>
      <c r="AB52" s="625"/>
      <c r="AC52" s="625"/>
      <c r="AD52" s="628"/>
      <c r="AE52" s="628"/>
      <c r="AF52" s="628"/>
      <c r="AG52" s="628"/>
      <c r="AH52" s="628"/>
      <c r="AI52" s="628"/>
      <c r="AJ52" s="627"/>
      <c r="AK52" s="627"/>
      <c r="AL52" s="627"/>
      <c r="AM52" s="359"/>
      <c r="AN52" s="359"/>
      <c r="AO52" s="359"/>
      <c r="AP52" s="359"/>
    </row>
    <row r="53" spans="1:42" ht="16" customHeight="1">
      <c r="A53" s="447"/>
      <c r="B53" s="447"/>
      <c r="C53" s="1680"/>
      <c r="D53" s="1680"/>
      <c r="E53" s="1680"/>
      <c r="F53" s="1680"/>
      <c r="G53" s="1680"/>
      <c r="H53" s="1680"/>
      <c r="I53" s="1680"/>
      <c r="J53" s="1680"/>
      <c r="K53" s="447"/>
      <c r="L53" s="447"/>
      <c r="M53" s="309"/>
      <c r="N53" s="388"/>
      <c r="O53" s="438" t="str">
        <f>'FIG3'!$W$56&amp;" "&amp;'FIG3'!$X$56&amp;"-C"</f>
        <v>FA5L1 FA5L2-C</v>
      </c>
      <c r="P53" s="747">
        <v>0</v>
      </c>
      <c r="Q53" s="748">
        <v>0</v>
      </c>
      <c r="R53" s="1487" t="e">
        <f>'FIG3'!R16</f>
        <v>#DIV/0!</v>
      </c>
      <c r="S53" s="1683"/>
      <c r="T53" s="1683"/>
      <c r="U53" s="1683"/>
      <c r="V53" s="429"/>
      <c r="W53" s="751" t="str">
        <f>'FIG3'!$W$56&amp;" "&amp;'FIG3'!$X$56&amp;"-C"</f>
        <v>FA5L1 FA5L2-C</v>
      </c>
      <c r="X53" s="608"/>
      <c r="Y53" s="752">
        <v>0</v>
      </c>
      <c r="Z53" s="753">
        <v>0</v>
      </c>
      <c r="AA53" s="625"/>
      <c r="AB53" s="625"/>
      <c r="AC53" s="625"/>
      <c r="AD53" s="628"/>
      <c r="AE53" s="628"/>
      <c r="AF53" s="628"/>
      <c r="AG53" s="628"/>
      <c r="AH53" s="628"/>
      <c r="AI53" s="628"/>
      <c r="AJ53" s="429"/>
      <c r="AK53" s="429"/>
      <c r="AL53" s="429"/>
      <c r="AM53" s="359"/>
      <c r="AN53" s="359"/>
      <c r="AO53" s="359"/>
      <c r="AP53" s="359"/>
    </row>
    <row r="54" spans="1:42" ht="16" customHeight="1">
      <c r="A54" s="447"/>
      <c r="B54" s="447"/>
      <c r="C54" s="1680"/>
      <c r="D54" s="1680"/>
      <c r="E54" s="1680"/>
      <c r="F54" s="1680"/>
      <c r="G54" s="1680"/>
      <c r="H54" s="1680"/>
      <c r="I54" s="1680"/>
      <c r="J54" s="1680"/>
      <c r="K54" s="447"/>
      <c r="L54" s="447"/>
      <c r="M54" s="309"/>
      <c r="N54" s="388"/>
      <c r="O54" s="1679" t="s">
        <v>1036</v>
      </c>
      <c r="P54" s="1679"/>
      <c r="Q54" s="1679"/>
      <c r="R54" s="1679"/>
      <c r="S54" s="1679"/>
      <c r="T54" s="1679"/>
      <c r="U54" s="1679"/>
      <c r="V54" s="429"/>
      <c r="W54" s="625"/>
      <c r="X54" s="359"/>
      <c r="Y54" s="625"/>
      <c r="Z54" s="625"/>
      <c r="AA54" s="625"/>
      <c r="AB54" s="625"/>
      <c r="AC54" s="625"/>
      <c r="AD54" s="628"/>
      <c r="AE54" s="628"/>
      <c r="AF54" s="628"/>
      <c r="AG54" s="628"/>
      <c r="AH54" s="628"/>
      <c r="AI54" s="628"/>
      <c r="AJ54" s="429"/>
      <c r="AK54" s="429"/>
      <c r="AL54" s="629"/>
      <c r="AM54" s="359"/>
      <c r="AN54" s="359"/>
      <c r="AO54" s="359"/>
      <c r="AP54" s="359"/>
    </row>
    <row r="55" spans="1:42" ht="16" customHeight="1">
      <c r="A55" s="447"/>
      <c r="B55" s="447"/>
      <c r="C55" s="447"/>
      <c r="D55" s="447"/>
      <c r="E55" s="447"/>
      <c r="F55" s="447"/>
      <c r="G55" s="447"/>
      <c r="H55" s="447"/>
      <c r="I55" s="447"/>
      <c r="J55" s="447"/>
      <c r="K55" s="447"/>
      <c r="L55" s="447"/>
      <c r="M55" s="309"/>
      <c r="N55" s="389"/>
      <c r="O55" s="1679"/>
      <c r="P55" s="1679"/>
      <c r="Q55" s="1679"/>
      <c r="R55" s="1679"/>
      <c r="S55" s="1679"/>
      <c r="T55" s="1679"/>
      <c r="U55" s="1679"/>
      <c r="V55" s="429"/>
      <c r="W55" s="625"/>
      <c r="X55" s="625"/>
      <c r="Y55" s="625"/>
      <c r="Z55" s="625"/>
      <c r="AA55" s="625"/>
      <c r="AB55" s="625"/>
      <c r="AC55" s="625"/>
      <c r="AD55" s="628"/>
      <c r="AE55" s="628"/>
      <c r="AF55" s="628"/>
      <c r="AG55" s="628"/>
      <c r="AH55" s="628"/>
      <c r="AI55" s="628"/>
      <c r="AJ55" s="429"/>
      <c r="AK55" s="429"/>
      <c r="AL55" s="473"/>
      <c r="AM55" s="473"/>
      <c r="AN55" s="473"/>
      <c r="AO55" s="359"/>
      <c r="AP55" s="359"/>
    </row>
    <row r="56" spans="1:42" ht="16" customHeight="1">
      <c r="A56" s="447"/>
      <c r="B56" s="447"/>
      <c r="C56" s="447"/>
      <c r="D56" s="447"/>
      <c r="E56" s="447"/>
      <c r="F56" s="447"/>
      <c r="G56" s="447"/>
      <c r="H56" s="447"/>
      <c r="I56" s="447"/>
      <c r="J56" s="447"/>
      <c r="K56" s="447"/>
      <c r="L56" s="447"/>
      <c r="M56" s="309"/>
      <c r="N56" s="389"/>
      <c r="O56" s="1679"/>
      <c r="P56" s="1679"/>
      <c r="Q56" s="1679"/>
      <c r="R56" s="1679"/>
      <c r="S56" s="1679"/>
      <c r="T56" s="1679"/>
      <c r="U56" s="1679"/>
      <c r="V56" s="429"/>
      <c r="W56" s="625"/>
      <c r="X56" s="625"/>
      <c r="Y56" s="625"/>
      <c r="Z56" s="625"/>
      <c r="AA56" s="625"/>
      <c r="AB56" s="625"/>
      <c r="AC56" s="625"/>
      <c r="AD56" s="429"/>
      <c r="AE56" s="429"/>
      <c r="AF56" s="429"/>
      <c r="AG56" s="429"/>
      <c r="AH56" s="429"/>
      <c r="AI56" s="429"/>
      <c r="AJ56" s="429"/>
      <c r="AK56" s="429"/>
      <c r="AL56" s="473"/>
      <c r="AM56" s="473"/>
      <c r="AN56" s="473"/>
      <c r="AO56" s="359"/>
      <c r="AP56" s="359"/>
    </row>
    <row r="57" spans="1:42" ht="16" customHeight="1">
      <c r="A57" s="447"/>
      <c r="B57" s="447"/>
      <c r="C57" s="447"/>
      <c r="D57" s="447"/>
      <c r="E57" s="447"/>
      <c r="F57" s="447"/>
      <c r="G57" s="447"/>
      <c r="H57" s="447"/>
      <c r="I57" s="447"/>
      <c r="J57" s="447"/>
      <c r="K57" s="447"/>
      <c r="L57" s="447"/>
      <c r="M57" s="309"/>
      <c r="N57" s="389"/>
      <c r="O57" s="1679"/>
      <c r="P57" s="1679"/>
      <c r="Q57" s="1679"/>
      <c r="R57" s="1679"/>
      <c r="S57" s="1679"/>
      <c r="T57" s="1679"/>
      <c r="U57" s="1679"/>
      <c r="V57" s="312"/>
      <c r="W57" s="625"/>
      <c r="X57" s="625"/>
      <c r="Y57" s="625"/>
      <c r="Z57" s="625"/>
      <c r="AA57" s="625"/>
      <c r="AB57" s="625"/>
      <c r="AC57" s="625"/>
      <c r="AD57" s="359"/>
      <c r="AE57" s="359"/>
      <c r="AF57" s="359"/>
      <c r="AG57" s="359"/>
      <c r="AH57" s="627"/>
      <c r="AI57" s="627"/>
      <c r="AJ57" s="627"/>
      <c r="AK57" s="627"/>
      <c r="AL57" s="473"/>
      <c r="AM57" s="473"/>
      <c r="AN57" s="473"/>
      <c r="AO57" s="359"/>
      <c r="AP57" s="359"/>
    </row>
    <row r="58" spans="1:42" ht="16" customHeight="1">
      <c r="A58" s="447"/>
      <c r="B58" s="447"/>
      <c r="C58" s="1548" t="s">
        <v>1039</v>
      </c>
      <c r="D58" s="1548"/>
      <c r="E58" s="1548"/>
      <c r="F58" s="1548"/>
      <c r="G58" s="1548"/>
      <c r="H58" s="1548"/>
      <c r="I58" s="1548"/>
      <c r="J58" s="1548"/>
      <c r="K58" s="447"/>
      <c r="L58" s="447"/>
      <c r="M58" s="309"/>
      <c r="N58" s="389"/>
      <c r="O58" s="1679"/>
      <c r="P58" s="1679"/>
      <c r="Q58" s="1679"/>
      <c r="R58" s="1679"/>
      <c r="S58" s="1679"/>
      <c r="T58" s="1679"/>
      <c r="U58" s="1679"/>
      <c r="V58" s="625"/>
      <c r="W58" s="625"/>
      <c r="X58" s="625"/>
      <c r="Y58" s="1691" t="s">
        <v>951</v>
      </c>
      <c r="Z58" s="1691"/>
      <c r="AA58" s="625"/>
      <c r="AB58" s="625"/>
      <c r="AC58" s="625"/>
      <c r="AD58" s="359"/>
      <c r="AE58" s="359"/>
      <c r="AF58" s="359"/>
      <c r="AG58" s="359"/>
      <c r="AH58" s="359"/>
      <c r="AI58" s="359"/>
      <c r="AJ58" s="359"/>
      <c r="AK58" s="359"/>
      <c r="AL58" s="473"/>
      <c r="AM58" s="473"/>
      <c r="AN58" s="473"/>
      <c r="AO58" s="359"/>
      <c r="AP58" s="359"/>
    </row>
    <row r="59" spans="1:42" ht="16" customHeight="1">
      <c r="A59" s="447"/>
      <c r="B59" s="447"/>
      <c r="C59" s="1548"/>
      <c r="D59" s="1548"/>
      <c r="E59" s="1548"/>
      <c r="F59" s="1548"/>
      <c r="G59" s="1548"/>
      <c r="H59" s="1548"/>
      <c r="I59" s="1548"/>
      <c r="J59" s="1548"/>
      <c r="K59" s="447"/>
      <c r="L59" s="447"/>
      <c r="M59" s="309"/>
      <c r="N59" s="389"/>
      <c r="O59" s="389"/>
      <c r="P59" s="389"/>
      <c r="Q59" s="389"/>
      <c r="R59" s="389"/>
      <c r="S59" s="389"/>
      <c r="T59" s="389"/>
      <c r="U59" s="389"/>
      <c r="V59" s="625"/>
      <c r="W59" s="625"/>
      <c r="X59" s="625"/>
      <c r="Y59" s="1691"/>
      <c r="Z59" s="1691"/>
      <c r="AA59" s="377"/>
      <c r="AB59" s="625"/>
      <c r="AC59" s="625"/>
      <c r="AD59" s="359"/>
      <c r="AE59" s="359"/>
      <c r="AF59" s="359"/>
      <c r="AG59" s="359"/>
      <c r="AH59" s="359"/>
      <c r="AI59" s="359"/>
      <c r="AJ59" s="359"/>
      <c r="AK59" s="359"/>
      <c r="AL59" s="120"/>
      <c r="AM59" s="120"/>
      <c r="AN59" s="614"/>
      <c r="AO59" s="377"/>
      <c r="AP59" s="359"/>
    </row>
    <row r="60" spans="1:42" ht="16" customHeight="1">
      <c r="A60" s="447"/>
      <c r="B60" s="447"/>
      <c r="C60" s="1548"/>
      <c r="D60" s="1548"/>
      <c r="E60" s="1548"/>
      <c r="F60" s="1548"/>
      <c r="G60" s="1548"/>
      <c r="H60" s="1548"/>
      <c r="I60" s="1548"/>
      <c r="J60" s="1548"/>
      <c r="K60" s="447"/>
      <c r="L60" s="447"/>
      <c r="M60" s="309"/>
      <c r="N60" s="389"/>
      <c r="O60" s="457"/>
      <c r="P60" s="463" t="s">
        <v>1087</v>
      </c>
      <c r="Q60" s="463" t="s">
        <v>1090</v>
      </c>
      <c r="R60" s="463" t="s">
        <v>1088</v>
      </c>
      <c r="S60" s="1681" t="s">
        <v>973</v>
      </c>
      <c r="T60" s="1682"/>
      <c r="U60" s="1682"/>
      <c r="V60" s="613"/>
      <c r="W60" s="625" t="s">
        <v>975</v>
      </c>
      <c r="X60" s="610"/>
      <c r="Y60" s="610"/>
      <c r="Z60" s="423"/>
      <c r="AA60" s="377"/>
      <c r="AB60" s="625"/>
      <c r="AC60" s="625"/>
      <c r="AD60" s="359"/>
      <c r="AE60" s="359"/>
      <c r="AF60" s="359"/>
      <c r="AG60" s="359"/>
      <c r="AH60" s="359"/>
      <c r="AI60" s="359"/>
      <c r="AJ60" s="359"/>
      <c r="AK60" s="359"/>
      <c r="AL60" s="359"/>
      <c r="AM60" s="359"/>
      <c r="AN60" s="359"/>
      <c r="AO60" s="423"/>
      <c r="AP60" s="359"/>
    </row>
    <row r="61" spans="1:42" ht="16" customHeight="1">
      <c r="A61" s="447"/>
      <c r="B61" s="447"/>
      <c r="C61" s="1548"/>
      <c r="D61" s="1548"/>
      <c r="E61" s="1548"/>
      <c r="F61" s="1548"/>
      <c r="G61" s="1548"/>
      <c r="H61" s="1548"/>
      <c r="I61" s="1548"/>
      <c r="J61" s="1548"/>
      <c r="K61" s="447"/>
      <c r="L61" s="447"/>
      <c r="M61" s="309"/>
      <c r="N61" s="389"/>
      <c r="O61" s="464" t="str">
        <f t="shared" ref="O61:O66" si="0">O42</f>
        <v>Statewide District (D)</v>
      </c>
      <c r="P61" s="465" t="e">
        <f t="shared" ref="P61:Q66" si="1">P42*P$40</f>
        <v>#VALUE!</v>
      </c>
      <c r="Q61" s="466" t="e">
        <f t="shared" si="1"/>
        <v>#VALUE!</v>
      </c>
      <c r="R61" s="466">
        <f>1319</f>
        <v>1319</v>
      </c>
      <c r="S61" s="1681"/>
      <c r="T61" s="1682"/>
      <c r="U61" s="1682"/>
      <c r="V61" s="625"/>
      <c r="W61" s="625"/>
      <c r="X61" s="611"/>
      <c r="Y61" s="756">
        <v>2544</v>
      </c>
      <c r="Z61" s="756">
        <v>3430</v>
      </c>
      <c r="AA61" s="430"/>
      <c r="AB61" s="431"/>
      <c r="AC61" s="625"/>
      <c r="AD61" s="359"/>
      <c r="AE61" s="359"/>
      <c r="AF61" s="359"/>
      <c r="AG61" s="359"/>
      <c r="AH61" s="359"/>
      <c r="AI61" s="359"/>
      <c r="AJ61" s="359"/>
      <c r="AK61" s="359"/>
      <c r="AL61" s="359"/>
      <c r="AM61" s="359"/>
      <c r="AN61" s="359"/>
      <c r="AO61" s="377"/>
      <c r="AP61" s="359"/>
    </row>
    <row r="62" spans="1:42" ht="16" customHeight="1">
      <c r="A62" s="447"/>
      <c r="B62" s="447"/>
      <c r="C62" s="1548"/>
      <c r="D62" s="1548"/>
      <c r="E62" s="1548"/>
      <c r="F62" s="1548"/>
      <c r="G62" s="1548"/>
      <c r="H62" s="1548"/>
      <c r="I62" s="1548"/>
      <c r="J62" s="1548"/>
      <c r="K62" s="447"/>
      <c r="L62" s="447"/>
      <c r="M62" s="309"/>
      <c r="N62" s="389"/>
      <c r="O62" s="464" t="str">
        <f t="shared" si="0"/>
        <v>Statewide Charter (C)</v>
      </c>
      <c r="P62" s="465" t="e">
        <f t="shared" si="1"/>
        <v>#VALUE!</v>
      </c>
      <c r="Q62" s="466" t="e">
        <f t="shared" si="1"/>
        <v>#VALUE!</v>
      </c>
      <c r="R62" s="466">
        <f>941</f>
        <v>941</v>
      </c>
      <c r="S62" s="1681"/>
      <c r="T62" s="1682"/>
      <c r="U62" s="1682"/>
      <c r="V62" s="507"/>
      <c r="W62" s="625" t="s">
        <v>976</v>
      </c>
      <c r="X62" s="611"/>
      <c r="Y62" s="756">
        <v>2249.6</v>
      </c>
      <c r="Z62" s="756">
        <v>3062</v>
      </c>
      <c r="AA62" s="430"/>
      <c r="AB62" s="431"/>
      <c r="AC62" s="625"/>
      <c r="AD62" s="359"/>
      <c r="AE62" s="359"/>
      <c r="AF62" s="359"/>
      <c r="AG62" s="359"/>
      <c r="AH62" s="359"/>
      <c r="AI62" s="359"/>
      <c r="AJ62" s="359"/>
      <c r="AK62" s="359"/>
      <c r="AL62" s="359"/>
      <c r="AM62" s="359"/>
      <c r="AN62" s="359"/>
      <c r="AO62" s="377"/>
      <c r="AP62" s="359"/>
    </row>
    <row r="63" spans="1:42" ht="16" customHeight="1">
      <c r="A63" s="447"/>
      <c r="B63" s="447"/>
      <c r="C63" s="1548"/>
      <c r="D63" s="1548"/>
      <c r="E63" s="1548"/>
      <c r="F63" s="1548"/>
      <c r="G63" s="1548"/>
      <c r="H63" s="1548"/>
      <c r="I63" s="1548"/>
      <c r="J63" s="1548"/>
      <c r="K63" s="447"/>
      <c r="L63" s="447"/>
      <c r="M63" s="309"/>
      <c r="N63" s="440"/>
      <c r="O63" s="464" t="str">
        <f t="shared" si="0"/>
        <v>Little Rock School District-D</v>
      </c>
      <c r="P63" s="465" t="e">
        <f t="shared" si="1"/>
        <v>#VALUE!</v>
      </c>
      <c r="Q63" s="466" t="e">
        <f t="shared" si="1"/>
        <v>#VALUE!</v>
      </c>
      <c r="R63" s="466">
        <f>686</f>
        <v>686</v>
      </c>
      <c r="S63" s="1681"/>
      <c r="T63" s="1682"/>
      <c r="U63" s="1682"/>
      <c r="V63" s="625"/>
      <c r="W63" s="625"/>
      <c r="X63" s="611"/>
      <c r="Y63" s="756">
        <v>1955.2</v>
      </c>
      <c r="Z63" s="756">
        <v>2694</v>
      </c>
      <c r="AA63" s="430"/>
      <c r="AB63" s="431"/>
      <c r="AC63" s="625"/>
      <c r="AD63" s="359"/>
      <c r="AE63" s="359"/>
      <c r="AF63" s="359"/>
      <c r="AG63" s="359"/>
      <c r="AH63" s="359"/>
      <c r="AI63" s="359"/>
      <c r="AJ63" s="359"/>
      <c r="AK63" s="359"/>
      <c r="AL63" s="359"/>
      <c r="AM63" s="359"/>
      <c r="AN63" s="359"/>
      <c r="AO63" s="359"/>
      <c r="AP63" s="359"/>
    </row>
    <row r="64" spans="1:42" ht="16" customHeight="1">
      <c r="A64" s="447"/>
      <c r="B64" s="447"/>
      <c r="C64" s="1548"/>
      <c r="D64" s="1548"/>
      <c r="E64" s="1548"/>
      <c r="F64" s="1548"/>
      <c r="G64" s="1548"/>
      <c r="H64" s="1548"/>
      <c r="I64" s="1548"/>
      <c r="J64" s="1548"/>
      <c r="K64" s="447"/>
      <c r="L64" s="447"/>
      <c r="M64" s="309"/>
      <c r="N64" s="389"/>
      <c r="O64" s="464" t="str">
        <f t="shared" si="0"/>
        <v>Little Rock School District-C</v>
      </c>
      <c r="P64" s="465" t="e">
        <f t="shared" si="1"/>
        <v>#VALUE!</v>
      </c>
      <c r="Q64" s="466" t="e">
        <f t="shared" si="1"/>
        <v>#VALUE!</v>
      </c>
      <c r="R64" s="466">
        <f>718</f>
        <v>718</v>
      </c>
      <c r="S64" s="1681"/>
      <c r="T64" s="1682"/>
      <c r="U64" s="1682"/>
      <c r="V64" s="625"/>
      <c r="W64" s="625"/>
      <c r="X64" s="611"/>
      <c r="Y64" s="756">
        <v>1719.6</v>
      </c>
      <c r="Z64" s="756">
        <v>2399.5</v>
      </c>
      <c r="AA64" s="430"/>
      <c r="AB64" s="431"/>
      <c r="AC64" s="625"/>
      <c r="AD64" s="359"/>
      <c r="AE64" s="359"/>
      <c r="AF64" s="359"/>
      <c r="AG64" s="359"/>
      <c r="AH64" s="359"/>
      <c r="AI64" s="359"/>
      <c r="AJ64" s="359"/>
      <c r="AK64" s="359"/>
      <c r="AL64" s="359"/>
      <c r="AM64" s="359"/>
      <c r="AN64" s="359"/>
      <c r="AO64" s="359"/>
      <c r="AP64" s="359"/>
    </row>
    <row r="65" spans="1:42" ht="16" customHeight="1">
      <c r="A65" s="447"/>
      <c r="B65" s="447"/>
      <c r="C65" s="1548"/>
      <c r="D65" s="1548"/>
      <c r="E65" s="1548"/>
      <c r="F65" s="1548"/>
      <c r="G65" s="1548"/>
      <c r="H65" s="1548"/>
      <c r="I65" s="1548"/>
      <c r="J65" s="1548"/>
      <c r="K65" s="447"/>
      <c r="L65" s="447"/>
      <c r="M65" s="309"/>
      <c r="N65" s="389"/>
      <c r="O65" s="464" t="str">
        <f t="shared" si="0"/>
        <v>FA2L1 FA2L2-D</v>
      </c>
      <c r="P65" s="466">
        <f t="shared" si="1"/>
        <v>0</v>
      </c>
      <c r="Q65" s="466" t="e">
        <f t="shared" si="1"/>
        <v>#VALUE!</v>
      </c>
      <c r="R65" s="465" t="e">
        <f t="shared" ref="P65:R72" si="2">R46*R$40</f>
        <v>#DIV/0!</v>
      </c>
      <c r="S65" s="1681"/>
      <c r="T65" s="1682"/>
      <c r="U65" s="1682"/>
      <c r="V65" s="625"/>
      <c r="W65" s="625"/>
      <c r="X65" s="612"/>
      <c r="Y65" s="756">
        <v>1366.4</v>
      </c>
      <c r="Z65" s="756">
        <v>1958</v>
      </c>
      <c r="AA65" s="625"/>
      <c r="AB65" s="625"/>
      <c r="AC65" s="625"/>
      <c r="AD65" s="359"/>
      <c r="AE65" s="359"/>
      <c r="AF65" s="359"/>
      <c r="AG65" s="359"/>
      <c r="AH65" s="359"/>
      <c r="AI65" s="359"/>
      <c r="AJ65" s="359"/>
      <c r="AK65" s="359"/>
      <c r="AL65" s="359"/>
      <c r="AM65" s="359"/>
      <c r="AN65" s="359"/>
      <c r="AO65" s="359"/>
      <c r="AP65" s="359"/>
    </row>
    <row r="66" spans="1:42" ht="16" customHeight="1">
      <c r="A66" s="447"/>
      <c r="B66" s="447"/>
      <c r="C66" s="1548"/>
      <c r="D66" s="1548"/>
      <c r="E66" s="1548"/>
      <c r="F66" s="1548"/>
      <c r="G66" s="1548"/>
      <c r="H66" s="1548"/>
      <c r="I66" s="1548"/>
      <c r="J66" s="1548"/>
      <c r="K66" s="447"/>
      <c r="L66" s="447"/>
      <c r="M66" s="309"/>
      <c r="N66" s="389"/>
      <c r="O66" s="464" t="str">
        <f t="shared" si="0"/>
        <v>FA2L1 FA2L2-C</v>
      </c>
      <c r="P66" s="466">
        <f t="shared" si="1"/>
        <v>0</v>
      </c>
      <c r="Q66" s="466">
        <f t="shared" si="1"/>
        <v>0</v>
      </c>
      <c r="R66" s="465" t="e">
        <f t="shared" si="2"/>
        <v>#DIV/0!</v>
      </c>
      <c r="S66" s="1681"/>
      <c r="T66" s="1682"/>
      <c r="U66" s="1682"/>
      <c r="V66" s="625"/>
      <c r="W66" s="625"/>
      <c r="X66" s="612"/>
      <c r="Y66" s="756">
        <v>1189.8</v>
      </c>
      <c r="Z66" s="756">
        <v>1737.25</v>
      </c>
      <c r="AA66" s="625"/>
      <c r="AB66" s="625"/>
      <c r="AC66" s="625"/>
      <c r="AD66" s="359"/>
      <c r="AE66" s="359"/>
      <c r="AF66" s="359"/>
      <c r="AG66" s="359"/>
      <c r="AH66" s="359"/>
      <c r="AI66" s="359"/>
      <c r="AJ66" s="359"/>
      <c r="AK66" s="359"/>
      <c r="AL66" s="359"/>
      <c r="AM66" s="359"/>
      <c r="AN66" s="359"/>
      <c r="AO66" s="359"/>
      <c r="AP66" s="359"/>
    </row>
    <row r="67" spans="1:42" ht="16" customHeight="1">
      <c r="A67" s="447"/>
      <c r="B67" s="447"/>
      <c r="C67" s="1548"/>
      <c r="D67" s="1548"/>
      <c r="E67" s="1548"/>
      <c r="F67" s="1548"/>
      <c r="G67" s="1548"/>
      <c r="H67" s="1548"/>
      <c r="I67" s="1548"/>
      <c r="J67" s="1548"/>
      <c r="K67" s="447"/>
      <c r="L67" s="447"/>
      <c r="M67" s="309"/>
      <c r="N67" s="389"/>
      <c r="O67" s="464" t="str">
        <f t="shared" ref="O67:O72" si="3">O48</f>
        <v>FA3L1 FA3L2-D</v>
      </c>
      <c r="P67" s="466">
        <f t="shared" si="2"/>
        <v>0</v>
      </c>
      <c r="Q67" s="466">
        <f t="shared" si="2"/>
        <v>0</v>
      </c>
      <c r="R67" s="465" t="e">
        <f t="shared" si="2"/>
        <v>#DIV/0!</v>
      </c>
      <c r="S67" s="1681"/>
      <c r="T67" s="1682"/>
      <c r="U67" s="1682"/>
      <c r="V67" s="625"/>
      <c r="W67" s="625"/>
      <c r="X67" s="612"/>
      <c r="Y67" s="756">
        <v>2544</v>
      </c>
      <c r="Z67" s="756">
        <v>3430</v>
      </c>
      <c r="AA67" s="625"/>
      <c r="AB67" s="625"/>
      <c r="AC67" s="625"/>
      <c r="AD67" s="359"/>
      <c r="AE67" s="359"/>
      <c r="AF67" s="359"/>
      <c r="AG67" s="359"/>
      <c r="AH67" s="359"/>
      <c r="AI67" s="359"/>
      <c r="AJ67" s="359"/>
      <c r="AK67" s="359"/>
      <c r="AL67" s="359"/>
      <c r="AM67" s="359"/>
      <c r="AN67" s="359"/>
      <c r="AO67" s="359"/>
      <c r="AP67" s="359"/>
    </row>
    <row r="68" spans="1:42" ht="16" customHeight="1">
      <c r="A68" s="447"/>
      <c r="B68" s="447"/>
      <c r="C68" s="494"/>
      <c r="D68" s="494"/>
      <c r="E68" s="494"/>
      <c r="F68" s="494"/>
      <c r="G68" s="494"/>
      <c r="H68" s="494"/>
      <c r="I68" s="494"/>
      <c r="J68" s="494"/>
      <c r="K68" s="447"/>
      <c r="L68" s="447"/>
      <c r="M68" s="309"/>
      <c r="N68" s="389"/>
      <c r="O68" s="464" t="str">
        <f t="shared" si="3"/>
        <v>FA3L1 FA3L2-C</v>
      </c>
      <c r="P68" s="466">
        <f t="shared" si="2"/>
        <v>0</v>
      </c>
      <c r="Q68" s="466">
        <f t="shared" si="2"/>
        <v>0</v>
      </c>
      <c r="R68" s="465" t="e">
        <f t="shared" si="2"/>
        <v>#DIV/0!</v>
      </c>
      <c r="S68" s="1681"/>
      <c r="T68" s="1682"/>
      <c r="U68" s="1682"/>
      <c r="V68" s="625"/>
      <c r="W68" s="625"/>
      <c r="X68" s="612"/>
      <c r="Y68" s="756">
        <v>2249.6</v>
      </c>
      <c r="Z68" s="756">
        <v>3062</v>
      </c>
      <c r="AA68" s="625"/>
      <c r="AB68" s="625"/>
      <c r="AC68" s="625"/>
      <c r="AD68" s="359"/>
      <c r="AE68" s="359"/>
      <c r="AF68" s="359"/>
      <c r="AG68" s="359"/>
      <c r="AH68" s="359"/>
      <c r="AI68" s="359"/>
      <c r="AJ68" s="359"/>
      <c r="AK68" s="359"/>
      <c r="AL68" s="359"/>
      <c r="AM68" s="359"/>
      <c r="AN68" s="359"/>
      <c r="AO68" s="359"/>
      <c r="AP68" s="359"/>
    </row>
    <row r="69" spans="1:42" ht="16" customHeight="1">
      <c r="A69" s="447"/>
      <c r="B69" s="447"/>
      <c r="C69" s="494"/>
      <c r="D69" s="494"/>
      <c r="E69" s="494"/>
      <c r="F69" s="494"/>
      <c r="G69" s="494"/>
      <c r="H69" s="494"/>
      <c r="I69" s="494"/>
      <c r="J69" s="494"/>
      <c r="K69" s="447"/>
      <c r="L69" s="447"/>
      <c r="M69" s="309"/>
      <c r="N69" s="389"/>
      <c r="O69" s="464" t="str">
        <f t="shared" si="3"/>
        <v>FA4L1 FA4L2-D</v>
      </c>
      <c r="P69" s="466">
        <f t="shared" si="2"/>
        <v>0</v>
      </c>
      <c r="Q69" s="466">
        <f t="shared" si="2"/>
        <v>0</v>
      </c>
      <c r="R69" s="465" t="e">
        <f t="shared" si="2"/>
        <v>#DIV/0!</v>
      </c>
      <c r="S69" s="1681"/>
      <c r="T69" s="1682"/>
      <c r="U69" s="1682"/>
      <c r="V69" s="625"/>
      <c r="W69" s="625"/>
      <c r="X69" s="612"/>
      <c r="Y69" s="756">
        <v>3132.8</v>
      </c>
      <c r="Z69" s="756">
        <v>4166</v>
      </c>
      <c r="AA69" s="625"/>
      <c r="AB69" s="625"/>
      <c r="AC69" s="625"/>
      <c r="AD69" s="359"/>
      <c r="AE69" s="359"/>
      <c r="AF69" s="359"/>
      <c r="AG69" s="359"/>
      <c r="AH69" s="359"/>
      <c r="AI69" s="359"/>
      <c r="AJ69" s="359"/>
      <c r="AK69" s="359"/>
      <c r="AL69" s="359"/>
      <c r="AM69" s="359"/>
      <c r="AN69" s="359"/>
      <c r="AO69" s="359"/>
      <c r="AP69" s="359"/>
    </row>
    <row r="70" spans="1:42" ht="16" customHeight="1">
      <c r="A70" s="447"/>
      <c r="B70" s="447"/>
      <c r="C70" s="494"/>
      <c r="D70" s="494"/>
      <c r="E70" s="494"/>
      <c r="F70" s="494"/>
      <c r="G70" s="494"/>
      <c r="H70" s="494"/>
      <c r="I70" s="494"/>
      <c r="J70" s="494"/>
      <c r="K70" s="447"/>
      <c r="L70" s="447"/>
      <c r="M70" s="309"/>
      <c r="N70" s="389"/>
      <c r="O70" s="464" t="str">
        <f t="shared" si="3"/>
        <v>FA4L1 FA4L2-C</v>
      </c>
      <c r="P70" s="466">
        <f t="shared" si="2"/>
        <v>0</v>
      </c>
      <c r="Q70" s="466">
        <f t="shared" si="2"/>
        <v>0</v>
      </c>
      <c r="R70" s="465" t="e">
        <f t="shared" si="2"/>
        <v>#DIV/0!</v>
      </c>
      <c r="S70" s="1681"/>
      <c r="T70" s="1682"/>
      <c r="U70" s="1682"/>
      <c r="V70" s="625"/>
      <c r="W70" s="625"/>
      <c r="X70" s="754"/>
      <c r="Y70" s="756">
        <v>2779.6</v>
      </c>
      <c r="Z70" s="756">
        <v>3724.5</v>
      </c>
      <c r="AA70" s="625"/>
      <c r="AB70" s="625"/>
      <c r="AC70" s="625"/>
      <c r="AD70" s="359"/>
      <c r="AE70" s="359"/>
      <c r="AF70" s="359"/>
      <c r="AG70" s="359"/>
      <c r="AH70" s="359"/>
      <c r="AI70" s="359"/>
      <c r="AJ70" s="359"/>
      <c r="AK70" s="359"/>
      <c r="AL70" s="359"/>
      <c r="AM70" s="359"/>
      <c r="AN70" s="359"/>
      <c r="AO70" s="359"/>
      <c r="AP70" s="359"/>
    </row>
    <row r="71" spans="1:42" ht="16" customHeight="1">
      <c r="A71" s="447"/>
      <c r="B71" s="447"/>
      <c r="C71" s="494"/>
      <c r="D71" s="494"/>
      <c r="E71" s="494"/>
      <c r="F71" s="494"/>
      <c r="G71" s="494"/>
      <c r="H71" s="494"/>
      <c r="I71" s="494"/>
      <c r="J71" s="494"/>
      <c r="K71" s="447"/>
      <c r="L71" s="447"/>
      <c r="M71" s="309"/>
      <c r="N71" s="389"/>
      <c r="O71" s="464" t="str">
        <f t="shared" si="3"/>
        <v>FA5L1 FA5L2-D</v>
      </c>
      <c r="P71" s="466">
        <f t="shared" si="2"/>
        <v>0</v>
      </c>
      <c r="Q71" s="466">
        <f t="shared" si="2"/>
        <v>0</v>
      </c>
      <c r="R71" s="465" t="e">
        <f t="shared" si="2"/>
        <v>#DIV/0!</v>
      </c>
      <c r="S71" s="1681"/>
      <c r="T71" s="1682"/>
      <c r="U71" s="1682"/>
      <c r="V71" s="625"/>
      <c r="W71" s="625"/>
      <c r="X71" s="754"/>
      <c r="Y71" s="756">
        <v>3721.6</v>
      </c>
      <c r="Z71" s="756">
        <v>4902</v>
      </c>
      <c r="AA71" s="625"/>
      <c r="AB71" s="625"/>
      <c r="AC71" s="625"/>
      <c r="AD71" s="359"/>
      <c r="AE71" s="359"/>
      <c r="AF71" s="359"/>
      <c r="AG71" s="359"/>
      <c r="AH71" s="359"/>
      <c r="AI71" s="359"/>
      <c r="AJ71" s="359"/>
      <c r="AK71" s="359"/>
      <c r="AL71" s="359"/>
      <c r="AM71" s="359"/>
      <c r="AN71" s="359"/>
      <c r="AO71" s="359"/>
      <c r="AP71" s="359"/>
    </row>
    <row r="72" spans="1:42" ht="16" customHeight="1">
      <c r="A72" s="447"/>
      <c r="B72" s="447"/>
      <c r="C72" s="447"/>
      <c r="D72" s="447"/>
      <c r="E72" s="447"/>
      <c r="F72" s="447"/>
      <c r="G72" s="447"/>
      <c r="H72" s="447"/>
      <c r="I72" s="447"/>
      <c r="J72" s="447"/>
      <c r="K72" s="447"/>
      <c r="L72" s="447"/>
      <c r="M72" s="309"/>
      <c r="N72" s="389"/>
      <c r="O72" s="464" t="str">
        <f t="shared" si="3"/>
        <v>FA5L1 FA5L2-C</v>
      </c>
      <c r="P72" s="466">
        <f t="shared" si="2"/>
        <v>0</v>
      </c>
      <c r="Q72" s="466">
        <f t="shared" si="2"/>
        <v>0</v>
      </c>
      <c r="R72" s="465" t="e">
        <f t="shared" si="2"/>
        <v>#DIV/0!</v>
      </c>
      <c r="S72" s="1681"/>
      <c r="T72" s="1682"/>
      <c r="U72" s="1682"/>
      <c r="V72" s="625"/>
      <c r="W72" s="3"/>
      <c r="X72" s="754"/>
      <c r="Y72" s="756">
        <v>3309.4</v>
      </c>
      <c r="Z72" s="756">
        <v>4386.75</v>
      </c>
      <c r="AA72" s="625"/>
      <c r="AB72" s="625"/>
      <c r="AC72" s="625"/>
      <c r="AD72" s="628"/>
      <c r="AE72" s="628"/>
      <c r="AF72" s="628"/>
      <c r="AG72" s="628"/>
      <c r="AH72" s="628"/>
      <c r="AI72" s="628"/>
      <c r="AJ72" s="359"/>
      <c r="AK72" s="359"/>
      <c r="AL72" s="120"/>
      <c r="AM72" s="359"/>
      <c r="AN72" s="359"/>
      <c r="AO72" s="359"/>
      <c r="AP72" s="359"/>
    </row>
    <row r="73" spans="1:42" ht="16" customHeight="1">
      <c r="A73" s="447"/>
      <c r="B73" s="447"/>
      <c r="C73" s="447"/>
      <c r="D73" s="447"/>
      <c r="E73" s="447"/>
      <c r="F73" s="447"/>
      <c r="G73" s="447"/>
      <c r="H73" s="447"/>
      <c r="I73" s="447"/>
      <c r="J73" s="447"/>
      <c r="K73" s="447"/>
      <c r="L73" s="447"/>
      <c r="M73" s="309"/>
      <c r="N73" s="389"/>
      <c r="O73" s="1679" t="s">
        <v>912</v>
      </c>
      <c r="P73" s="1679"/>
      <c r="Q73" s="1679"/>
      <c r="R73" s="1679"/>
      <c r="S73" s="1679"/>
      <c r="T73" s="1679"/>
      <c r="U73" s="1679"/>
      <c r="V73" s="625"/>
      <c r="W73" s="625"/>
      <c r="X73" s="754"/>
      <c r="Y73" s="755"/>
      <c r="Z73" s="625"/>
      <c r="AA73" s="625"/>
      <c r="AB73" s="625"/>
      <c r="AC73" s="625"/>
      <c r="AD73" s="628"/>
      <c r="AE73" s="628"/>
      <c r="AF73" s="628"/>
      <c r="AG73" s="628"/>
      <c r="AH73" s="628"/>
      <c r="AI73" s="628"/>
      <c r="AJ73" s="359"/>
      <c r="AK73" s="359"/>
      <c r="AL73" s="359"/>
      <c r="AM73" s="359"/>
      <c r="AN73" s="359"/>
      <c r="AO73" s="359"/>
      <c r="AP73" s="359"/>
    </row>
    <row r="74" spans="1:42" ht="16" customHeight="1">
      <c r="A74" s="447"/>
      <c r="B74" s="447"/>
      <c r="C74" s="447"/>
      <c r="D74" s="447"/>
      <c r="E74" s="447"/>
      <c r="F74" s="447"/>
      <c r="G74" s="447"/>
      <c r="H74" s="447"/>
      <c r="I74" s="447"/>
      <c r="J74" s="447"/>
      <c r="K74" s="447"/>
      <c r="L74" s="447"/>
      <c r="M74" s="309"/>
      <c r="N74" s="389"/>
      <c r="O74" s="1679"/>
      <c r="P74" s="1679"/>
      <c r="Q74" s="1679"/>
      <c r="R74" s="1679"/>
      <c r="S74" s="1679"/>
      <c r="T74" s="1679"/>
      <c r="U74" s="1679"/>
      <c r="V74" s="625"/>
      <c r="W74" s="625"/>
      <c r="X74" s="754"/>
      <c r="Y74" s="755"/>
      <c r="Z74" s="625"/>
      <c r="AA74" s="625"/>
      <c r="AB74" s="625"/>
      <c r="AC74" s="625"/>
      <c r="AD74" s="628"/>
      <c r="AE74" s="628"/>
      <c r="AF74" s="628"/>
      <c r="AG74" s="628"/>
      <c r="AH74" s="628"/>
      <c r="AI74" s="628"/>
      <c r="AJ74" s="359"/>
      <c r="AK74" s="359"/>
      <c r="AL74" s="359"/>
      <c r="AM74" s="359"/>
      <c r="AN74" s="359"/>
      <c r="AO74" s="359"/>
      <c r="AP74" s="359"/>
    </row>
    <row r="75" spans="1:42" ht="16" customHeight="1">
      <c r="A75" s="447"/>
      <c r="B75" s="447"/>
      <c r="C75" s="447"/>
      <c r="D75" s="447"/>
      <c r="E75" s="447"/>
      <c r="F75" s="447"/>
      <c r="G75" s="447"/>
      <c r="H75" s="447"/>
      <c r="I75" s="447"/>
      <c r="J75" s="447"/>
      <c r="K75" s="447"/>
      <c r="L75" s="447"/>
      <c r="M75" s="309"/>
      <c r="N75" s="389"/>
      <c r="O75" s="1679"/>
      <c r="P75" s="1679"/>
      <c r="Q75" s="1679"/>
      <c r="R75" s="1679"/>
      <c r="S75" s="1679"/>
      <c r="T75" s="1679"/>
      <c r="U75" s="1679"/>
      <c r="V75" s="625"/>
      <c r="W75" s="625"/>
      <c r="X75" s="754"/>
      <c r="Y75" s="755"/>
      <c r="Z75" s="625"/>
      <c r="AA75" s="625"/>
      <c r="AB75" s="625"/>
      <c r="AC75" s="625"/>
      <c r="AD75" s="628"/>
      <c r="AE75" s="628"/>
      <c r="AF75" s="628"/>
      <c r="AG75" s="628"/>
      <c r="AH75" s="628"/>
      <c r="AI75" s="628"/>
      <c r="AJ75" s="359"/>
      <c r="AK75" s="359"/>
      <c r="AL75" s="359"/>
      <c r="AM75" s="359"/>
      <c r="AN75" s="359"/>
      <c r="AO75" s="359"/>
      <c r="AP75" s="359"/>
    </row>
    <row r="76" spans="1:42" ht="16" customHeight="1">
      <c r="A76" s="447"/>
      <c r="B76" s="447"/>
      <c r="C76" s="447"/>
      <c r="D76" s="447"/>
      <c r="E76" s="447"/>
      <c r="F76" s="447"/>
      <c r="G76" s="447"/>
      <c r="H76" s="447"/>
      <c r="I76" s="447"/>
      <c r="J76" s="447"/>
      <c r="K76" s="447"/>
      <c r="L76" s="447"/>
      <c r="M76" s="309"/>
      <c r="N76" s="389"/>
      <c r="O76" s="1679"/>
      <c r="P76" s="1679"/>
      <c r="Q76" s="1679"/>
      <c r="R76" s="1679"/>
      <c r="S76" s="1679"/>
      <c r="T76" s="1679"/>
      <c r="U76" s="1679"/>
      <c r="V76" s="625"/>
      <c r="W76" s="625"/>
      <c r="X76" s="754"/>
      <c r="Y76" s="755"/>
      <c r="Z76" s="625"/>
      <c r="AA76" s="625"/>
      <c r="AB76" s="625"/>
      <c r="AC76" s="625"/>
      <c r="AD76" s="628"/>
      <c r="AE76" s="628"/>
      <c r="AF76" s="628"/>
      <c r="AG76" s="628"/>
      <c r="AH76" s="628"/>
      <c r="AI76" s="628"/>
      <c r="AJ76" s="359"/>
      <c r="AK76" s="359"/>
      <c r="AL76" s="359"/>
      <c r="AM76" s="359"/>
      <c r="AN76" s="359"/>
      <c r="AO76" s="359"/>
      <c r="AP76" s="359"/>
    </row>
    <row r="77" spans="1:42" ht="16" customHeight="1">
      <c r="A77" s="447"/>
      <c r="B77" s="447"/>
      <c r="C77" s="447"/>
      <c r="D77" s="447"/>
      <c r="E77" s="447"/>
      <c r="F77" s="447"/>
      <c r="G77" s="447"/>
      <c r="H77" s="447"/>
      <c r="I77" s="447"/>
      <c r="J77" s="447"/>
      <c r="K77" s="447"/>
      <c r="L77" s="447"/>
      <c r="M77" s="309"/>
      <c r="N77" s="389"/>
      <c r="O77" s="1679"/>
      <c r="P77" s="1679"/>
      <c r="Q77" s="1679"/>
      <c r="R77" s="1679"/>
      <c r="S77" s="1679"/>
      <c r="T77" s="1679"/>
      <c r="U77" s="1679"/>
      <c r="V77" s="625"/>
      <c r="W77" s="625"/>
      <c r="X77" s="754"/>
      <c r="Y77" s="755"/>
      <c r="Z77" s="625"/>
      <c r="AA77" s="625"/>
      <c r="AB77" s="625"/>
      <c r="AC77" s="625"/>
      <c r="AD77" s="359"/>
      <c r="AE77" s="359"/>
      <c r="AF77" s="359"/>
      <c r="AG77" s="359"/>
      <c r="AH77" s="359"/>
      <c r="AI77" s="359"/>
      <c r="AJ77" s="359"/>
      <c r="AK77" s="359"/>
      <c r="AL77" s="359"/>
      <c r="AM77" s="359"/>
      <c r="AN77" s="359"/>
      <c r="AO77" s="359"/>
      <c r="AP77" s="359"/>
    </row>
    <row r="78" spans="1:42" ht="13" customHeight="1">
      <c r="M78" s="359"/>
      <c r="N78" s="626"/>
      <c r="O78" s="626"/>
      <c r="P78" s="626"/>
      <c r="Q78" s="626"/>
      <c r="R78" s="626"/>
      <c r="S78" s="626"/>
      <c r="T78" s="626"/>
      <c r="U78" s="626"/>
      <c r="V78" s="626"/>
      <c r="W78" s="626"/>
      <c r="X78" s="754"/>
      <c r="Y78" s="755"/>
      <c r="AD78" s="359"/>
      <c r="AE78" s="359"/>
      <c r="AF78" s="359"/>
      <c r="AG78" s="359"/>
      <c r="AH78" s="359"/>
      <c r="AI78" s="359"/>
      <c r="AJ78" s="359"/>
      <c r="AK78" s="359"/>
      <c r="AL78" s="359"/>
      <c r="AM78" s="359"/>
      <c r="AN78" s="359"/>
      <c r="AO78" s="359"/>
      <c r="AP78" s="359"/>
    </row>
    <row r="79" spans="1:42" ht="13" customHeight="1">
      <c r="M79" s="359"/>
      <c r="N79" s="626"/>
      <c r="O79" s="626"/>
      <c r="P79" s="626"/>
      <c r="Q79" s="626"/>
      <c r="R79" s="626"/>
      <c r="S79" s="626"/>
      <c r="T79" s="626"/>
      <c r="U79" s="626"/>
      <c r="V79" s="626"/>
      <c r="W79" s="626"/>
      <c r="X79" s="754"/>
      <c r="Y79" s="755"/>
      <c r="AD79" s="359"/>
      <c r="AE79" s="359"/>
      <c r="AF79" s="359"/>
      <c r="AG79" s="359"/>
      <c r="AH79" s="359"/>
      <c r="AI79" s="359"/>
      <c r="AJ79" s="359"/>
      <c r="AK79" s="359"/>
      <c r="AL79" s="359"/>
      <c r="AM79" s="359"/>
      <c r="AN79" s="359"/>
      <c r="AO79" s="359"/>
      <c r="AP79" s="359"/>
    </row>
    <row r="80" spans="1:42" ht="13" customHeight="1">
      <c r="M80" s="359"/>
      <c r="N80" s="626"/>
      <c r="O80" s="626"/>
      <c r="P80" s="626"/>
      <c r="Q80" s="626"/>
      <c r="R80" s="626"/>
      <c r="S80" s="626"/>
      <c r="T80" s="626"/>
      <c r="U80" s="626"/>
      <c r="V80" s="626"/>
      <c r="W80" s="626"/>
      <c r="X80" s="754"/>
      <c r="Y80" s="755"/>
      <c r="AD80" s="359"/>
      <c r="AE80" s="359"/>
      <c r="AF80" s="359"/>
      <c r="AG80" s="359"/>
      <c r="AH80" s="359"/>
      <c r="AI80" s="359"/>
      <c r="AJ80" s="359"/>
      <c r="AK80" s="359"/>
      <c r="AL80" s="359"/>
      <c r="AM80" s="359"/>
      <c r="AN80" s="359"/>
      <c r="AO80" s="359"/>
      <c r="AP80" s="359"/>
    </row>
    <row r="81" spans="13:42" ht="13" customHeight="1">
      <c r="M81" s="359"/>
      <c r="X81" s="754"/>
      <c r="Y81" s="755"/>
      <c r="AD81" s="359"/>
      <c r="AE81" s="359"/>
      <c r="AF81" s="359"/>
      <c r="AG81" s="359"/>
      <c r="AH81" s="359"/>
      <c r="AI81" s="359"/>
      <c r="AJ81" s="359"/>
      <c r="AK81" s="359"/>
      <c r="AL81" s="359"/>
      <c r="AM81" s="359"/>
      <c r="AN81" s="359"/>
      <c r="AO81" s="359"/>
      <c r="AP81" s="359"/>
    </row>
    <row r="82" spans="13:42" ht="13" customHeight="1">
      <c r="M82" s="359"/>
      <c r="AD82" s="359"/>
      <c r="AE82" s="359"/>
      <c r="AF82" s="359"/>
      <c r="AG82" s="359"/>
      <c r="AH82" s="359"/>
      <c r="AI82" s="359"/>
      <c r="AJ82" s="359"/>
      <c r="AK82" s="359"/>
      <c r="AL82" s="359"/>
      <c r="AM82" s="359"/>
      <c r="AN82" s="359"/>
      <c r="AO82" s="359"/>
      <c r="AP82" s="359"/>
    </row>
    <row r="83" spans="13:42" ht="13" customHeight="1">
      <c r="M83" s="359"/>
      <c r="AD83" s="359"/>
      <c r="AE83" s="359"/>
      <c r="AF83" s="359"/>
      <c r="AG83" s="359"/>
      <c r="AH83" s="359"/>
      <c r="AI83" s="359"/>
      <c r="AJ83" s="359"/>
      <c r="AK83" s="359"/>
      <c r="AL83" s="359"/>
      <c r="AM83" s="359"/>
      <c r="AN83" s="359"/>
      <c r="AO83" s="359"/>
      <c r="AP83" s="359"/>
    </row>
    <row r="84" spans="13:42" ht="13" customHeight="1">
      <c r="M84" s="359"/>
    </row>
    <row r="85" spans="13:42" ht="13" customHeight="1"/>
    <row r="86" spans="13:42" ht="13" customHeight="1"/>
    <row r="87" spans="13:42" ht="13" customHeight="1"/>
    <row r="88" spans="13:42" ht="13" customHeight="1"/>
    <row r="89" spans="13:42" ht="13" customHeight="1"/>
    <row r="90" spans="13:42" ht="13" customHeight="1"/>
    <row r="91" spans="13:42" ht="13" customHeight="1"/>
    <row r="92" spans="13:42" ht="13" customHeight="1"/>
    <row r="93" spans="13:42" ht="13" customHeight="1"/>
    <row r="94" spans="13:42" ht="13" customHeight="1"/>
    <row r="95" spans="13:42" ht="13" customHeight="1"/>
    <row r="96" spans="13:42" ht="13" customHeight="1"/>
    <row r="97" ht="13" customHeight="1"/>
    <row r="98" ht="13" customHeight="1"/>
    <row r="99" ht="13" customHeight="1"/>
    <row r="100" ht="13" customHeight="1"/>
    <row r="101" ht="13" customHeight="1"/>
    <row r="102" ht="13" customHeight="1"/>
    <row r="103" ht="13" customHeight="1"/>
    <row r="104" ht="13" customHeight="1"/>
    <row r="105" ht="13" customHeight="1"/>
    <row r="106" ht="13" customHeight="1"/>
    <row r="107" ht="13" customHeight="1"/>
    <row r="108" ht="13" customHeight="1"/>
    <row r="109" ht="13" customHeight="1"/>
    <row r="110" ht="13" customHeight="1"/>
    <row r="111" ht="13" customHeight="1"/>
    <row r="112" ht="13" customHeight="1"/>
    <row r="113" ht="13" customHeight="1"/>
    <row r="114" ht="13" customHeight="1"/>
    <row r="115" ht="13" customHeight="1"/>
    <row r="116" ht="13" customHeight="1"/>
    <row r="117" ht="13" customHeight="1"/>
    <row r="118" ht="13" customHeight="1"/>
    <row r="119" ht="13" customHeight="1"/>
    <row r="120" ht="13" customHeight="1"/>
    <row r="121" ht="13" customHeight="1"/>
    <row r="122" ht="13" customHeight="1"/>
    <row r="123" ht="13" customHeight="1"/>
    <row r="124" ht="13" customHeight="1"/>
    <row r="125" ht="13" customHeight="1"/>
    <row r="126" ht="13" customHeight="1"/>
    <row r="127" ht="13" customHeight="1"/>
    <row r="128" ht="13" customHeight="1"/>
    <row r="129" ht="13" customHeight="1"/>
    <row r="130" ht="13" customHeight="1"/>
    <row r="131" ht="13" customHeight="1"/>
    <row r="132" ht="13" customHeight="1"/>
    <row r="133" ht="13" customHeight="1"/>
    <row r="134" ht="13" customHeight="1"/>
    <row r="135" ht="13" customHeight="1"/>
    <row r="136" ht="13" customHeight="1"/>
    <row r="137" ht="13" customHeight="1"/>
    <row r="138" ht="13" customHeight="1"/>
    <row r="139" ht="13" customHeight="1"/>
    <row r="140" ht="13" customHeight="1"/>
    <row r="141" ht="13" customHeight="1"/>
    <row r="142" ht="13" customHeight="1"/>
    <row r="143" ht="13" customHeight="1"/>
    <row r="144" ht="13" customHeight="1"/>
    <row r="145" ht="13" customHeight="1"/>
    <row r="146" ht="13" customHeight="1"/>
    <row r="147" ht="13" customHeight="1"/>
    <row r="148" ht="13" customHeight="1"/>
    <row r="149" ht="13" customHeight="1"/>
    <row r="150" ht="13" customHeight="1"/>
    <row r="151" ht="13" customHeight="1"/>
    <row r="152" ht="13" customHeight="1"/>
    <row r="153" ht="13" customHeight="1"/>
    <row r="154" ht="13" customHeight="1"/>
    <row r="155" ht="13" customHeight="1"/>
    <row r="156" ht="13" customHeight="1"/>
    <row r="157" ht="13" customHeight="1"/>
    <row r="158" ht="13" customHeight="1"/>
    <row r="159" ht="13" customHeight="1"/>
    <row r="160" ht="13" customHeight="1"/>
    <row r="161" ht="13" customHeight="1"/>
    <row r="162" ht="13" customHeight="1"/>
    <row r="163" ht="13" customHeight="1"/>
    <row r="164" ht="13" customHeight="1"/>
    <row r="165" ht="13" customHeight="1"/>
    <row r="166" ht="13" customHeight="1"/>
    <row r="167" ht="13" customHeight="1"/>
    <row r="168" ht="13" customHeight="1"/>
    <row r="169" ht="13" customHeight="1"/>
    <row r="170" ht="13" customHeight="1"/>
    <row r="171" ht="13" customHeight="1"/>
    <row r="172" ht="13" customHeight="1"/>
    <row r="173" ht="13" customHeight="1"/>
    <row r="174" ht="13" customHeight="1"/>
    <row r="175" ht="13" customHeight="1"/>
    <row r="176" ht="13" customHeight="1"/>
    <row r="177" ht="13" customHeight="1"/>
    <row r="178" ht="13" customHeight="1"/>
    <row r="179" ht="13" customHeight="1"/>
    <row r="180" ht="13" customHeight="1"/>
    <row r="181" ht="13" customHeight="1"/>
    <row r="182" ht="13" customHeight="1"/>
    <row r="183" ht="13" customHeight="1"/>
    <row r="184" ht="13" customHeight="1"/>
    <row r="185" ht="13" customHeight="1"/>
    <row r="186" ht="13" customHeight="1"/>
    <row r="187" ht="13" customHeight="1"/>
    <row r="188" ht="13" customHeight="1"/>
    <row r="189" ht="13" customHeight="1"/>
    <row r="190" ht="13" customHeight="1"/>
    <row r="191" ht="13" customHeight="1"/>
    <row r="192" ht="13" customHeight="1"/>
    <row r="193" ht="13" customHeight="1"/>
    <row r="194" ht="13" customHeight="1"/>
    <row r="195" ht="13" customHeight="1"/>
    <row r="196" ht="13" customHeight="1"/>
    <row r="197" ht="13" customHeight="1"/>
    <row r="198" ht="13" customHeight="1"/>
    <row r="199" ht="13" customHeight="1"/>
    <row r="200" ht="13" customHeight="1"/>
    <row r="201" ht="13" customHeight="1"/>
    <row r="202" ht="13" customHeight="1"/>
    <row r="203" ht="13" customHeight="1"/>
    <row r="204" ht="13" customHeight="1"/>
    <row r="205" ht="13" customHeight="1"/>
    <row r="206" ht="13" customHeight="1"/>
    <row r="207" ht="13" customHeight="1"/>
    <row r="208" ht="13" customHeight="1"/>
    <row r="209" ht="13" customHeight="1"/>
    <row r="210" ht="13" customHeight="1"/>
    <row r="211" ht="13" customHeight="1"/>
    <row r="212" ht="13" customHeight="1"/>
    <row r="213" ht="13" customHeight="1"/>
    <row r="214" ht="13" customHeight="1"/>
    <row r="215" ht="13" customHeight="1"/>
    <row r="216" ht="13" customHeight="1"/>
    <row r="217" ht="13" customHeight="1"/>
    <row r="218" ht="13" customHeight="1"/>
    <row r="219" ht="13" customHeight="1"/>
    <row r="220" ht="13" customHeight="1"/>
    <row r="221" ht="13" customHeight="1"/>
    <row r="222" ht="13" customHeight="1"/>
    <row r="223" ht="13" customHeight="1"/>
    <row r="224" ht="13" customHeight="1"/>
    <row r="225" ht="13" customHeight="1"/>
    <row r="226" ht="13" customHeight="1"/>
    <row r="227" ht="13" customHeight="1"/>
    <row r="228" ht="13" customHeight="1"/>
    <row r="229" ht="13" customHeight="1"/>
    <row r="230" ht="13" customHeight="1"/>
    <row r="231" ht="13" customHeight="1"/>
    <row r="232" ht="13" customHeight="1"/>
    <row r="233" ht="13" customHeight="1"/>
    <row r="234" ht="13" customHeight="1"/>
    <row r="235" ht="13" customHeight="1"/>
    <row r="236" ht="13" customHeight="1"/>
    <row r="237" ht="13" customHeight="1"/>
    <row r="238" ht="13" customHeight="1"/>
    <row r="239" ht="13" customHeight="1"/>
    <row r="240" ht="13" customHeight="1"/>
    <row r="241" ht="13" customHeight="1"/>
    <row r="242" ht="13" customHeight="1"/>
    <row r="243" ht="13" customHeight="1"/>
    <row r="244" ht="13" customHeight="1"/>
    <row r="245" ht="13" customHeight="1"/>
    <row r="246" ht="13" customHeight="1"/>
    <row r="247" ht="13" customHeight="1"/>
    <row r="248" ht="13" customHeight="1"/>
    <row r="249" ht="13" customHeight="1"/>
    <row r="250" ht="13" customHeight="1"/>
    <row r="251" ht="13" customHeight="1"/>
    <row r="252" ht="13" customHeight="1"/>
    <row r="253" ht="13" customHeight="1"/>
    <row r="254" ht="13" customHeight="1"/>
    <row r="255" ht="13" customHeight="1"/>
    <row r="256" ht="13" customHeight="1"/>
    <row r="257" ht="13" customHeight="1"/>
    <row r="258" ht="13" customHeight="1"/>
    <row r="259" ht="13" customHeight="1"/>
    <row r="260" ht="13" customHeight="1"/>
    <row r="261" ht="13" customHeight="1"/>
    <row r="262" ht="13" customHeight="1"/>
    <row r="263" ht="13" customHeight="1"/>
    <row r="264" ht="13" customHeight="1"/>
    <row r="265" ht="13" customHeight="1"/>
    <row r="266" ht="13" customHeight="1"/>
    <row r="267" ht="13" customHeight="1"/>
    <row r="268" ht="13" customHeight="1"/>
    <row r="269" ht="13" customHeight="1"/>
    <row r="270" ht="13" customHeight="1"/>
    <row r="271" ht="13" customHeight="1"/>
    <row r="272" ht="13" customHeight="1"/>
    <row r="273" ht="13" customHeight="1"/>
    <row r="274" ht="13" customHeight="1"/>
    <row r="275" ht="13" customHeight="1"/>
    <row r="276" ht="13" customHeight="1"/>
    <row r="277" ht="13" customHeight="1"/>
    <row r="278" ht="13" customHeight="1"/>
    <row r="279" ht="13" customHeight="1"/>
    <row r="280" ht="13" customHeight="1"/>
    <row r="281" ht="13" customHeight="1"/>
    <row r="282" ht="13" customHeight="1"/>
    <row r="283" ht="13" customHeight="1"/>
    <row r="284" ht="13" customHeight="1"/>
    <row r="285" ht="13" customHeight="1"/>
    <row r="286" ht="13" customHeight="1"/>
    <row r="287" ht="13" customHeight="1"/>
    <row r="288" ht="13" customHeight="1"/>
    <row r="289" ht="13" customHeight="1"/>
    <row r="290" ht="13" customHeight="1"/>
    <row r="291" ht="13" customHeight="1"/>
    <row r="292" ht="13" customHeight="1"/>
    <row r="293" ht="13" customHeight="1"/>
    <row r="294" ht="13" customHeight="1"/>
    <row r="295" ht="13" customHeight="1"/>
    <row r="296" ht="13" customHeight="1"/>
    <row r="297" ht="13" customHeight="1"/>
    <row r="298" ht="13" customHeight="1"/>
    <row r="299" ht="13" customHeight="1"/>
    <row r="300" ht="13" customHeight="1"/>
    <row r="301" ht="13" customHeight="1"/>
    <row r="302" ht="13" customHeight="1"/>
    <row r="303" ht="13" customHeight="1"/>
    <row r="304" ht="13" customHeight="1"/>
    <row r="305" ht="13" customHeight="1"/>
    <row r="306" ht="13" customHeight="1"/>
    <row r="307" ht="13" customHeight="1"/>
    <row r="308" ht="13" customHeight="1"/>
    <row r="309" ht="13" customHeight="1"/>
    <row r="310" ht="13" customHeight="1"/>
    <row r="311" ht="13" customHeight="1"/>
    <row r="312" ht="13" customHeight="1"/>
    <row r="313" ht="13" customHeight="1"/>
    <row r="314" ht="13" customHeight="1"/>
    <row r="315" ht="13" customHeight="1"/>
    <row r="316" ht="13" customHeight="1"/>
    <row r="317" ht="13" customHeight="1"/>
    <row r="318" ht="13" customHeight="1"/>
    <row r="319" ht="13" customHeight="1"/>
    <row r="320" ht="13" customHeight="1"/>
    <row r="321" ht="13" customHeight="1"/>
    <row r="322" ht="13" customHeight="1"/>
    <row r="323" ht="13" customHeight="1"/>
    <row r="324" ht="13" customHeight="1"/>
    <row r="325" ht="13" customHeight="1"/>
    <row r="326" ht="13" customHeight="1"/>
    <row r="327" ht="13" customHeight="1"/>
    <row r="328" ht="13" customHeight="1"/>
    <row r="329" ht="13" customHeight="1"/>
    <row r="330" ht="13" customHeight="1"/>
    <row r="331" ht="13" customHeight="1"/>
    <row r="332" ht="13" customHeight="1"/>
    <row r="333" ht="13" customHeight="1"/>
    <row r="334" ht="13" customHeight="1"/>
    <row r="335" ht="13" customHeight="1"/>
    <row r="336" ht="13" customHeight="1"/>
    <row r="337" ht="13" customHeight="1"/>
    <row r="338" ht="13" customHeight="1"/>
    <row r="339" ht="13" customHeight="1"/>
    <row r="340" ht="13" customHeight="1"/>
    <row r="341" ht="13" customHeight="1"/>
    <row r="342" ht="13" customHeight="1"/>
    <row r="343" ht="13" customHeight="1"/>
    <row r="344" ht="13" customHeight="1"/>
    <row r="345" ht="13" customHeight="1"/>
    <row r="346" ht="13" customHeight="1"/>
    <row r="347" ht="13" customHeight="1"/>
    <row r="348" ht="13" customHeight="1"/>
    <row r="349" ht="13" customHeight="1"/>
    <row r="350" ht="13" customHeight="1"/>
    <row r="351" ht="13" customHeight="1"/>
    <row r="352" ht="13" customHeight="1"/>
    <row r="353" ht="13" customHeight="1"/>
    <row r="354" ht="13" customHeight="1"/>
    <row r="355" ht="13" customHeight="1"/>
    <row r="356" ht="13" customHeight="1"/>
    <row r="357" ht="13" customHeight="1"/>
    <row r="358" ht="13" customHeight="1"/>
    <row r="359" ht="13" customHeight="1"/>
    <row r="360" ht="13" customHeight="1"/>
    <row r="361" ht="13" customHeight="1"/>
    <row r="362" ht="13" customHeight="1"/>
    <row r="363" ht="13" customHeight="1"/>
    <row r="364" ht="13" customHeight="1"/>
    <row r="365" ht="13" customHeight="1"/>
    <row r="366" ht="13" customHeight="1"/>
    <row r="367" ht="13" customHeight="1"/>
    <row r="368" ht="13" customHeight="1"/>
    <row r="369" ht="13" customHeight="1"/>
    <row r="370" ht="13" customHeight="1"/>
    <row r="371" ht="13" customHeight="1"/>
    <row r="372" ht="13" customHeight="1"/>
    <row r="373" ht="13" customHeight="1"/>
    <row r="374" ht="13" customHeight="1"/>
    <row r="375" ht="13" customHeight="1"/>
    <row r="376" ht="13" customHeight="1"/>
    <row r="377" ht="13" customHeight="1"/>
    <row r="378" ht="13" customHeight="1"/>
    <row r="379" ht="13" customHeight="1"/>
    <row r="380" ht="13" customHeight="1"/>
    <row r="381" ht="13" customHeight="1"/>
    <row r="382" ht="13" customHeight="1"/>
    <row r="383" ht="13" customHeight="1"/>
    <row r="384" ht="13" customHeight="1"/>
    <row r="385" ht="13" customHeight="1"/>
    <row r="386" ht="13" customHeight="1"/>
    <row r="387" ht="13" customHeight="1"/>
    <row r="388" ht="13" customHeight="1"/>
    <row r="389" ht="13" customHeight="1"/>
    <row r="390" ht="13" customHeight="1"/>
    <row r="391" ht="13" customHeight="1"/>
    <row r="392" ht="13" customHeight="1"/>
    <row r="393" ht="13" customHeight="1"/>
    <row r="394" ht="13" customHeight="1"/>
    <row r="395" ht="13" customHeight="1"/>
    <row r="396" ht="13" customHeight="1"/>
    <row r="397" ht="13" customHeight="1"/>
    <row r="398" ht="13" customHeight="1"/>
    <row r="399" ht="13" customHeight="1"/>
    <row r="400" ht="13" customHeight="1"/>
    <row r="401" ht="13" customHeight="1"/>
    <row r="402" ht="13" customHeight="1"/>
    <row r="403" ht="13" customHeight="1"/>
    <row r="404" ht="13" customHeight="1"/>
    <row r="405" ht="13" customHeight="1"/>
    <row r="406" ht="13" customHeight="1"/>
    <row r="407" ht="13" customHeight="1"/>
    <row r="408" ht="13" customHeight="1"/>
    <row r="409" ht="13" customHeight="1"/>
    <row r="410" ht="13" customHeight="1"/>
    <row r="411" ht="13" customHeight="1"/>
    <row r="412" ht="13" customHeight="1"/>
    <row r="413" ht="13" customHeight="1"/>
    <row r="414" ht="13" customHeight="1"/>
    <row r="415" ht="13" customHeight="1"/>
    <row r="416" ht="13" customHeight="1"/>
    <row r="417" ht="13" customHeight="1"/>
    <row r="418" ht="13" customHeight="1"/>
    <row r="419" ht="13" customHeight="1"/>
    <row r="420" ht="13" customHeight="1"/>
    <row r="421" ht="13" customHeight="1"/>
    <row r="422" ht="13" customHeight="1"/>
    <row r="423" ht="13" customHeight="1"/>
    <row r="424" ht="13" customHeight="1"/>
    <row r="425" ht="13" customHeight="1"/>
    <row r="426" ht="13" customHeight="1"/>
    <row r="427" ht="13" customHeight="1"/>
    <row r="428" ht="13" customHeight="1"/>
    <row r="429" ht="13" customHeight="1"/>
    <row r="430" ht="13" customHeight="1"/>
    <row r="431" ht="13" customHeight="1"/>
    <row r="432" ht="13" customHeight="1"/>
    <row r="433" ht="13" customHeight="1"/>
    <row r="434" ht="13" customHeight="1"/>
    <row r="435" ht="13" customHeight="1"/>
    <row r="436" ht="13" customHeight="1"/>
    <row r="437" ht="13" customHeight="1"/>
    <row r="438" ht="13" customHeight="1"/>
    <row r="439" ht="13" customHeight="1"/>
    <row r="440" ht="13" customHeight="1"/>
    <row r="441" ht="13" customHeight="1"/>
    <row r="442" ht="13" customHeight="1"/>
    <row r="443" ht="13" customHeight="1"/>
    <row r="444" ht="13" customHeight="1"/>
    <row r="445" ht="13" customHeight="1"/>
    <row r="446" ht="13" customHeight="1"/>
    <row r="447" ht="13" customHeight="1"/>
    <row r="448" ht="13" customHeight="1"/>
    <row r="449" ht="13" customHeight="1"/>
    <row r="450" ht="13" customHeight="1"/>
    <row r="451" ht="13" customHeight="1"/>
    <row r="452" ht="13" customHeight="1"/>
    <row r="453" ht="13" customHeight="1"/>
    <row r="454" ht="13" customHeight="1"/>
    <row r="455" ht="13" customHeight="1"/>
    <row r="456" ht="13" customHeight="1"/>
    <row r="457" ht="13" customHeight="1"/>
    <row r="458" ht="13" customHeight="1"/>
    <row r="459" ht="13" customHeight="1"/>
    <row r="460" ht="13" customHeight="1"/>
    <row r="461" ht="13" customHeight="1"/>
    <row r="462" ht="13" customHeight="1"/>
    <row r="463" ht="13" customHeight="1"/>
    <row r="464" ht="13" customHeight="1"/>
    <row r="465" ht="13" customHeight="1"/>
    <row r="466" ht="13" customHeight="1"/>
    <row r="467" ht="13" customHeight="1"/>
    <row r="468" ht="13" customHeight="1"/>
    <row r="469" ht="13" customHeight="1"/>
    <row r="470" ht="13" customHeight="1"/>
    <row r="471" ht="13" customHeight="1"/>
    <row r="472" ht="13" customHeight="1"/>
    <row r="473" ht="13" customHeight="1"/>
    <row r="474" ht="13" customHeight="1"/>
    <row r="475" ht="13" customHeight="1"/>
    <row r="476" ht="13" customHeight="1"/>
    <row r="477" ht="13" customHeight="1"/>
    <row r="478" ht="13" customHeight="1"/>
    <row r="479" ht="13" customHeight="1"/>
    <row r="480" ht="13" customHeight="1"/>
    <row r="481" ht="13" customHeight="1"/>
    <row r="482" ht="13" customHeight="1"/>
    <row r="483" ht="13" customHeight="1"/>
    <row r="484" ht="13" customHeight="1"/>
    <row r="485" ht="13" customHeight="1"/>
    <row r="486" ht="13" customHeight="1"/>
    <row r="487" ht="13" customHeight="1"/>
    <row r="488" ht="13" customHeight="1"/>
    <row r="489" ht="13" customHeight="1"/>
    <row r="490" ht="13" customHeight="1"/>
    <row r="491" ht="13" customHeight="1"/>
    <row r="492" ht="13" customHeight="1"/>
    <row r="493" ht="13" customHeight="1"/>
    <row r="494" ht="13" customHeight="1"/>
    <row r="495" ht="13" customHeight="1"/>
    <row r="496" ht="13" customHeight="1"/>
    <row r="497" ht="13" customHeight="1"/>
    <row r="498" ht="13" customHeight="1"/>
    <row r="499" ht="13" customHeight="1"/>
    <row r="500" ht="13" customHeight="1"/>
    <row r="501" ht="13" customHeight="1"/>
    <row r="502" ht="13" customHeight="1"/>
    <row r="503" ht="13" customHeight="1"/>
    <row r="504" ht="13" customHeight="1"/>
    <row r="505" ht="13" customHeight="1"/>
    <row r="506" ht="13" customHeight="1"/>
    <row r="507" ht="13" customHeight="1"/>
    <row r="508" ht="13" customHeight="1"/>
    <row r="509" ht="13" customHeight="1"/>
    <row r="510" ht="13" customHeight="1"/>
    <row r="511" ht="13" customHeight="1"/>
    <row r="512" ht="13" customHeight="1"/>
    <row r="513" ht="13" customHeight="1"/>
    <row r="514" ht="13" customHeight="1"/>
    <row r="515" ht="13" customHeight="1"/>
    <row r="516" ht="13" customHeight="1"/>
    <row r="517" ht="13" customHeight="1"/>
    <row r="518" ht="13" customHeight="1"/>
    <row r="519" ht="13" customHeight="1"/>
    <row r="520" ht="13" customHeight="1"/>
    <row r="521" ht="13" customHeight="1"/>
    <row r="522" ht="13" customHeight="1"/>
    <row r="523" ht="13" customHeight="1"/>
    <row r="524" ht="13" customHeight="1"/>
    <row r="525" ht="13" customHeight="1"/>
    <row r="526" ht="13" customHeight="1"/>
    <row r="527" ht="13" customHeight="1"/>
    <row r="528" ht="13" customHeight="1"/>
    <row r="529" ht="13" customHeight="1"/>
    <row r="530" ht="13" customHeight="1"/>
    <row r="531" ht="13" customHeight="1"/>
    <row r="532" ht="13" customHeight="1"/>
    <row r="533" ht="13" customHeight="1"/>
    <row r="534" ht="13" customHeight="1"/>
    <row r="535" ht="13" customHeight="1"/>
    <row r="536" ht="13" customHeight="1"/>
    <row r="537" ht="13" customHeight="1"/>
    <row r="538" ht="13" customHeight="1"/>
    <row r="539" ht="13" customHeight="1"/>
    <row r="540" ht="13" customHeight="1"/>
    <row r="541" ht="13" customHeight="1"/>
    <row r="542" ht="13" customHeight="1"/>
    <row r="543" ht="13" customHeight="1"/>
    <row r="544" ht="13" customHeight="1"/>
    <row r="545" ht="13" customHeight="1"/>
    <row r="546" ht="13" customHeight="1"/>
    <row r="547" ht="13" customHeight="1"/>
    <row r="548" ht="13" customHeight="1"/>
    <row r="549" ht="13" customHeight="1"/>
  </sheetData>
  <mergeCells count="27">
    <mergeCell ref="O73:U77"/>
    <mergeCell ref="AB45:AF48"/>
    <mergeCell ref="N31:U31"/>
    <mergeCell ref="N32:U32"/>
    <mergeCell ref="N33:U33"/>
    <mergeCell ref="N34:U34"/>
    <mergeCell ref="N35:U35"/>
    <mergeCell ref="W37:AA38"/>
    <mergeCell ref="C39:J44"/>
    <mergeCell ref="C47:J54"/>
    <mergeCell ref="B37:L37"/>
    <mergeCell ref="C58:J67"/>
    <mergeCell ref="Y58:Z59"/>
    <mergeCell ref="S39:U53"/>
    <mergeCell ref="O54:U58"/>
    <mergeCell ref="S60:U72"/>
    <mergeCell ref="O2:T2"/>
    <mergeCell ref="N11:U16"/>
    <mergeCell ref="N30:U30"/>
    <mergeCell ref="O36:T36"/>
    <mergeCell ref="N17:U29"/>
    <mergeCell ref="N3:U10"/>
    <mergeCell ref="A2:A36"/>
    <mergeCell ref="M2:M36"/>
    <mergeCell ref="B2:L2"/>
    <mergeCell ref="B36:L36"/>
    <mergeCell ref="B1:L1"/>
  </mergeCells>
  <phoneticPr fontId="153" type="noConversion"/>
  <conditionalFormatting sqref="O71:R72">
    <cfRule type="expression" dxfId="79" priority="11">
      <formula>$O$52="FA5L1 FA5L2-D"</formula>
    </cfRule>
  </conditionalFormatting>
  <conditionalFormatting sqref="O69:R70">
    <cfRule type="expression" dxfId="78" priority="12">
      <formula>$O$50="FA4L1 FA4L2-D"</formula>
    </cfRule>
  </conditionalFormatting>
  <conditionalFormatting sqref="O67:R68">
    <cfRule type="expression" dxfId="77" priority="13">
      <formula>$O$48="FA3L1 FA3L2-D"</formula>
    </cfRule>
  </conditionalFormatting>
  <conditionalFormatting sqref="O65:R66">
    <cfRule type="expression" dxfId="76" priority="14">
      <formula>$O$46="FA2L1 FA2L2-D"</formula>
    </cfRule>
  </conditionalFormatting>
  <conditionalFormatting sqref="O63:R64">
    <cfRule type="expression" dxfId="75" priority="15">
      <formula>$O$44="FA1L1 FA1L2-D"</formula>
    </cfRule>
  </conditionalFormatting>
  <conditionalFormatting sqref="O44:Q45">
    <cfRule type="expression" dxfId="74" priority="10">
      <formula>$O$44="FA1L1 FA1L2-D"</formula>
    </cfRule>
  </conditionalFormatting>
  <conditionalFormatting sqref="O46:Q47">
    <cfRule type="expression" dxfId="73" priority="9">
      <formula>$O$46="FA2L1 FA2L2-D"</formula>
    </cfRule>
  </conditionalFormatting>
  <conditionalFormatting sqref="O48:Q49">
    <cfRule type="expression" dxfId="72" priority="8">
      <formula>$O$48="FA3L1 FA3L2-D"</formula>
    </cfRule>
  </conditionalFormatting>
  <conditionalFormatting sqref="O50:Q51">
    <cfRule type="expression" dxfId="71" priority="7">
      <formula>$O$50="FA4L1 FA4L2-D"</formula>
    </cfRule>
  </conditionalFormatting>
  <conditionalFormatting sqref="O52:Q53">
    <cfRule type="expression" dxfId="70" priority="6">
      <formula>$O$52="FA5L1 FA5L2-D"</formula>
    </cfRule>
  </conditionalFormatting>
  <pageMargins left="1" right="1" top="1" bottom="1" header="0.3" footer="0.3"/>
  <pageSetup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67</vt:i4>
      </vt:variant>
    </vt:vector>
  </HeadingPairs>
  <TitlesOfParts>
    <vt:vector size="67" baseType="lpstr">
      <vt:lpstr>INSTRUCTIONS</vt:lpstr>
      <vt:lpstr>FIG1</vt:lpstr>
      <vt:lpstr>FIG2</vt:lpstr>
      <vt:lpstr>FIG3</vt:lpstr>
      <vt:lpstr>FIG4</vt:lpstr>
      <vt:lpstr>FIG5</vt:lpstr>
      <vt:lpstr>FIG6</vt:lpstr>
      <vt:lpstr>FIG7</vt:lpstr>
      <vt:lpstr>FIG8</vt:lpstr>
      <vt:lpstr>FIG9</vt:lpstr>
      <vt:lpstr>FIG10</vt:lpstr>
      <vt:lpstr>FIG11</vt:lpstr>
      <vt:lpstr>FIG12</vt:lpstr>
      <vt:lpstr>CONVERSIONS-CONV</vt:lpstr>
      <vt:lpstr>$REV-DB</vt:lpstr>
      <vt:lpstr>$REV-DSUM</vt:lpstr>
      <vt:lpstr>$REV-DSUM-CONV</vt:lpstr>
      <vt:lpstr>$REV-PROOF</vt:lpstr>
      <vt:lpstr>$REV-HEADINGS</vt:lpstr>
      <vt:lpstr>$REV-NOTES</vt:lpstr>
      <vt:lpstr>1$REV-DATA-AKCharterWorkingData</vt:lpstr>
      <vt:lpstr>2$REV-DATA-AKDistrictWorkingDat</vt:lpstr>
      <vt:lpstr>3$REV-DATA-</vt:lpstr>
      <vt:lpstr>4$REV-DATA-</vt:lpstr>
      <vt:lpstr>5$REV-DATA-</vt:lpstr>
      <vt:lpstr>6$REV-DATA-</vt:lpstr>
      <vt:lpstr>7$REV-DATA-</vt:lpstr>
      <vt:lpstr>8$REV-DATA-</vt:lpstr>
      <vt:lpstr>9$REV-DATA-</vt:lpstr>
      <vt:lpstr>10$REV-DATA-</vt:lpstr>
      <vt:lpstr>$REV-DATA-END</vt:lpstr>
      <vt:lpstr>1$REV-ARCHIVE-</vt:lpstr>
      <vt:lpstr>2$REV-ARCHIVE-</vt:lpstr>
      <vt:lpstr>3$REV-ARCHIVE-</vt:lpstr>
      <vt:lpstr>4$REV-ARCHIVE-</vt:lpstr>
      <vt:lpstr>5$REV-ARCHIVE-</vt:lpstr>
      <vt:lpstr>6$REV-ARCHIVE-</vt:lpstr>
      <vt:lpstr>7$REV-ARCHIVE-</vt:lpstr>
      <vt:lpstr>8$REV-ARCHIVE-</vt:lpstr>
      <vt:lpstr>$REV-ARCHIVE-END</vt:lpstr>
      <vt:lpstr>ENR#-DB</vt:lpstr>
      <vt:lpstr>ENR#-DSUM</vt:lpstr>
      <vt:lpstr>ENR#-DSUM-CONV</vt:lpstr>
      <vt:lpstr>ENR#-PROOF</vt:lpstr>
      <vt:lpstr>ENR#-HEADINGS</vt:lpstr>
      <vt:lpstr>ENR#-NOTES</vt:lpstr>
      <vt:lpstr>1ENR#DATA-AllDistrictADM</vt:lpstr>
      <vt:lpstr>2ENR#DATA-allCharterRev&amp;ADM</vt:lpstr>
      <vt:lpstr>3ENR#DATA-CharterRev&amp;EnrollChan</vt:lpstr>
      <vt:lpstr>DistrictRev&amp;EnrollChange1</vt:lpstr>
      <vt:lpstr>5ENR#DATA-Charter</vt:lpstr>
      <vt:lpstr>6ENR#DATA-alldistricts</vt:lpstr>
      <vt:lpstr>7ENR#DATA-F&amp;RPLData</vt:lpstr>
      <vt:lpstr>8ENR#DATA-</vt:lpstr>
      <vt:lpstr>9ENR#DATA-</vt:lpstr>
      <vt:lpstr>10ENR#DATA-</vt:lpstr>
      <vt:lpstr>ENR#DATA-END</vt:lpstr>
      <vt:lpstr>1ENR#ARCHIVE-</vt:lpstr>
      <vt:lpstr>2ENR#ARCHIVE-</vt:lpstr>
      <vt:lpstr>3ENR#ARCHIVE-</vt:lpstr>
      <vt:lpstr>4ENR#ARCHIVE-</vt:lpstr>
      <vt:lpstr>5ENR#ARCHIVE-</vt:lpstr>
      <vt:lpstr>6ENR#ARCHIVE-</vt:lpstr>
      <vt:lpstr>7ENR#ARCHIVE-</vt:lpstr>
      <vt:lpstr>8ENR#ARCHIVE-</vt:lpstr>
      <vt:lpstr>ENR#ARCHIVE-END</vt:lpstr>
      <vt:lpstr>END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 F. May</dc:creator>
  <cp:lastModifiedBy>Meagan Batdorff</cp:lastModifiedBy>
  <cp:lastPrinted>2013-07-15T16:52:28Z</cp:lastPrinted>
  <dcterms:created xsi:type="dcterms:W3CDTF">2012-10-24T23:20:52Z</dcterms:created>
  <dcterms:modified xsi:type="dcterms:W3CDTF">2014-03-07T19:05:29Z</dcterms:modified>
</cp:coreProperties>
</file>